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9.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4.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6.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7.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8.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20.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21.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22.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3.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4.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5.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26.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05"/>
  <workbookPr codeName="EstaPastaDeTrabalho" defaultThemeVersion="166925"/>
  <mc:AlternateContent xmlns:mc="http://schemas.openxmlformats.org/markup-compatibility/2006">
    <mc:Choice Requires="x15">
      <x15ac:absPath xmlns:x15ac="http://schemas.microsoft.com/office/spreadsheetml/2010/11/ac" url="C:\Users\Eduardo\Google Drive\Meus Projetos\xlMATRIX\"/>
    </mc:Choice>
  </mc:AlternateContent>
  <xr:revisionPtr revIDLastSave="0" documentId="13_ncr:1_{3FDF8515-0509-4754-B0CB-33AA3A8529D8}" xr6:coauthVersionLast="47" xr6:coauthVersionMax="47" xr10:uidLastSave="{00000000-0000-0000-0000-000000000000}"/>
  <bookViews>
    <workbookView xWindow="-120" yWindow="-120" windowWidth="26760" windowHeight="14520" xr2:uid="{3E111190-26EA-484A-ABB9-DC63F2384BD9}"/>
  </bookViews>
  <sheets>
    <sheet name="Function List" sheetId="12" r:id="rId1"/>
    <sheet name="Main Functions" sheetId="1" r:id="rId2"/>
    <sheet name="OLS Functions" sheetId="2" r:id="rId3"/>
    <sheet name="STATIONARIZE" sheetId="47" r:id="rId4"/>
    <sheet name="ISSTATIONARY" sheetId="49" r:id="rId5"/>
    <sheet name="IORDER" sheetId="57" r:id="rId6"/>
    <sheet name="ISCOINTEGRATED" sheetId="59" r:id="rId7"/>
    <sheet name="DFTABLE" sheetId="48" r:id="rId8"/>
    <sheet name="GRANGER" sheetId="37" r:id="rId9"/>
    <sheet name="ANOVA" sheetId="34" r:id="rId10"/>
    <sheet name="LAG" sheetId="35" r:id="rId11"/>
    <sheet name="LEAD" sheetId="36" r:id="rId12"/>
    <sheet name="HPFILTER" sheetId="31" r:id="rId13"/>
    <sheet name="DIFF" sheetId="50" r:id="rId14"/>
    <sheet name="MOVAVG" sheetId="64" r:id="rId15"/>
    <sheet name="MOVSUM" sheetId="65" r:id="rId16"/>
    <sheet name="MOVPROD" sheetId="66" r:id="rId17"/>
    <sheet name="DETREND" sheetId="29" r:id="rId18"/>
    <sheet name="TSTREND" sheetId="63" r:id="rId19"/>
    <sheet name="SEASADJ" sheetId="25" r:id="rId20"/>
    <sheet name="SEASFACTOR" sheetId="62" r:id="rId21"/>
    <sheet name="DUMMYVAR" sheetId="26" r:id="rId22"/>
    <sheet name="ADDCONST" sheetId="27" r:id="rId23"/>
    <sheet name="ADDTREND" sheetId="28" r:id="rId24"/>
    <sheet name="HASCONST" sheetId="101" r:id="rId25"/>
    <sheet name="TSOPER" sheetId="60" r:id="rId26"/>
    <sheet name="APPLYCOLS" sheetId="61" r:id="rId27"/>
    <sheet name="EYE" sheetId="3" r:id="rId28"/>
    <sheet name="ZEROS" sheetId="5" r:id="rId29"/>
    <sheet name="ONES" sheetId="8" r:id="rId30"/>
    <sheet name="DIAG" sheetId="4" r:id="rId31"/>
    <sheet name="TRIL" sheetId="6" r:id="rId32"/>
    <sheet name="TRIU" sheetId="7" r:id="rId33"/>
    <sheet name="VEC" sheetId="9" r:id="rId34"/>
    <sheet name="RESHAPE" sheetId="23" r:id="rId35"/>
    <sheet name="FLIPLR" sheetId="10" r:id="rId36"/>
    <sheet name="FLIPUD" sheetId="11" r:id="rId37"/>
    <sheet name="REPMAT" sheetId="13" r:id="rId38"/>
    <sheet name="NOZERO (FIND)" sheetId="14" r:id="rId39"/>
    <sheet name="BLKDIAG" sheetId="15" r:id="rId40"/>
    <sheet name="ALL" sheetId="17" r:id="rId41"/>
    <sheet name="ANY" sheetId="18" r:id="rId42"/>
    <sheet name="NNZ" sheetId="22" r:id="rId43"/>
    <sheet name="LINSPACE" sheetId="19" r:id="rId44"/>
    <sheet name="LENGTH" sheetId="20" r:id="rId45"/>
    <sheet name="DIM" sheetId="30" r:id="rId46"/>
    <sheet name="NUMEL" sheetId="44" r:id="rId47"/>
    <sheet name="RMMISSING" sheetId="24" r:id="rId48"/>
    <sheet name="ISOUTLIER" sheetId="56" r:id="rId49"/>
    <sheet name="RMOUTLIERS" sheetId="55" r:id="rId50"/>
    <sheet name="MULTIFILTER" sheetId="40" r:id="rId51"/>
    <sheet name="TEXTTOARRAY" sheetId="41" r:id="rId52"/>
    <sheet name="STARTSWITH" sheetId="67" r:id="rId53"/>
    <sheet name="ENDSWITH" sheetId="68" r:id="rId54"/>
    <sheet name="CONTAINS" sheetId="69" r:id="rId55"/>
    <sheet name="ISMEMBER" sheetId="70" r:id="rId56"/>
    <sheet name="COMPLEMENT" sheetId="21" r:id="rId57"/>
    <sheet name="SORTRANGE" sheetId="52" r:id="rId58"/>
    <sheet name="RANKRANGE" sheetId="107" r:id="rId59"/>
    <sheet name="ISUNIQUE" sheetId="53" r:id="rId60"/>
    <sheet name="AGGREGBYDATE" sheetId="71" r:id="rId61"/>
    <sheet name="MNORM" sheetId="76" r:id="rId62"/>
    <sheet name="EVALS" sheetId="78" r:id="rId63"/>
    <sheet name="SUBS" sheetId="99" r:id="rId64"/>
    <sheet name="FZERO" sheetId="77" r:id="rId65"/>
    <sheet name="CONTAGION_FORBESRIGOBON" sheetId="84" r:id="rId66"/>
    <sheet name="CONTAGION_COVOLATILITY" sheetId="79" r:id="rId67"/>
    <sheet name="CONTAGION_COKURTOSIS" sheetId="85" r:id="rId68"/>
    <sheet name="CONTAGION_COSKEWNESS" sheetId="87" r:id="rId69"/>
    <sheet name="CORRCOEF" sheetId="89" r:id="rId70"/>
    <sheet name="ISMULTICOLLINEAR" sheetId="88" r:id="rId71"/>
    <sheet name="VARINFLATIONFACTOR" sheetId="90" r:id="rId72"/>
    <sheet name="FACTORIZE_QR" sheetId="95" r:id="rId73"/>
    <sheet name="FACTORIZE_CHOL" sheetId="105" r:id="rId74"/>
    <sheet name="EIGENVALUES" sheetId="93" r:id="rId75"/>
    <sheet name="EIGENVECTORS" sheetId="97" r:id="rId76"/>
    <sheet name="LINSOLVE" sheetId="98" r:id="rId77"/>
    <sheet name="BOOTSTRP" sheetId="106" r:id="rId78"/>
  </sheets>
  <definedNames>
    <definedName name="_xlop.a" hidden="1" xlm="1">#NAME?</definedName>
    <definedName name="_xlop.abortValue" hidden="1" xlm="1">#NAME?</definedName>
    <definedName name="_xlop.ad" hidden="1" xlm="1">#NAME?</definedName>
    <definedName name="_xlop.add" hidden="1" xlm="1">#NAME?</definedName>
    <definedName name="_xlop.addC" hidden="1" xlm="1">#NAME?</definedName>
    <definedName name="_xlop.addCo" hidden="1" xlm="1">#NAME?</definedName>
    <definedName name="_xlop.addCon" hidden="1" xlm="1">#NAME?</definedName>
    <definedName name="_xlop.addCons" hidden="1" xlm="1">#NAME?</definedName>
    <definedName name="_xlop.addConst" hidden="1" xlm="1">#NAME?</definedName>
    <definedName name="_xlop.addConstant" hidden="1" xlm="1">#NAME?</definedName>
    <definedName name="_xlop.addConstT" hidden="1" xlm="1">#NAME?</definedName>
    <definedName name="_xlop.addConstTo" hidden="1" xlm="1">#NAME?</definedName>
    <definedName name="_xlop.addConstToX" hidden="1" xlm="1">#NAME?</definedName>
    <definedName name="_xlop.addT" hidden="1" xlm="1">#NAME?</definedName>
    <definedName name="_xlop.addTr" hidden="1" xlm="1">#NAME?</definedName>
    <definedName name="_xlop.addTre" hidden="1" xlm="1">#NAME?</definedName>
    <definedName name="_xlop.addTren" hidden="1" xlm="1">#NAME?</definedName>
    <definedName name="_xlop.addTrend" hidden="1" xlm="1">#NAME?</definedName>
    <definedName name="_xlop.addTrendT" hidden="1" xlm="1">#NAME?</definedName>
    <definedName name="_xlop.addTrendTo" hidden="1" xlm="1">#NAME?</definedName>
    <definedName name="_xlop.addTrendToX" hidden="1" xlm="1">#NAME?</definedName>
    <definedName name="_xlop.aggregation" hidden="1" xlm="1">#NAME?</definedName>
    <definedName name="_xlop.allLags" hidden="1" xlm="1">#NAME?</definedName>
    <definedName name="_xlop.allLeads" hidden="1" xlm="1">#NAME?</definedName>
    <definedName name="_xlop.as" hidden="1" xlm="1">#NAME?</definedName>
    <definedName name="_xlop.asc" hidden="1" xlm="1">#NAME?</definedName>
    <definedName name="_xlop.asce" hidden="1" xlm="1">#NAME?</definedName>
    <definedName name="_xlop.ascen" hidden="1" xlm="1">#NAME?</definedName>
    <definedName name="_xlop.ascend" hidden="1" xlm="1">#NAME?</definedName>
    <definedName name="_xlop.ascendi" hidden="1" xlm="1">#NAME?</definedName>
    <definedName name="_xlop.ascendin" hidden="1" xlm="1">#NAME?</definedName>
    <definedName name="_xlop.ascending" hidden="1" xlm="1">#NAME?</definedName>
    <definedName name="_xlop.automatic" hidden="1" xlm="1">#NAME?</definedName>
    <definedName name="_xlop.case_sensitive" hidden="1" xlm="1">#NAME?</definedName>
    <definedName name="_xlop.coeff" hidden="1" xlm="1">#NAME?</definedName>
    <definedName name="_xlop.col_end" hidden="1" xlm="1">#NAME?</definedName>
    <definedName name="_xlop.col_start" hidden="1" xlm="1">#NAME?</definedName>
    <definedName name="_xlop.colChar" hidden="1" xlm="1">#NAME?</definedName>
    <definedName name="_xlop.constant" hidden="1" xlm="1">#NAME?</definedName>
    <definedName name="_xlop.criterion" hidden="1" xlm="1">#NAME?</definedName>
    <definedName name="_xlop.criticalThreshold" hidden="1" xlm="1">#NAME?</definedName>
    <definedName name="_xlop.d" hidden="1" xlm="1">#NAME?</definedName>
    <definedName name="_xlop.descending" hidden="1" xlm="1">#NAME?</definedName>
    <definedName name="_xlop.di" hidden="1" xlm="1">#NAME?</definedName>
    <definedName name="_xlop.dim" hidden="1" xlm="1">#NAME?</definedName>
    <definedName name="_xlop.dime" hidden="1" xlm="1">#NAME?</definedName>
    <definedName name="_xlop.dimen" hidden="1" xlm="1">#NAME?</definedName>
    <definedName name="_xlop.dimens" hidden="1" xlm="1">#NAME?</definedName>
    <definedName name="_xlop.dimensi" hidden="1" xlm="1">#NAME?</definedName>
    <definedName name="_xlop.dimensio" hidden="1" xlm="1">#NAME?</definedName>
    <definedName name="_xlop.dimension" hidden="1" xlm="1">#NAME?</definedName>
    <definedName name="_xlop.direction" hidden="1" xlm="1">#NAME?</definedName>
    <definedName name="_xlop.e" hidden="1" xlm="1">#NAME?</definedName>
    <definedName name="_xlop.ei" hidden="1" xlm="1">#NAME?</definedName>
    <definedName name="_xlop.eig" hidden="1" xlm="1">#NAME?</definedName>
    <definedName name="_xlop.eige" hidden="1" xlm="1">#NAME?</definedName>
    <definedName name="_xlop.eigen" hidden="1" xlm="1">#NAME?</definedName>
    <definedName name="_xlop.eigenMax" hidden="1" xlm="1">#NAME?</definedName>
    <definedName name="_xlop.eigenMin" hidden="1" xlm="1">#NAME?</definedName>
    <definedName name="_xlop.eigenStep" hidden="1" xlm="1">#NAME?</definedName>
    <definedName name="_xlop.eigenv" hidden="1" xlm="1">#NAME?</definedName>
    <definedName name="_xlop.eigenva" hidden="1" xlm="1">#NAME?</definedName>
    <definedName name="_xlop.eigenval" hidden="1" xlm="1">#NAME?</definedName>
    <definedName name="_xlop.eigenvalu" hidden="1" xlm="1">#NAME?</definedName>
    <definedName name="_xlop.eigenvalue" hidden="1" xlm="1">#NAME?</definedName>
    <definedName name="_xlop.eigenvalueC" hidden="1" xlm="1">#NAME?</definedName>
    <definedName name="_xlop.eigenvalueCo" hidden="1" xlm="1">#NAME?</definedName>
    <definedName name="_xlop.eigenvalueCon" hidden="1" xlm="1">#NAME?</definedName>
    <definedName name="_xlop.eigenvalueCond" hidden="1" xlm="1">#NAME?</definedName>
    <definedName name="_xlop.eigenvalueCondi" hidden="1" xlm="1">#NAME?</definedName>
    <definedName name="_xlop.eigenvalueCondit" hidden="1" xlm="1">#NAME?</definedName>
    <definedName name="_xlop.eigenvalueConditi" hidden="1" xlm="1">#NAME?</definedName>
    <definedName name="_xlop.eigenvalueConditio" hidden="1" xlm="1">#NAME?</definedName>
    <definedName name="_xlop.eigenvalueCondition" hidden="1" xlm="1">#NAME?</definedName>
    <definedName name="_xlop.eValue" hidden="1" xlm="1">#NAME?</definedName>
    <definedName name="_xlop.exclude" hidden="1" xlm="1">#NAME?</definedName>
    <definedName name="_xlop.excludeValue" hidden="1" xlm="1">#NAME?</definedName>
    <definedName name="_xlop.excludValue" hidden="1" xlm="1">#NAME?</definedName>
    <definedName name="_xlop.excluValue" hidden="1" xlm="1">#NAME?</definedName>
    <definedName name="_xlop.exclValue" hidden="1" xlm="1">#NAME?</definedName>
    <definedName name="_xlop.excValue" hidden="1" xlm="1">#NAME?</definedName>
    <definedName name="_xlop.expandFromWithin" hidden="1" xlm="1">#NAME?</definedName>
    <definedName name="_xlop.exValue" hidden="1" xlm="1">#NAME?</definedName>
    <definedName name="_xlop.field" hidden="1" xlm="1">#NAME?</definedName>
    <definedName name="_xlop.filling" hidden="1" xlm="1">#NAME?</definedName>
    <definedName name="_xlop.fillSequence" hidden="1" xlm="1">#NAME?</definedName>
    <definedName name="_xlop.fillWithNA" hidden="1" xlm="1">#NAME?</definedName>
    <definedName name="_xlop.finalDate" hidden="1" xlm="1">#NAME?</definedName>
    <definedName name="_xlop.h" hidden="1" xlm="1">#NAME?</definedName>
    <definedName name="_xlop.ha" hidden="1" xlm="1">#NAME?</definedName>
    <definedName name="_xlop.has" hidden="1" xlm="1">#NAME?</definedName>
    <definedName name="_xlop.hasHeader" hidden="1" xlm="1">#NAME?</definedName>
    <definedName name="_xlop.hasL" hidden="1" xlm="1">#NAME?</definedName>
    <definedName name="_xlop.hasLa" hidden="1" xlm="1">#NAME?</definedName>
    <definedName name="_xlop.hasLab" hidden="1" xlm="1">#NAME?</definedName>
    <definedName name="_xlop.hasLabe" hidden="1" xlm="1">#NAME?</definedName>
    <definedName name="_xlop.hasLabel" hidden="1" xlm="1">#NAME?</definedName>
    <definedName name="_xlop.hasLabels" hidden="1" xlm="1">#NAME?</definedName>
    <definedName name="_xlop.header" hidden="1" xlm="1">#NAME?</definedName>
    <definedName name="_xlop.headerFirstRow" hidden="1" xlm="1">#NAME?</definedName>
    <definedName name="_xlop.headers" hidden="1" xlm="1">#NAME?</definedName>
    <definedName name="_xlop.if_empty" hidden="1" xlm="1">#NAME?</definedName>
    <definedName name="_xlop.includeZeroLag" hidden="1" xlm="1">#NAME?</definedName>
    <definedName name="_xlop.k" hidden="1" xlm="1">#NAME?</definedName>
    <definedName name="_xlop.lastCol" hidden="1" xlm="1">#NAME?</definedName>
    <definedName name="_xlop.lastRow" hidden="1" xlm="1">#NAME?</definedName>
    <definedName name="_xlop.lb" hidden="1" xlm="1">#NAME?</definedName>
    <definedName name="_xlop.lin_end" hidden="1" xlm="1">#NAME?</definedName>
    <definedName name="_xlop.lin_start" hidden="1" xlm="1">#NAME?</definedName>
    <definedName name="_xlop.lineChar" hidden="1" xlm="1">#NAME?</definedName>
    <definedName name="_xlop.list" hidden="1" xlm="1">#NAME?</definedName>
    <definedName name="_xlop.m" hidden="1" xlm="1">#NAME?</definedName>
    <definedName name="_xlop.ma" hidden="1" xlm="1">#NAME?</definedName>
    <definedName name="_xlop.macCondition" hidden="1" xlm="1">#NAME?</definedName>
    <definedName name="_xlop.maCondition" hidden="1" xlm="1">#NAME?</definedName>
    <definedName name="_xlop.manipulation" hidden="1" xlm="1">#NAME?</definedName>
    <definedName name="_xlop.max" hidden="1" xlm="1">#NAME?</definedName>
    <definedName name="_xlop.maxCondition" hidden="1" xlm="1">#NAME?</definedName>
    <definedName name="_xlop.maxConditionI" hidden="1" xlm="1">#NAME?</definedName>
    <definedName name="_xlop.maxConditionIn" hidden="1" xlm="1">#NAME?</definedName>
    <definedName name="_xlop.maxConditionInd" hidden="1" xlm="1">#NAME?</definedName>
    <definedName name="_xlop.maxConditionInde" hidden="1" xlm="1">#NAME?</definedName>
    <definedName name="_xlop.maxConditionIndex" hidden="1" xlm="1">#NAME?</definedName>
    <definedName name="_xlop.maxDiffs" hidden="1" xlm="1">#NAME?</definedName>
    <definedName name="_xlop.maxI" hidden="1" xlm="1">#NAME?</definedName>
    <definedName name="_xlop.maxIn" hidden="1" xlm="1">#NAME?</definedName>
    <definedName name="_xlop.maxInf" hidden="1" xlm="1">#NAME?</definedName>
    <definedName name="_xlop.maxInfl" hidden="1" xlm="1">#NAME?</definedName>
    <definedName name="_xlop.maxInfla" hidden="1" xlm="1">#NAME?</definedName>
    <definedName name="_xlop.maxInflat" hidden="1" xlm="1">#NAME?</definedName>
    <definedName name="_xlop.maxInflati" hidden="1" xlm="1">#NAME?</definedName>
    <definedName name="_xlop.maxInflatio" hidden="1" xlm="1">#NAME?</definedName>
    <definedName name="_xlop.maxInflation" hidden="1" xlm="1">#NAME?</definedName>
    <definedName name="_xlop.maxInflationV" hidden="1" xlm="1">#NAME?</definedName>
    <definedName name="_xlop.maxInflationVa" hidden="1" xlm="1">#NAME?</definedName>
    <definedName name="_xlop.maxInflationVar" hidden="1" xlm="1">#NAME?</definedName>
    <definedName name="_xlop.maxInflationVarF" hidden="1" xlm="1">#NAME?</definedName>
    <definedName name="_xlop.maxInflationVarFa" hidden="1" xlm="1">#NAME?</definedName>
    <definedName name="_xlop.maxInflationVarFac" hidden="1" xlm="1">#NAME?</definedName>
    <definedName name="_xlop.maxInflationVarFact" hidden="1" xlm="1">#NAME?</definedName>
    <definedName name="_xlop.maxInflationVarFacto" hidden="1" xlm="1">#NAME?</definedName>
    <definedName name="_xlop.maxInflationVarFactor" hidden="1" xlm="1">#NAME?</definedName>
    <definedName name="_xlop.maxInteger" hidden="1" xlm="1">#NAME?</definedName>
    <definedName name="_xlop.mCondition" hidden="1" xlm="1">#NAME?</definedName>
    <definedName name="_xlop.meigenvalueCondition" hidden="1" xlm="1">#NAME?</definedName>
    <definedName name="_xlop.method" hidden="1" xlm="1">#NAME?</definedName>
    <definedName name="_xlop.mieigenvalueCondition" hidden="1" xlm="1">#NAME?</definedName>
    <definedName name="_xlop.mineigenvalueCondition" hidden="1" xlm="1">#NAME?</definedName>
    <definedName name="_xlop.minInteger" hidden="1" xlm="1">#NAME?</definedName>
    <definedName name="_xlop.mo" hidden="1" xlm="1">#NAME?</definedName>
    <definedName name="_xlop.mor" hidden="1" xlm="1">#NAME?</definedName>
    <definedName name="_xlop.more" hidden="1" xlm="1">#NAME?</definedName>
    <definedName name="_xlop.moreR" hidden="1" xlm="1">#NAME?</definedName>
    <definedName name="_xlop.moreRo" hidden="1" xlm="1">#NAME?</definedName>
    <definedName name="_xlop.moreRow" hidden="1" xlm="1">#NAME?</definedName>
    <definedName name="_xlop.moreRows" hidden="1" xlm="1">#NAME?</definedName>
    <definedName name="_xlop.moreRowsT" hidden="1" xlm="1">#NAME?</definedName>
    <definedName name="_xlop.moreRowsTh" hidden="1" xlm="1">#NAME?</definedName>
    <definedName name="_xlop.moreRowsTha" hidden="1" xlm="1">#NAME?</definedName>
    <definedName name="_xlop.moreRowsThan" hidden="1" xlm="1">#NAME?</definedName>
    <definedName name="_xlop.moreRowsThanC" hidden="1" xlm="1">#NAME?</definedName>
    <definedName name="_xlop.moreRowsThanCo" hidden="1" xlm="1">#NAME?</definedName>
    <definedName name="_xlop.moreRowsThanCol" hidden="1" xlm="1">#NAME?</definedName>
    <definedName name="_xlop.moreRowsThanCols" hidden="1" xlm="1">#NAME?</definedName>
    <definedName name="_xlop.n" hidden="1" xlm="1">#NAME?</definedName>
    <definedName name="_xlop.nCols" hidden="1" xlm="1">#NAME?</definedName>
    <definedName name="_xlop.nFactors" hidden="1" xlm="1">#NAME?</definedName>
    <definedName name="_xlop.nLags" hidden="1" xlm="1">#NAME?</definedName>
    <definedName name="_xlop.nLeads" hidden="1" xlm="1">#NAME?</definedName>
    <definedName name="_xlop.no" hidden="1" xlm="1">#NAME?</definedName>
    <definedName name="_xlop.nor" hidden="1" xlm="1">#NAME?</definedName>
    <definedName name="_xlop.norm" hidden="1" xlm="1">#NAME?</definedName>
    <definedName name="_xlop.norma" hidden="1" xlm="1">#NAME?</definedName>
    <definedName name="_xlop.normal" hidden="1" xlm="1">#NAME?</definedName>
    <definedName name="_xlop.normali" hidden="1" xlm="1">#NAME?</definedName>
    <definedName name="_xlop.normaliz" hidden="1" xlm="1">#NAME?</definedName>
    <definedName name="_xlop.normalize" hidden="1" xlm="1">#NAME?</definedName>
    <definedName name="_xlop.normalized" hidden="1" xlm="1">#NAME?</definedName>
    <definedName name="_xlop.nPower" hidden="1" xlm="1">#NAME?</definedName>
    <definedName name="_xlop.nSize" hidden="1" xlm="1">#NAME?</definedName>
    <definedName name="_xlop.nTh" hidden="1" xlm="1">#NAME?</definedName>
    <definedName name="_xlop.nu" hidden="1" xlm="1">#NAME?</definedName>
    <definedName name="_xlop.num" hidden="1" xlm="1">#NAME?</definedName>
    <definedName name="_xlop.numI" hidden="1" xlm="1">#NAME?</definedName>
    <definedName name="_xlop.numIt" hidden="1" xlm="1">#NAME?</definedName>
    <definedName name="_xlop.numIte" hidden="1" xlm="1">#NAME?</definedName>
    <definedName name="_xlop.numIter" hidden="1" xlm="1">#NAME?</definedName>
    <definedName name="_xlop.o" hidden="1" xlm="1">#NAME?</definedName>
    <definedName name="_xlop.onlyValues" hidden="1" xlm="1">#NAME?</definedName>
    <definedName name="_xlop.or" hidden="1" xlm="1">#NAME?</definedName>
    <definedName name="_xlop.ord" hidden="1" xlm="1">#NAME?</definedName>
    <definedName name="_xlop.orde" hidden="1" xlm="1">#NAME?</definedName>
    <definedName name="_xlop.order" hidden="1" xlm="1">#NAME?</definedName>
    <definedName name="_xlop.originalMatrix" hidden="1" xlm="1">#NAME?</definedName>
    <definedName name="_xlop.param1" hidden="1" xlm="1">#NAME?</definedName>
    <definedName name="_xlop.param2" hidden="1" xlm="1">#NAME?</definedName>
    <definedName name="_xlop.param3" hidden="1" xlm="1">#NAME?</definedName>
    <definedName name="_xlop.patch" hidden="1" xlm="1">#NAME?</definedName>
    <definedName name="_xlop.percentile" hidden="1" xlm="1">#NAME?</definedName>
    <definedName name="_xlop.position" hidden="1" xlm="1">#NAME?</definedName>
    <definedName name="_xlop.r" hidden="1" xlm="1">#NAME?</definedName>
    <definedName name="_xlop.rankRows" hidden="1" xlm="1">#NAME?</definedName>
    <definedName name="_xlop.ranRows" hidden="1" xlm="1">#NAME?</definedName>
    <definedName name="_xlop.raRows" hidden="1" xlm="1">#NAME?</definedName>
    <definedName name="_xlop.re" hidden="1" xlm="1">#NAME?</definedName>
    <definedName name="_xlop.remove" hidden="1" xlm="1">#NAME?</definedName>
    <definedName name="_xlop.replacement" hidden="1" xlm="1">#NAME?</definedName>
    <definedName name="_xlop.ret" hidden="1" xlm="1">#NAME?</definedName>
    <definedName name="_xlop.retu" hidden="1" xlm="1">#NAME?</definedName>
    <definedName name="_xlop.retur" hidden="1" xlm="1">#NAME?</definedName>
    <definedName name="_xlop.return" hidden="1" xlm="1">#NAME?</definedName>
    <definedName name="_xlop.returnA" hidden="1" xlm="1">#NAME?</definedName>
    <definedName name="_xlop.returnAl" hidden="1" xlm="1">#NAME?</definedName>
    <definedName name="_xlop.returnAll" hidden="1" xlm="1">#NAME?</definedName>
    <definedName name="_xlop.returnAllFactors" hidden="1" xlm="1">#NAME?</definedName>
    <definedName name="_xlop.returnCriterionValues" hidden="1" xlm="1">#NAME?</definedName>
    <definedName name="_xlop.returnCriticalStatus" hidden="1" xlm="1">#NAME?</definedName>
    <definedName name="_xlop.returnE" hidden="1" xlm="1">#NAME?</definedName>
    <definedName name="_xlop.returnedObject" hidden="1" xlm="1">#NAME?</definedName>
    <definedName name="_xlop.returnEi" hidden="1" xlm="1">#NAME?</definedName>
    <definedName name="_xlop.returnEig" hidden="1" xlm="1">#NAME?</definedName>
    <definedName name="_xlop.returnEige" hidden="1" xlm="1">#NAME?</definedName>
    <definedName name="_xlop.returnEigen" hidden="1" xlm="1">#NAME?</definedName>
    <definedName name="_xlop.returnEigenv" hidden="1" xlm="1">#NAME?</definedName>
    <definedName name="_xlop.returnEigenva" hidden="1" xlm="1">#NAME?</definedName>
    <definedName name="_xlop.returnEigenval" hidden="1" xlm="1">#NAME?</definedName>
    <definedName name="_xlop.returnEigenvalu" hidden="1" xlm="1">#NAME?</definedName>
    <definedName name="_xlop.returnEigenvalue" hidden="1" xlm="1">#NAME?</definedName>
    <definedName name="_xlop.returnEigenValues" hidden="1" xlm="1">#NAME?</definedName>
    <definedName name="_xlop.returnEigenvalueT" hidden="1" xlm="1">#NAME?</definedName>
    <definedName name="_xlop.returnEigenvalueTe" hidden="1" xlm="1">#NAME?</definedName>
    <definedName name="_xlop.returnEigenvalueTes" hidden="1" xlm="1">#NAME?</definedName>
    <definedName name="_xlop.returnEigenvalueTest" hidden="1" xlm="1">#NAME?</definedName>
    <definedName name="_xlop.returnI" hidden="1" xlm="1">#NAME?</definedName>
    <definedName name="_xlop.returnIn" hidden="1" xlm="1">#NAME?</definedName>
    <definedName name="_xlop.returnInv" hidden="1" xlm="1">#NAME?</definedName>
    <definedName name="_xlop.returnInve" hidden="1" xlm="1">#NAME?</definedName>
    <definedName name="_xlop.returnInver" hidden="1" xlm="1">#NAME?</definedName>
    <definedName name="_xlop.returnInvers" hidden="1" xlm="1">#NAME?</definedName>
    <definedName name="_xlop.returnInverse" hidden="1" xlm="1">#NAME?</definedName>
    <definedName name="_xlop.returnO" hidden="1" xlm="1">#NAME?</definedName>
    <definedName name="_xlop.returnOb" hidden="1" xlm="1">#NAME?</definedName>
    <definedName name="_xlop.returnObj" hidden="1" xlm="1">#NAME?</definedName>
    <definedName name="_xlop.returnObje" hidden="1" xlm="1">#NAME?</definedName>
    <definedName name="_xlop.returnObjec" hidden="1" xlm="1">#NAME?</definedName>
    <definedName name="_xlop.returnObject" hidden="1" xlm="1">#NAME?</definedName>
    <definedName name="_xlop.returnOnlyValues" hidden="1" xlm="1">#NAME?</definedName>
    <definedName name="_xlop.returnPosition" hidden="1" xlm="1">#NAME?</definedName>
    <definedName name="_xlop.returnPValue" hidden="1" xlm="1">#NAME?</definedName>
    <definedName name="_xlop.returnRowAndCol" hidden="1" xlm="1">#NAME?</definedName>
    <definedName name="_xlop.returnTest" hidden="1" xlm="1">#NAME?</definedName>
    <definedName name="_xlop.rowsToCols" hidden="1" xlm="1">#NAME?</definedName>
    <definedName name="_xlop.rRows" hidden="1" xlm="1">#NAME?</definedName>
    <definedName name="_xlop.significance" hidden="1" xlm="1">#NAME?</definedName>
    <definedName name="_xlop.size" hidden="1" xlm="1">#NAME?</definedName>
    <definedName name="_xlop.sortRows" hidden="1" xlm="1">#NAME?</definedName>
    <definedName name="_xlop.standardized" hidden="1" xlm="1">#NAME?</definedName>
    <definedName name="_xlop.start_num" hidden="1" xlm="1">#NAME?</definedName>
    <definedName name="_xlop.startDate" hidden="1" xlm="1">#NAME?</definedName>
    <definedName name="_xlop.t" hidden="1" xlm="1">#NAME?</definedName>
    <definedName name="_xlop.te" hidden="1" xlm="1">#NAME?</definedName>
    <definedName name="_xlop.tes" hidden="1" xlm="1">#NAME?</definedName>
    <definedName name="_xlop.test" hidden="1" xlm="1">#NAME?</definedName>
    <definedName name="_xlop.transpose" hidden="1" xlm="1">#NAME?</definedName>
    <definedName name="_xlop.treatCharsAsText" hidden="1" xlm="1">#NAME?</definedName>
    <definedName name="_xlop.trend" hidden="1" xlm="1">#NAME?</definedName>
    <definedName name="_xlop.trendCycle" hidden="1" xlm="1">#NAME?</definedName>
    <definedName name="_xlop.type" hidden="1" xlm="1">#NAME?</definedName>
    <definedName name="_xlop.ub" hidden="1" xlm="1">#NAME?</definedName>
    <definedName name="_xlop.uniqueRanksOnly" hidden="1" xlm="1">#NAME?</definedName>
    <definedName name="_xlop.useHAC" hidden="1" xlm="1">#NAME?</definedName>
    <definedName name="_xlop.wireplacement" hidden="1" xlm="1">#NAME?</definedName>
    <definedName name="_xlop.withoReplacement" hidden="1" xlm="1">#NAME?</definedName>
    <definedName name="_xlop.withouReplacement" hidden="1" xlm="1">#NAME?</definedName>
    <definedName name="_xlop.withoutReplacement" hidden="1" xlm="1">#NAME?</definedName>
    <definedName name="_xlop.withreplacement" hidden="1" xlm="1">#NAME?</definedName>
    <definedName name="_xlop.witreplacement" hidden="1" xlm="1">#NAME?</definedName>
    <definedName name="_xlop.wreplacement" hidden="1" xlm="1">#NAME?</definedName>
    <definedName name="_xlop.xMax" hidden="1" xlm="1">#NAME?</definedName>
    <definedName name="_xlop.xMin" hidden="1" xlm="1">#NAME?</definedName>
    <definedName name="_xlop.xStep" hidden="1" xlm="1">#NAME?</definedName>
    <definedName name="_xlpm.a" hidden="1" xlm="1">#NAME?</definedName>
    <definedName name="_xlpm.abortValue" hidden="1" xlm="1">#NAME?</definedName>
    <definedName name="_xlpm.ac" hidden="1" xlm="1">#NAME?</definedName>
    <definedName name="_xlpm.acc" hidden="1" xlm="1">#NAME?</definedName>
    <definedName name="_xlpm.accu" hidden="1" xlm="1">#NAME?</definedName>
    <definedName name="_xlpm.accum" hidden="1" xlm="1">#NAME?</definedName>
    <definedName name="_xlpm.actualValue" hidden="1" xlm="1">#NAME?</definedName>
    <definedName name="_xlpm.acum" hidden="1" xlm="1">#NAME?</definedName>
    <definedName name="_xlpm.ad" hidden="1" xlm="1">#NAME?</definedName>
    <definedName name="_xlpm.add" hidden="1" xlm="1">#NAME?</definedName>
    <definedName name="_xlpm.addC" hidden="1" xlm="1">#NAME?</definedName>
    <definedName name="_xlpm.addCn" hidden="1" xlm="1">#NAME?</definedName>
    <definedName name="_xlpm.addCo" hidden="1" xlm="1">#NAME?</definedName>
    <definedName name="_xlpm.addCon" hidden="1" xlm="1">#NAME?</definedName>
    <definedName name="_xlpm.addCons" hidden="1" xlm="1">#NAME?</definedName>
    <definedName name="_xlpm.addConst" hidden="1" xlm="1">#NAME?</definedName>
    <definedName name="_xlpm.addConstant" hidden="1" xlm="1">#NAME?</definedName>
    <definedName name="_xlpm.addConstT" hidden="1" xlm="1">#NAME?</definedName>
    <definedName name="_xlpm.addConstTo" hidden="1" xlm="1">#NAME?</definedName>
    <definedName name="_xlpm.addConstToX" hidden="1" xlm="1">#NAME?</definedName>
    <definedName name="_xlpm.addT" hidden="1" xlm="1">#NAME?</definedName>
    <definedName name="_xlpm.addTr" hidden="1" xlm="1">#NAME?</definedName>
    <definedName name="_xlpm.addTre" hidden="1" xlm="1">#NAME?</definedName>
    <definedName name="_xlpm.addTren" hidden="1" xlm="1">#NAME?</definedName>
    <definedName name="_xlpm.addTrend" hidden="1" xlm="1">#NAME?</definedName>
    <definedName name="_xlpm.addTrendT" hidden="1" xlm="1">#NAME?</definedName>
    <definedName name="_xlpm.addTrendTo" hidden="1" xlm="1">#NAME?</definedName>
    <definedName name="_xlpm.addTrendToX" hidden="1" xlm="1">#NAME?</definedName>
    <definedName name="_xlpm.adjCorrelation" hidden="1" xlm="1">#NAME?</definedName>
    <definedName name="_xlpm.adjustedQ" hidden="1" xlm="1">#NAME?</definedName>
    <definedName name="_xlpm.adjustedR" hidden="1" xlm="1">#NAME?</definedName>
    <definedName name="_xlpm.aggDates" hidden="1" xlm="1">#NAME?</definedName>
    <definedName name="_xlpm.aggDatesValues" hidden="1" xlm="1">#NAME?</definedName>
    <definedName name="_xlpm.aggMethod" hidden="1" xlm="1">#NAME?</definedName>
    <definedName name="_xlpm.aggPeriod" hidden="1" xlm="1">#NAME?</definedName>
    <definedName name="_xlpm.aggregation" hidden="1" xlm="1">#NAME?</definedName>
    <definedName name="_xlpm.aggShift" hidden="1" xlm="1">#NAME?</definedName>
    <definedName name="_xlpm.aggValues" hidden="1" xlm="1">#NAME?</definedName>
    <definedName name="_xlpm.allLags" hidden="1" xlm="1">#NAME?</definedName>
    <definedName name="_xlpm.allLeads" hidden="1" xlm="1">#NAME?</definedName>
    <definedName name="_xlpm.anSize" hidden="1" xlm="1">#NAME?</definedName>
    <definedName name="_xlpm.arnSize" hidden="1" xlm="1">#NAME?</definedName>
    <definedName name="_xlpm.arra" hidden="1" xlm="1">#NAME?</definedName>
    <definedName name="_xlpm.arranSize" hidden="1" xlm="1">#NAME?</definedName>
    <definedName name="_xlpm.array" hidden="1" xlm="1">#NAME?</definedName>
    <definedName name="_xlpm.arraynSize" hidden="1" xlm="1">#NAME?</definedName>
    <definedName name="_xlpm.arrnSize" hidden="1" xlm="1">#NAME?</definedName>
    <definedName name="_xlpm.as" hidden="1" xlm="1">#NAME?</definedName>
    <definedName name="_xlpm.asc" hidden="1" xlm="1">#NAME?</definedName>
    <definedName name="_xlpm.asce" hidden="1" xlm="1">#NAME?</definedName>
    <definedName name="_xlpm.ascen" hidden="1" xlm="1">#NAME?</definedName>
    <definedName name="_xlpm.ascend" hidden="1" xlm="1">#NAME?</definedName>
    <definedName name="_xlpm.ascendi" hidden="1" xlm="1">#NAME?</definedName>
    <definedName name="_xlpm.ascendin" hidden="1" xlm="1">#NAME?</definedName>
    <definedName name="_xlpm.ascending" hidden="1" xlm="1">#NAME?</definedName>
    <definedName name="_xlpm.asS" hidden="1" xlm="1">#NAME?</definedName>
    <definedName name="_xlpm.asSC" hidden="1" xlm="1">#NAME?</definedName>
    <definedName name="_xlpm.au" hidden="1" xlm="1">#NAME?</definedName>
    <definedName name="_xlpm.automatic" hidden="1" xlm="1">#NAME?</definedName>
    <definedName name="_xlpm.auxOldText" hidden="1" xlm="1">#NAME?</definedName>
    <definedName name="_xlpm.auxText" hidden="1" xlm="1">#NAME?</definedName>
    <definedName name="_xlpm.axum" hidden="1" xlm="1">#NAME?</definedName>
    <definedName name="_xlpm.AZ" hidden="1" xlm="1">#NAME?</definedName>
    <definedName name="_xlpm.AZE" hidden="1" xlm="1">#NAME?</definedName>
    <definedName name="_xlpm.AZER" hidden="1" xlm="1">#NAME?</definedName>
    <definedName name="_xlpm.AZERO" hidden="1" xlm="1">#NAME?</definedName>
    <definedName name="_xlpm.B" hidden="1" xlm="1">#NAME?</definedName>
    <definedName name="_xlpm.bbeta" hidden="1" xlm="1">#NAME?</definedName>
    <definedName name="_xlpm.betaCoeffs" hidden="1" xlm="1">#NAME?</definedName>
    <definedName name="_xlpm.bo" hidden="1" xlm="1">#NAME?</definedName>
    <definedName name="_xlpm.boo" hidden="1" xlm="1">#NAME?</definedName>
    <definedName name="_xlpm.boot" hidden="1" xlm="1">#NAME?</definedName>
    <definedName name="_xlpm.bootf" hidden="1" xlm="1">#NAME?</definedName>
    <definedName name="_xlpm.bootfu" hidden="1" xlm="1">#NAME?</definedName>
    <definedName name="_xlpm.bootfun" hidden="1" xlm="1">#NAME?</definedName>
    <definedName name="_xlpm.c" hidden="1" xlm="1">#NAME?</definedName>
    <definedName name="_xlpm.candEigen" hidden="1" xlm="1">#NAME?</definedName>
    <definedName name="_xlpm.candI" hidden="1" xlm="1">#NAME?</definedName>
    <definedName name="_xlpm.candIt" hidden="1" xlm="1">#NAME?</definedName>
    <definedName name="_xlpm.candIte" hidden="1" xlm="1">#NAME?</definedName>
    <definedName name="_xlpm.candIter" hidden="1" xlm="1">#NAME?</definedName>
    <definedName name="_xlpm.candX" hidden="1" xlm="1">#NAME?</definedName>
    <definedName name="_xlpm.case_sensistive" hidden="1" xlm="1">#NAME?</definedName>
    <definedName name="_xlpm.case_sensitive" hidden="1" xlm="1">#NAME?</definedName>
    <definedName name="_xlpm.categories" hidden="1" xlm="1">#NAME?</definedName>
    <definedName name="_xlpm.check" hidden="1" xlm="1">#NAME?</definedName>
    <definedName name="_xlpm.checks" hidden="1" xlm="1">#NAME?</definedName>
    <definedName name="_xlpm.chiSquared" hidden="1" xlm="1">#NAME?</definedName>
    <definedName name="_xlpm.chiSquared_1_2" hidden="1" xlm="1">#NAME?</definedName>
    <definedName name="_xlpm.chiSquared_1_3" hidden="1" xlm="1">#NAME?</definedName>
    <definedName name="_xlpm.chiSquared_2_1" hidden="1" xlm="1">#NAME?</definedName>
    <definedName name="_xlpm.chiSquared_3_1" hidden="1" xlm="1">#NAME?</definedName>
    <definedName name="_xlpm.citem" hidden="1" xlm="1">#NAME?</definedName>
    <definedName name="_xlpm.cLabel" hidden="1" xlm="1">#NAME?</definedName>
    <definedName name="_xlpm.cM" hidden="1" xlm="1">#NAME?</definedName>
    <definedName name="_xlpm.cMa" hidden="1" xlm="1">#NAME?</definedName>
    <definedName name="_xlpm.cMat" hidden="1" xlm="1">#NAME?</definedName>
    <definedName name="_xlpm.cMatr" hidden="1" xlm="1">#NAME?</definedName>
    <definedName name="_xlpm.cMatri" hidden="1" xlm="1">#NAME?</definedName>
    <definedName name="_xlpm.cMatrix" hidden="1" xlm="1">#NAME?</definedName>
    <definedName name="_xlpm.co" hidden="1" xlm="1">#NAME?</definedName>
    <definedName name="_xlpm.code" hidden="1" xlm="1">#NAME?</definedName>
    <definedName name="_xlpm.coeff" hidden="1" xlm="1">#NAME?</definedName>
    <definedName name="_xlpm.coitem" hidden="1" xlm="1">#NAME?</definedName>
    <definedName name="_xlpm.coKurCrisis" hidden="1" xlm="1">#NAME?</definedName>
    <definedName name="_xlpm.coKurCrisis_1_3" hidden="1" xlm="1">#NAME?</definedName>
    <definedName name="_xlpm.coKurCrisis_3_1" hidden="1" xlm="1">#NAME?</definedName>
    <definedName name="_xlpm.coKurNonCrisis" hidden="1" xlm="1">#NAME?</definedName>
    <definedName name="_xlpm.coKurNonCrisis_1_3" hidden="1" xlm="1">#NAME?</definedName>
    <definedName name="_xlpm.coKurNonCrisis_3_1" hidden="1" xlm="1">#NAME?</definedName>
    <definedName name="_xlpm.col" hidden="1" xlm="1">#NAME?</definedName>
    <definedName name="_xlpm.col_end" hidden="1" xlm="1">#NAME?</definedName>
    <definedName name="_xlpm.col_start" hidden="1" xlm="1">#NAME?</definedName>
    <definedName name="_xlpm.coLabel" hidden="1" xlm="1">#NAME?</definedName>
    <definedName name="_xlpm.colChar" hidden="1" xlm="1">#NAME?</definedName>
    <definedName name="_xlpm.colCrit" hidden="1" xlm="1">#NAME?</definedName>
    <definedName name="_xlpm.colIdx" hidden="1" xlm="1">#NAME?</definedName>
    <definedName name="_xlpm.colitem" hidden="1" xlm="1">#NAME?</definedName>
    <definedName name="_xlpm.coll" hidden="1" xlm="1">#NAME?</definedName>
    <definedName name="_xlpm.colLabel" hidden="1" xlm="1">#NAME?</definedName>
    <definedName name="_xlpm.ColsA" hidden="1" xlm="1">#NAME?</definedName>
    <definedName name="_xlpm.ColsB" hidden="1" xlm="1">#NAME?</definedName>
    <definedName name="_xlpm.colVals" hidden="1" xlm="1">#NAME?</definedName>
    <definedName name="_xlpm.completeDates" hidden="1" xlm="1">#NAME?</definedName>
    <definedName name="_xlpm.compMatrix" hidden="1" xlm="1">#NAME?</definedName>
    <definedName name="_xlpm.cOn" hidden="1" xlm="1">#NAME?</definedName>
    <definedName name="_xlpm.condiIndex" hidden="1" xlm="1">#NAME?</definedName>
    <definedName name="_xlpm.condIndex" hidden="1" xlm="1">#NAME?</definedName>
    <definedName name="_xlpm.conditiIndex" hidden="1" xlm="1">#NAME?</definedName>
    <definedName name="_xlpm.conditIndex" hidden="1" xlm="1">#NAME?</definedName>
    <definedName name="_xlpm.conditioIndex" hidden="1" xlm="1">#NAME?</definedName>
    <definedName name="_xlpm.conditionIndex" hidden="1" xlm="1">#NAME?</definedName>
    <definedName name="_xlpm.cOne" hidden="1" xlm="1">#NAME?</definedName>
    <definedName name="_xlpm.cOneM" hidden="1" xlm="1">#NAME?</definedName>
    <definedName name="_xlpm.cOneTwo" hidden="1" xlm="1">#NAME?</definedName>
    <definedName name="_xlpm.constant" hidden="1" xlm="1">#NAME?</definedName>
    <definedName name="_xlpm.constant_noTrend" hidden="1" xlm="1">#NAME?</definedName>
    <definedName name="_xlpm.constant_trend" hidden="1" xlm="1">#NAME?</definedName>
    <definedName name="_xlpm.containsConstant" hidden="1" xlm="1">#NAME?</definedName>
    <definedName name="_xlpm.cooksDist" hidden="1" xlm="1">#NAME?</definedName>
    <definedName name="_xlpm.corrcoef_matrix" hidden="1" xlm="1">#NAME?</definedName>
    <definedName name="_xlpm.corrCrisis" hidden="1" xlm="1">#NAME?</definedName>
    <definedName name="_xlpm.corrCrisisAdj" hidden="1" xlm="1">#NAME?</definedName>
    <definedName name="_xlpm.correls" hidden="1" xlm="1">#NAME?</definedName>
    <definedName name="_xlpm.corrNonCrisis" hidden="1" xlm="1">#NAME?</definedName>
    <definedName name="_xlpm.coSkewCrisis_1_2" hidden="1" xlm="1">#NAME?</definedName>
    <definedName name="_xlpm.coSkewCrisis_2_1" hidden="1" xlm="1">#NAME?</definedName>
    <definedName name="_xlpm.coSkewNonCrisis_1_2" hidden="1" xlm="1">#NAME?</definedName>
    <definedName name="_xlpm.coSkewNonCrisis_2_1" hidden="1" xlm="1">#NAME?</definedName>
    <definedName name="_xlpm.cov" hidden="1" xlm="1">#NAME?</definedName>
    <definedName name="_xlpm.covMatrix" hidden="1" xlm="1">#NAME?</definedName>
    <definedName name="_xlpm.coVolCrisis" hidden="1" xlm="1">#NAME?</definedName>
    <definedName name="_xlpm.coVolNonCrisis" hidden="1" xlm="1">#NAME?</definedName>
    <definedName name="_xlpm.covs" hidden="1" xlm="1">#NAME?</definedName>
    <definedName name="_xlpm.crit" hidden="1" xlm="1">#NAME?</definedName>
    <definedName name="_xlpm.criteriaDelim" hidden="1" xlm="1">#NAME?</definedName>
    <definedName name="_xlpm.criterion" hidden="1" xlm="1">#NAME?</definedName>
    <definedName name="_xlpm.critFunc" hidden="1" xlm="1">#NAME?</definedName>
    <definedName name="_xlpm.criticalThreshold" hidden="1" xlm="1">#NAME?</definedName>
    <definedName name="_xlpm.critValues" hidden="1" xlm="1">#NAME?</definedName>
    <definedName name="_xlpm.cTwo" hidden="1" xlm="1">#NAME?</definedName>
    <definedName name="_xlpm.d" hidden="1" xlm="1">#NAME?</definedName>
    <definedName name="_xlpm.da" hidden="1" xlm="1">#NAME?</definedName>
    <definedName name="_xlpm.daa" hidden="1" xlm="1">#NAME?</definedName>
    <definedName name="_xlpm.dat" hidden="1" xlm="1">#NAME?</definedName>
    <definedName name="_xlpm.data" hidden="1" xlm="1">#NAME?</definedName>
    <definedName name="_xlpm.DataA" hidden="1" xlm="1">#NAME?</definedName>
    <definedName name="_xlpm.DataB" hidden="1" xlm="1">#NAME?</definedName>
    <definedName name="_xlpm.DataC" hidden="1" xlm="1">#NAME?</definedName>
    <definedName name="_xlpm.DataD" hidden="1" xlm="1">#NAME?</definedName>
    <definedName name="_xlpm.dataM" hidden="1" xlm="1">#NAME?</definedName>
    <definedName name="_xlpm.dataMa" hidden="1" xlm="1">#NAME?</definedName>
    <definedName name="_xlpm.dataMat" hidden="1" xlm="1">#NAME?</definedName>
    <definedName name="_xlpm.dataMatr" hidden="1" xlm="1">#NAME?</definedName>
    <definedName name="_xlpm.dataMatri" hidden="1" xlm="1">#NAME?</definedName>
    <definedName name="_xlpm.dataMatrix" hidden="1" xlm="1">#NAME?</definedName>
    <definedName name="_xlpm.dataRestricted" hidden="1" xlm="1">#NAME?</definedName>
    <definedName name="_xlpm.dataRestrictedBeforeCleaning" hidden="1" xlm="1">#NAME?</definedName>
    <definedName name="_xlpm.datas" hidden="1" xlm="1">#NAME?</definedName>
    <definedName name="_xlpm.dataUnrestricted" hidden="1" xlm="1">#NAME?</definedName>
    <definedName name="_xlpm.dataUnrestrictedBeforeCleaning" hidden="1" xlm="1">#NAME?</definedName>
    <definedName name="_xlpm.dates" hidden="1" xlm="1">#NAME?</definedName>
    <definedName name="_xlpm.de" hidden="1" xlm="1">#NAME?</definedName>
    <definedName name="_xlpm.def" hidden="1" xlm="1">#NAME?</definedName>
    <definedName name="_xlpm.defR" hidden="1" xlm="1">#NAME?</definedName>
    <definedName name="_xlpm.defRa" hidden="1" xlm="1">#NAME?</definedName>
    <definedName name="_xlpm.defRan" hidden="1" xlm="1">#NAME?</definedName>
    <definedName name="_xlpm.defRang" hidden="1" xlm="1">#NAME?</definedName>
    <definedName name="_xlpm.defRange" hidden="1" xlm="1">#NAME?</definedName>
    <definedName name="_xlpm.delim" hidden="1" xlm="1">#NAME?</definedName>
    <definedName name="_xlpm.delim1" hidden="1" xlm="1">#NAME?</definedName>
    <definedName name="_xlpm.delim2" hidden="1" xlm="1">#NAME?</definedName>
    <definedName name="_xlpm.delimLength" hidden="1" xlm="1">#NAME?</definedName>
    <definedName name="_xlpm.DepVar" hidden="1" xlm="1">#NAME?</definedName>
    <definedName name="_xlpm.descending" hidden="1" xlm="1">#NAME?</definedName>
    <definedName name="_xlpm.det" hidden="1" xlm="1">#NAME?</definedName>
    <definedName name="_xlpm.dets" hidden="1" xlm="1">#NAME?</definedName>
    <definedName name="_xlpm.df" hidden="1" xlm="1">#NAME?</definedName>
    <definedName name="_xlpm.DFbetween" hidden="1" xlm="1">#NAME?</definedName>
    <definedName name="_xlpm.DFtotal" hidden="1" xlm="1">#NAME?</definedName>
    <definedName name="_xlpm.DFwithin" hidden="1" xlm="1">#NAME?</definedName>
    <definedName name="_xlpm.di" hidden="1" xlm="1">#NAME?</definedName>
    <definedName name="_xlpm.diff" hidden="1" xlm="1">#NAME?</definedName>
    <definedName name="_xlpm.diffValues_1" hidden="1" xlm="1">#NAME?</definedName>
    <definedName name="_xlpm.dim" hidden="1" xlm="1">#NAME?</definedName>
    <definedName name="_xlpm.dime" hidden="1" xlm="1">#NAME?</definedName>
    <definedName name="_xlpm.dimen" hidden="1" xlm="1">#NAME?</definedName>
    <definedName name="_xlpm.dimens" hidden="1" xlm="1">#NAME?</definedName>
    <definedName name="_xlpm.dimensi" hidden="1" xlm="1">#NAME?</definedName>
    <definedName name="_xlpm.dimensio" hidden="1" xlm="1">#NAME?</definedName>
    <definedName name="_xlpm.dimension" hidden="1" xlm="1">#NAME?</definedName>
    <definedName name="_xlpm.direction" hidden="1" xlm="1">#NAME?</definedName>
    <definedName name="_xlpm.distMatrix" hidden="1" xlm="1">#NAME?</definedName>
    <definedName name="_xlpm.dropParam" hidden="1" xlm="1">#NAME?</definedName>
    <definedName name="_xlpm.dummies" hidden="1" xlm="1">#NAME?</definedName>
    <definedName name="_xlpm.durbinw" hidden="1" xlm="1">#NAME?</definedName>
    <definedName name="_xlpm.durbinWa" hidden="1" xlm="1">#NAME?</definedName>
    <definedName name="_xlpm.durbinWat" hidden="1" xlm="1">#NAME?</definedName>
    <definedName name="_xlpm.durbinWats" hidden="1" xlm="1">#NAME?</definedName>
    <definedName name="_xlpm.durbinWatso" hidden="1" xlm="1">#NAME?</definedName>
    <definedName name="_xlpm.durbinWatson" hidden="1" xlm="1">#NAME?</definedName>
    <definedName name="_xlpm.durbiw" hidden="1" xlm="1">#NAME?</definedName>
    <definedName name="_xlpm.durbw" hidden="1" xlm="1">#NAME?</definedName>
    <definedName name="_xlpm.durw" hidden="1" xlm="1">#NAME?</definedName>
    <definedName name="_xlpm.duw" hidden="1" xlm="1">#NAME?</definedName>
    <definedName name="_xlpm.dw" hidden="1" xlm="1">#NAME?</definedName>
    <definedName name="_xlpm.e" hidden="1" xlm="1">#NAME?</definedName>
    <definedName name="_xlpm.ei" hidden="1" xlm="1">#NAME?</definedName>
    <definedName name="_xlpm.eig" hidden="1" xlm="1">#NAME?</definedName>
    <definedName name="_xlpm.eige" hidden="1" xlm="1">#NAME?</definedName>
    <definedName name="_xlpm.eigen" hidden="1" xlm="1">#NAME?</definedName>
    <definedName name="_xlpm.eigenMax" hidden="1" xlm="1">#NAME?</definedName>
    <definedName name="_xlpm.eigenMin" hidden="1" xlm="1">#NAME?</definedName>
    <definedName name="_xlpm.eigenStep" hidden="1" xlm="1">#NAME?</definedName>
    <definedName name="_xlpm.eigenv" hidden="1" xlm="1">#NAME?</definedName>
    <definedName name="_xlpm.eigenva" hidden="1" xlm="1">#NAME?</definedName>
    <definedName name="_xlpm.eigenval" hidden="1" xlm="1">#NAME?</definedName>
    <definedName name="_xlpm.eigenValM" hidden="1" xlm="1">#NAME?</definedName>
    <definedName name="_xlpm.eigenValMa" hidden="1" xlm="1">#NAME?</definedName>
    <definedName name="_xlpm.eigenValMax" hidden="1" xlm="1">#NAME?</definedName>
    <definedName name="_xlpm.eigenVals" hidden="1" xlm="1">#NAME?</definedName>
    <definedName name="_xlpm.eigenvals_" hidden="1" xlm="1">#NAME?</definedName>
    <definedName name="_xlpm.eigenvals_l" hidden="1" xlm="1">#NAME?</definedName>
    <definedName name="_xlpm.eigenvals_li" hidden="1" xlm="1">#NAME?</definedName>
    <definedName name="_xlpm.eigenvals_lis" hidden="1" xlm="1">#NAME?</definedName>
    <definedName name="_xlpm.eigenvals_list" hidden="1" xlm="1">#NAME?</definedName>
    <definedName name="_xlpm.eigenvalu" hidden="1" xlm="1">#NAME?</definedName>
    <definedName name="_xlpm.eigenvalue" hidden="1" xlm="1">#NAME?</definedName>
    <definedName name="_xlpm.eigenvalueC" hidden="1" xlm="1">#NAME?</definedName>
    <definedName name="_xlpm.eigenvalueCo" hidden="1" xlm="1">#NAME?</definedName>
    <definedName name="_xlpm.eigenvalueCon" hidden="1" xlm="1">#NAME?</definedName>
    <definedName name="_xlpm.eigenvalueCond" hidden="1" xlm="1">#NAME?</definedName>
    <definedName name="_xlpm.eigenvalueCondi" hidden="1" xlm="1">#NAME?</definedName>
    <definedName name="_xlpm.eigenvalueCondit" hidden="1" xlm="1">#NAME?</definedName>
    <definedName name="_xlpm.eigenvalueConditi" hidden="1" xlm="1">#NAME?</definedName>
    <definedName name="_xlpm.eigenvalueConditio" hidden="1" xlm="1">#NAME?</definedName>
    <definedName name="_xlpm.eigenvalueCondition" hidden="1" xlm="1">#NAME?</definedName>
    <definedName name="_xlpm.eigenVec" hidden="1" xlm="1">#NAME?</definedName>
    <definedName name="_xlpm.eigenVectors" hidden="1" xlm="1">#NAME?</definedName>
    <definedName name="_xlpm.eigMatrix" hidden="1" xlm="1">#NAME?</definedName>
    <definedName name="_xlpm.eigVals" hidden="1" xlm="1">#NAME?</definedName>
    <definedName name="_xlpm.eigVecs" hidden="1" xlm="1">#NAME?</definedName>
    <definedName name="_xlpm.eigVector" hidden="1" xlm="1">#NAME?</definedName>
    <definedName name="_xlpm.eigVectors" hidden="1" xlm="1">#NAME?</definedName>
    <definedName name="_xlpm.element" hidden="1" xlm="1">#NAME?</definedName>
    <definedName name="_xlpm.elementFound" hidden="1" xlm="1">#NAME?</definedName>
    <definedName name="_xlpm.emptyLabel" hidden="1" xlm="1">#NAME?</definedName>
    <definedName name="_xlpm.epsilon" hidden="1" xlm="1">#NAME?</definedName>
    <definedName name="_xlpm.epsMatrix" hidden="1" xlm="1">#NAME?</definedName>
    <definedName name="_xlpm.esult" hidden="1" xlm="1">#NAME?</definedName>
    <definedName name="_xlpm.EV" hidden="1" xlm="1">#NAME?</definedName>
    <definedName name="_xlpm.EVA" hidden="1" xlm="1">#NAME?</definedName>
    <definedName name="_xlpm.EVAL" hidden="1" xlm="1">#NAME?</definedName>
    <definedName name="_xlpm.EVALA" hidden="1" xlm="1">#NAME?</definedName>
    <definedName name="_xlpm.evals" hidden="1" xlm="1">#NAME?</definedName>
    <definedName name="_xlpm.EVALU" hidden="1" xlm="1">#NAME?</definedName>
    <definedName name="_xlpm.EVALUA" hidden="1" xlm="1">#NAME?</definedName>
    <definedName name="_xlpm.EVALUAT" hidden="1" xlm="1">#NAME?</definedName>
    <definedName name="_xlpm.EVALUATE" hidden="1" xlm="1">#NAME?</definedName>
    <definedName name="_xlpm.evaluation" hidden="1" xlm="1">#NAME?</definedName>
    <definedName name="_xlpm.eValue" hidden="1" xlm="1">#NAME?</definedName>
    <definedName name="_xlpm.evalueVec" hidden="1" xlm="1">#NAME?</definedName>
    <definedName name="_xlpm.ex" hidden="1" xlm="1">#NAME?</definedName>
    <definedName name="_xlpm.exclude" hidden="1" xlm="1">#NAME?</definedName>
    <definedName name="_xlpm.excludeV" hidden="1" xlm="1">#NAME?</definedName>
    <definedName name="_xlpm.excludeVa" hidden="1" xlm="1">#NAME?</definedName>
    <definedName name="_xlpm.excludeVal" hidden="1" xlm="1">#NAME?</definedName>
    <definedName name="_xlpm.excludeValu" hidden="1" xlm="1">#NAME?</definedName>
    <definedName name="_xlpm.excludeValue" hidden="1" xlm="1">#NAME?</definedName>
    <definedName name="_xlpm.excludValue" hidden="1" xlm="1">#NAME?</definedName>
    <definedName name="_xlpm.excluValue" hidden="1" xlm="1">#NAME?</definedName>
    <definedName name="_xlpm.exclValue" hidden="1" xlm="1">#NAME?</definedName>
    <definedName name="_xlpm.excValue" hidden="1" xlm="1">#NAME?</definedName>
    <definedName name="_xlpm.exp" hidden="1" xlm="1">#NAME?</definedName>
    <definedName name="_xlpm.expa" hidden="1" xlm="1">#NAME?</definedName>
    <definedName name="_xlpm.expan" hidden="1" xlm="1">#NAME?</definedName>
    <definedName name="_xlpm.expand" hidden="1" xlm="1">#NAME?</definedName>
    <definedName name="_xlpm.expandF" hidden="1" xlm="1">#NAME?</definedName>
    <definedName name="_xlpm.expandFr" hidden="1" xlm="1">#NAME?</definedName>
    <definedName name="_xlpm.expandFro" hidden="1" xlm="1">#NAME?</definedName>
    <definedName name="_xlpm.expandFrom" hidden="1" xlm="1">#NAME?</definedName>
    <definedName name="_xlpm.expandFromW" hidden="1" xlm="1">#NAME?</definedName>
    <definedName name="_xlpm.expandFromWi" hidden="1" xlm="1">#NAME?</definedName>
    <definedName name="_xlpm.expandFromWit" hidden="1" xlm="1">#NAME?</definedName>
    <definedName name="_xlpm.expandFromWith" hidden="1" xlm="1">#NAME?</definedName>
    <definedName name="_xlpm.expandFromWithi" hidden="1" xlm="1">#NAME?</definedName>
    <definedName name="_xlpm.expandFromWithin" hidden="1" xlm="1">#NAME?</definedName>
    <definedName name="_xlpm.expr" hidden="1" xlm="1">#NAME?</definedName>
    <definedName name="_xlpm.expre" hidden="1" xlm="1">#NAME?</definedName>
    <definedName name="_xlpm.expres" hidden="1" xlm="1">#NAME?</definedName>
    <definedName name="_xlpm.express" hidden="1" xlm="1">#NAME?</definedName>
    <definedName name="_xlpm.expressi" hidden="1" xlm="1">#NAME?</definedName>
    <definedName name="_xlpm.expressio" hidden="1" xlm="1">#NAME?</definedName>
    <definedName name="_xlpm.expression" hidden="1" xlm="1">#NAME?</definedName>
    <definedName name="_xlpm.exValue" hidden="1" xlm="1">#NAME?</definedName>
    <definedName name="_xlpm.F" hidden="1" xlm="1">#NAME?</definedName>
    <definedName name="_xlpm.fcol" hidden="1" xlm="1">#NAME?</definedName>
    <definedName name="_xlpm.Fcrit" hidden="1" xlm="1">#NAME?</definedName>
    <definedName name="_xlpm.fcst" hidden="1" xlm="1">#NAME?</definedName>
    <definedName name="_xlpm.ffillSequence" hidden="1" xlm="1">#NAME?</definedName>
    <definedName name="_xlpm.fi" hidden="1" xlm="1">#NAME?</definedName>
    <definedName name="_xlpm.field" hidden="1" xlm="1">#NAME?</definedName>
    <definedName name="_xlpm.fil" hidden="1" xlm="1">#NAME?</definedName>
    <definedName name="_xlpm.fill" hidden="1" xlm="1">#NAME?</definedName>
    <definedName name="_xlpm.filli" hidden="1" xlm="1">#NAME?</definedName>
    <definedName name="_xlpm.fillin" hidden="1" xlm="1">#NAME?</definedName>
    <definedName name="_xlpm.filling" hidden="1" xlm="1">#NAME?</definedName>
    <definedName name="_xlpm.fillSequence" hidden="1" xlm="1">#NAME?</definedName>
    <definedName name="_xlpm.fillWithNA" hidden="1" xlm="1">#NAME?</definedName>
    <definedName name="_xlpm.filtered" hidden="1" xlm="1">#NAME?</definedName>
    <definedName name="_xlpm.filteredOrdered" hidden="1" xlm="1">#NAME?</definedName>
    <definedName name="_xlpm.final" hidden="1" xlm="1">#NAME?</definedName>
    <definedName name="_xlpm.finalDate" hidden="1" xlm="1">#NAME?</definedName>
    <definedName name="_xlpm.finalDateIdx" hidden="1" xlm="1">#NAME?</definedName>
    <definedName name="_xlpm.finalDates" hidden="1" xlm="1">#NAME?</definedName>
    <definedName name="_xlpm.finalResult" hidden="1" xlm="1">#NAME?</definedName>
    <definedName name="_xlpm.finalValues" hidden="1" xlm="1">#NAME?</definedName>
    <definedName name="_xlpm.firstNonMissingC" hidden="1" xlm="1">#NAME?</definedName>
    <definedName name="_xlpm.firstNonMissingCo" hidden="1" xlm="1">#NAME?</definedName>
    <definedName name="_xlpm.firstNonMissingCol" hidden="1" xlm="1">#NAME?</definedName>
    <definedName name="_xlpm.firstNonMissingRow" hidden="1" xlm="1">#NAME?</definedName>
    <definedName name="_xlpm.fProd" hidden="1" xlm="1">#NAME?</definedName>
    <definedName name="_xlpm.freqShift" hidden="1" xlm="1">#NAME?</definedName>
    <definedName name="_xlpm.Fstat" hidden="1" xlm="1">#NAME?</definedName>
    <definedName name="_xlpm.fStatPvalue" hidden="1" xlm="1">#NAME?</definedName>
    <definedName name="_xlpm.func" hidden="1" xlm="1">#NAME?</definedName>
    <definedName name="_xlpm.funcX" hidden="1" xlm="1">#NAME?</definedName>
    <definedName name="_xlpm.funcY" hidden="1" xlm="1">#NAME?</definedName>
    <definedName name="_xlpm.groupAverage" hidden="1" xlm="1">#NAME?</definedName>
    <definedName name="_xlpm.groupNames" hidden="1" xlm="1">#NAME?</definedName>
    <definedName name="_xlpm.groupSum" hidden="1" xlm="1">#NAME?</definedName>
    <definedName name="_xlpm.groupSumSqr" hidden="1" xlm="1">#NAME?</definedName>
    <definedName name="_xlpm.groupVar" hidden="1" xlm="1">#NAME?</definedName>
    <definedName name="_xlpm.groupVectors" hidden="1" xlm="1">#NAME?</definedName>
    <definedName name="_xlpm.h" hidden="1" xlm="1">#NAME?</definedName>
    <definedName name="_xlpm.ha" hidden="1" xlm="1">#NAME?</definedName>
    <definedName name="_xlpm.haConstant" hidden="1" xlm="1">#NAME?</definedName>
    <definedName name="_xlpm.haheader" hidden="1" xlm="1">#NAME?</definedName>
    <definedName name="_xlpm.has" hidden="1" xlm="1">#NAME?</definedName>
    <definedName name="_xlpm.hasConst" hidden="1" xlm="1">#NAME?</definedName>
    <definedName name="_xlpm.hasConstant" hidden="1" xlm="1">#NAME?</definedName>
    <definedName name="_xlpm.hasH" hidden="1" xlm="1">#NAME?</definedName>
    <definedName name="_xlpm.hasHe" hidden="1" xlm="1">#NAME?</definedName>
    <definedName name="_xlpm.hasHea" hidden="1" xlm="1">#NAME?</definedName>
    <definedName name="_xlpm.hasHead" hidden="1" xlm="1">#NAME?</definedName>
    <definedName name="_xlpm.hasHeade" hidden="1" xlm="1">#NAME?</definedName>
    <definedName name="_xlpm.hasheader" hidden="1" xlm="1">#NAME?</definedName>
    <definedName name="_xlpm.hasL" hidden="1" xlm="1">#NAME?</definedName>
    <definedName name="_xlpm.hasLa" hidden="1" xlm="1">#NAME?</definedName>
    <definedName name="_xlpm.hasLab" hidden="1" xlm="1">#NAME?</definedName>
    <definedName name="_xlpm.hasLabe" hidden="1" xlm="1">#NAME?</definedName>
    <definedName name="_xlpm.hasLabel" hidden="1" xlm="1">#NAME?</definedName>
    <definedName name="_xlpm.hasLabels" hidden="1" xlm="1">#NAME?</definedName>
    <definedName name="_xlpm.hConstant" hidden="1" xlm="1">#NAME?</definedName>
    <definedName name="_xlpm.he" hidden="1" xlm="1">#NAME?</definedName>
    <definedName name="_xlpm.hea" hidden="1" xlm="1">#NAME?</definedName>
    <definedName name="_xlpm.head" hidden="1" xlm="1">#NAME?</definedName>
    <definedName name="_xlpm.heade" hidden="1" xlm="1">#NAME?</definedName>
    <definedName name="_xlpm.header" hidden="1" xlm="1">#NAME?</definedName>
    <definedName name="_xlpm.headerFirstRow" hidden="1" xlm="1">#NAME?</definedName>
    <definedName name="_xlpm.headers" hidden="1" xlm="1">#NAME?</definedName>
    <definedName name="_xlpm.hheader" hidden="1" xlm="1">#NAME?</definedName>
    <definedName name="_xlpm.highFreq" hidden="1" xlm="1">#NAME?</definedName>
    <definedName name="_xlpm.i" hidden="1" xlm="1">#NAME?</definedName>
    <definedName name="_xlpm.ident" hidden="1" xlm="1">#NAME?</definedName>
    <definedName name="_xlpm.identOut" hidden="1" xlm="1">#NAME?</definedName>
    <definedName name="_xlpm.idx" hidden="1" xlm="1">#NAME?</definedName>
    <definedName name="_xlpm.idxColLB" hidden="1" xlm="1">#NAME?</definedName>
    <definedName name="_xlpm.idxCols" hidden="1" xlm="1">#NAME?</definedName>
    <definedName name="_xlpm.idxColUB" hidden="1" xlm="1">#NAME?</definedName>
    <definedName name="_xlpm.idxLins" hidden="1" xlm="1">#NAME?</definedName>
    <definedName name="_xlpm.idxRowAndCol" hidden="1" xlm="1">#NAME?</definedName>
    <definedName name="_xlpm.idxRowLB" hidden="1" xlm="1">#NAME?</definedName>
    <definedName name="_xlpm.idxRows" hidden="1" xlm="1">#NAME?</definedName>
    <definedName name="_xlpm.idxRowUB" hidden="1" xlm="1">#NAME?</definedName>
    <definedName name="_xlpm.idxs" hidden="1" xlm="1">#NAME?</definedName>
    <definedName name="_xlpm.iEigen" hidden="1" xlm="1">#NAME?</definedName>
    <definedName name="_xlpm.if_empty" hidden="1" xlm="1">#NAME?</definedName>
    <definedName name="_xlpm.ii" hidden="1" xlm="1">#NAME?</definedName>
    <definedName name="_xlpm.include" hidden="1" xlm="1">#NAME?</definedName>
    <definedName name="_xlpm.includeZeroLag" hidden="1" xlm="1">#NAME?</definedName>
    <definedName name="_xlpm.inflationFactors" hidden="1" xlm="1">#NAME?</definedName>
    <definedName name="_xlpm.infoCritA" hidden="1" xlm="1">#NAME?</definedName>
    <definedName name="_xlpm.infoCritAI" hidden="1" xlm="1">#NAME?</definedName>
    <definedName name="_xlpm.infoCritAIC" hidden="1" xlm="1">#NAME?</definedName>
    <definedName name="_xlpm.infoCritAk" hidden="1" xlm="1">#NAME?</definedName>
    <definedName name="_xlpm.infoCritAka" hidden="1" xlm="1">#NAME?</definedName>
    <definedName name="_xlpm.infoCritAkai" hidden="1" xlm="1">#NAME?</definedName>
    <definedName name="_xlpm.infoCritAkaik" hidden="1" xlm="1">#NAME?</definedName>
    <definedName name="_xlpm.infoCritAkaike" hidden="1" xlm="1">#NAME?</definedName>
    <definedName name="_xlpm.infoCritH" hidden="1" xlm="1">#NAME?</definedName>
    <definedName name="_xlpm.infoCritHQ" hidden="1" xlm="1">#NAME?</definedName>
    <definedName name="_xlpm.infoCritS" hidden="1" xlm="1">#NAME?</definedName>
    <definedName name="_xlpm.infoCritSc" hidden="1" xlm="1">#NAME?</definedName>
    <definedName name="_xlpm.infoCritSch" hidden="1" xlm="1">#NAME?</definedName>
    <definedName name="_xlpm.infoCritSchw" hidden="1" xlm="1">#NAME?</definedName>
    <definedName name="_xlpm.infoCritSchwa" hidden="1" xlm="1">#NAME?</definedName>
    <definedName name="_xlpm.infoCritSchwar" hidden="1" xlm="1">#NAME?</definedName>
    <definedName name="_xlpm.infoCritSchwarz" hidden="1" xlm="1">#NAME?</definedName>
    <definedName name="_xlpm.isColumn" hidden="1" xlm="1">#NAME?</definedName>
    <definedName name="_xlpm.item" hidden="1" xlm="1">#NAME?</definedName>
    <definedName name="_xlpm.items" hidden="1" xlm="1">#NAME?</definedName>
    <definedName name="_xlpm.itemsMin" hidden="1" xlm="1">#NAME?</definedName>
    <definedName name="_xlpm.itemsPlus" hidden="1" xlm="1">#NAME?</definedName>
    <definedName name="_xlpm.iter" hidden="1" xlm="1">#NAME?</definedName>
    <definedName name="_xlpm.iterM" hidden="1" xlm="1">#NAME?</definedName>
    <definedName name="_xlpm.iterMa" hidden="1" xlm="1">#NAME?</definedName>
    <definedName name="_xlpm.iterMat" hidden="1" xlm="1">#NAME?</definedName>
    <definedName name="_xlpm.iterMatr" hidden="1" xlm="1">#NAME?</definedName>
    <definedName name="_xlpm.iterMatri" hidden="1" xlm="1">#NAME?</definedName>
    <definedName name="_xlpm.iterMatrix" hidden="1" xlm="1">#NAME?</definedName>
    <definedName name="_xlpm.iV" hidden="1" xlm="1">#NAME?</definedName>
    <definedName name="_xlpm.iVa" hidden="1" xlm="1">#NAME?</definedName>
    <definedName name="_xlpm.iVar" hidden="1" xlm="1">#NAME?</definedName>
    <definedName name="_xlpm.j" hidden="1" xlm="1">#NAME?</definedName>
    <definedName name="_xlpm.k" hidden="1" xlm="1">#NAME?</definedName>
    <definedName name="_xlpm.kp" hidden="1" xlm="1">#NAME?</definedName>
    <definedName name="_xlpm.kRestricted" hidden="1" xlm="1">#NAME?</definedName>
    <definedName name="_xlpm.l" hidden="1" xlm="1">#NAME?</definedName>
    <definedName name="_xlpm.Label" hidden="1" xlm="1">#NAME?</definedName>
    <definedName name="_xlpm.lag" hidden="1" xlm="1">#NAME?</definedName>
    <definedName name="_xlpm.lags" hidden="1" xlm="1">#NAME?</definedName>
    <definedName name="_xlpm.lambda" hidden="1" xlm="1">#NAME?</definedName>
    <definedName name="_xlpm.lastCol" hidden="1" xlm="1">#NAME?</definedName>
    <definedName name="_xlpm.lastR" hidden="1" xlm="1">#NAME?</definedName>
    <definedName name="_xlpm.lastRo" hidden="1" xlm="1">#NAME?</definedName>
    <definedName name="_xlpm.lastRow" hidden="1" xlm="1">#NAME?</definedName>
    <definedName name="_xlpm.lb" hidden="1" xlm="1">#NAME?</definedName>
    <definedName name="_xlpm.lev" hidden="1" xlm="1">#NAME?</definedName>
    <definedName name="_xlpm.levValues" hidden="1" xlm="1">#NAME?</definedName>
    <definedName name="_xlpm.li" hidden="1" xlm="1">#NAME?</definedName>
    <definedName name="_xlpm.lin" hidden="1" xlm="1">#NAME?</definedName>
    <definedName name="_xlpm.lin_end" hidden="1" xlm="1">#NAME?</definedName>
    <definedName name="_xlpm.lin_start" hidden="1" xlm="1">#NAME?</definedName>
    <definedName name="_xlpm.lineANOVA1" hidden="1" xlm="1">#NAME?</definedName>
    <definedName name="_xlpm.lineANOVA1lab" hidden="1" xlm="1">#NAME?</definedName>
    <definedName name="_xlpm.lineANOVA1res" hidden="1" xlm="1">#NAME?</definedName>
    <definedName name="_xlpm.lineANOVA2" hidden="1" xlm="1">#NAME?</definedName>
    <definedName name="_xlpm.lineANOVA2DF" hidden="1" xlm="1">#NAME?</definedName>
    <definedName name="_xlpm.lineANOVA2F" hidden="1" xlm="1">#NAME?</definedName>
    <definedName name="_xlpm.lineANOVA2Fcrit" hidden="1" xlm="1">#NAME?</definedName>
    <definedName name="_xlpm.lineANOVA2MS" hidden="1" xlm="1">#NAME?</definedName>
    <definedName name="_xlpm.lineANOVA2p" hidden="1" xlm="1">#NAME?</definedName>
    <definedName name="_xlpm.lineANOVA2SS" hidden="1" xlm="1">#NAME?</definedName>
    <definedName name="_xlpm.lineChar" hidden="1" xlm="1">#NAME?</definedName>
    <definedName name="_xlpm.linn" hidden="1" xlm="1">#NAME?</definedName>
    <definedName name="_xlpm.LinsA" hidden="1" xlm="1">#NAME?</definedName>
    <definedName name="_xlpm.LinsB" hidden="1" xlm="1">#NAME?</definedName>
    <definedName name="_xlpm.list" hidden="1" xlm="1">#NAME?</definedName>
    <definedName name="_xlpm.lMatrix" hidden="1" xlm="1">#NAME?</definedName>
    <definedName name="_xlpm.logLik" hidden="1" xlm="1">#NAME?</definedName>
    <definedName name="_xlpm.loMatrix" hidden="1" xlm="1">#NAME?</definedName>
    <definedName name="_xlpm.loweMatrix" hidden="1" xlm="1">#NAME?</definedName>
    <definedName name="_xlpm.lowerMatrix" hidden="1" xlm="1">#NAME?</definedName>
    <definedName name="_xlpm.lowFreq" hidden="1" xlm="1">#NAME?</definedName>
    <definedName name="_xlpm.lowMatrix" hidden="1" xlm="1">#NAME?</definedName>
    <definedName name="_xlpm.lt" hidden="1" xlm="1">#NAME?</definedName>
    <definedName name="_xlpm.m" hidden="1" xlm="1">#NAME?</definedName>
    <definedName name="_xlpm.ma" hidden="1" xlm="1">#NAME?</definedName>
    <definedName name="_xlpm.ma_eigenval" hidden="1" xlm="1">#NAME?</definedName>
    <definedName name="_xlpm.macCondition" hidden="1" xlm="1">#NAME?</definedName>
    <definedName name="_xlpm.maCondition" hidden="1" xlm="1">#NAME?</definedName>
    <definedName name="_xlpm.mad" hidden="1" xlm="1">#NAME?</definedName>
    <definedName name="_xlpm.mainTable" hidden="1" xlm="1">#NAME?</definedName>
    <definedName name="_xlpm.manipulation" hidden="1" xlm="1">#NAME?</definedName>
    <definedName name="_xlpm.manValues" hidden="1" xlm="1">#NAME?</definedName>
    <definedName name="_xlpm.mat" hidden="1" xlm="1">#NAME?</definedName>
    <definedName name="_xlpm.matr" hidden="1" xlm="1">#NAME?</definedName>
    <definedName name="_xlpm.matri" hidden="1" xlm="1">#NAME?</definedName>
    <definedName name="_xlpm.matrix" hidden="1" xlm="1">#NAME?</definedName>
    <definedName name="_xlpm.matrix0" hidden="1" xlm="1">#NAME?</definedName>
    <definedName name="_xlpm.matrix1" hidden="1" xlm="1">#NAME?</definedName>
    <definedName name="_xlpm.matrix2" hidden="1" xlm="1">#NAME?</definedName>
    <definedName name="_xlpm.matrixA" hidden="1" xlm="1">#NAME?</definedName>
    <definedName name="_xlpm.matrixB" hidden="1" xlm="1">#NAME?</definedName>
    <definedName name="_xlpm.matrixClass" hidden="1" xlm="1">#NAME?</definedName>
    <definedName name="_xlpm.matrixE" hidden="1" xlm="1">#NAME?</definedName>
    <definedName name="_xlpm.matrixEy" hidden="1" xlm="1">#NAME?</definedName>
    <definedName name="_xlpm.matrixEye" hidden="1" xlm="1">#NAME?</definedName>
    <definedName name="_xlpm.matrixH" hidden="1" xlm="1">#NAME?</definedName>
    <definedName name="_xlpm.matrixSample" hidden="1" xlm="1">#NAME?</definedName>
    <definedName name="_xlpm.matrixText" hidden="1" xlm="1">#NAME?</definedName>
    <definedName name="_xlpm.matrixV" hidden="1" xlm="1">#NAME?</definedName>
    <definedName name="_xlpm.max" hidden="1" xlm="1">#NAME?</definedName>
    <definedName name="_xlpm.max_eigenval" hidden="1" xlm="1">#NAME?</definedName>
    <definedName name="_xlpm.maxCondition" hidden="1" xlm="1">#NAME?</definedName>
    <definedName name="_xlpm.maxConditionI" hidden="1" xlm="1">#NAME?</definedName>
    <definedName name="_xlpm.maxConditionIn" hidden="1" xlm="1">#NAME?</definedName>
    <definedName name="_xlpm.maxConditionInd" hidden="1" xlm="1">#NAME?</definedName>
    <definedName name="_xlpm.maxConditionInde" hidden="1" xlm="1">#NAME?</definedName>
    <definedName name="_xlpm.maxConditionIndex" hidden="1" xlm="1">#NAME?</definedName>
    <definedName name="_xlpm.maxDiffs" hidden="1" xlm="1">#NAME?</definedName>
    <definedName name="_xlpm.maxI" hidden="1" xlm="1">#NAME?</definedName>
    <definedName name="_xlpm.maxIn" hidden="1" xlm="1">#NAME?</definedName>
    <definedName name="_xlpm.maxInf" hidden="1" xlm="1">#NAME?</definedName>
    <definedName name="_xlpm.maxInfl" hidden="1" xlm="1">#NAME?</definedName>
    <definedName name="_xlpm.maxInfla" hidden="1" xlm="1">#NAME?</definedName>
    <definedName name="_xlpm.maxInflat" hidden="1" xlm="1">#NAME?</definedName>
    <definedName name="_xlpm.maxInflati" hidden="1" xlm="1">#NAME?</definedName>
    <definedName name="_xlpm.maxInflatio" hidden="1" xlm="1">#NAME?</definedName>
    <definedName name="_xlpm.maxInflation" hidden="1" xlm="1">#NAME?</definedName>
    <definedName name="_xlpm.maxInflationV" hidden="1" xlm="1">#NAME?</definedName>
    <definedName name="_xlpm.maxInflationVa" hidden="1" xlm="1">#NAME?</definedName>
    <definedName name="_xlpm.maxInflationVar" hidden="1" xlm="1">#NAME?</definedName>
    <definedName name="_xlpm.maxInflationVarF" hidden="1" xlm="1">#NAME?</definedName>
    <definedName name="_xlpm.maxInflationVarFa" hidden="1" xlm="1">#NAME?</definedName>
    <definedName name="_xlpm.maxInflationVarFac" hidden="1" xlm="1">#NAME?</definedName>
    <definedName name="_xlpm.maxInflationVarFact" hidden="1" xlm="1">#NAME?</definedName>
    <definedName name="_xlpm.maxInflationVarFacto" hidden="1" xlm="1">#NAME?</definedName>
    <definedName name="_xlpm.maxInflationVarFactor" hidden="1" xlm="1">#NAME?</definedName>
    <definedName name="_xlpm.maxInteger" hidden="1" xlm="1">#NAME?</definedName>
    <definedName name="_xlpm.Mcol" hidden="1" xlm="1">#NAME?</definedName>
    <definedName name="_xlpm.mCols" hidden="1" xlm="1">#NAME?</definedName>
    <definedName name="_xlpm.mCondition" hidden="1" xlm="1">#NAME?</definedName>
    <definedName name="_xlpm.mD" hidden="1" xlm="1">#NAME?</definedName>
    <definedName name="_xlpm.mDet" hidden="1" xlm="1">#NAME?</definedName>
    <definedName name="_xlpm.mDi" hidden="1" xlm="1">#NAME?</definedName>
    <definedName name="_xlpm.mdim" hidden="1" xlm="1">#NAME?</definedName>
    <definedName name="_xlpm.meanCrisis_1" hidden="1" xlm="1">#NAME?</definedName>
    <definedName name="_xlpm.meanCrisis_2" hidden="1" xlm="1">#NAME?</definedName>
    <definedName name="_xlpm.meanDepVar" hidden="1" xlm="1">#NAME?</definedName>
    <definedName name="_xlpm.meanNonCrisis_1" hidden="1" xlm="1">#NAME?</definedName>
    <definedName name="_xlpm.meanNonCrisis_2" hidden="1" xlm="1">#NAME?</definedName>
    <definedName name="_xlpm.meigenvalueCondition" hidden="1" xlm="1">#NAME?</definedName>
    <definedName name="_xlpm.metaData" hidden="1" xlm="1">#NAME?</definedName>
    <definedName name="_xlpm.metaDataAll" hidden="1" xlm="1">#NAME?</definedName>
    <definedName name="_xlpm.metaDataNotes" hidden="1" xlm="1">#NAME?</definedName>
    <definedName name="_xlpm.metaFreq" hidden="1" xlm="1">#NAME?</definedName>
    <definedName name="_xlpm.metaValue" hidden="1" xlm="1">#NAME?</definedName>
    <definedName name="_xlpm.method" hidden="1" xlm="1">#NAME?</definedName>
    <definedName name="_xlpm.mFunc" hidden="1" xlm="1">#NAME?</definedName>
    <definedName name="_xlpm.mi" hidden="1" xlm="1">#NAME?</definedName>
    <definedName name="_xlpm.mieigenvalueCondition" hidden="1" xlm="1">#NAME?</definedName>
    <definedName name="_xlpm.min" hidden="1" xlm="1">#NAME?</definedName>
    <definedName name="_xlpm.min_eigenval" hidden="1" xlm="1">#NAME?</definedName>
    <definedName name="_xlpm.minE" hidden="1" xlm="1">#NAME?</definedName>
    <definedName name="_xlpm.minEi" hidden="1" xlm="1">#NAME?</definedName>
    <definedName name="_xlpm.minEig" hidden="1" xlm="1">#NAME?</definedName>
    <definedName name="_xlpm.minEige" hidden="1" xlm="1">#NAME?</definedName>
    <definedName name="_xlpm.minEigen" hidden="1" xlm="1">#NAME?</definedName>
    <definedName name="_xlpm.minEigenv" hidden="1" xlm="1">#NAME?</definedName>
    <definedName name="_xlpm.minEigenva" hidden="1" xlm="1">#NAME?</definedName>
    <definedName name="_xlpm.minEigenval" hidden="1" xlm="1">#NAME?</definedName>
    <definedName name="_xlpm.minEigenvalu" hidden="1" xlm="1">#NAME?</definedName>
    <definedName name="_xlpm.minEigenvalue" hidden="1" xlm="1">#NAME?</definedName>
    <definedName name="_xlpm.minEigenvalueC" hidden="1" xlm="1">#NAME?</definedName>
    <definedName name="_xlpm.minEigenvalueCo" hidden="1" xlm="1">#NAME?</definedName>
    <definedName name="_xlpm.minEigenvalueCon" hidden="1" xlm="1">#NAME?</definedName>
    <definedName name="_xlpm.minEigenvalueCond" hidden="1" xlm="1">#NAME?</definedName>
    <definedName name="_xlpm.minEigenvalueCondi" hidden="1" xlm="1">#NAME?</definedName>
    <definedName name="_xlpm.minEigenvalueCondit" hidden="1" xlm="1">#NAME?</definedName>
    <definedName name="_xlpm.minEigenvalueConditi" hidden="1" xlm="1">#NAME?</definedName>
    <definedName name="_xlpm.minEigenvalueConditio" hidden="1" xlm="1">#NAME?</definedName>
    <definedName name="_xlpm.mineigenvalueCondition" hidden="1" xlm="1">#NAME?</definedName>
    <definedName name="_xlpm.minInteger" hidden="1" xlm="1">#NAME?</definedName>
    <definedName name="_xlpm.mm" hidden="1" xlm="1">#NAME?</definedName>
    <definedName name="_xlpm.mMa" hidden="1" xlm="1">#NAME?</definedName>
    <definedName name="_xlpm.mMat" hidden="1" xlm="1">#NAME?</definedName>
    <definedName name="_xlpm.mMatr" hidden="1" xlm="1">#NAME?</definedName>
    <definedName name="_xlpm.mMatri" hidden="1" xlm="1">#NAME?</definedName>
    <definedName name="_xlpm.mMatrix" hidden="1" xlm="1">#NAME?</definedName>
    <definedName name="_xlpm.mN" hidden="1" xlm="1">#NAME?</definedName>
    <definedName name="_xlpm.mNo" hidden="1" xlm="1">#NAME?</definedName>
    <definedName name="_xlpm.mNor" hidden="1" xlm="1">#NAME?</definedName>
    <definedName name="_xlpm.mNorm" hidden="1" xlm="1">#NAME?</definedName>
    <definedName name="_xlpm.mNorsm" hidden="1" xlm="1">#NAME?</definedName>
    <definedName name="_xlpm.mo" hidden="1" xlm="1">#NAME?</definedName>
    <definedName name="_xlpm.MOcol" hidden="1" xlm="1">#NAME?</definedName>
    <definedName name="_xlpm.MODcol" hidden="1" xlm="1">#NAME?</definedName>
    <definedName name="_xlpm.mor" hidden="1" xlm="1">#NAME?</definedName>
    <definedName name="_xlpm.more" hidden="1" xlm="1">#NAME?</definedName>
    <definedName name="_xlpm.moreR" hidden="1" xlm="1">#NAME?</definedName>
    <definedName name="_xlpm.moreRo" hidden="1" xlm="1">#NAME?</definedName>
    <definedName name="_xlpm.moreRow" hidden="1" xlm="1">#NAME?</definedName>
    <definedName name="_xlpm.moreRows" hidden="1" xlm="1">#NAME?</definedName>
    <definedName name="_xlpm.moreRowsT" hidden="1" xlm="1">#NAME?</definedName>
    <definedName name="_xlpm.moreRowsTh" hidden="1" xlm="1">#NAME?</definedName>
    <definedName name="_xlpm.moreRowsTha" hidden="1" xlm="1">#NAME?</definedName>
    <definedName name="_xlpm.moreRowsThan" hidden="1" xlm="1">#NAME?</definedName>
    <definedName name="_xlpm.moreRowsThanC" hidden="1" xlm="1">#NAME?</definedName>
    <definedName name="_xlpm.moreRowsThanCo" hidden="1" xlm="1">#NAME?</definedName>
    <definedName name="_xlpm.moreRowsThanCol" hidden="1" xlm="1">#NAME?</definedName>
    <definedName name="_xlpm.moreRowsThanCols" hidden="1" xlm="1">#NAME?</definedName>
    <definedName name="_xlpm.mS" hidden="1" xlm="1">#NAME?</definedName>
    <definedName name="_xlpm.mse" hidden="1" xlm="1">#NAME?</definedName>
    <definedName name="_xlpm.mseq" hidden="1" xlm="1">#NAME?</definedName>
    <definedName name="_xlpm.MSres" hidden="1" xlm="1">#NAME?</definedName>
    <definedName name="_xlpm.MSresi" hidden="1" xlm="1">#NAME?</definedName>
    <definedName name="_xlpm.mT" hidden="1" xlm="1">#NAME?</definedName>
    <definedName name="_xlpm.mTw" hidden="1" xlm="1">#NAME?</definedName>
    <definedName name="_xlpm.mTwo" hidden="1" xlm="1">#NAME?</definedName>
    <definedName name="_xlpm.mySum" hidden="1" xlm="1">#NAME?</definedName>
    <definedName name="_xlpm.N" hidden="1" xlm="1">#NAME?</definedName>
    <definedName name="_xlpm.nb" hidden="1" xlm="1">#NAME?</definedName>
    <definedName name="_xlpm.nbo" hidden="1" xlm="1">#NAME?</definedName>
    <definedName name="_xlpm.nboo" hidden="1" xlm="1">#NAME?</definedName>
    <definedName name="_xlpm.nboot" hidden="1" xlm="1">#NAME?</definedName>
    <definedName name="_xlpm.nC" hidden="1" xlm="1">#NAME?</definedName>
    <definedName name="_xlpm.nCategories" hidden="1" xlm="1">#NAME?</definedName>
    <definedName name="_xlpm.nCmatrix2" hidden="1" xlm="1">#NAME?</definedName>
    <definedName name="_xlpm.nCo" hidden="1" xlm="1">#NAME?</definedName>
    <definedName name="_xlpm.nCol" hidden="1" xlm="1">#NAME?</definedName>
    <definedName name="_xlpm.nColmatrix2" hidden="1" xlm="1">#NAME?</definedName>
    <definedName name="_xlpm.nCols" hidden="1" xlm="1">#NAME?</definedName>
    <definedName name="_xlpm.nColsmatrix2" hidden="1" xlm="1">#NAME?</definedName>
    <definedName name="_xlpm.nColumns" hidden="1" xlm="1">#NAME?</definedName>
    <definedName name="_xlpm.nComatrix2" hidden="1" xlm="1">#NAME?</definedName>
    <definedName name="_xlpm.nCrisis_1" hidden="1" xlm="1">#NAME?</definedName>
    <definedName name="_xlpm.nCrisis_2" hidden="1" xlm="1">#NAME?</definedName>
    <definedName name="_xlpm.nEigens" hidden="1" xlm="1">#NAME?</definedName>
    <definedName name="_xlpm.nElems" hidden="1" xlm="1">#NAME?</definedName>
    <definedName name="_xlpm.new" hidden="1" xlm="1">#NAME?</definedName>
    <definedName name="_xlpm.newMatrix" hidden="1" xlm="1">#NAME?</definedName>
    <definedName name="_xlpm.newMatrixN" hidden="1" xlm="1">#NAME?</definedName>
    <definedName name="_xlpm.newMatrixNo" hidden="1" xlm="1">#NAME?</definedName>
    <definedName name="_xlpm.newMatrixNor" hidden="1" xlm="1">#NAME?</definedName>
    <definedName name="_xlpm.newMatrixNorm" hidden="1" xlm="1">#NAME?</definedName>
    <definedName name="_xlpm.newText" hidden="1" xlm="1">#NAME?</definedName>
    <definedName name="_xlpm.nExp" hidden="1" xlm="1">#NAME?</definedName>
    <definedName name="_xlpm.nFactors" hidden="1" xlm="1">#NAME?</definedName>
    <definedName name="_xlpm.nGroups" hidden="1" xlm="1">#NAME?</definedName>
    <definedName name="_xlpm.nLags" hidden="1" xlm="1">#NAME?</definedName>
    <definedName name="_xlpm.nLeads" hidden="1" xlm="1">#NAME?</definedName>
    <definedName name="_xlpm.nLins" hidden="1" xlm="1">#NAME?</definedName>
    <definedName name="_xlpm.nmatrix2" hidden="1" xlm="1">#NAME?</definedName>
    <definedName name="_xlpm.nn" hidden="1" xlm="1">#NAME?</definedName>
    <definedName name="_xlpm.nNonCrisis_1" hidden="1" xlm="1">#NAME?</definedName>
    <definedName name="_xlpm.nNonCrisis_2" hidden="1" xlm="1">#NAME?</definedName>
    <definedName name="_xlpm.no" hidden="1" xlm="1">#NAME?</definedName>
    <definedName name="_xlpm.nObs" hidden="1" xlm="1">#NAME?</definedName>
    <definedName name="_xlpm.noConstant_noTrend" hidden="1" xlm="1">#NAME?</definedName>
    <definedName name="_xlpm.nonExclusive" hidden="1" xlm="1">#NAME?</definedName>
    <definedName name="_xlpm.nor" hidden="1" xlm="1">#NAME?</definedName>
    <definedName name="_xlpm.norm" hidden="1" xlm="1">#NAME?</definedName>
    <definedName name="_xlpm.norma" hidden="1" xlm="1">#NAME?</definedName>
    <definedName name="_xlpm.normal" hidden="1" xlm="1">#NAME?</definedName>
    <definedName name="_xlpm.normali" hidden="1" xlm="1">#NAME?</definedName>
    <definedName name="_xlpm.normaliz" hidden="1" xlm="1">#NAME?</definedName>
    <definedName name="_xlpm.normalize" hidden="1" xlm="1">#NAME?</definedName>
    <definedName name="_xlpm.normalized" hidden="1" xlm="1">#NAME?</definedName>
    <definedName name="_xlpm.normCol" hidden="1" xlm="1">#NAME?</definedName>
    <definedName name="_xlpm.normEigVecs" hidden="1" xlm="1">#NAME?</definedName>
    <definedName name="_xlpm.normM" hidden="1" xlm="1">#NAME?</definedName>
    <definedName name="_xlpm.nP" hidden="1" xlm="1">#NAME?</definedName>
    <definedName name="_xlpm.nParams" hidden="1" xlm="1">#NAME?</definedName>
    <definedName name="_xlpm.nPower" hidden="1" xlm="1">#NAME?</definedName>
    <definedName name="_xlpm.nR" hidden="1" xlm="1">#NAME?</definedName>
    <definedName name="_xlpm.nRe" hidden="1" xlm="1">#NAME?</definedName>
    <definedName name="_xlpm.nRes" hidden="1" xlm="1">#NAME?</definedName>
    <definedName name="_xlpm.nRest" hidden="1" xlm="1">#NAME?</definedName>
    <definedName name="_xlpm.nRestr" hidden="1" xlm="1">#NAME?</definedName>
    <definedName name="_xlpm.nRestrc" hidden="1" xlm="1">#NAME?</definedName>
    <definedName name="_xlpm.nRestri" hidden="1" xlm="1">#NAME?</definedName>
    <definedName name="_xlpm.nRestric" hidden="1" xlm="1">#NAME?</definedName>
    <definedName name="_xlpm.nRestrict" hidden="1" xlm="1">#NAME?</definedName>
    <definedName name="_xlpm.nRestricte" hidden="1" xlm="1">#NAME?</definedName>
    <definedName name="_xlpm.nRestricted" hidden="1" xlm="1">#NAME?</definedName>
    <definedName name="_xlpm.nRows" hidden="1" xlm="1">#NAME?</definedName>
    <definedName name="_xlpm.nseq" hidden="1" xlm="1">#NAME?</definedName>
    <definedName name="_xlpm.nSize" hidden="1" xlm="1">#NAME?</definedName>
    <definedName name="_xlpm.nTh" hidden="1" xlm="1">#NAME?</definedName>
    <definedName name="_xlpm.nu" hidden="1" xlm="1">#NAME?</definedName>
    <definedName name="_xlpm.num" hidden="1" xlm="1">#NAME?</definedName>
    <definedName name="_xlpm.num_repeat" hidden="1" xlm="1">#NAME?</definedName>
    <definedName name="_xlpm.NumCols" hidden="1" xlm="1">#NAME?</definedName>
    <definedName name="_xlpm.numI" hidden="1" xlm="1">#NAME?</definedName>
    <definedName name="_xlpm.numIt" hidden="1" xlm="1">#NAME?</definedName>
    <definedName name="_xlpm.numIte" hidden="1" xlm="1">#NAME?</definedName>
    <definedName name="_xlpm.numIter" hidden="1" xlm="1">#NAME?</definedName>
    <definedName name="_xlpm.NumRows" hidden="1" xlm="1">#NAME?</definedName>
    <definedName name="_xlpm.o" hidden="1" xlm="1">#NAME?</definedName>
    <definedName name="_xlpm.oLabel" hidden="1" xlm="1">#NAME?</definedName>
    <definedName name="_xlpm.old" hidden="1" xlm="1">#NAME?</definedName>
    <definedName name="_xlpm.oldChars" hidden="1" xlm="1">#NAME?</definedName>
    <definedName name="_xlpm.oldText" hidden="1" xlm="1">#NAME?</definedName>
    <definedName name="_xlpm.onlyValues" hidden="1" xlm="1">#NAME?</definedName>
    <definedName name="_xlpm.ooriginalMatrix" hidden="1" xlm="1">#NAME?</definedName>
    <definedName name="_xlpm.oper" hidden="1" xlm="1">#NAME?</definedName>
    <definedName name="_xlpm.operacao" hidden="1" xlm="1">#NAME?</definedName>
    <definedName name="_xlpm.operation" hidden="1" xlm="1">#NAME?</definedName>
    <definedName name="_xlpm.or" hidden="1" xlm="1">#NAME?</definedName>
    <definedName name="_xlpm.ord" hidden="1" xlm="1">#NAME?</definedName>
    <definedName name="_xlpm.orde" hidden="1" xlm="1">#NAME?</definedName>
    <definedName name="_xlpm.order" hidden="1" xlm="1">#NAME?</definedName>
    <definedName name="_xlpm.orderA" hidden="1" xlm="1">#NAME?</definedName>
    <definedName name="_xlpm.orderB" hidden="1" xlm="1">#NAME?</definedName>
    <definedName name="_xlpm.orderC" hidden="1" xlm="1">#NAME?</definedName>
    <definedName name="_xlpm.ore" hidden="1" xlm="1">#NAME?</definedName>
    <definedName name="_xlpm.ored" hidden="1" xlm="1">#NAME?</definedName>
    <definedName name="_xlpm.originalMatrix" hidden="1" xlm="1">#NAME?</definedName>
    <definedName name="_xlpm.otherStats" hidden="1" xlm="1">#NAME?</definedName>
    <definedName name="_xlpm.p" hidden="1" xlm="1">#NAME?</definedName>
    <definedName name="_xlpm.paiMatrix" hidden="1" xlm="1">#NAME?</definedName>
    <definedName name="_xlpm.pairMatrix" hidden="1" xlm="1">#NAME?</definedName>
    <definedName name="_xlpm.pairsMatrix" hidden="1" xlm="1">#NAME?</definedName>
    <definedName name="_xlpm.pairsWithin" hidden="1" xlm="1">#NAME?</definedName>
    <definedName name="_xlpm.paisrMatrix" hidden="1" xlm="1">#NAME?</definedName>
    <definedName name="_xlpm.paMatrix" hidden="1" xlm="1">#NAME?</definedName>
    <definedName name="_xlpm.param1" hidden="1" xlm="1">#NAME?</definedName>
    <definedName name="_xlpm.param2" hidden="1" xlm="1">#NAME?</definedName>
    <definedName name="_xlpm.param3" hidden="1" xlm="1">#NAME?</definedName>
    <definedName name="_xlpm.paramArrayPos" hidden="1" xlm="1">#NAME?</definedName>
    <definedName name="_xlpm.patch" hidden="1" xlm="1">#NAME?</definedName>
    <definedName name="_xlpm.patchLeft" hidden="1" xlm="1">#NAME?</definedName>
    <definedName name="_xlpm.patchLower" hidden="1" xlm="1">#NAME?</definedName>
    <definedName name="_xlpm.patchRight" hidden="1" xlm="1">#NAME?</definedName>
    <definedName name="_xlpm.patchUpper" hidden="1" xlm="1">#NAME?</definedName>
    <definedName name="_xlpm.pentad" hidden="1" xlm="1">#NAME?</definedName>
    <definedName name="_xlpm.pentad0" hidden="1" xlm="1">#NAME?</definedName>
    <definedName name="_xlpm.pentad1" hidden="1" xlm="1">#NAME?</definedName>
    <definedName name="_xlpm.pentad2" hidden="1" xlm="1">#NAME?</definedName>
    <definedName name="_xlpm.percentile" hidden="1" xlm="1">#NAME?</definedName>
    <definedName name="_xlpm.pickedX" hidden="1" xlm="1">#NAME?</definedName>
    <definedName name="_xlpm.pMatrix" hidden="1" xlm="1">#NAME?</definedName>
    <definedName name="_xlpm.pO" hidden="1" xlm="1">#NAME?</definedName>
    <definedName name="_xlpm.pOr" hidden="1" xlm="1">#NAME?</definedName>
    <definedName name="_xlpm.pOrd" hidden="1" xlm="1">#NAME?</definedName>
    <definedName name="_xlpm.pOrde" hidden="1" xlm="1">#NAME?</definedName>
    <definedName name="_xlpm.pOrder" hidden="1" xlm="1">#NAME?</definedName>
    <definedName name="_xlpm.posAll" hidden="1" xlm="1">#NAME?</definedName>
    <definedName name="_xlpm.posEnd" hidden="1" xlm="1">#NAME?</definedName>
    <definedName name="_xlpm.position" hidden="1" xlm="1">#NAME?</definedName>
    <definedName name="_xlpm.posMin" hidden="1" xlm="1">#NAME?</definedName>
    <definedName name="_xlpm.posPlus" hidden="1" xlm="1">#NAME?</definedName>
    <definedName name="_xlpm.posStart" hidden="1" xlm="1">#NAME?</definedName>
    <definedName name="_xlpm.predicted" hidden="1" xlm="1">#NAME?</definedName>
    <definedName name="_xlpm.predictors" hidden="1" xlm="1">#NAME?</definedName>
    <definedName name="_xlpm.pTest" hidden="1" xlm="1">#NAME?</definedName>
    <definedName name="_xlpm.pTest_1_3" hidden="1" xlm="1">#NAME?</definedName>
    <definedName name="_xlpm.pTest_3_1" hidden="1" xlm="1">#NAME?</definedName>
    <definedName name="_xlpm.pV" hidden="1" xlm="1">#NAME?</definedName>
    <definedName name="_xlpm.pVa" hidden="1" xlm="1">#NAME?</definedName>
    <definedName name="_xlpm.pVal" hidden="1" xlm="1">#NAME?</definedName>
    <definedName name="_xlpm.pValu" hidden="1" xlm="1">#NAME?</definedName>
    <definedName name="_xlpm.pValue" hidden="1" xlm="1">#NAME?</definedName>
    <definedName name="_xlpm.Q" hidden="1" xlm="1">#NAME?</definedName>
    <definedName name="_xlpm.QA" hidden="1" xlm="1">#NAME?</definedName>
    <definedName name="_xlpm.QR" hidden="1" xlm="1">#NAME?</definedName>
    <definedName name="_xlpm.QZERO" hidden="1" xlm="1">#NAME?</definedName>
    <definedName name="_xlpm.r" hidden="1" xlm="1">#NAME?</definedName>
    <definedName name="_xlpm.RA" hidden="1" xlm="1">#NAME?</definedName>
    <definedName name="_xlpm.range" hidden="1" xlm="1">#NAME?</definedName>
    <definedName name="_xlpm.rankRows" hidden="1" xlm="1">#NAME?</definedName>
    <definedName name="_xlpm.ranRows" hidden="1" xlm="1">#NAME?</definedName>
    <definedName name="_xlpm.raRows" hidden="1" xlm="1">#NAME?</definedName>
    <definedName name="_xlpm.rawData" hidden="1" xlm="1">#NAME?</definedName>
    <definedName name="_xlpm.re" hidden="1" xlm="1">#NAME?</definedName>
    <definedName name="_xlpm.ref" hidden="1" xlm="1">#NAME?</definedName>
    <definedName name="_xlpm.remove" hidden="1" xlm="1">#NAME?</definedName>
    <definedName name="_xlpm.replacement" hidden="1" xlm="1">#NAME?</definedName>
    <definedName name="_xlpm.res" hidden="1" xlm="1">#NAME?</definedName>
    <definedName name="_xlpm.resAR" hidden="1" xlm="1">#NAME?</definedName>
    <definedName name="_xlpm.resid" hidden="1" xlm="1">#NAME?</definedName>
    <definedName name="_xlpm.resMat" hidden="1" xlm="1">#NAME?</definedName>
    <definedName name="_xlpm.resMatrix" hidden="1" xlm="1">#NAME?</definedName>
    <definedName name="_xlpm.resu" hidden="1" xlm="1">#NAME?</definedName>
    <definedName name="_xlpm.resul" hidden="1" xlm="1">#NAME?</definedName>
    <definedName name="_xlpm.result" hidden="1" xlm="1">#NAME?</definedName>
    <definedName name="_xlpm.resultMatrix" hidden="1" xlm="1">#NAME?</definedName>
    <definedName name="_xlpm.resultMatrixHeaders" hidden="1" xlm="1">#NAME?</definedName>
    <definedName name="_xlpm.results" hidden="1" xlm="1">#NAME?</definedName>
    <definedName name="_xlpm.ret" hidden="1" xlm="1">#NAME?</definedName>
    <definedName name="_xlpm.retu" hidden="1" xlm="1">#NAME?</definedName>
    <definedName name="_xlpm.retur" hidden="1" xlm="1">#NAME?</definedName>
    <definedName name="_xlpm.return" hidden="1" xlm="1">#NAME?</definedName>
    <definedName name="_xlpm.returnA" hidden="1" xlm="1">#NAME?</definedName>
    <definedName name="_xlpm.returnAl" hidden="1" xlm="1">#NAME?</definedName>
    <definedName name="_xlpm.returnAll" hidden="1" xlm="1">#NAME?</definedName>
    <definedName name="_xlpm.returnAllFactors" hidden="1" xlm="1">#NAME?</definedName>
    <definedName name="_xlpm.returnCriterionValues" hidden="1" xlm="1">#NAME?</definedName>
    <definedName name="_xlpm.returnCriticalStatus" hidden="1" xlm="1">#NAME?</definedName>
    <definedName name="_xlpm.returnE" hidden="1" xlm="1">#NAME?</definedName>
    <definedName name="_xlpm.returnedObject" hidden="1" xlm="1">#NAME?</definedName>
    <definedName name="_xlpm.returnEi" hidden="1" xlm="1">#NAME?</definedName>
    <definedName name="_xlpm.returnEig" hidden="1" xlm="1">#NAME?</definedName>
    <definedName name="_xlpm.returnEige" hidden="1" xlm="1">#NAME?</definedName>
    <definedName name="_xlpm.returnEigen" hidden="1" xlm="1">#NAME?</definedName>
    <definedName name="_xlpm.returnEigenTest" hidden="1" xlm="1">#NAME?</definedName>
    <definedName name="_xlpm.returnEigenv" hidden="1" xlm="1">#NAME?</definedName>
    <definedName name="_xlpm.returnEigenva" hidden="1" xlm="1">#NAME?</definedName>
    <definedName name="_xlpm.returnEigenval" hidden="1" xlm="1">#NAME?</definedName>
    <definedName name="_xlpm.returnEigenvalTest" hidden="1" xlm="1">#NAME?</definedName>
    <definedName name="_xlpm.returnEigenvalu" hidden="1" xlm="1">#NAME?</definedName>
    <definedName name="_xlpm.returnEigenvalue" hidden="1" xlm="1">#NAME?</definedName>
    <definedName name="_xlpm.returnEigenValues" hidden="1" xlm="1">#NAME?</definedName>
    <definedName name="_xlpm.returnEigenvalueT" hidden="1" xlm="1">#NAME?</definedName>
    <definedName name="_xlpm.returnEigenvalueTe" hidden="1" xlm="1">#NAME?</definedName>
    <definedName name="_xlpm.returnEigenvalueTes" hidden="1" xlm="1">#NAME?</definedName>
    <definedName name="_xlpm.returnEigenvalueTest" hidden="1" xlm="1">#NAME?</definedName>
    <definedName name="_xlpm.returnEigenvaluTest" hidden="1" xlm="1">#NAME?</definedName>
    <definedName name="_xlpm.returnEigenvaTest" hidden="1" xlm="1">#NAME?</definedName>
    <definedName name="_xlpm.returnEigenvTest" hidden="1" xlm="1">#NAME?</definedName>
    <definedName name="_xlpm.returnEigeTest" hidden="1" xlm="1">#NAME?</definedName>
    <definedName name="_xlpm.returnEigTest" hidden="1" xlm="1">#NAME?</definedName>
    <definedName name="_xlpm.returnEiTest" hidden="1" xlm="1">#NAME?</definedName>
    <definedName name="_xlpm.returnETest" hidden="1" xlm="1">#NAME?</definedName>
    <definedName name="_xlpm.returnI" hidden="1" xlm="1">#NAME?</definedName>
    <definedName name="_xlpm.returnIn" hidden="1" xlm="1">#NAME?</definedName>
    <definedName name="_xlpm.returnInv" hidden="1" xlm="1">#NAME?</definedName>
    <definedName name="_xlpm.returnInve" hidden="1" xlm="1">#NAME?</definedName>
    <definedName name="_xlpm.returnInver" hidden="1" xlm="1">#NAME?</definedName>
    <definedName name="_xlpm.returnInvers" hidden="1" xlm="1">#NAME?</definedName>
    <definedName name="_xlpm.returnInverse" hidden="1" xlm="1">#NAME?</definedName>
    <definedName name="_xlpm.returnO" hidden="1" xlm="1">#NAME?</definedName>
    <definedName name="_xlpm.returnOb" hidden="1" xlm="1">#NAME?</definedName>
    <definedName name="_xlpm.returnObj" hidden="1" xlm="1">#NAME?</definedName>
    <definedName name="_xlpm.returnObje" hidden="1" xlm="1">#NAME?</definedName>
    <definedName name="_xlpm.returnObjec" hidden="1" xlm="1">#NAME?</definedName>
    <definedName name="_xlpm.returnObject" hidden="1" xlm="1">#NAME?</definedName>
    <definedName name="_xlpm.returnOnlyValues" hidden="1" xlm="1">#NAME?</definedName>
    <definedName name="_xlpm.returnPosition" hidden="1" xlm="1">#NAME?</definedName>
    <definedName name="_xlpm.returnPValue" hidden="1" xlm="1">#NAME?</definedName>
    <definedName name="_xlpm.returnRowAndCol" hidden="1" xlm="1">#NAME?</definedName>
    <definedName name="_xlpm.returnTest" hidden="1" xlm="1">#NAME?</definedName>
    <definedName name="_xlpm.rfStat" hidden="1" xlm="1">#NAME?</definedName>
    <definedName name="_xlpm.rho" hidden="1" xlm="1">#NAME?</definedName>
    <definedName name="_xlpm.ritem" hidden="1" xlm="1">#NAME?</definedName>
    <definedName name="_xlpm.rLabel" hidden="1" xlm="1">#NAME?</definedName>
    <definedName name="_xlpm.ro" hidden="1" xlm="1">#NAME?</definedName>
    <definedName name="_xlpm.roitem" hidden="1" xlm="1">#NAME?</definedName>
    <definedName name="_xlpm.roLabel" hidden="1" xlm="1">#NAME?</definedName>
    <definedName name="_xlpm.row" hidden="1" xlm="1">#NAME?</definedName>
    <definedName name="_xlpm.rowitem" hidden="1" xlm="1">#NAME?</definedName>
    <definedName name="_xlpm.rowLabel" hidden="1" xlm="1">#NAME?</definedName>
    <definedName name="_xlpm.rows" hidden="1" xlm="1">#NAME?</definedName>
    <definedName name="_xlpm.rowsToCols" hidden="1" xlm="1">#NAME?</definedName>
    <definedName name="_xlpm.rRows" hidden="1" xlm="1">#NAME?</definedName>
    <definedName name="_xlpm.rSfStat" hidden="1" xlm="1">#NAME?</definedName>
    <definedName name="_xlpm.rSqfStat" hidden="1" xlm="1">#NAME?</definedName>
    <definedName name="_xlpm.rSquafStat" hidden="1" xlm="1">#NAME?</definedName>
    <definedName name="_xlpm.rSquared" hidden="1" xlm="1">#NAME?</definedName>
    <definedName name="_xlpm.rSquaredAdfStat" hidden="1" xlm="1">#NAME?</definedName>
    <definedName name="_xlpm.rSquaredAdj" hidden="1" xlm="1">#NAME?</definedName>
    <definedName name="_xlpm.rSquaredAdjfStat" hidden="1" xlm="1">#NAME?</definedName>
    <definedName name="_xlpm.rSquaredAfStat" hidden="1" xlm="1">#NAME?</definedName>
    <definedName name="_xlpm.rSquaredfStat" hidden="1" xlm="1">#NAME?</definedName>
    <definedName name="_xlpm.rSquarefStat" hidden="1" xlm="1">#NAME?</definedName>
    <definedName name="_xlpm.rSquarfStat" hidden="1" xlm="1">#NAME?</definedName>
    <definedName name="_xlpm.rSqufStat" hidden="1" xlm="1">#NAME?</definedName>
    <definedName name="_xlpm.s" hidden="1" xlm="1">#NAME?</definedName>
    <definedName name="_xlpm.sampleCrisis_1" hidden="1" xlm="1">#NAME?</definedName>
    <definedName name="_xlpm.sampleCrisis_2" hidden="1" xlm="1">#NAME?</definedName>
    <definedName name="_xlpm.sampleNonCrisis_1" hidden="1" xlm="1">#NAME?</definedName>
    <definedName name="_xlpm.sampleNonCrisis_2" hidden="1" xlm="1">#NAME?</definedName>
    <definedName name="_xlpm.sDepVar" hidden="1" xlm="1">#NAME?</definedName>
    <definedName name="_xlpm.seFIT" hidden="1" xlm="1">#NAME?</definedName>
    <definedName name="_xlpm.sePRED" hidden="1" xlm="1">#NAME?</definedName>
    <definedName name="_xlpm.seq" hidden="1" xlm="1">#NAME?</definedName>
    <definedName name="_xlpm.SeqCol" hidden="1" xlm="1">#NAME?</definedName>
    <definedName name="_xlpm.SeqRow" hidden="1" xlm="1">#NAME?</definedName>
    <definedName name="_xlpm.sequence" hidden="1" xlm="1">#NAME?</definedName>
    <definedName name="_xlpm.sh" hidden="1" xlm="1">#NAME?</definedName>
    <definedName name="_xlpm.sho" hidden="1" xlm="1">#NAME?</definedName>
    <definedName name="_xlpm.shou" hidden="1" xlm="1">#NAME?</definedName>
    <definedName name="_xlpm.shoul" hidden="1" xlm="1">#NAME?</definedName>
    <definedName name="_xlpm.should" hidden="1" xlm="1">#NAME?</definedName>
    <definedName name="_xlpm.shouldT" hidden="1" xlm="1">#NAME?</definedName>
    <definedName name="_xlpm.shouldTe" hidden="1" xlm="1">#NAME?</definedName>
    <definedName name="_xlpm.shouldTes" hidden="1" xlm="1">#NAME?</definedName>
    <definedName name="_xlpm.shouldTest" hidden="1" xlm="1">#NAME?</definedName>
    <definedName name="_xlpm.signChgs" hidden="1" xlm="1">#NAME?</definedName>
    <definedName name="_xlpm.significance" hidden="1" xlm="1">#NAME?</definedName>
    <definedName name="_xlpm.size" hidden="1" xlm="1">#NAME?</definedName>
    <definedName name="_xlpm.sMatrix" hidden="1" xlm="1">#NAME?</definedName>
    <definedName name="_xlpm.sortedRange" hidden="1" xlm="1">#NAME?</definedName>
    <definedName name="_xlpm.sortedValue" hidden="1" xlm="1">#NAME?</definedName>
    <definedName name="_xlpm.sortRows" hidden="1" xlm="1">#NAME?</definedName>
    <definedName name="_xlpm.SSbetween" hidden="1" xlm="1">#NAME?</definedName>
    <definedName name="_xlpm.SStotal" hidden="1" xlm="1">#NAME?</definedName>
    <definedName name="_xlpm.SSwithin" hidden="1" xlm="1">#NAME?</definedName>
    <definedName name="_xlpm.st" hidden="1" xlm="1">#NAME?</definedName>
    <definedName name="_xlpm.staMatrix" hidden="1" xlm="1">#NAME?</definedName>
    <definedName name="_xlpm.standardized" hidden="1" xlm="1">#NAME?</definedName>
    <definedName name="_xlpm.starMatrix" hidden="1" xlm="1">#NAME?</definedName>
    <definedName name="_xlpm.stars" hidden="1" xlm="1">#NAME?</definedName>
    <definedName name="_xlpm.start" hidden="1" xlm="1">#NAME?</definedName>
    <definedName name="_xlpm.start_num" hidden="1" xlm="1">#NAME?</definedName>
    <definedName name="_xlpm.startDate" hidden="1" xlm="1">#NAME?</definedName>
    <definedName name="_xlpm.startDateIdx" hidden="1" xlm="1">#NAME?</definedName>
    <definedName name="_xlpm.startMatrix" hidden="1" xlm="1">#NAME?</definedName>
    <definedName name="_xlpm.std" hidden="1" xlm="1">#NAME?</definedName>
    <definedName name="_xlpm.stdDepVar" hidden="1" xlm="1">#NAME?</definedName>
    <definedName name="_xlpm.stde" hidden="1" xlm="1">#NAME?</definedName>
    <definedName name="_xlpm.stdeDepVar" hidden="1" xlm="1">#NAME?</definedName>
    <definedName name="_xlpm.stDepVar" hidden="1" xlm="1">#NAME?</definedName>
    <definedName name="_xlpm.stDev" hidden="1" xlm="1">#NAME?</definedName>
    <definedName name="_xlpm.stdevDepVar" hidden="1" xlm="1">#NAME?</definedName>
    <definedName name="_xlpm.stdevR" hidden="1" xlm="1">#NAME?</definedName>
    <definedName name="_xlpm.stdevRe" hidden="1" xlm="1">#NAME?</definedName>
    <definedName name="_xlpm.stdevReg" hidden="1" xlm="1">#NAME?</definedName>
    <definedName name="_xlpm.stDevT" hidden="1" xlm="1">#NAME?</definedName>
    <definedName name="_xlpm.stDevTe" hidden="1" xlm="1">#NAME?</definedName>
    <definedName name="_xlpm.stDevTes" hidden="1" xlm="1">#NAME?</definedName>
    <definedName name="_xlpm.stDevTest" hidden="1" xlm="1">#NAME?</definedName>
    <definedName name="_xlpm.step1" hidden="1" xlm="1">#NAME?</definedName>
    <definedName name="_xlpm.step2" hidden="1" xlm="1">#NAME?</definedName>
    <definedName name="_xlpm.step3" hidden="1" xlm="1">#NAME?</definedName>
    <definedName name="_xlpm.step4_0" hidden="1" xlm="1">#NAME?</definedName>
    <definedName name="_xlpm.step4_dates" hidden="1" xlm="1">#NAME?</definedName>
    <definedName name="_xlpm.step4_values" hidden="1" xlm="1">#NAME?</definedName>
    <definedName name="_xlpm.step5" hidden="1" xlm="1">#NAME?</definedName>
    <definedName name="_xlpm.step6" hidden="1" xlm="1">#NAME?</definedName>
    <definedName name="_xlpm.stMatrix" hidden="1" xlm="1">#NAME?</definedName>
    <definedName name="_xlpm.sult" hidden="1" xlm="1">#NAME?</definedName>
    <definedName name="_xlpm.sumSqRes" hidden="1" xlm="1">#NAME?</definedName>
    <definedName name="_xlpm.sumSquaredResidRes" hidden="1" xlm="1">#NAME?</definedName>
    <definedName name="_xlpm.sumSquaredResidUnr" hidden="1" xlm="1">#NAME?</definedName>
    <definedName name="_xlpm.t" hidden="1" xlm="1">#NAME?</definedName>
    <definedName name="_xlpm.tableIC" hidden="1" xlm="1">#NAME?</definedName>
    <definedName name="_xlpm.tcrit" hidden="1" xlm="1">#NAME?</definedName>
    <definedName name="_xlpm.tDepVar" hidden="1" xlm="1">#NAME?</definedName>
    <definedName name="_xlpm.te" hidden="1" xlm="1">#NAME?</definedName>
    <definedName name="_xlpm.tes" hidden="1" xlm="1">#NAME?</definedName>
    <definedName name="_xlpm.test" hidden="1" xlm="1">#NAME?</definedName>
    <definedName name="_xlpm.testA" hidden="1" xlm="1">#NAME?</definedName>
    <definedName name="_xlpm.testB" hidden="1" xlm="1">#NAME?</definedName>
    <definedName name="_xlpm.testResult" hidden="1" xlm="1">#NAME?</definedName>
    <definedName name="_xlpm.testValue" hidden="1" xlm="1">#NAME?</definedName>
    <definedName name="_xlpm.text" hidden="1" xlm="1">#NAME?</definedName>
    <definedName name="_xlpm.titleLabel" hidden="1" xlm="1">#NAME?</definedName>
    <definedName name="_xlpm.tr" hidden="1" xlm="1">#NAME?</definedName>
    <definedName name="_xlpm.transpose" hidden="1" xlm="1">#NAME?</definedName>
    <definedName name="_xlpm.treatCharsAsText" hidden="1" xlm="1">#NAME?</definedName>
    <definedName name="_xlpm.trend" hidden="1" xlm="1">#NAME?</definedName>
    <definedName name="_xlpm.trendCycle" hidden="1" xlm="1">#NAME?</definedName>
    <definedName name="_xlpm.tri" hidden="1" xlm="1">#NAME?</definedName>
    <definedName name="_xlpm.trip" hidden="1" xlm="1">#NAME?</definedName>
    <definedName name="_xlpm.tripl" hidden="1" xlm="1">#NAME?</definedName>
    <definedName name="_xlpm.triple" hidden="1" xlm="1">#NAME?</definedName>
    <definedName name="_xlpm.triples" hidden="1" xlm="1">#NAME?</definedName>
    <definedName name="_xlpm.tstat" hidden="1" xlm="1">#NAME?</definedName>
    <definedName name="_xlpm.txt" hidden="1" xlm="1">#NAME?</definedName>
    <definedName name="_xlpm.txtClean" hidden="1" xlm="1">#NAME?</definedName>
    <definedName name="_xlpm.txtVec" hidden="1" xlm="1">#NAME?</definedName>
    <definedName name="_xlpm.type" hidden="1" xlm="1">#NAME?</definedName>
    <definedName name="_xlpm.u" hidden="1" xlm="1">#NAME?</definedName>
    <definedName name="_xlpm.ub" hidden="1" xlm="1">#NAME?</definedName>
    <definedName name="_xlpm.ult" hidden="1" xlm="1">#NAME?</definedName>
    <definedName name="_xlpm.un" hidden="1" xlm="1">#NAME?</definedName>
    <definedName name="_xlpm.uni" hidden="1" xlm="1">#NAME?</definedName>
    <definedName name="_xlpm.uniq" hidden="1" xlm="1">#NAME?</definedName>
    <definedName name="_xlpm.uniqu" hidden="1" xlm="1">#NAME?</definedName>
    <definedName name="_xlpm.unique" hidden="1" xlm="1">#NAME?</definedName>
    <definedName name="_xlpm.uniqueCategories" hidden="1" xlm="1">#NAME?</definedName>
    <definedName name="_xlpm.uniqueR" hidden="1" xlm="1">#NAME?</definedName>
    <definedName name="_xlpm.uniqueRa" hidden="1" xlm="1">#NAME?</definedName>
    <definedName name="_xlpm.uniqueRan" hidden="1" xlm="1">#NAME?</definedName>
    <definedName name="_xlpm.uniqueRank" hidden="1" xlm="1">#NAME?</definedName>
    <definedName name="_xlpm.uniqueRanks" hidden="1" xlm="1">#NAME?</definedName>
    <definedName name="_xlpm.uniqueRanksO" hidden="1" xlm="1">#NAME?</definedName>
    <definedName name="_xlpm.uniqueRanksOn" hidden="1" xlm="1">#NAME?</definedName>
    <definedName name="_xlpm.uniqueRanksOnl" hidden="1" xlm="1">#NAME?</definedName>
    <definedName name="_xlpm.uniqueRanksOnly" hidden="1" xlm="1">#NAME?</definedName>
    <definedName name="_xlpm.url" hidden="1" xlm="1">#NAME?</definedName>
    <definedName name="_xlpm.useHAC" hidden="1" xlm="1">#NAME?</definedName>
    <definedName name="_xlpm.v" hidden="1" xlm="1">#NAME?</definedName>
    <definedName name="_xlpm.va" hidden="1" xlm="1">#NAME?</definedName>
    <definedName name="_xlpm.val" hidden="1" xlm="1">#NAME?</definedName>
    <definedName name="_xlpm.valores" hidden="1" xlm="1">#NAME?</definedName>
    <definedName name="_xlpm.vals" hidden="1" xlm="1">#NAME?</definedName>
    <definedName name="_xlpm.value" hidden="1" xlm="1">#NAME?</definedName>
    <definedName name="_xlpm.values" hidden="1" xlm="1">#NAME?</definedName>
    <definedName name="_xlpm.valuesA" hidden="1" xlm="1">#NAME?</definedName>
    <definedName name="_xlpm.valuesB" hidden="1" xlm="1">#NAME?</definedName>
    <definedName name="_xlpm.var" hidden="1" xlm="1">#NAME?</definedName>
    <definedName name="_xlpm.varT" hidden="1" xlm="1">#NAME?</definedName>
    <definedName name="_xlpm.varTe" hidden="1" xlm="1">#NAME?</definedName>
    <definedName name="_xlpm.varTes" hidden="1" xlm="1">#NAME?</definedName>
    <definedName name="_xlpm.varTest" hidden="1" xlm="1">#NAME?</definedName>
    <definedName name="_xlpm.vecMatrix" hidden="1" xlm="1">#NAME?</definedName>
    <definedName name="_xlpm.volCrisis_1" hidden="1" xlm="1">#NAME?</definedName>
    <definedName name="_xlpm.volCrisis_2" hidden="1" xlm="1">#NAME?</definedName>
    <definedName name="_xlpm.volNonCrisis_1" hidden="1" xlm="1">#NAME?</definedName>
    <definedName name="_xlpm.volNonCrisis_2" hidden="1" xlm="1">#NAME?</definedName>
    <definedName name="_xlpm.weightMatrix" hidden="1" xlm="1">#NAME?</definedName>
    <definedName name="_xlpm.wireplacement" hidden="1" xlm="1">#NAME?</definedName>
    <definedName name="_xlpm.withoReplacement" hidden="1" xlm="1">#NAME?</definedName>
    <definedName name="_xlpm.withouReplacement" hidden="1" xlm="1">#NAME?</definedName>
    <definedName name="_xlpm.withoutReplacement" hidden="1" xlm="1">#NAME?</definedName>
    <definedName name="_xlpm.withreplacement" hidden="1" xlm="1">#NAME?</definedName>
    <definedName name="_xlpm.witreplacement" hidden="1" xlm="1">#NAME?</definedName>
    <definedName name="_xlpm.wreplacement" hidden="1" xlm="1">#NAME?</definedName>
    <definedName name="_xlpm.x" hidden="1" xlm="1">#NAME?</definedName>
    <definedName name="_xlpm.X_1" hidden="1" xlm="1">#NAME?</definedName>
    <definedName name="_xlpm.X_2" hidden="1" xlm="1">#NAME?</definedName>
    <definedName name="_xlpm.X_const" hidden="1" xlm="1">#NAME?</definedName>
    <definedName name="_xlpm.X_constTrend" hidden="1" xlm="1">#NAME?</definedName>
    <definedName name="_xlpm.X_noConst" hidden="1" xlm="1">#NAME?</definedName>
    <definedName name="_xlpm.Xconst" hidden="1" xlm="1">#NAME?</definedName>
    <definedName name="_xlpm.xLabels" hidden="1" xlm="1">#NAME?</definedName>
    <definedName name="_xlpm.xMax" hidden="1" xlm="1">#NAME?</definedName>
    <definedName name="_xlpm.xMin" hidden="1" xlm="1">#NAME?</definedName>
    <definedName name="_xlpm.xstart" hidden="1" xlm="1">#NAME?</definedName>
    <definedName name="_xlpm.xStep" hidden="1" xlm="1">#NAME?</definedName>
    <definedName name="_xlpm.Xtarget" hidden="1" xlm="1">#NAME?</definedName>
    <definedName name="_xlpm.Xtrend" hidden="1" xlm="1">#NAME?</definedName>
    <definedName name="_xlpm.XX" hidden="1" xlm="1">#NAME?</definedName>
    <definedName name="_xlpm.XY" hidden="1" xlm="1">#NAME?</definedName>
    <definedName name="_xlpm.y" hidden="1" xlm="1">#NAME?</definedName>
    <definedName name="_xlpm.yLabel" hidden="1" xlm="1">#NAME?</definedName>
    <definedName name="_xlpm.yX" hidden="1" xlm="1">#NAME?</definedName>
    <definedName name="_xlpm.zStat" hidden="1" xlm="1">#NAME?</definedName>
    <definedName name="_xlpm.zTest" hidden="1" xlm="1">#NAME?</definedName>
    <definedName name="ADDCONST">_xlfn.LAMBDA(_xlpm.matrix,_xlop.position,_xlop.header, _xlfn.LET( _xlpm.position, IF( _xlfn.ISOMITTED(_xlpm.position), 1, _xlpm.position), _xlpm.header, IF( OR( _xlfn.ISOMITTED(_xlpm.header), ISBLANK(_xlpm.header)), FALSE, _xlpm.header), _xlpm.values, IF( OR( _xlpm.position&lt;1, _xlpm.position&gt;COLUMNS(_xlpm.matrix)+1), "#position exceeds matrix columns", IF(_xlpm.position=1, HORZCAT( ONES(ROWS(_xlpm.matrix),1), SLICE(_xlpm.matrix,0,0,1,-1) ), IF(_xlpm.position=COLUMNS(_xlpm.matrix)+1, HORZCAT(_xlpm.matrix, ONES(ROWS(_xlpm.matrix),1) ), HORZCAT( HORZCAT( SLICE(_xlpm.matrix,0,0,1,_xlpm.position-1), ONES(ROWS(_xlpm.matrix),1) ), SLICE(_xlpm.matrix,0,0,_xlpm.position,-1) ) ) ) ), IF(_xlpm.header=FALSE, _xlpm.values, SLICE(_xlpm.values,1,1,_xlpm.position,_xlpm.position,_xlpm.header) ) ) )</definedName>
    <definedName name="ADDTREND">_xlfn.LAMBDA(_xlpm.matrix,_xlop.position,_xlop.nPower,_xlop.header, _xlfn.LET( _xlpm.position, IF( OR( _xlfn.ISOMITTED(_xlpm.position), ISBLANK(_xlpm.position)), 1, _xlpm.position), _xlpm.nPower, IF( OR( _xlfn.ISOMITTED(_xlpm.nPower), ISBLANK(_xlpm.nPower)), 1, _xlpm.nPower), _xlpm.header, IF( OR( _xlfn.ISOMITTED(_xlpm.header), ISBLANK(_xlpm.header)), FALSE, _xlpm.header), _xlpm.values, IF( OR( _xlpm.position&lt;1, _xlpm.position&gt;COLUMNS(_xlpm.matrix)+1), "#position exceeds matrix columns", IF(_xlpm.position=1, HORZCAT( _xlfn.SEQUENCE(ROWS(_xlpm.matrix),1,IF(_xlpm.header=FALSE,1,0))^_xlpm.nPower, SLICE(_xlpm.matrix,0,0,1,-1) ), IF(_xlpm.position=COLUMNS(_xlpm.matrix)+1, HORZCAT(_xlpm.matrix, _xlfn.SEQUENCE(ROWS(_xlpm.matrix),1,IF(_xlpm.header=FALSE,1,0))^_xlpm.nPower ), HORZCAT( HORZCAT( SLICE(_xlpm.matrix,0,0,1,_xlpm.position-1), _xlfn.SEQUENCE(ROWS(_xlpm.matrix),1,IF(_xlpm.header=FALSE,1,0))^_xlpm.nPower ), SLICE(_xlpm.matrix,0,0,_xlpm.position,-1) ) ) ) ), IF(_xlpm.header=FALSE, _xlpm.values, SLICE(_xlpm.values,1,1,_xlpm.position,_xlpm.position,_xlpm.header) ) ) )</definedName>
    <definedName name="AGGREGBYDATE">_xlfn.LAMBDA(_xlpm.dates,_xlpm.values,_xlpm.highFreq,_xlpm.lowFreq,_xlop.method,_xlop.onlyValues,IF(_xlpm.highFreq &lt; _xlpm.lowFreq, "# Cannot disaggregate to lower frequencies", _xlfn.LET(_xlpm.method, IF(_xlfn.ISOMITTED(_xlpm.method), "avg", _xlpm.method), _xlpm.onlyValues, IF(_xlfn.ISOMITTED(_xlpm.onlyValues), FALSE, _xlpm.onlyValues), _xlpm.step1, _xlfn.MAP(_xlpm.dates, _xlfn.LAMBDA(_xlpm.x, FLOOR(DAYS360(DATE(YEAR(_xlpm.x), 1, 1), _xlpm.x), 30))), _xlpm.step2, _xlfn.MAP(_xlpm.step1, _xlfn.LAMBDA(_xlpm.x, MOD(_xlpm.x, 360 / _xlpm.lowFreq))), _xlpm.step3, _xlfn.SCAN(0, _xlpm.step2, _xlfn.LAMBDA(_xlpm.accum,_xlpm.x, IF(_xlpm.x &gt; _xlpm.accum, _xlpm.accum, _xlpm.accum + 1))), _xlpm.step4_0, DATE(YEAR(_xlpm.dates), (12 / _xlpm.lowFreq) * ROUNDUP(MONTH(_xlpm.dates) / (12 / _xlpm.lowFreq), 0) - (12 / _xlpm.lowFreq) + 1, 1), _xlpm.completeDates, _xlfn.SCAN(0, _xlpm.step4_0, _xlfn.LAMBDA(_xlpm.accum,_xlpm.x, SUM(1 * (_xlpm.step4_0 = _xlpm.x)) = _xlpm.highFreq / _xlpm.lowFreq)), _xlpm.step4_dates, _xlfn._xlws.FILTER(_xlpm.step4_0, _xlpm.completeDates), _xlpm.step4_values, _xlfn._xlws.FILTER(_xlpm.values, _xlpm.completeDates), _xlpm.step5, _xlfn.SWITCH(_xlpm.method, "avg", _xlfn.MAKEARRAY(ROWS(_xlpm.step4_dates), 1, _xlfn.LAMBDA(_xlpm.row,_xlpm.col, SUM(IF(_xlpm.step4_dates = INDEX(_xlpm.step4_dates, _xlpm.row), _xlpm.step4_values, 0)) / (_xlpm.highFreq / _xlpm.lowFreq))), "sum", _xlfn.MAKEARRAY(ROWS(_xlpm.step4_dates), 1, _xlfn.LAMBDA(_xlpm.row,_xlpm.col, SUM(IF(_xlpm.step4_dates = INDEX(_xlpm.step4_dates, _xlpm.row), _xlpm.step4_values, 0)))), "eop", _xlfn.MAKEARRAY(ROWS(_xlpm.step4_dates), 1, _xlfn.LAMBDA(_xlpm.row,_xlpm.col, _xlfn.TAKE(_xlfn._xlws.FILTER(_xlpm.step4_values, _xlpm.step4_dates = INDEX(_xlpm.step4_dates, _xlpm.row)), -1))), ), _xlpm.step6, _xlfn.UNIQUE(IF(_xlpm.onlyValues, _xlpm.step5, _xlfn.HSTACK(_xlpm.step4_dates, _xlpm.step5))), _xlpm.step6)))</definedName>
    <definedName name="ALL">_xlfn.LAMBDA(_xlpm.matrix,_xlop.dim, _xlfn.LET( _xlpm.dim, IF( _xlfn.ISOMITTED(_xlpm.dim),"all", _xlpm.dim), IF(_xlpm.dim="all", IF( ( SUM(1*(_xlpm.matrix=FALSE)) + SUM(1*(_xlpm.matrix=0))  ) = 0, TRUE, FALSE ), IF(_xlpm.dim=1, _xlfn.BYCOL(_xlpm.matrix, _xlfn.LAMBDA(_xlpm.col, IF( ( SUM(1*(_xlpm.col=FALSE)) + SUM(1*(_xlpm.col=0))  ) = 0, TRUE, FALSE ) )), IF(_xlpm.dim=2, _xlfn.BYROW(_xlpm.matrix, _xlfn.LAMBDA(_xlpm.row, IF( ( SUM(1*(_xlpm.row=FALSE)) + SUM(1*(_xlpm.row=0))  ) = 0, TRUE, FALSE ) )), #VALUE!) ) ) ))</definedName>
    <definedName name="ANOVA">_xlfn.LAMBDA(_xlpm.groupNames,_xlpm.groupVectors,_xlop.significance, _xlfn.LET( _xlpm.significance, IF(_xlfn.ISOMITTED(_xlpm.significance), 0.05, _xlpm.significance), _xlpm.nGroups,LENGTH(_xlpm.groupNames), _xlpm.nObs, _xlfn.BYCOL(_xlpm.groupVectors,_xlfn.LAMBDA(_xlpm.col, COUNTA(_xlpm.col))), _xlpm.groupSum, _xlfn.BYCOL(_xlpm.groupVectors,_xlfn.LAMBDA(_xlpm.col, SUM(_xlpm.col))), _xlpm.groupAverage, _xlfn.BYCOL(_xlpm.groupVectors,_xlfn.LAMBDA(_xlpm.col, AVERAGE(_xlpm.col))), _xlpm.groupSumSqr, _xlfn.BYCOL(_xlpm.groupVectors,_xlfn.LAMBDA(_xlpm.col, DEVSQ(_xlpm.col))), _xlpm.groupVar, _xlfn.BYCOL(_xlpm.groupVectors,_xlfn.LAMBDA(_xlpm.col, _xlfn.VAR.S(_xlpm.col))), _xlpm.SSbetween, SUM( ( _xlpm.groupAverage-AVERAGE(_xlpm.groupAverage) )^2 * _xlpm.nObs ), _xlpm.SSwithin, SUM( _xlpm.groupSumSqr ), _xlpm.SStotal, _xlpm.SSbetween + _xlpm.SSwithin, _xlpm.DFbetween, _xlpm.nGroups - 1, _xlpm.DFwithin, SUM(_xlpm.nObs) - _xlpm.DFbetween - 1, _xlpm.DFtotal, _xlpm.DFbetween + _xlpm.DFwithin, _xlpm.F, ( _xlpm.SSbetween/_xlpm.DFbetween ) / (_xlpm.SSwithin / _xlpm.DFwithin ), _xlpm.pValue, _xlfn.F.DIST.RT( _xlpm.F, _xlpm.DFbetween, _xlpm.DFwithin ), _xlpm.Fcrit, _xlfn.F.INV.RT( _xlpm.significance, _xlpm.DFbetween, _xlpm.DFwithin ), _xlpm.lineANOVA1, {"SUMMARY","","","","","",""}, _xlpm.lineANOVA1lab, {"Groups","Count","Sum","Average","Variance","",""}, _xlpm.lineANOVA1res, HORZCAT( HORZCAT( HORZCAT( HORZCAT( HORZCAT( VEC(_xlpm.groupNames), VEC(_xlpm.nObs) ), VEC(_xlpm.groupSum) ), VEC(_xlpm.groupAverage) ), VEC(_xlpm.groupVar)), REPMAT("",_xlpm.nGroups,2) ), _xlpm.lineANOVA2, {"","","","","","","";"ANOVA","","","","","","";"Source of variation","SS","df","MS","F","P-value","F-crit"}, _xlpm.lineANOVA2SS, VERTCAT( VERTCAT( VERTCAT(_xlpm.SSbetween, _xlpm.SSwithin), ""), _xlpm.SStotal), _xlpm.lineANOVA2DF, VERTCAT( VERTCAT( VERTCAT(_xlpm.DFbetween, _xlpm.DFwithin), ""), _xlpm.DFtotal), _xlpm.lineANOVA2MS, VERTCAT( VERTCAT( VERTCAT(_xlpm.SSbetween / _xlpm.DFbetween, _xlpm.SSwithin / _xlpm.DFwithin), ""), "" ), _xlpm.lineANOVA2F, VERTCAT( VERTCAT( VERTCAT(_xlpm.F, "" ), ""), "" ), _xlpm.lineANOVA2p, VERTCAT( VERTCAT( VERTCAT(_xlpm.pValue, "" ), ""), "" ), _xlpm.lineANOVA2Fcrit, VERTCAT( VERTCAT( VERTCAT(_xlpm.Fcrit, "" ), ""), "" ), VERTCAT( VERTCAT( VERTCAT( VERTCAT( _xlpm.lineANOVA1, _xlpm.lineANOVA1lab), _xlpm.lineANOVA1res), _xlpm.lineANOVA2 ), HORZCAT( HORZCAT( HORZCAT( HORZCAT( HORZCAT( HORZCAT( {"Between groups";"Within groups";"";"Total"}, _xlpm.lineANOVA2SS ), _xlpm.lineANOVA2DF), _xlpm.lineANOVA2MS), _xlpm.lineANOVA2F ), _xlpm.lineANOVA2p ), _xlpm.lineANOVA2Fcrit ) ) ))</definedName>
    <definedName name="ANY">_xlfn.LAMBDA(_xlpm.matrix,_xlop.dim, _xlfn.LET( _xlpm.dim, IF( _xlfn.ISOMITTED(_xlpm.dim),"all", _xlpm.dim), IF(_xlpm.dim="all", IF( ( SUM(1*(_xlpm.matrix=FALSE)) + SUM(1*(_xlpm.matrix=0))  ) &lt;&gt; ROWS(_xlpm.matrix)*COLUMNS(_xlpm.matrix), TRUE, FALSE ), IF(_xlpm.dim=1, _xlfn.BYCOL(_xlpm.matrix, _xlfn.LAMBDA(_xlpm.col, IF( ( SUM(1*(_xlpm.col=FALSE)) + SUM(1*(_xlpm.col=0))  ) &lt;&gt; ROWS(_xlpm.col), TRUE, FALSE ) )), IF(_xlpm.dim=2, _xlfn.BYROW(_xlpm.matrix, _xlfn.LAMBDA(_xlpm.row, IF( ( SUM(1*(_xlpm.row=FALSE)) + SUM(1*(_xlpm.row=0))  ) &lt;&gt; COLUMNS(_xlpm.row), TRUE, FALSE ) )), #VALUE!) ) ) ))</definedName>
    <definedName name="APPLYCOLS">_xlfn.LAMBDA(_xlpm.array,_xlpm.func,_xlpm.paramArrayPos,_xlop.param1,_xlop.param2,_xlop.param3, _xlfn.LET( _xlpm.nParams, NOT(_xlfn.ISOMITTED(_xlpm.param1)) + NOT(_xlfn.ISOMITTED(_xlpm.param2)) + NOT(_xlfn.ISOMITTED(_xlpm.param3)), _xlpm.nCols, COLUMNS(_xlpm.array), _xlpm.colVals, INDEX(_xlpm.array,0,1), _xlpm.fcol, _xlfn.SWITCH( _xlpm.nParams, 0, _xlpm.func(_xlpm.colVals), 1,  _xlfn.SWITCH( _xlpm.paramArrayPos, 1, _xlpm.func(_xlpm.colVals, _xlpm.param1), 2, _xlpm.func(_xlpm.param1, _xlpm.colVals)), 2,  _xlfn.SWITCH( _xlpm.paramArrayPos, 1, _xlpm.func(_xlpm.colVals, _xlpm.param1, _xlpm.param2), 2, _xlpm.func(_xlpm.param1, _xlpm.colVals, _xlpm.param2)), 3,  _xlfn.SWITCH( _xlpm.paramArrayPos, 1, _xlpm.func(_xlpm.colVals, _xlpm.param1, _xlpm.param2, _xlpm.param3), 2, _xlpm.func(_xlpm.param1, _xlpm.colVals, _xlpm.param2, _xlpm.param3), 3, _xlpm.func(_xlpm.param1, _xlpm.param2, _xlpm.colVals)) ), IF(_xlpm.nCols = 1, _xlpm.fcol, _xlfn.HSTACK( _xlpm.fcol, APPLYCOLS(_xlfn.DROP(_xlpm.array,0,1), _xlpm.func, _xlpm.paramArrayPos, _xlpm.param1, _xlpm.param2, _xlpm.param3))) ))</definedName>
    <definedName name="BLKDIAG">_xlfn.LAMBDA(_xlpm.matrixA,_xlpm.matrixB,  _xlfn.LET(  _xlpm.nn,ROWS(_xlpm.matrixA) + ROWS(_xlpm.matrixB),  _xlpm.mm,COLUMNS(_xlpm.matrixA) + COLUMNS(_xlpm.matrixB),  _xlpm.nseq, IF(MOD(_xlfn.SEQUENCE(_xlpm.nn,1),ROWS(_xlpm.matrixA))=0, ROWS(_xlpm.matrixA), MOD(_xlfn.SEQUENCE(_xlpm.nn,1),ROWS(_xlpm.matrixA))),  _xlpm.mseq, IF(MOD(_xlfn.SEQUENCE(1,_xlpm.mm),COLUMNS(_xlpm.matrixA))=0, COLUMNS(_xlpm.matrixA), MOD(_xlfn.SEQUENCE(1,_xlpm.mm),COLUMNS(_xlpm.matrixA))),  _xlfn.MAKEARRAY(_xlpm.nn,_xlpm.mm,_xlfn.LAMBDA(_xlpm.row,_xlpm.col,  IF( OR( AND(_xlpm.row &lt;= ROWS(_xlpm.matrixA), _xlpm.col &gt; COLUMNS(_xlpm.matrixA) ), AND(_xlpm.row &gt; ROWS(_xlpm.matrixA), _xlpm.col &lt;= COLUMNS(_xlpm.matrixA) )  ), 0,  IF( _xlpm.row &lt;= ROWS(_xlpm.matrixA), INDEX(_xlpm.matrixA,INDEX(_xlpm.nseq,_xlpm.row),INDEX(_xlpm.mseq,1,_xlpm.col)), INDEX(_xlpm.matrixB,INDEX(_xlpm.nseq,_xlpm.row),INDEX(_xlpm.mseq,1,_xlpm.col)) )  ) ))  ))</definedName>
    <definedName name="BOOTSTRP">_xlfn.LAMBDA(_xlpm.nboot,_xlpm.bootfun,_xlpm.data, _xlfn.SCAN(0,_xlfn.SEQUENCE(_xlpm.nboot),_xlfn.LAMBDA(_xlpm.accum,_xlpm.x, _xlpm.bootfun( SAMPLE(_xlpm.data,ROWS(_xlpm.data),1,FALSE) ) )) )</definedName>
    <definedName name="COMPLEMENT">_xlfn.LAMBDA(_xlpm.matrix,_xlop.minInteger,_xlop.maxInteger, _xlfn.LET( _xlpm.minInteger, IF( _xlfn.ISOMITTED(_xlpm.minInteger), MIN(_xlpm.matrix), _xlpm.minInteger ), _xlpm.maxInteger, IF( _xlfn.ISOMITTED(_xlpm.maxInteger), MAX(_xlpm.matrix), _xlpm.maxInteger ), IFERROR( _xlfn.UNIQUE(VERTCAT(VEC(_xlpm.matrix), _xlfn.SEQUENCE(_xlpm.maxInteger-_xlpm.minInteger+1,1,_xlpm.minInteger)),FALSE,TRUE), NA()) ))</definedName>
    <definedName name="CONTAGION_COKURTOSIS">_xlfn.LAMBDA(_xlpm.sampleNonCrisis_1,_xlpm.sampleNonCrisis_2,_xlpm.sampleCrisis_1,_xlpm.sampleCrisis_2,_xlop.returnPValue,_xlop.returnInverse,_xlfn.LET(_xlpm.volNonCrisis_1,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_xlpm.coKurNonCrisis_1_3, AVERAGE((_xlpm.sampleNonCrisis_1 - _xlpm.meanNonCrisis_1) / _xlpm.volNonCrisis_1 * ((_xlpm.sampleNonCrisis_2 - _xlpm.meanNonCrisis_2) / _xlpm.volNonCrisis_2) ^ 3) - (3 * _xlpm.corrNonCrisis), _xlpm.coKurCrisis_1_3, AVERAGE((_xlpm.sampleCrisis_1 - _xlpm.meanCrisis_1) / _xlpm.volCrisis_1 * ((_xlpm.sampleCrisis_2 - _xlpm.meanCrisis_2) / _xlpm.volCrisis_2) ^ 3) - (3 * _xlpm.corrCrisisAdj), _xlpm.coKurNonCrisis_3_1, AVERAGE(((_xlpm.sampleNonCrisis_1 - _xlpm.meanNonCrisis_1) / _xlpm.volNonCrisis_1) ^ 3 * ((_xlpm.sampleNonCrisis_2 - _xlpm.meanNonCrisis_2) / _xlpm.volNonCrisis_2)) - (3 * _xlpm.corrNonCrisis), _xlpm.coKurCrisis_3_1, AVERAGE(((_xlpm.sampleCrisis_1 - _xlpm.meanCrisis_1) / _xlpm.volCrisis_1) ^ 3 * ((_xlpm.sampleCrisis_2 - _xlpm.meanCrisis_2) / _xlpm.volCrisis_2)) - (3 * _xlpm.corrCrisisAdj), _xlpm.chiSquared_1_3, ((_xlpm.coKurCrisis_1_3 - _xlpm.coKurNonCrisis_1_3) / SQRT((18 * _xlpm.corrCrisisAdj ^ 2 + 6) / _xlpm.nCrisis_1 + (18 * _xlpm.corrNonCrisis ^ 2 + 6) / _xlpm.nNonCrisis_1)) ^ 2, _xlpm.chiSquared_3_1, ((_xlpm.coKurCrisis_3_1 - _xlpm.coKurNonCrisis_3_1) / SQRT((18 * _xlpm.corrCrisisAdj ^ 2 + 6) / _xlpm.nCrisis_1 + (18 * _xlpm.corrNonCrisis ^ 2 + 6) / _xlpm.nNonCrisis_1)) ^ 2, _xlpm.pTest_1_3, _xlfn.CHISQ.DIST.RT(_xlpm.chiSquared_1_3, 1), _xlpm.pTest_3_1, _xlfn.CHISQ.DIST.RT(_xlpm.chiSquared_3_1, 1), IF(OR(_xlfn.ISOMITTED(_xlpm.returnInverse), _xlpm.returnInverse = FALSE), IF(OR(_xlfn.ISOMITTED(_xlpm.returnPValue), _xlpm.returnPValue = FALSE), _xlpm.chiSquared_1_3, _xlpm.pTest_1_3), IF(OR(_xlfn.ISOMITTED(_xlpm.returnPValue), _xlpm.returnPValue = FALSE), _xlpm.chiSquared_3_1, _xlpm.pTest_3_1))))</definedName>
    <definedName name="CONTAGION_COSKEWNESS">_xlfn.LAMBDA(_xlpm.sampleNonCrisis_1,_xlpm.sampleNonCrisis_2,_xlpm.sampleCrisis_1,_xlpm.sampleCrisis_2,_xlop.returnPValue,_xlop.returnInverse,_xlfn.LET(_xlpm.volNonCrisis_1,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_xlpm.coSkewNonCrisis_1_2, AVERAGE((_xlpm.sampleNonCrisis_1 - _xlpm.meanNonCrisis_1) / _xlpm.volNonCrisis_1 * ((_xlpm.sampleNonCrisis_2 - _xlpm.meanNonCrisis_2) / _xlpm.volNonCrisis_2) ^ 2), _xlpm.coSkewCrisis_1_2, AVERAGE((_xlpm.sampleCrisis_1 - _xlpm.meanCrisis_1) / _xlpm.volCrisis_1 * ((_xlpm.sampleCrisis_2 - _xlpm.meanCrisis_2) / _xlpm.volCrisis_2) ^ 2), _xlpm.coSkewNonCrisis_2_1, AVERAGE(((_xlpm.sampleNonCrisis_1 - _xlpm.meanNonCrisis_1) / _xlpm.volNonCrisis_1) ^ 2 * ((_xlpm.sampleNonCrisis_2 - _xlpm.meanNonCrisis_2) / _xlpm.volNonCrisis_2)), _xlpm.coSkewCrisis_2_1, AVERAGE(((_xlpm.sampleCrisis_1 - _xlpm.meanCrisis_1) / _xlpm.volCrisis_1) ^ 2 * ((_xlpm.sampleCrisis_2 - _xlpm.meanCrisis_2) / _xlpm.volCrisis_2)), _xlpm.chiSquared_1_2, ((_xlpm.coSkewCrisis_1_2 - _xlpm.coSkewNonCrisis_1_2) / SQRT((4 * _xlpm.corrCrisisAdj ^ 2 + 2) / _xlpm.nCrisis_1 + (4 * _xlpm.corrNonCrisis ^ 2 + 2) / _xlpm.nNonCrisis_1)) ^ 2, _xlpm.chiSquared_2_1, ((_xlpm.coSkewCrisis_2_1 - _xlpm.coSkewNonCrisis_2_1) / SQRT((4 * _xlpm.corrCrisisAdj ^ 2 + 2) / _xlpm.nCrisis_1 + (4 * _xlpm.corrNonCrisis ^ 2 + 2) / _xlpm.nNonCrisis_1)) ^ 2, _xlpm.pTest_1_3, _xlfn.CHISQ.DIST.RT(_xlpm.chiSquared_1_2, 1), _xlpm.pTest_3_1, _xlfn.CHISQ.DIST.RT(_xlpm.chiSquared_2_1, 1), IF(OR(_xlfn.ISOMITTED(_xlpm.returnInverse), _xlpm.returnInverse = FALSE), IF(OR(_xlfn.ISOMITTED(_xlpm.returnPValue), _xlpm.returnPValue = FALSE), _xlpm.chiSquared_1_2, _xlpm.pTest_1_3), IF(OR(_xlfn.ISOMITTED(_xlpm.returnPValue), _xlpm.returnPValue = FALSE), _xlpm.chiSquared_2_1, _xlpm.pTest_3_1))))</definedName>
    <definedName name="CONTAGION_COVOLATILITY">_xlfn.LAMBDA(_xlpm.sampleNonCrisis_1,_xlpm.sampleNonCrisis_2,_xlpm.sampleCrisis_1,_xlpm.sampleCrisis_2,_xlop.returnPValue,_xlfn.LET(_xlpm.volNonCrisis_1,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_xlpm.coVolNonCrisis, AVERAGE((_xlpm.sampleNonCrisis_1 - _xlpm.meanNonCrisis_1) ^ 2 / _xlpm.volNonCrisis_1 ^ 2 * (_xlpm.sampleNonCrisis_2 - _xlpm.meanNonCrisis_2) ^ 2 / _xlpm.volNonCrisis_2 ^ 2) - (1 + 2 * _xlpm.corrNonCrisis) ^ 2, _xlpm.coVolCrisis, AVERAGE((_xlpm.sampleCrisis_1 - _xlpm.meanCrisis_1) ^ 2 / _xlpm.volCrisis_1 ^ 2 * (_xlpm.sampleCrisis_2 - _xlpm.meanCrisis_2) ^ 2 / _xlpm.volCrisis_2 ^ 2) - (1 + 2 * _xlpm.corrCrisisAdj) ^ 2, _xlpm.chiSquared, ((_xlpm.coVolCrisis - _xlpm.coVolNonCrisis) / SQRT((4 * _xlpm.corrCrisisAdj ^ 4 + 16 * _xlpm.corrCrisisAdj ^ 2 + 4) / _xlpm.nCrisis_1 + (4 * _xlpm.corrNonCrisis ^ 4 + 16 * _xlpm.corrNonCrisis ^ 2 + 4) / _xlpm.nNonCrisis_1)) ^ 2, _xlpm.pTest, _xlfn.CHISQ.DIST.RT(_xlpm.chiSquared, 1), IF(_xlpm.returnPValue, _xlpm.pTest, _xlpm.chiSquared)))</definedName>
    <definedName name="CONTAGION_FORBESRIGOBON">_xlfn.LAMBDA(_xlpm.sampleNonCrisis_1,_xlpm.sampleNonCrisis_2,_xlpm.sampleCrisis_1,_xlpm.sampleCrisis_2,_xlop.returnPValue,_xlfn.LET(_xlpm.volNonCrisis_1,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_xlpm.zStat, (1 / 2 * LN((1 + _xlpm.corrCrisisAdj) / (1 - _xlpm.corrCrisisAdj)) - 1 / 2 * LN((1 + _xlpm.corrNonCrisis) / (1 - _xlpm.corrNonCrisis))) / (SQRT(1 / (_xlpm.nCrisis_1 - 3) + 1 / (_xlpm.nNonCrisis_1 - 3))), _xlpm.pTest, 2 * (1 - _xlfn.NORM.S.DIST(ABS(_xlpm.zStat), 1)), IF(_xlpm.returnPValue, _xlpm.pTest, _xlpm.zStat)))</definedName>
    <definedName name="CONTAINS">_xlfn.LAMBDA(_xlpm.text,_xlpm.sequence,_xlop.start_num,_xlop.case_sensitive, _xlfn.LET( _xlpm.start_num, IF(_xlfn.ISOMITTED(_xlpm.start_num), 1,_xlpm.start_num), _xlpm.case_sensistive, IF(_xlfn.ISOMITTED(case_sensistive), FALSE, _xlpm.case_sensitive), IF( _xlpm.case_sensistive, NOT(ISERROR(FIND(_xlpm.sequence, _xlpm.text, _xlpm.start_num))), NOT(ISERROR(SEARCH(_xlpm.sequence, _xlpm.text, _xlpm.start_num))) ) ))</definedName>
    <definedName name="CORRCOEF">_xlfn.LAMBDA(_xlpm.matrix,_xlop.dimension, _xlfn.LET( _xlpm.dimension,IF(_xlfn.ISOMITTED(_xlpm.dimension),2,IF(OR(_xlpm.dimension=1,_xlpm.dimension=2),_xlpm.dimension,0)), _xlfn.SWITCH(_xlpm.dimension, 1,_xlfn.MAKEARRAY(ROWS(_xlpm.matrix),ROWS(_xlpm.matrix),_xlfn.LAMBDA(_xlpm.row,_xlpm.col,CORREL(INDEX(_xlpm.matrix,_xlpm.row,0),INDEX(_xlpm.matrix,_xlpm.col,0)))), 2,_xlfn.MAKEARRAY(COLUMNS(_xlpm.matrix),COLUMNS(_xlpm.matrix),_xlfn.LAMBDA(_xlpm.row,_xlpm.col,CORREL(INDEX(_xlpm.matrix,0,_xlpm.row),INDEX(_xlpm.matrix,0,_xlpm.col)))), "# Dimension must be either 1 (rows) or 2 (columns)" )))</definedName>
    <definedName name="DETREND">_xlfn.LAMBDA(_xlpm.values,_xlop.type, _xlfn.LET(_xlpm.nPower, IF( OR(_xlfn.ISOMITTED(_xlpm.type), UPPER(_xlpm.type) = "LOG"), 1, _xlpm.type), IF(ISNUMBER(_xlpm.type), _xlpm.values - OLS_FITTED(_xlpm.values, ADDCONST(_xlfn.SEQUENCE(ROWS(_xlpm.values))^_xlpm.nPower)), EXP( LN(_xlpm.values) ) - EXP(  OLS_FITTED(LN(_xlpm.values), ADDCONST(_xlfn.SEQUENCE(ROWS(_xlpm.values))^_xlpm.nPower)) ) ) ) )</definedName>
    <definedName name="DFTABLE">_xlfn.LAMBDA(_xlpm.nObs,_xlop.significance,_xlop.constant,_xlop.trend, _xlfn.LET( _xlpm.significance,IF(_xlfn.ISOMITTED(_xlpm.significance),FALSE,_xlpm.significance), _xlpm.constant,IF(_xlfn.ISOMITTED(_xlpm.constant),FALSE,_xlpm.constant), _xlpm.trend,IF(_xlfn.ISOMITTED(_xlpm.trend),FALSE,_xlpm.trend), _xlpm.noConstant_noTrend, {-2.56574,-2.22213,-1.941,-1.61682;-2.2358,-1.15384,-0.2686,0.2656;-3.627,-3.4829,-3.365,-2.714;0,17.17265,31.223,25.364}, _xlpm.constant_noTrend, {-3.43035,-3.1175,-2.86154,-256677;-6.5393,-4.53235,-2.8903,-1.5384;-16.786,-9.8824,-4.234,-2.809;-79.433,-57.7669,-40.04,0}, _xlpm.constant_trend, {-3.95877,-3.65722,-3.41049,-3.12705;-9.0531,-6.48862,-4.3904,-2.5856;-28.428,-17.7624,-9.036,-3.925;-134.155,-85.3255,-45.374,-22.38}, _xlpm.matrix, _xlfn.IFS( AND(_xlpm.constant,_xlpm.trend), _xlpm.constant_trend, _xlpm.constant, _xlpm.constant_noTrend, _xlpm.trend, #VALUE!, TRUE, _xlpm.noConstant_noTrend ), _xlpm.colIdx, _xlfn.IFS(_xlpm.significance = 0.01, 1, _xlpm.significance = 0.025, 2, _xlpm.significance = 0.05, 3, _xlpm.significance = 0.1, 4, TRUE, #VALUE!), _xlpm.N, _xlpm.nObs, SLICE(_xlpm.matrix,1,1,_xlpm.colIdx,_xlpm.colIdx) + SLICE(_xlpm.matrix,2,2,_xlpm.colIdx,_xlpm.colIdx)/_xlpm.N + SLICE(_xlpm.matrix,3,3,_xlpm.colIdx,_xlpm.colIdx)/(_xlpm.N^2) + SLICE(_xlpm.matrix,4,4,_xlpm.colIdx,_xlpm.colIdx)/(_xlpm.N^3) ))</definedName>
    <definedName name="DIAG">_xlfn.LAMBDA(_xlpm.matrix,_xlop.k, _xlfn.LET(_xlpm.k,IF(_xlfn.ISOMITTED(_xlpm.k),0,_xlpm.k), IF( AND(ROWS(_xlpm.matrix)&gt;1, COLUMNS(_xlpm.matrix)&gt;1), _xlfn._xlws.FILTER(VEC(_xlpm.matrix),VEC(_xlfn.MAKEARRAY(ROWS(_xlpm.matrix),COLUMNS(_xlpm.matrix),_xlfn.LAMBDA(_xlpm.lin,_xlpm.col,_xlpm.col=(_xlpm.lin+_xlpm.k))))), IF(ROWS(_xlpm.matrix)=1, _xlpm.matrix*_xlfn.MUNIT(COLUMNS(_xlpm.matrix)), IF(COLUMNS(_xlpm.matrix)=1,_xlpm.matrix*_xlfn.MUNIT(ROWS(_xlpm.matrix)) )))) )</definedName>
    <definedName name="DIFF">_xlfn.LAMBDA(_xlpm.values,_xlop.n,_xlop.dim, _xlfn.LET( _xlpm.n, IF( OR( _xlfn.ISOMITTED(_xlpm.n), ISBLANK(_xlpm.n) ), 1, _xlpm.n), _xlpm.dim, IF( OR( _xlfn.ISOMITTED(_xlpm.dim), ISBLANK(_xlpm.dim) ), 1, _xlpm.dim), IF(_xlpm.dim=1, IF(_xlpm.n=0, _xlpm.values, DIFF( SLICE(_xlpm.values,2,-1) - SLICE(_xlpm.values,1,-2), _xlpm.n-1, _xlpm.dim)), IF(_xlpm.dim=2, IF(_xlpm.n=0, _xlpm.values, DIFF( SLICE(_xlpm.values,0,0,2,-1) - SLICE(_xlpm.values,0,0,1,-2), _xlpm.n-1, _xlpm.dim)), "# dim must be either 1 or 2" )) ) )</definedName>
    <definedName name="DIM">_xlfn.LAMBDA(_xlpm.matrix,_xlop.dim, _xlfn.LET(_xlpm.dim, IF(_xlfn.ISOMITTED(_xlpm.dim), 3, _xlpm.dim), CHOOSE(_xlpm.dim, ROWS(_xlpm.matrix), COLUMNS(_xlpm.matrix), VERTCAT(ROWS(_xlpm.matrix),COLUMNS(_xlpm.matrix)))) )</definedName>
    <definedName name="DUMMYVAR">_xlfn.LAMBDA(_xlpm.categories,_xlop.exclude, _xlfn.LET( _xlpm.check, IF( _xlfn.XOR( ROWS(_xlpm.categories)&gt;1, COLUMNS(_xlpm.categories)&gt;1 ), TRUE, FALSE), _xlpm.categories, IF(ROWS(_xlpm.categories)&gt;1, _xlpm.categories, TRANSPOSE(_xlpm.categories) ), _xlpm.uniqueCategories, _xlfn._xlws.SORT( _xlfn.UNIQUE(_xlpm.categories) ), _xlpm.nCategories, COUNTA(_xlpm.uniqueCategories), _xlpm.matrix, 1 * ( REPMAT(_xlpm.categories,1,_xlpm.nCategories)=REPMAT( TRANSPOSE(_xlpm.uniqueCategories),ROWS(_xlpm.categories),1) ), IF( _xlpm.check=FALSE, "# categories must be a 1-column or 1-row vector", IF( OR( _xlfn.ISOMITTED(_xlpm.exclude), _xlpm.exclude = FALSE), _xlpm.matrix, SLICE(_xlpm.matrix, 0, 0, _xlfn._xlws.FILTER(_xlfn.SEQUENCE(1,_xlpm.nCategories), _xlfn.SEQUENCE(1,_xlpm.nCategories)&lt;&gt; (1*_xlpm.exclude) ), 0) ) ) ) )</definedName>
    <definedName name="EIGENVALUES">_xlfn.LAMBDA(_xlpm.matrix,_xlop.numIter,_xlop.order, _xlfn.LET( _xlpm.nCols, COLUMNS(_xlpm.matrix), _xlpm.numIter,IF(OR(_xlfn.ISOMITTED(_xlpm.numIter), ISBLANK(_xlpm.numIter)), 20, _xlpm.numIter), _xlpm.order,IF(_xlfn.ISOMITTED(_xlpm.order), 1, _xlpm.order), _xlpm.candIter, _xlfn.REDUCE(FACTORIZE_QR(_xlpm.matrix), _xlfn.SEQUENCE(_xlpm.numIter),_xlfn.LAMBDA(_xlpm.accum,_xlpm.x, FACTORIZE_QR( MMULT(_xlfn.TAKE(_xlpm.accum,, IF(ISEVEN(_xlpm.x),-1,1)*_xlpm.nCols), _xlfn.TAKE(_xlpm.accum,,-IF(ISEVEN(_xlpm.x),-1,1)*_xlpm.nCols)) ) )), _xlpm.vals, DIAG(_xlfn.TAKE(_xlpm.candIter,,-_xlpm.nCols)), _xlfn.SWITCH(_xlpm.order, 1, _xlfn._xlws.SORT(_xlpm.vals,,1), -1, _xlfn._xlws.SORT(_xlpm.vals,,-1), 2, _xlfn.SORTBY(_xlpm.vals, MATCH(ABS(_xlpm.vals), _xlfn._xlws.SORT(ABS(_xlpm.vals)),0)), -2, _xlfn.SORTBY(_xlpm.vals, MATCH(ABS(_xlpm.vals), _xlfn._xlws.SORT(ABS(_xlpm.vals), ,-1 ),0))) ))</definedName>
    <definedName name="EIGENVECTORS">_xlfn.LAMBDA(_xlpm.matrix,_xlop.numIter,_xlop.normalized,_xlop.order,_xlfn.LET( _xlpm.norm, ROWS(_xlpm.matrix)*MAX(ABS(_xlpm.matrix)), _xlpm.numIter,IF(OR(_xlfn.ISOMITTED(_xlpm.numIter), ISBLANK(_xlpm.numIter)), 20, _xlpm.numIter), _xlpm.normalized,IF(_xlfn.ISOMITTED(_xlpm.normalized), FALSE, _xlpm.normalized), _xlpm.order,IF(_xlfn.ISOMITTED(_xlpm.order), 1, _xlpm.order), _xlpm.eigVals, EIGENVALUES(_xlpm.matrix,_xlpm.numIter,_xlpm.order), _xlpm.n, ROWS(_xlpm.matrix), _xlpm.eigVecs, _xlfn.MAKEARRAY(_xlpm.n,_xlpm.n, _xlfn.LAMBDA(_xlpm.row,_xlpm.col, _xlfn.LET(_xlpm.eigMatrix, _xlpm.matrix-INDEX(_xlpm.eigVals,_xlpm.col)*_xlfn.MUNIT(ROWS(_xlpm.matrix)), _xlpm.eigVector, _xlfn.VSTACK(1, MMULT( MINVERSE( _xlfn.DROP(_xlpm.eigMatrix,1,1) ), -_xlfn.DROP(INDEX(_xlpm.eigMatrix,0,1),1) ) ), INDEX(_xlpm.eigVector,_xlpm.row) )) ), _xlpm.normEigVecs, _xlfn.MAKEARRAY(_xlpm.n, _xlpm.n, _xlfn.LAMBDA(_xlpm.row,_xlpm.col, INDEX(_xlpm.eigVecs, _xlpm.row, _xlpm.col)/MNORM(INDEX(_xlpm.eigVecs,0,_xlpm.col), 2))), IF(_xlpm.normalized, _xlpm.normEigVecs, _xlpm.eigVecs) ))</definedName>
    <definedName name="ENDSWITH">_xlfn.LAMBDA(_xlpm.text,_xlpm.sequence,_xlop.start_num,_xlop.case_sensitive, _xlfn.LET( _xlpm.start_num, IF(_xlfn.ISOMITTED(_xlpm.start_num), 1,_xlpm.start_num), _xlpm.case_sensistive, IF(_xlfn.ISOMITTED(case_sensistive), FALSE, _xlpm.case_sensitive), CONTAINS(RIGHT(MID(_xlpm.text, 1, LEN(_xlpm.text) - _xlpm.start_num + 1), LEN(_xlpm.sequence)), _xlpm.sequence, 1, _xlpm.case_sensistive) ))</definedName>
    <definedName name="EVALS">_xlfn.LAMBDA(_xlpm.expression, EVALUATE(_xlpm.expression))</definedName>
    <definedName name="EYE">_xlfn.LAMBDA(_xlpm.n,_xlop.m, _xlfn.LET(_xlpm.m, IF(_xlfn.ISOMITTED(_xlpm.m),_xlpm.n,_xlpm.m), IF(_xlpm.n=_xlpm.m,_xlfn.MUNIT(_xlpm.n),HORZCAT(_xlfn.MUNIT(_xlpm.n),ZEROS(_xlpm.n,_xlpm.m-_xlpm.n)))))</definedName>
    <definedName name="FACTORIZE_CHOL">_xlfn.LAMBDA(_xlpm.matrix,_xlop.returnObject,_xlop.lastCol,_xlop.originalMatrix, _xlfn.LET( _xlpm.returnObject, IF(OR(_xlfn.ISOMITTED(_xlpm.returnObject), ISBLANK(_xlpm.returnObject)), "L", _xlpm.returnObject), _xlpm.lastRow, IF(_xlfn.ISOMITTED(lastRow), 1, lastRow), _xlpm.lastCol, IF(_xlfn.ISOMITTED(_xlpm.lastCol), 1, _xlpm.lastCol), _xlpm.lowerMatrix, IF(_xlfn.ISOMITTED(_xlpm.originalMatrix), ZEROS(ROWS(_xlpm.matrix),COLUMNS(_xlpm.matrix)), _xlpm.matrix), _xlpm.originalMatrix, IF(_xlfn.ISOMITTED(_xlpm.originalMatrix), _xlpm.matrix, _xlpm.originalMatrix), _xlpm.newMatrix, _xlfn.REDUCE(_xlpm.lowerMatrix, _xlfn.SEQUENCE(ROWS(_xlpm.matrix)), _xlfn.LAMBDA(_xlpm.accum,_xlpm.row, IF(AND(_xlpm.lastCol=1,_xlpm.row=1), SLICE(_xlpm.accum, _xlpm.row, _xlpm.row, _xlpm.lastCol, _xlpm.lastCol, SQRT( INDEX(_xlpm.originalMatrix,1,1) ) ), IF(AND(_xlpm.lastCol=1, _xlpm.row&gt;1), SLICE(_xlpm.accum, _xlpm.row, _xlpm.row, _xlpm.lastCol, _xlpm.lastCol, INDEX(_xlpm.originalMatrix,_xlpm.row,1) / SQRT( INDEX(_xlpm.originalMatrix,1,1) ) ), IF(AND(_xlpm.lastCol&gt;1, _xlpm.row&lt;_xlpm.lastCol), SLICE(_xlpm.accum, _xlpm.row, _xlpm.row, _xlpm.lastCol, _xlpm.lastCol, 0 ), IF(AND(_xlpm.lastCol&gt;1, _xlpm.row=_xlpm.lastCol), SLICE(_xlpm.accum, _xlpm.row, _xlpm.row, _xlpm.lastCol, _xlpm.lastCol, SQRT( INDEX(_xlpm.originalMatrix,_xlpm.lastCol,_xlpm.lastCol) - SUM(INDEX(_xlpm.accum, _xlpm.lastCol, _xlfn.SEQUENCE(1, _xlpm.lastCol-1))^2) ) ), IF(AND(_xlpm.lastCol&gt;1, _xlpm.row&gt;_xlpm.lastCol), SLICE(_xlpm.accum, _xlpm.row, _xlpm.row, _xlpm.lastCol, _xlpm.lastCol, (INDEX(_xlpm.originalMatrix, _xlpm.row, _xlpm.lastCol) - SUM( _xlfn.MAP(INDEX(_xlpm.accum, _xlpm.row, _xlfn.SEQUENCE(1, _xlpm.lastCol-1)), _xlfn.LAMBDA(_xlpm.val, IMCONJUGATE(_xlpm.val))) * _xlfn.MAP(INDEX(_xlpm.accum, _xlpm.lastCol, _xlfn.SEQUENCE(1, _xlpm.lastCol-1)), _xlfn.LAMBDA(_xlpm.val, IMCONJUGATE(_xlpm.val))) )) / INDEX(_xlpm.accum,_xlpm.lastCol,_xlpm.lastCol) ), ))))) )), IF(NOT(_xlpm.lastCol=COLUMNS(_xlpm.matrix)), FACTORIZE_CHOL(_xlpm.newMatrix, _xlpm.returnObject,_xlpm.lastCol+1, _xlpm.originalMatrix), IFERROR(_xlfn.SWITCH(_xlpm.returnObject, "L", _xlpm.newMatrix, "U", TRANSPOSE(_xlpm.newMatrix), "LU", _xlfn.HSTACK(_xlpm.newMatrix, TRANSPOSE(_xlpm.newMatrix))), "#ERROR: matrix must be positive-definite")) ))</definedName>
    <definedName name="FACTORIZE_QR">_xlfn.LAMBDA(_xlpm.matrix,_xlop.returnObject,_xlop.lastCol,_xlop.normalize,_xlop.originalMatrix,_xlfn.LET(_xlpm.returnObject, IF(OR(_xlfn.ISOMITTED(_xlpm.returnObject), ISBLANK(_xlpm.returnObject)), "QR", _xlpm.returnObject), _xlpm.lastCol, IF(OR(_xlfn.ISOMITTED(_xlpm.lastCol), ISBLANK(_xlpm.lastCol)), 1, _xlpm.lastCol), _xlpm.normalize, IF(OR(_xlfn.ISOMITTED(_xlpm.normalize), ISBLANK(_xlpm.normalize)), TRUE, _xlpm.normalize), _xlpm.originalMatrix, IF(OR(_xlfn.ISOMITTED(_xlpm.originalMatrix), ISBLANK(_xlpm.originalMatrix)), _xlpm.matrix, _xlpm.originalMatrix), _xlpm.newMatrix, _xlfn.MAKEARRAY(ROWS(_xlpm.matrix), ROWS(_xlpm.matrix), _xlfn.LAMBDA(_xlpm.r,_xlpm.c, IF(_xlpm.c &lt; _xlpm.lastCol, INDEX(_xlpm.matrix, _xlpm.r, _xlpm.c), IF(AND(_xlpm.c = _xlpm.lastCol, _xlpm.normalize), INDEX(_xlpm.matrix, _xlpm.r, _xlpm.c) / MNORM(INDEX(_xlpm.matrix, , _xlpm.c), 2), IF(AND(_xlpm.c = _xlpm.lastCol, _xlpm.normalize = FALSE), INDEX(INDEX(_xlpm.matrix, , _xlpm.c) - _xlfn.REDUCE(0, _xlfn.SEQUENCE(_xlpm.lastCol - 1), _xlfn.LAMBDA(_xlpm.accum,_xlpm.x, _xlpm.accum + SUM(INDEX(_xlpm.matrix, , _xlpm.c) * INDEX(_xlpm.matrix, , _xlpm.x)) * INDEX(_xlpm.matrix, , _xlpm.x))), _xlpm.r, 1), IF(_xlpm.c &gt; COLUMNS(_xlpm.originalMatrix), 1, INDEX(_xlpm.matrix, _xlpm.r, _xlpm.c))))))), IF(NOT(AND(_xlpm.lastCol = COLUMNS(_xlpm.matrix), _xlpm.normalize)), IF(_xlpm.normalize, FACTORIZE_QR(_xlpm.newMatrix, _xlpm.returnObject, _xlpm.lastCol + 1, FALSE, _xlpm.originalMatrix), FACTORIZE_QR(_xlpm.newMatrix, _xlpm.returnObject, _xlpm.lastCol, TRUE, _xlpm.originalMatrix)), _xlfn.LET(_xlpm.Q, _xlpm.newMatrix, _xlpm.R, _xlfn.MAKEARRAY(ROWS(_xlpm.matrix), COLUMNS(_xlpm.originalMatrix), _xlfn.LAMBDA(_xlpm.r,_xlpm.c, IF(AND(_xlpm.r &gt; 1, _xlpm.r &gt; _xlpm.c), 0, SUM(INDEX(_xlpm.originalMatrix, , _xlpm.c) * INDEX(_xlpm.Q, , _xlpm.r))))), _xlpm.adjustedQ, MMULT(_xlpm.Q, DIAG(SIGN(DIAG(_xlpm.Q)))), _xlpm.adjustedR, MMULT(DIAG(SIGN(DIAG(_xlpm.Q))), _xlpm.R), _xlfn.SWITCH(_xlpm.returnObject, "QR", _xlfn.HSTACK(_xlpm.adjustedQ, _xlpm.adjustedR), "Q", _xlpm.adjustedQ, "R", _xlpm.adjustedR)))))</definedName>
    <definedName name="FILLMISSING">_xlfn.LAMBDA(_xlpm.matrix,_xlpm.filling, _xlfn.MAP(_xlpm.matrix, _xlfn.LAMBDA(_xlpm.item, IF(OR(ISERROR(_xlpm.item), ISBLANK(_xlpm.item)),_xlpm.filling,_xlpm.item))) )</definedName>
    <definedName name="FLIPLR">_xlfn.LAMBDA(_xlpm.matrix,_xlop.nSize,_xlfn.LET( _xlpm.nSize,IF(OR(_xlfn.ISOMITTED(_xlpm.nSize), ISBLANK(_xlpm.nSize)),1,_xlpm.nSize), _xlpm.nLins,ROWS(_xlpm.matrix),_xlpm.nCols,COLUMNS(_xlpm.matrix), _xlfn.CHOOSECOLS(_xlpm.matrix, _xlfn.MAKEARRAY(1,_xlpm.nCols, _xlfn.LAMBDA(_xlpm.lin,_xlpm.col, _xlpm.nSize*ROUNDDOWN((_xlpm.nCols - _xlpm.col)/_xlpm.nSize,0) + _xlfn.SWITCH(MOD(_xlpm.col,_xlpm.nSize),0,_xlpm.nSize,MOD(_xlpm.col,_xlpm.nSize))  )) )))</definedName>
    <definedName name="FLIPUD">_xlfn.LAMBDA(_xlpm.matrix,_xlop.nSize,_xlfn.LET( _xlpm.nSize,IF(OR(_xlfn.ISOMITTED(_xlpm.nSize), ISBLANK(_xlpm.nSize)),1,_xlpm.nSize), _xlpm.nLins,ROWS(_xlpm.matrix),_xlpm.nCols,COLUMNS(_xlpm.matrix), _xlfn.CHOOSEROWS(_xlpm.matrix, _xlfn.MAKEARRAY(_xlpm.nLins,1, _xlfn.LAMBDA(_xlpm.lin,_xlpm.col, _xlpm.nSize*ROUNDDOWN((_xlpm.nLins - _xlpm.lin)/_xlpm.nSize,0) + _xlfn.SWITCH(MOD(_xlpm.lin,_xlpm.nSize),0,_xlpm.nSize,MOD(_xlpm.lin,_xlpm.nSize))  )) )))</definedName>
    <definedName name="FZERO">_xlfn.LAMBDA(_xlpm.expression,_xlop.xMin,_xlop.xMax,_xlop.xStep, _xlfn.LET( _xlpm.expression, LOWER(_xlpm.expression), _xlpm.nExp, _xlfn.LAMBDA(_xlpm.x, EVALS(SUBSTITUTE(_xlpm.expression, "x", _xlpm.x))), _xlpm.defRange, 1, _xlpm.xMin,IF(OR(_xlfn.ISOMITTED(_xlpm.xMin), ISBLANK(_xlpm.xMin)), -_xlpm.defRange, _xlpm.xMin), _xlpm.xMax,IF(OR(_xlfn.ISOMITTED(_xlpm.xMax), ISBLANK(_xlpm.xMax)), _xlpm.defRange, _xlpm.xMax), _xlpm.xStep,IF(OR(_xlfn.ISOMITTED(_xlpm.xStep), ISBLANK(_xlpm.xStep)), _xlpm.defRange/500, _xlpm.xStep), _xlpm.candX, _xlpm.xMin + _xlpm.xStep * _xlfn.SEQUENCE((_xlpm.xMax-_xlpm.xMin)/_xlpm.xStep + 1,1, 0), _xlpm.results, _xlfn.MAP(_xlpm.candX, _xlfn.LAMBDA(_xlpm.x, _xlpm.nExp(_xlpm.x))), _xlpm.signChgs, _xlfn.MAKEARRAY(ROWS(_xlpm.results),1,_xlfn.LAMBDA(_xlpm.row,_xlpm.col,IF(_xlpm.row=1,1,IF(OR(SIGN(INDEX(_xlpm.results,_xlpm.row,1)) = 0, SIGN(INDEX(_xlpm.results,_xlpm.row,1)) = -SIGN(INDEX(_xlpm.results,_xlpm.row-1,1))), -1, 1) ))), INDEX(_xlpm.candX, NOZERO(_xlpm.signChgs=-1), 1) ))</definedName>
    <definedName name="GET">_xlfn.LAMBDA(_xlpm.matrix,_xlpm.position,_xlop.patch,_xlop.remove,_xlop.rowsToCols, _xlfn.LET( _xlpm.nRows, ROWS(_xlpm.matrix), _xlpm.nCols, COLUMNS(_xlpm.matrix), _xlpm.remove, IF(_xlfn.ISOMITTED(_xlpm.remove), FALSE,_xlpm.remove), _xlpm.rowsToCols, IF(_xlfn.ISOMITTED(_xlpm.rowsToCols), TRUE, _xlpm.rowsToCols), IF(_xlfn.ISOMITTED(_xlpm.patch), IF(_xlpm.remove=FALSE, IF(AND(_xlpm.nRows&gt;1,_xlpm.nCols&gt;1),INDEX(VEC(_xlpm.matrix,_xlpm.rowsToCols),_xlpm.position,1), IF(_xlpm.nRows&gt;1, INDEX(_xlpm.matrix,_xlpm.position,1), INDEX(_xlpm.matrix,1,_xlpm.position) )), IF(AND(_xlpm.nRows&gt;1,_xlpm.nCols&gt;1),SLICE(VEC(_xlpm.matrix,_xlpm.rowsToCols),_xlpm.position,_xlpm.position,1,1,,TRUE), IF(_xlpm.nRows&gt;1, SLICE(_xlpm.matrix,_xlpm.position,_xlpm.position,1,1,,TRUE), SLICE(_xlpm.matrix,1,1,_xlpm.position,_xlpm.position,,TRUE) )) ), IF(AND(_xlpm.nRows&gt;1,_xlpm.nCols&gt;1),SLICE(VEC(_xlpm.matrix,_xlpm.rowsToCols),_xlpm.position,_xlpm.position,1,1,_xlpm.patch), IF(_xlpm.nRows&gt;1, SLICE(_xlpm.matrix,_xlpm.position,_xlpm.position,1,1,_xlpm.patch), SLICE(_xlpm.matrix,1,1,_xlpm.position,_xlpm.position,_xlpm.patch) )) )))</definedName>
    <definedName name="GRANGER">_xlfn.LAMBDA(_xlpm.predicted,_xlpm.predictors,_xlpm.nLags,_xlop.returnPValue, _xlfn.LET( _xlpm.returnPValue, IF( _xlfn.ISOMITTED(_xlpm.returnPValue), TRUE, FALSE), _xlpm.dataRestrictedBeforeCleaning, HORZCAT(_xlpm.predicted, ADDCONST( LAG(_xlpm.predicted, _xlpm.nLags, TRUE, TRUE) ) ), _xlpm.dataUnrestrictedBeforeCleaning, HORZCAT( _xlpm.dataRestrictedBeforeCleaning, LAG(_xlpm.predictors, _xlpm.nLags, TRUE, TRUE) ), _xlpm.dataUnrestricted, RMMISSING(_xlpm.dataUnrestrictedBeforeCleaning, 1), _xlpm.dataRestricted, SLICE( _xlpm.dataUnrestricted, 0, 0, 1, 2 + _xlpm.nLags ), _xlpm.sumSquaredResidRes, SUM(OLS_RESIDUALS( SLICE(_xlpm.dataRestricted, 0, 0, 1, 1), SLICE(_xlpm.dataRestricted, 0, 0, 2, -1) )^2), _xlpm.sumSquaredResidUnr, SUM(OLS_RESIDUALS( SLICE(_xlpm.dataUnrestricted, 0, 0, 1, 1), SLICE(_xlpm.dataUnrestricted, 0, 0, 2, -1) )^2), _xlpm.m, _xlpm.nLags, _xlpm.n, DIM(_xlpm.dataUnrestricted,1), _xlpm.k, 1 + 2* _xlpm.nLags, _xlpm.Fstat, ( (_xlpm.sumSquaredResidRes - _xlpm.sumSquaredResidUnr)/ _xlpm.m) / (_xlpm.sumSquaredResidUnr / (_xlpm.n-_xlpm.k) ), _xlpm.pValue, FDIST(_xlpm.Fstat, _xlpm.m, _xlpm.n-_xlpm.k), IF(_xlpm.returnPValue, _xlpm.pValue, _xlpm.Fstat) ))</definedName>
    <definedName name="HASCONST">_xlfn.LAMBDA(_xlpm.matrix,_xlop.dim,_xlop.hasHeader, _xlfn.LET( _xlpm.dim, IF(OR(_xlfn.ISOMITTED(_xlpm.dim),ISBLANK(_xlpm.dim)), 1, _xlpm.dim), _xlpm.hasHeader, IF(OR(_xlfn.ISOMITTED(_xlpm.hasHeader),ISBLANK(_xlpm.hasHeader)), FALSE, _xlpm.hasHeader), IF(_xlpm.dim=1, SUM(1*_xlfn.BYCOL(INDEX(_xlpm.matrix,1+1*_xlpm.hasHeader,0)=_xlfn.DROP(_xlpm.matrix,1*_xlpm.hasHeader), _xlfn.LAMBDA(_xlpm.col, SUM(1*_xlpm.col)=ROWS(_xlpm.col))))&gt;=1, SUM(1*_xlfn.BYROW(INDEX(_xlpm.matrix,0,1+1*_xlpm.hasHeader)=_xlfn.DROP(_xlpm.matrix,0,1*_xlpm.hasHeader), _xlfn.LAMBDA(_xlpm.row, SUM(1*_xlpm.row)=COLUMNS(_xlpm.row))))&gt;=1 ) ))</definedName>
    <definedName name="HORZCAT" comment="Concatenate arrays horizontally">_xlfn.LAMBDA(_xlpm.matrixA,_xlpm.matrixB, _xlfn.LET( _xlpm.LinsA, IFERROR(ROWS(_xlpm.matrixA), 1), _xlpm.LinsB, IFERROR(ROWS(_xlpm.matrixB), 1), _xlpm.ColsA, IFERROR(COLUMNS(_xlpm.matrixA), 1), _xlpm.ColsB, IFERROR(COLUMNS(_xlpm.matrixB), 1), _xlpm.DataC, INDEX(_xlpm.matrixA, _xlfn.SEQUENCE(MAX(_xlpm.LinsA,_xlpm.LinsB)), _xlfn.SEQUENCE(1,_xlpm.ColsA) ), _xlpm.DataD, INDEX(_xlpm.matrixB, _xlfn.SEQUENCE(MAX(_xlpm.LinsA,_xlpm.LinsB)), _xlfn.SEQUENCE(1,_xlpm.ColsB) ), _xlpm.NumRows, ROWS(_xlpm.DataC), _xlpm.SeqCol, _xlfn.SEQUENCE( _xlpm.NumRows ), _xlpm.SeqRow, _xlfn.SEQUENCE(1, _xlpm.ColsA + _xlpm.ColsB), _xlfn.IFS(_xlfn.ISOMITTED(_xlpm.matrixA), _xlpm.matrixB, _xlfn.ISOMITTED(_xlpm.matrixB), _xlpm.matrixA, TRUE, IF( _xlpm.SeqRow &lt;= _xlpm.ColsA, INDEX( _xlpm.DataC, _xlpm.SeqCol,_xlpm.SeqRow), INDEX( _xlpm.DataD, _xlpm.SeqCol, _xlpm.SeqRow-_xlpm.ColsA ) ) ) ) )</definedName>
    <definedName name="HORZCAT_EX">_xlfn.LAMBDA(_xlpm.matrixA,_xlpm.matrixB,_xlpm.excludeValue, _xlfn.LET( _xlpm.testA, ALL(_xlpm.matrixA=_xlpm.excludeValue), _xlpm.testB, ALL(_xlpm.matrixB=_xlpm.excludeValue), _xlfn.IFS(AND(_xlpm.testA,_xlpm.testB), NA(), _xlpm.testA, _xlpm.matrixB, _xlpm.testB, _xlpm.matrixA, TRUE, HORZCAT(_xlpm.matrixA,_xlpm.matrixB)) ))</definedName>
    <definedName name="HPFILTER">_xlfn.LAMBDA(_xlpm.values,_xlpm.lambda,_xlop.trendCycle, _xlfn.LET( _xlpm.trendCycle, IF( _xlfn.ISOMITTED(_xlpm.trendCycle), "t", LOWER(_xlpm.trendCycle) ),  _xlpm.ident, EYE(LENGTH(_xlpm.values)),  _xlpm.pentad0, VERTCAT( VERTCAT( {1;5;6}, 6 * ONES(LENGTH(_xlpm.values) - 6,1)), {6;5;1} ),  _xlpm.pentad1, VERTCAT( VERTCAT( {-2;-4}, -4 * ONES(LENGTH(_xlpm.values) - 5,1)), {-4;-2} ),  _xlpm.pentad2, ONES(LENGTH(_xlpm.values) - 2,1),  _xlpm.pentad, _xlfn.LAMBDA(_xlpm.matrix0,_xlpm.matrix1,_xlpm.matrix2, _xlfn.MAKEARRAY( LENGTH(_xlpm.matrix0), LENGTH(_xlpm.matrix0), _xlfn.LAMBDA(_xlpm.row,_xlpm.col, IF( _xlpm.row = _xlpm.col, INDEX(_xlpm.matrix0,_xlpm.row,1), IF( OR(_xlpm.row=_xlpm.col+1, _xlpm.col=_xlpm.row+1), INDEX(_xlpm.matrix1, MIN(_xlpm.row,_xlpm.col),1), IF( OR(_xlpm.row=_xlpm.col+2, _xlpm.col=_xlpm.row+2), INDEX(_xlpm.matrix2, MIN(_xlpm.row,_xlpm.col),1), 0 ) ) ) )  ) )(_xlpm.pentad0,_xlpm.pentad1,_xlpm.pentad2),  _xlpm.trend, MMULT( MINVERSE( _xlpm.lambda * _xlpm.pentad + _xlpm.ident), _xlpm.values),  IF(_xlpm.trendCycle = "t", _xlpm.trend, IF(_xlpm.trendCycle = "c", _xlpm.values - _xlpm.trend, "#trendCycle must be either ""t"" or ""c""") ) ) )</definedName>
    <definedName name="IORDER">_xlfn.LAMBDA(_xlpm.values,_xlop.automatic,_xlop.nLags,_xlop.significance,_xlop.maxDiffs, _xlfn.LET( _xlpm.automatic, IF(_xlfn.ISOMITTED(_xlpm.automatic), FALSE, _xlpm.automatic), _xlpm.nLags,IF(_xlfn.ISOMITTED(_xlpm.nLags), 0, _xlpm.nLags), _xlpm.significance, IF(_xlfn.ISOMITTED(_xlpm.significance), FALSE, _xlpm.significance), _xlpm.constant, FALSE, _xlpm.trend, FALSE, _xlpm.maxDiffs, IF(OR( _xlfn.ISOMITTED(_xlpm.maxDiffs), ISBLANK(_xlpm.maxDiffs)), 2, _xlpm.maxDiffs ), IF(ISSTATIONARY(_xlpm.values, _xlpm.automatic, _xlpm.nLags, _xlpm.significance, _xlpm.constant, _xlpm.trend), 0, IF(_xlpm.maxDiffs = 0, NA(), 1 + IORDER( DIFF(_xlpm.values,1,1), _xlpm.automatic, _xlpm.nLags, _xlpm.significance, _xlpm.maxDiffs - 1) )) ))</definedName>
    <definedName name="ISCOINTEGRATED">_xlfn.LAMBDA(_xlpm.valuesA,_xlpm.valuesB,_xlop.automatic,_xlop.nLags,_xlop.significance,_xlop.maxDiffs, _xlfn.LET( _xlpm.automatic, IF(_xlfn.ISOMITTED(_xlpm.automatic), FALSE, _xlpm.automatic), _xlpm.nLags,IF(_xlfn.ISOMITTED(_xlpm.nLags), 0, _xlpm.nLags), _xlpm.significance, IF(_xlfn.ISOMITTED(_xlpm.significance), FALSE, _xlpm.significance), _xlpm.constant, FALSE, _xlpm.trend, FALSE, _xlpm.maxDiffs, IF(OR( _xlfn.ISOMITTED(_xlpm.maxDiffs), ISBLANK(_xlpm.maxDiffs)), 2, _xlpm.maxDiffs ), _xlpm.orderA, IORDER(_xlpm.valuesA, _xlpm.automatic, _xlpm.nLags, _xlpm.significance, _xlpm.maxDiffs), _xlpm.orderB, IORDER(_xlpm.valuesB, _xlpm.automatic, _xlpm.nLags, _xlpm.significance, _xlpm.maxDiffs), IF(_xlpm.orderA&lt;&gt;_xlpm.orderB, "# both series must be integrated at the same order: valuesA is I("&amp; _xlpm.orderA &amp; ") and valuesB is I(" &amp; _xlpm.orderB &amp; ")", _xlfn.LET(_xlpm.orderC, IORDER(OLS_RESIDUALS(_xlpm.valuesA, ADDCONST(_xlpm.valuesB)), _xlpm.automatic, _xlpm.nLags, _xlpm.significance, _xlpm.maxDiffs), IF(AND(_xlpm.orderA&gt;_xlpm.orderC, _xlpm.orderB&gt;_xlpm.orderC), TRUE, FALSE) ) )))</definedName>
    <definedName name="ISEMPTY" comment="Test for empty values (cells or not)">_xlfn.LAMBDA(_xlpm.values, LEN(_xlpm.values)=0 )</definedName>
    <definedName name="ISMEMBER">_xlfn.LAMBDA(_xlpm.element,_xlpm.matrix,_xlop.start_num,_xlop.case_sensitive, _xlfn.LET( _xlpm.start_num, IF(_xlfn.ISOMITTED(_xlpm.start_num), 1,_xlpm.start_num), _xlpm.case_sensistive, IF(_xlfn.ISOMITTED(case_sensistive), FALSE, _xlpm.case_sensitive), _xlpm.matrix, _xlfn.DROP(VEC(_xlpm.matrix), _xlpm.start_num - 1, 0), _xlpm.elementFound, NOT(ISERROR(MATCH(_xlpm.element, _xlpm.matrix,0))), IF(_xlpm.elementFound,#REF!( _xlpm.element, INDEX(_xlpm.matrix, MATCH(_xlpm.element, _xlpm.matrix,0)), 1, _xlpm.case_sensistive ), FALSE) ))</definedName>
    <definedName name="ISMULTICOLLINEAR">_xlfn.LAMBDA(_xlpm.matrix,_xlop.returnTest,_xlop.maxInflationVarFactor,_xlop.minEigenvalueCondition,_xlop.maxConditionIndex,_xlop.eigenMin,_xlop.eigenMax,_xlop.eigenStep, _xlfn.LET( _xlpm.returnTest,IF(OR(_xlfn.ISOMITTED(_xlpm.returnTest),ISBLANK(_xlpm.returnTest)), 0, _xlpm.returnTest), _xlpm.maxInflationVarFactor,IF(OR(_xlfn.ISOMITTED(_xlpm.maxInflationVarFactor),ISBLANK(_xlpm.maxInflationVarFactor)), 5, _xlpm.maxInflationVarFactor), _xlpm.minEigenvalueCondition,IF(OR(_xlfn.ISOMITTED(_xlpm.minEigenvalueCondition),ISBLANK(_xlpm.minEigenvalueCondition)), 0.01, _xlpm.minEigenvalueCondition), _xlpm.maxConditionIndex,IF(OR(_xlfn.ISOMITTED(_xlpm.maxConditionIndex),ISBLANK(_xlpm.maxConditionIndex)), 50, _xlpm.maxConditionIndex), _xlpm.inflationFactors, VARINFLATIONFACTOR(INDEX(_xlpm.matrix,,1),_xlfn.DROP(_xlpm.matrix,0,1),TRUE), _xlpm.corrcoef_matrix, CORRCOEF(_xlpm.matrix), _xlpm.eigenvals_list, EIGENVALUES(_xlpm.corrcoef_matrix,_xlpm.eigenMin,_xlpm.eigenMax,_xlpm.eigenStep), _xlpm.min_eigenval, MIN(_xlpm.eigenvals_list), _xlpm.max_eigenval, MAX(_xlpm.eigenvals_list), _xlpm.conditionIndex, SQRT(_xlpm.max_eigenval / _xlpm.min_eigenval), _xlfn.SWITCH(_xlpm.returnTest, 0, MAX(_xlpm.inflationFactors) &gt;= _xlpm.maxInflationVarFactor, 1, _xlpm.min_eigenval &lt;= _xlpm.minEigenvalueCondition, 2, _xlpm.conditionIndex &gt;= _xlpm.maxConditionIndex, "# ReturnTest must be 0/omitted (Inflation Var Factor), 1 (Eigenvalue Condition) or 2 (Condition Index)") ))</definedName>
    <definedName name="ISOUTLIER">_xlfn.LAMBDA(_xlpm.matrix,_xlop.dim,_xlop.method,_xlop.lb,_xlop.ub, _xlfn.LET( _xlpm.dim,IF(_xlfn.ISOMITTED(_xlpm.dim),1,_xlpm.dim), _xlpm.method,IF(_xlfn.ISOMITTED(_xlpm.method),"MAD",_xlpm.method), _xlpm.lb,IF(_xlfn.ISOMITTED(_xlpm.lb),3,_xlpm.lb), _xlpm.ub,IF(_xlfn.ISOMITTED(_xlpm.ub),3,_xlpm.ub), _xlpm.identOut, IF( _xlpm.dim=1, _xlfn.MAKEARRAY(ROWS(_xlpm.matrix),COLUMNS(_xlpm.matrix), _xlfn.LAMBDA(_xlpm.lin,_xlpm.col, _xlfn.LET(_xlpm.coll, RMMISSING(INDEX(_xlpm.matrix,0,_xlpm.col),_xlpm.dim), _xlpm.mad, MEDIAN(ABS(_xlpm.coll-MEDIAN(_xlpm.coll))), OR( (INDEX(_xlpm.matrix,_xlpm.lin,_xlpm.col) - MEDIAN(_xlpm.coll)) &gt; _xlpm.ub*_xlpm.mad, (MEDIAN(_xlpm.coll) - INDEX(_xlpm.matrix,_xlpm.lin,_xlpm.col)) &gt; _xlpm.lb*_xlpm.mad ) ))), _xlfn.MAKEARRAY(ROWS(_xlpm.matrix),COLUMNS(_xlpm.matrix), _xlfn.LAMBDA(_xlpm.lin,_xlpm.col,  _xlfn.LET(_xlpm.linn, RMMISSING(INDEX(_xlpm.matrix,_xlpm.lin,0),_xlpm.dim), _xlpm.mad, MEDIAN(ABS(_xlpm.linn-MEDIAN(_xlpm.linn))), OR( (INDEX(_xlpm.matrix,_xlpm.lin,_xlpm.col) - MEDIAN(_xlpm.linn)) &gt; _xlpm.ub*_xlpm.mad, (MEDIAN(_xlpm.linn) - INDEX(_xlpm.matrix,_xlpm.lin,_xlpm.col)) &gt; _xlpm.lb*_xlpm.mad ) ))) ), _xlpm.identOut ))</definedName>
    <definedName name="ISSTATIONARY">_xlfn.LAMBDA(_xlpm.values,_xlop.automatic,_xlop.nLags,_xlop.significance,_xlop.constant,_xlop.trend, _xlfn.LET( _xlpm.automatic, IF(_xlfn.ISOMITTED(_xlpm.automatic), FALSE, _xlpm.automatic), _xlpm.nLags,IF(_xlfn.ISOMITTED(_xlpm.nLags), 0, _xlpm.nLags), _xlpm.significance, IF(_xlfn.ISOMITTED(_xlpm.significance), FALSE, _xlpm.significance), _xlpm.constant, IF(_xlfn.ISOMITTED(_xlpm.constant), FALSE, _xlpm.constant), _xlpm.trend, IF(_xlfn.ISOMITTED(_xlpm.trend), FALSE, _xlpm.trend ), _xlpm.diffValues_1, SLICE(_xlpm.values,2,-1) - SLICE(_xlpm.values,1,-2), _xlpm.X_noConst, LAG(_xlpm.values,1,FALSE), _xlpm.X_const, ADDCONST(LAG(_xlpm.values,1,FALSE)), _xlpm.X_constTrend, ADDCONST(ADDTREND(LAG(_xlpm.values,1,FALSE))), IF( OR(_xlpm.automatic = "AIC", _xlpm.automatic = "BIC"), _xlfn.LET(_xlpm.tableIC, HORZCAT(HORZCAT( OLS_OPTIMAL_LAG(_xlpm.diffValues_1, _xlpm.X_noConst, _xlpm.nLags, FALSE, _xlpm.automatic, TRUE,TRUE), OLS_OPTIMAL_LAG(_xlpm.diffValues_1, _xlpm.X_const, _xlpm.nLags, FALSE, _xlpm.automatic, TRUE,TRUE)), OLS_OPTIMAL_LAG(_xlpm.diffValues_1, _xlpm.X_constTrend, _xlpm.nLags, FALSE, _xlpm.automatic, TRUE, TRUE)), _xlpm.idxRowAndCol, NOZERO(_xlpm.tableIC=MIN(_xlpm.tableIC),1,"FIRST",TRUE), _xlpm.constant, INDEX(_xlpm.idxRowAndCol,1,2) &gt; 1, _xlpm.trend, INDEX(_xlpm.idxRowAndCol,1,2) &gt; 2, _xlpm.pickedX,  CHOOSE(INDEX(_xlpm.idxRowAndCol,1,2), _xlpm.X_noConst, _xlpm.X_const, _xlpm.X_constTrend), _xlfn.LET( _xlpm.X, HORZCAT( _xlpm.pickedX, LAG(_xlpm.diffValues_1, INDEX(_xlpm.idxRowAndCol,1,1) - 1,TRUE,TRUE) ), _xlpm.testResult, _xlfn.LET(_xlpm.matrix, RMMISSING(HORZCAT(_xlpm.diffValues_1,_xlpm.X)), _xlpm.y, INDEX(_xlpm.matrix,0,1), _xlpm.X, SLICE(_xlpm.matrix,0,0,2,-1),SLICE(OLS_COEFF_TSTAT(_xlpm.y, _xlpm.X),-1,-1) &lt; DFTABLE(LENGTH(_xlpm.values), _xlpm.significance, _xlpm.constant, _xlpm.trend)), _xlpm.testResult )), _xlfn.LET(_xlpm.X, _xlfn.IFS(AND(_xlpm.constant,_xlpm.trend), _xlpm.X_constTrend, _xlpm.constant, _xlpm.X_const, _xlpm.trend, #VALUE!, TRUE, _xlpm.X_noConst ), _xlpm.testResult, _xlfn.LET(_xlpm.matrix, RMMISSING(HORZCAT(_xlpm.diffValues_1,_xlpm.X)), _xlpm.y, INDEX(_xlpm.matrix,0,1), _xlpm.X, SLICE(_xlpm.matrix,0,0,2,-1),SLICE(OLS_COEFF_TSTAT(_xlpm.y, _xlpm.X),-1,-1) &lt; DFTABLE(LENGTH(_xlpm.values), _xlpm.significance, _xlpm.constant, _xlpm.trend)), _xlpm.testResult ))))</definedName>
    <definedName name="ISUNIQUE">_xlfn.LAMBDA(_xlpm.value,_xlpm.matrix, SUM(1*(_xlpm.matrix=_xlpm.value)) = 1 )</definedName>
    <definedName name="LAG">_xlfn.LAMBDA(_xlpm.values,_xlop.nLags,_xlop.fillWithNA,_xlop.allLags,_xlop.descending,_xlop.headerFirstRow, _xlfn.LET( _xlpm.nLags, IF(_xlfn.ISOMITTED(_xlpm.nLags), 1, _xlpm.nLags), _xlpm.fillWithNA, IF(_xlfn.ISOMITTED(_xlpm.fillWithNA), TRUE, _xlpm.fillWithNA ), _xlpm.allLags, IF(_xlfn.ISOMITTED(_xlpm.allLags), FALSE,_xlpm.allLags), _xlpm.descending, IF(_xlfn.ISOMITTED(_xlpm.descending), FALSE, _xlpm.descending), _xlpm.headerFirstRow, IF(_xlfn.ISOMITTED(_xlpm.headerFirstRow), FALSE, _xlpm.headerFirstRow), _xlpm.nCols, COLUMNS(_xlpm.values), _xlpm.headers,IF(_xlpm.headerFirstRow, REPMAT(SLICE(_xlpm.values,1,1) &amp; "_LAG", 1, _xlpm.nLags * LARGE(1*_xlpm.allLags, 1)) &amp; FLIPLR(REPMAT(_xlfn.SEQUENCE(1,_xlpm.nLags * LARGE(1*_xlpm.allLags, 1)),1,_xlpm.nCols, TRUE), _xlpm.nCols), FALSE), _xlpm.values,IF(_xlpm.headerFirstRow,SLICE(_xlpm.values,2,-1),_xlpm.values), _xlpm.resultMatrix, IF( OR( _xlpm.allLags = FALSE, _xlpm.nLags = 1), IF(_xlpm.fillWithNA, VERTCAT( NA()*ONES(_xlpm.nLags,_xlpm.nCols), SLICE(_xlpm.values,1,-_xlpm.nLags-1) ), SLICE(_xlpm.values,1,-_xlpm.nLags-1) ), IF(_xlpm.fillWithNA, HORZCAT( VERTCAT( NA()*ONES(_xlpm.nLags,_xlpm.nCols), SLICE(_xlpm.values,1,-_xlpm.nLags-1) ), LAG(_xlpm.values,_xlpm.nLags-1,_xlpm.fillWithNA,_xlpm.allLags,TRUE) ), HORZCAT(SLICE(_xlpm.values,1,-_xlpm.nLags-1), LAG(_xlpm.values,_xlpm.nLags-1,_xlpm.fillWithNA,_xlpm.allLags,TRUE) ) )), _xlpm.resultMatrixHeaders, IF(_xlpm.headerFirstRow,VERTCAT(_xlpm.headers, _xlpm.resultMatrix), _xlpm.resultMatrix), IF(_xlpm.descending,_xlpm.resultMatrixHeaders,FLIPLR(_xlpm.resultMatrixHeaders, _xlpm.nCols)) ))</definedName>
    <definedName name="LEAD">_xlfn.LAMBDA(_xlpm.values,_xlop.nLeads,_xlop.fillWithNA,_xlop.allLeads,_xlop.descending,_xlop.headerFirstRow, _xlfn.LET( _xlpm.nLeads, IF(_xlfn.ISOMITTED(_xlpm.nLeads), 1, _xlpm.nLeads), _xlpm.fillWithNA, IF(_xlfn.ISOMITTED(_xlpm.fillWithNA), TRUE, _xlpm.fillWithNA ), _xlpm.allLeads, IF(_xlfn.ISOMITTED(_xlpm.allLeads), FALSE,_xlpm.allLeads), _xlpm.descending, IF(_xlfn.ISOMITTED(_xlpm.descending), FALSE, _xlpm.descending), _xlpm.headerFirstRow, IF(_xlfn.ISOMITTED(_xlpm.headerFirstRow), FALSE, _xlpm.headerFirstRow), _xlpm.nCols,COLUMNS(_xlpm.values), _xlpm.headers,IF(_xlpm.headerFirstRow, REPMAT(SLICE(_xlpm.values,1,1) &amp; "_LEAD", 1, _xlpm.nLeads * LARGE(1*_xlpm.allLeads, 1)) &amp; FLIPLR(REPMAT(_xlfn.SEQUENCE(1,_xlpm.nLeads * LARGE(1*_xlpm.allLeads, 1)), 1, _xlpm.nCols, TRUE),_xlpm.nCols), FALSE), _xlpm.values,IF(_xlpm.headerFirstRow,SLICE(_xlpm.values,2,-1),_xlpm.values), _xlpm.resultMatrix, IF( OR( _xlpm.allLeads = FALSE, _xlpm.nLeads = 1), IF(_xlpm.fillWithNA, VERTCAT( SLICE(_xlpm.values,_xlpm.nLeads+1,-1), NA()*ONES(_xlpm.nLeads,_xlpm.nCols) ), SLICE(_xlpm.values,_xlpm.nLeads+1,-1) ), IF(_xlpm.fillWithNA, HORZCAT( VERTCAT( SLICE(_xlpm.values,_xlpm.nLeads+1,-1), NA()*ONES(_xlpm.nLeads,_xlpm.nCols) ), LEAD(_xlpm.values,_xlpm.nLeads-1,_xlpm.fillWithNA,_xlpm.allLeads,TRUE) ), HORZCAT( SLICE(_xlpm.values,_xlpm.nLeads+1,-1),  LEAD(_xlpm.values,_xlpm.nLeads-1,_xlpm.fillWithNA,_xlpm.allLeads,TRUE)  ) )), _xlpm.resultMatrixHeaders, IF(_xlpm.headerFirstRow,VERTCAT(_xlpm.headers, _xlpm.resultMatrix), _xlpm.resultMatrix), IF(_xlpm.descending,_xlpm.resultMatrixHeaders,FLIPLR(_xlpm.resultMatrixHeaders,COLUMNS(_xlpm.values))) ))</definedName>
    <definedName name="LENGTH">_xlfn.LAMBDA(_xlpm.matrix, MAX(ROWS(_xlpm.matrix),COLUMNS(_xlpm.matrix)) )</definedName>
    <definedName name="LINSOLVE">_xlfn.LAMBDA(_xlpm.A,_xlpm.B, _xlfn.LET( _xlpm.QR, FACTORIZE_QR(_xlpm.A), _xlpm.Q, _xlfn.TAKE(_xlpm.QR,,ROWS(_xlpm.QR)), _xlpm.R, _xlfn.TAKE(_xlpm.QR,,-(COLUMNS(_xlpm.QR)-ROWS(_xlpm.QR))), MMULT(MINVERSE(_xlpm.R), MMULT(TRANSPOSE(_xlpm.Q),_xlpm.B)) ) )</definedName>
    <definedName name="LINSPACE">_xlfn.LAMBDA(_xlpm.lb,_xlpm.ub,_xlop.n, _xlfn.LET(_xlpm.n, IF(_xlfn.ISOMITTED(_xlpm.n),100,_xlpm.n), _xlfn.MAKEARRAY(_xlpm.n, 1,_xlfn.LAMBDA(_xlpm.lin,_xlpm.col, _xlpm.lb + (_xlpm.lin-1)*(_xlpm.ub - _xlpm.lb)/(_xlpm.n-1) ))) )</definedName>
    <definedName name="M">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definedName>
    <definedName name="MNORM">_xlfn.LAMBDA(_xlpm.matrix,_xlop.norm,_xlfn.LET( _xlpm.norm,IF(_xlfn.ISOMITTED(_xlpm.norm), 1, _xlpm.norm), SUM(ABS(_xlpm.matrix)^_xlpm.norm)^(1/_xlpm.norm) ))</definedName>
    <definedName name="MOVAVG">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AVERAGE(INDEX(_xlpm.values, _xlfn.SEQUENCE(_xlpm.n,1,_xlpm.row-_xlpm.n+1), _xlpm.col))))) ), _xlpm.dropParam, 0), IF(_xlpm.dim=2, _xlfn.DROP( IF(_xlpm.n=1, _xlpm.values, _xlfn.MAKEARRAY(ROWS(_xlpm.values), COLUMNS(_xlpm.values), _xlfn.LAMBDA(_xlpm.row,_xlpm.col, IF(_xlpm.col &lt; _xlpm.n, NA(), AVERAGE(INDEX(_xlpm.values, _xlpm.row, _xlfn.SEQUENCE(1,_xlpm.n,_xlpm.col-_xlpm.n+1)))))) ), 0, _xlpm.dropParam), "# dim must be either 1 or 2" )) ) )</definedName>
    <definedName name="MOVPROD">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PRODUCT(INDEX(_xlpm.values, _xlfn.SEQUENCE(_xlpm.n,1,_xlpm.row-_xlpm.n+1), _xlpm.col))))) ), _xlpm.dropParam, 0), IF(_xlpm.dim=2, _xlfn.DROP( IF(_xlpm.n=1, _xlpm.values, _xlfn.MAKEARRAY(ROWS(_xlpm.values), COLUMNS(_xlpm.values), _xlfn.LAMBDA(_xlpm.row,_xlpm.col, IF(_xlpm.col &lt; _xlpm.n, NA(), PRODUCT(INDEX(_xlpm.values, _xlpm.row, _xlfn.SEQUENCE(1,_xlpm.n,_xlpm.col-_xlpm.n+1)))))) ), 0, _xlpm.dropParam), "# dim must be either 1 or 2" )) ) )</definedName>
    <definedName name="MOVSUM">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SUM(INDEX(_xlpm.values, _xlfn.SEQUENCE(_xlpm.n,1,_xlpm.row-_xlpm.n+1), _xlpm.col))))) ), _xlpm.dropParam, 0), IF(_xlpm.dim=2, _xlfn.DROP( IF(_xlpm.n=1, _xlpm.values, _xlfn.MAKEARRAY(ROWS(_xlpm.values), COLUMNS(_xlpm.values), _xlfn.LAMBDA(_xlpm.row,_xlpm.col, IF(_xlpm.col &lt; _xlpm.n, NA(), SUM(INDEX(_xlpm.values, _xlpm.row, _xlfn.SEQUENCE(1,_xlpm.n,_xlpm.col-_xlpm.n+1)))))) ), 0, _xlpm.dropParam), "# dim must be either 1 or 2" )) ) )</definedName>
    <definedName name="MULTIFILTER">_xlfn.LAMBDA(_xlpm.array,_xlpm.include,_xlop.if_empty,_xlop.headers, _xlfn.LET( _xlpm.criteriaDelim, ";", _xlpm.if_empty, IF(_xlfn.ISOMITTED(_xlpm.if_empty), NA(), _xlpm.if_empty), _xlpm.headers, IF(_xlfn.ISOMITTED(_xlpm.headers), INDEX(_xlpm.array,1,0), _xlpm.headers), _xlpm.array, IF(_xlfn.ISOMITTED(_xlpm.headers), SLICE(_xlpm.array,2,-1), _xlpm.array), _xlpm.include, _xludf.SPLIT(_xlpm.include, _xlpm.criteriaDelim), _xlpm.actualValue, _xlfn.LAMBDA(_xlpm.value, _xlfn.LET(_xlpm.value,TRIM(_xlpm.value), IF( AND( LEFT(_xlpm.value,1) = """", RIGHT(_xlpm.value,1) = """" ),  MID(_xlpm.value, 2, LEN(_xlpm.value) - 2), VALUE(_xlpm.value) ) ) ), IFERROR( _xlfn.REDUCE(_xlpm.array, _xlpm.include, _xlfn.LAMBDA(_xlpm.accum,_xlpm.criterion,  _xlfn._xlws.FILTER(_xlpm.accum, _xlfn.IFS( NOT(ISERR(SEARCH("&lt;&gt;",_xlpm.criterion))), _xlfn.LET( _xlpm.crit, _xlfn.LAMBDA(_xlpm.idx, INDEX(_xludf.SPLIT(_xlpm.criterion, "&lt;&gt;"),1,_xlpm.idx)), _xlpm.colCrit, MATCH( _xlpm.crit(1), _xlpm.headers, 0 ), INDEX(_xlpm.accum,0,_xlpm.colCrit) &lt;&gt; _xlpm.actualValue(_xlpm.crit(2)) ), NOT(ISERR(SEARCH("&gt;=",_xlpm.criterion))), _xlfn.LET( _xlpm.crit, _xlfn.LAMBDA(_xlpm.idx, INDEX(_xludf.SPLIT(_xlpm.criterion, "&gt;="),1,_xlpm.idx)), _xlpm.colCrit, MATCH( _xlpm.crit(1), _xlpm.headers, 0 ), INDEX(_xlpm.accum,0,_xlpm.colCrit) &gt;= _xlpm.actualValue(_xlpm.crit(2)) ), NOT(ISERR(SEARCH("&lt;=",_xlpm.criterion))), _xlfn.LET( _xlpm.crit, _xlfn.LAMBDA(_xlpm.idx, INDEX(_xludf.SPLIT(_xlpm.criterion, "&lt;="),1,_xlpm.idx)), _xlpm.colCrit, MATCH( _xlpm.crit(1), _xlpm.headers, 0 ), INDEX(_xlpm.accum,0,_xlpm.colCrit) &lt;= _xlpm.actualValue(_xlpm.crit(2)) ), NOT(ISERR(SEARCH("=",_xlpm.criterion))), _xlfn.LET( _xlpm.crit, _xlfn.LAMBDA(_xlpm.idx, INDEX(_xludf.SPLIT(_xlpm.criterion, "="),1,_xlpm.idx)), _xlpm.colCrit, MATCH( _xlpm.crit(1), _xlpm.headers, 0 ), INDEX(_xlpm.accum,0,_xlpm.colCrit) = _xlpm.actualValue(_xlpm.crit(2)) ), NOT(ISERR(SEARCH("&gt;",_xlpm.criterion))), _xlfn.LET( _xlpm.crit, _xlfn.LAMBDA(_xlpm.idx, INDEX(_xludf.SPLIT(_xlpm.criterion, "&gt;"),1,_xlpm.idx)), _xlpm.colCrit, MATCH( _xlpm.crit(1), _xlpm.headers, 0 ), INDEX(_xlpm.accum,0,_xlpm.colCrit) &gt; _xlpm.actualValue(_xlpm.crit(2)) ), NOT(ISERR(SEARCH("&lt;",_xlpm.criterion))), _xlfn.LET( _xlpm.crit, _xlfn.LAMBDA(_xlpm.idx, INDEX(_xludf.SPLIT(_xlpm.criterion, "&lt;"),1,_xlpm.idx)), _xlpm.colCrit, MATCH( _xlpm.crit(1), _xlpm.headers, 0 ), INDEX(_xlpm.accum,0,_xlpm.colCrit) &lt; _xlpm.actualValue(_xlpm.crit(2)) ) ) ))), _xlpm.if_empty) ) )</definedName>
    <definedName name="NNZ">_xlfn.LAMBDA(_xlpm.matrix, COUNTA(_xlpm.matrix) - SUM(IF(_xlpm.matrix=FALSE,1,0)) - SUM(IF(_xlpm.matrix=0,1,0)) )</definedName>
    <definedName name="NOZERO">_xlfn.LAMBDA(_xlpm.matrix,_xlop.n,_xlop.direction,_xlop.returnRowAndCol, _xlfn.LET( _xlpm.n, IF(OR(_xlfn.ISOMITTED(_xlpm.n),_xlpm.n&lt;1), ROWS(_xlpm.matrix)*COLUMNS(_xlpm.matrix),_xlpm.n), _xlpm.direction, IF(_xlfn.ISOMITTED(_xlpm.direction), "first", LOWER(_xlpm.direction) ), _xlpm.returnRowAndCol, IF(_xlfn.ISOMITTED(_xlpm.returnRowAndCol), FALSE, _xlpm.returnRowAndCol), _xlpm.vecMatrix, 1*(VEC(_xlpm.matrix)*1&lt;&gt;0), _xlpm.nElems, SUM(_xlpm.vecMatrix), IF(_xlpm.nElems = 0, NA(), _xlfn.LET( _xlpm.filtered, _xlfn._xlws.FILTER(_xlfn.SEQUENCE(ROWS(_xlpm.matrix)*COLUMNS(_xlpm.matrix)),_xlpm.vecMatrix), _xlpm.filteredOrdered, IF(_xlpm.direction = "first", _xlpm.filtered, IF( _xlpm.direction = "last", FLIPUD(_xlpm.filtered), #VALUE!) ), _xlfn.LET(_xlpm.idxs, INDEX( _xlpm.filteredOrdered, _xlfn.SEQUENCE( MIN(COUNTA(_xlpm.filteredOrdered),_xlpm.n) ), 0 ), IF(_xlpm.returnRowAndCol, HORZCAT( IF(MOD(_xlpm.idxs,ROWS(_xlpm.matrix))=0,ROWS(_xlpm.matrix),MOD(_xlpm.idxs,ROWS(_xlpm.matrix))), ROUNDUP(_xlpm.idxs/COLUMNS(_xlpm.matrix),0) ), _xlpm.idxs) )))))</definedName>
    <definedName name="NUMEL">_xlfn.LAMBDA(_xlpm.matrix, ROWS(_xlpm.matrix)*COLUMNS(_xlpm.matrix) )</definedName>
    <definedName name="OLS_AIC">_xlfn.LAMBDA(_xlpm.y,_xlpm.X,_xlop.coeff,_xlfn.LET(_xlpm.bbeta, IF(_xlfn.ISOMITTED(_xlpm.coeff), OLS_COEFF(_xlpm.y,_xlpm.X), VEC(_xlpm.coeff)), 2*DIM(_xlpm.X,2) - 2*OLS_LOGLIKELIHOOD(_xlpm.y,_xlpm.X,_xlpm.coeff)  ))</definedName>
    <definedName name="OLS_BIC">_xlfn.LAMBDA(_xlpm.y,_xlpm.X,_xlop.coeff,_xlfn.LET(_xlpm.bbeta, IF(_xlfn.ISOMITTED(_xlpm.coeff), OLS_COEFF(_xlpm.y,_xlpm.X), VEC(_xlpm.coeff)), DIM(_xlpm.X,2)*LN(LENGTH(_xlpm.y)) - 2*OLS_LOGLIKELIHOOD(_xlpm.y,_xlpm.X,_xlpm.coeff)  ))</definedName>
    <definedName name="OLS_COEFF">_xlfn.LAMBDA(_xlpm.y,_xlpm.X,_xlfn.LET( _xlpm.XX, MINVERSE(MMULT(TRANSPOSE(_xlpm.X),_xlpm.X)), _xlpm.XY, MMULT(TRANSPOSE(_xlpm.X),_xlpm.y), MMULT(_xlpm.XX,_xlpm.XY)))</definedName>
    <definedName name="OLS_COEFF_PVALUE">_xlfn.LAMBDA(_xlpm.y,_xlpm.X,_xlop.coeff,_xlfn.LET(_xlpm.bbeta, IF(_xlfn.ISOMITTED(_xlpm.coeff), OLS_COEFF(_xlpm.y,_xlpm.X), VEC(_xlpm.coeff)), _xlpm.tstat, _xlpm.bbeta / DIAG(SQRT(OLS_VARCOV(_xlpm.y,_xlpm.X,_xlpm.coeff))), _xlfn.T.DIST.2T(ABS(_xlpm.tstat), LENGTH(_xlpm.y) - DIM(_xlpm.X,2) )))</definedName>
    <definedName name="OLS_COEFF_PVALUE_HAC">_xlfn.LAMBDA(_xlpm.y,_xlpm.X,_xlop.coeff,_xlfn.LET(_xlpm.bbeta, IF(_xlfn.ISOMITTED(_xlpm.coeff), OLS_COEFF(_xlpm.y,_xlpm.X), VEC(_xlpm.coeff)), _xlpm.tstat, _xlpm.bbeta / DIAG(SQRT(OLS_VARCOV_HAC(_xlpm.y,_xlpm.X,_xlpm.coeff))), _xlfn.T.DIST.2T(ABS(_xlpm.tstat), LENGTH(_xlpm.y) - DIM(_xlpm.X,2) )))</definedName>
    <definedName name="OLS_COEFF_STDEV">_xlfn.LAMBDA(_xlpm.y,_xlpm.X,_xlop.coeff,_xlfn.LET(_xlpm.bbeta, IF(_xlfn.ISOMITTED(_xlpm.coeff), OLS_COEFF(_xlpm.y,_xlpm.X), VEC(_xlpm.coeff)), DIAG(SQRT(OLS_VARCOV(_xlpm.y,_xlpm.X,_xlpm.coeff))) ))</definedName>
    <definedName name="OLS_COEFF_STDEV_HAC">_xlfn.LAMBDA(_xlpm.y,_xlpm.X,_xlop.coeff,_xlfn.LET(_xlpm.bbeta, IF(_xlfn.ISOMITTED(_xlpm.coeff), OLS_COEFF(_xlpm.y,_xlpm.X), VEC(_xlpm.coeff)), DIAG(SQRT(OLS_VARCOV_HAC(_xlpm.y,_xlpm.X,_xlpm.coeff))) ))</definedName>
    <definedName name="OLS_COEFF_TSTAT">_xlfn.LAMBDA(_xlpm.y,_xlpm.X,_xlop.coeff,_xlfn.LET(_xlpm.bbeta, IF(_xlfn.ISOMITTED(_xlpm.coeff), OLS_COEFF(_xlpm.y,_xlpm.X), VEC(_xlpm.coeff)), _xlpm.bbeta / DIAG(SQRT(OLS_VARCOV(_xlpm.y,_xlpm.X,_xlpm.coeff))) ))</definedName>
    <definedName name="OLS_COEFF_TSTAT_HAC">_xlfn.LAMBDA(_xlpm.y,_xlpm.X,_xlop.coeff,_xlfn.LET(_xlpm.bbeta, IF(_xlfn.ISOMITTED(_xlpm.coeff), OLS_COEFF(_xlpm.y,_xlpm.X), VEC(_xlpm.coeff)), _xlpm.bbeta / DIAG(SQRT(OLS_VARCOV_HAC(_xlpm.y,_xlpm.X,_xlpm.coeff))) ))</definedName>
    <definedName name="OLS_CONF_INTERVAL">_xlfn.LAMBDA(_xlpm.Xtarget,_xlpm.significance,_xlpm.y,_xlpm.X,_xlop.coeff,_xlfn.LET(_xlpm.Xtarget, TRANSPOSE(_xlpm.Xtarget), _xlpm.bbeta, IF(_xlfn.ISOMITTED(_xlpm.coeff), OLS_COEFF(_xlpm.y,_xlpm.X), VEC(_xlpm.coeff)), _xlpm.df, LENGTH(_xlpm.y)-DIM(_xlpm.X,2), _xlpm.MSres, SUM(OLS_RESIDUALS(_xlpm.y,_xlpm.X,_xlpm.bbeta)^2)/_xlpm.df, _xlpm.seFIT, SQRT( _xlpm.MSres * MMULT(MMULT(TRANSPOSE(_xlpm.Xtarget), MINVERSE(MMULT(TRANSPOSE(_xlpm.X),_xlpm.X))),_xlpm.Xtarget) ), _xlpm.fcst, TRANSPOSE(_xlfn.BYCOL(_xlpm.Xtarget, _xlfn.LAMBDA(_xlpm.col, SUM(_xlpm.col*_xlpm.bbeta)))), _xlpm.tcrit, _xlfn.T.DIST.2T(_xlpm.significance, _xlpm.df), HORZCAT(HORZCAT(_xlpm.fcst-_xlpm.tcrit*DIAG(_xlpm.seFIT), _xlpm.fcst),_xlpm.fcst+_xlpm.tcrit*DIAG(_xlpm.seFIT)) ))</definedName>
    <definedName name="OLS_COOKS_DISTANCE">_xlfn.LAMBDA(_xlpm.y,_xlpm.X,_xlop.coeff,_xlop.returnCriticalStatus,_xlop.criticalThreshold, _xlfn.LET( _xlpm.bbeta, IF(_xlfn.ISOMITTED(_xlpm.coeff), OLS_COEFF(_xlpm.y,_xlpm.X), VEC(_xlpm.coeff)), _xlpm.returnCriticalStatus, IF(_xlfn.ISOMITTED(_xlpm.returnCriticalStatus),FALSE,_xlpm.returnCriticalStatus), _xlpm.criticalThreshold, IF(_xlfn.ISOMITTED(_xlpm.criticalThreshold), 1, _xlpm.criticalThreshold), _xlpm.levValues, OLS_LEVERAGE(_xlpm.y,_xlpm.X,_xlpm.bbeta), _xlpm.mse, MMULT(TRANSPOSE(OLS_RESIDUALS(_xlpm.y,_xlpm.X,_xlpm.bbeta)),OLS_RESIDUALS(_xlpm.y,_xlpm.X,_xlpm.bbeta)) / (LENGTH(_xlpm.y)-DIM(_xlpm.X,2)), _xlpm.cooksDist, OLS_RESIDUALS(_xlpm.y,_xlpm.X,_xlpm.bbeta)^2/(DIM(_xlpm.X,2)*_xlpm.mse) * (_xlpm.levValues/((1-_xlpm.levValues)^2)), IF( _xlpm.returnCriticalStatus=FALSE, _xlpm.cooksDist, _xlpm.cooksDist&gt;=_xlpm.criticalThreshold ) ))</definedName>
    <definedName name="OLS_DURBINWATSON">_xlfn.LAMBDA(_xlpm.y,_xlpm.X,_xlop.coeff, _xlfn.LET( _xlpm.bbeta, IF(_xlfn.ISOMITTED(_xlpm.coeff), OLS_COEFF(_xlpm.y,_xlpm.X), VEC(_xlpm.coeff)), _xlpm.res, OLS_RESIDUALS(_xlpm.y,_xlpm.X,_xlpm.bbeta), _xlpm.dw, SUM((_xlfn.DROP(_xlpm.res,1) - _xlfn.DROP(_xlpm.res,-1))^2) / SUM(_xlpm.res^2), _xlpm.dw ))</definedName>
    <definedName name="OLS_ESS">_xlfn.LAMBDA(_xlpm.y,_xlpm.X,_xlop.coeff, _xlfn.LET( _xlpm.bbeta, IF(_xlfn.ISOMITTED(_xlpm.coeff), OLS_COEFF(_xlpm.y,_xlpm.X), VEC(_xlpm.coeff)), _xlpm.hasConst, HASCONST(_xlpm.X,1,FALSE), IF(_xlpm.hasConst, _xlfn.VAR.P(OLS_FITTED(_xlpm.y,_xlpm.X,_xlpm.bbeta))*LENGTH(_xlpm.y), SUM(OLS_FITTED(_xlpm.y,_xlpm.X,_xlpm.bbeta)^2)) ))</definedName>
    <definedName name="OLS_FITTED">_xlfn.LAMBDA(_xlpm.y,_xlpm.X,_xlop.coeff,_xlfn.LET(_xlpm.bbeta, IF(_xlfn.ISOMITTED(_xlpm.coeff), OLS_COEFF(_xlpm.y,_xlpm.X), VEC(_xlpm.coeff)), MMULT(_xlpm.X,_xlpm.bbeta)))</definedName>
    <definedName name="OLS_FSTAT">_xlfn.LAMBDA(_xlpm.y,_xlpm.X,_xlop.coeff, _xlfn.LET( _xlpm.bbeta, IF(_xlfn.ISOMITTED(_xlpm.coeff), OLS_COEFF(_xlpm.y,_xlpm.X), VEC(_xlpm.coeff)), _xlpm.kRestricted, IF(HASCONST(_xlpm.X,1,FALSE), 1, 0), (OLS_R2(_xlpm.y,_xlpm.X,_xlpm.coeff)/(DIM(_xlpm.X,2)-_xlpm.kRestricted))/((1-OLS_R2(_xlpm.y,_xlpm.X,_xlpm.coeff))/(LENGTH(_xlpm.y)-DIM(_xlpm.X,2))) ))</definedName>
    <definedName name="OLS_FSTAT_PVALUE">_xlfn.LAMBDA(_xlpm.y,_xlpm.X,_xlop.coeff, _xlfn.LET( _xlpm.bbeta, IF(_xlfn.ISOMITTED(_xlpm.coeff), OLS_COEFF(_xlpm.y,_xlpm.X), VEC(_xlpm.coeff)), _xlpm.kRestricted, IF(HASCONST(_xlpm.X,1,FALSE), 1, 0), _xlfn.F.DIST.RT(OLS_FSTAT(_xlpm.y,_xlpm.X,_xlpm.bbeta),DIM(_xlpm.X,2)-_xlpm.kRestricted,LENGTH(_xlpm.y)-DIM(_xlpm.X,2)) ))</definedName>
    <definedName name="OLS_HQC">_xlfn.LAMBDA(_xlpm.y,_xlpm.X,_xlop.coeff,_xlfn.LET(_xlpm.bbeta, IF(_xlfn.ISOMITTED(_xlpm.coeff), OLS_COEFF(_xlpm.y,_xlpm.X), VEC(_xlpm.coeff)), 2*DIM(_xlpm.X,2)*LN(LN(LENGTH(_xlpm.y))) - 2*OLS_LOGLIKELIHOOD(_xlpm.y,_xlpm.X,_xlpm.coeff)  ))</definedName>
    <definedName name="OLS_LEVERAGE">_xlfn.LAMBDA(_xlpm.y,_xlpm.X,_xlop.coeff,_xlop.returnCriticalStatus,_xlop.criticalThreshold, _xlfn.LET( _xlpm.bbeta, IF(_xlfn.ISOMITTED(_xlpm.coeff), OLS_COEFF(_xlpm.y,_xlpm.X), VEC(_xlpm.coeff)), _xlpm.returnCriticalStatus, IF(_xlfn.ISOMITTED(_xlpm.returnCriticalStatus),FALSE,_xlpm.returnCriticalStatus), _xlpm.criticalThreshold, IF(_xlfn.ISOMITTED(_xlpm.criticalThreshold), 3*DIM(_xlpm.X,2)/LENGTH(_xlpm.y), _xlpm.criticalThreshold), _xlpm.levValues, DIAG(MMULT(MMULT(_xlpm.X,MINVERSE(MMULT(TRANSPOSE(_xlpm.X),_xlpm.X))),TRANSPOSE(_xlpm.X))), IF( _xlpm.returnCriticalStatus=FALSE, _xlpm.levValues, _xlpm.levValues&gt;=_xlpm.criticalThreshold ) ))</definedName>
    <definedName name="OLS_LOGLIKELIHOOD">_xlfn.LAMBDA(_xlpm.y,_xlpm.X,_xlop.coeff, _xlfn.LET( _xlpm.bbeta, IF(_xlfn.ISOMITTED(_xlpm.coeff), OLS_COEFF(_xlpm.y,_xlpm.X), VEC(_xlpm.coeff)), _xlpm.resid, OLS_RESIDUALS(_xlpm.y,_xlpm.X,_xlpm.bbeta), -LENGTH(_xlpm.y)/2*(1 + LN(2*PI()) - LN(LENGTH(_xlpm.y))) -LENGTH(_xlpm.y)/2*LN(SUMSQ(_xlpm.resid)) ))</definedName>
    <definedName name="OLS_OPTIMAL_LAG">_xlfn.LAMBDA(_xlpm.y,_xlpm.X,_xlpm.nLags,_xlop.addConstant,_xlop.criterion,_xlop.returnCriterionValues,_xlop.includeZeroLag, _xlfn.LET( _xlpm.criterion, IF(_xlfn.ISOMITTED(_xlpm.criterion), "BIC", UPPER(_xlpm.criterion)), _xlpm.returnCriterionValues, IF(_xlfn.ISOMITTED(_xlpm.returnCriterionValues), FALSE, _xlpm.returnCriterionValues), _xlpm.includeZeroLag, IF(_xlfn.ISOMITTED(_xlpm.includeZeroLag), FALSE, _xlpm.includeZeroLag), _xlpm.X_1, IF( OR( _xlfn.ISOMITTED(_xlpm.addConstant), _xlpm.addConstant), ADDCONST(_xlpm.X), _xlpm.X), _xlpm.X_2, RMMISSING( HORZCAT(_xlpm.y, HORZCAT( _xlpm.X_1, LAG(_xlpm.y,_xlpm.nLags,TRUE,TRUE,FALSE) ) ) ), _xlpm.y, SLICE(_xlpm.X_2,0,0,1,1), IF( AND(_xlpm.criterion &lt;&gt; "AIC", _xlpm.criterion &lt;&gt; "BIC"), "# Criterion must be AIC or BIC", IF( DIM(_xlpm.X_2,1) &lt;= DIM(_xlpm.X_2,2), "# Number of parameters must be smaller than the non-missing sample size (after adding lags)", _xlfn.LET( _xlpm.critFunc, _xlfn.SWITCH(_xlpm.criterion,"AIC",_xlfn.LAMBDA(_xlpm.funcY,_xlpm.funcX,OLS_AIC(_xlpm.funcY,_xlpm.funcX)), "BIC",_xlfn.LAMBDA(_xlpm.funcY,_xlpm.funcX,OLS_BIC(_xlpm.funcY,_xlpm.funcX))), _xlpm.critValues, _xlfn.MAP(_xlfn.SEQUENCE(_xlpm.nLags + _xlpm.includeZeroLag), _xlfn.LAMBDA(_xlpm.row, _xlpm.critFunc(_xlpm.y, SLICE(_xlpm.X_2,0,0,2,DIM(_xlpm.X_2,2) - (_xlpm.nLags - _xlpm.row + _xlpm.includeZeroLag))) ) ), IF(_xlpm.returnCriterionValues, _xlpm.critValues, MATCH( MIN(_xlpm.critValues), _xlpm.critValues, 0) - _xlpm.includeZeroLag ) )))))</definedName>
    <definedName name="OLS_PRED_INTERVAL">_xlfn.LAMBDA(_xlpm.Xtarget,_xlpm.significance,_xlpm.y,_xlpm.X,_xlop.coeff,_xlfn.LET(_xlpm.Xtarget, TRANSPOSE(_xlpm.Xtarget), _xlpm.bbeta, IF(_xlfn.ISOMITTED(_xlpm.coeff), OLS_COEFF(_xlpm.y,_xlpm.X), VEC(_xlpm.coeff)), _xlpm.df, LENGTH(_xlpm.y)-DIM(_xlpm.X,2), _xlpm.MSres, SUM(OLS_RESIDUALS(_xlpm.y,_xlpm.X,_xlpm.bbeta)^2)/_xlpm.df, _xlpm.sePRED, SQRT( _xlpm.MSres * (1 + MMULT(MMULT(TRANSPOSE(_xlpm.Xtarget), MINVERSE(MMULT(TRANSPOSE(_xlpm.X),_xlpm.X))),_xlpm.Xtarget)) ), _xlpm.fcst, TRANSPOSE(_xlfn.BYCOL(_xlpm.Xtarget, _xlfn.LAMBDA(_xlpm.col, SUM(_xlpm.col*_xlpm.bbeta)))), _xlpm.tcrit, _xlfn.T.DIST.2T(_xlpm.significance, _xlpm.df), HORZCAT(HORZCAT(_xlpm.fcst-_xlpm.tcrit*DIAG(_xlpm.sePRED), _xlpm.fcst),_xlpm.fcst+_xlpm.tcrit*DIAG(_xlpm.sePRED)) ))</definedName>
    <definedName name="OLS_R2">_xlfn.LAMBDA(_xlpm.y,_xlpm.X,_xlop.coeff,_xlfn.LET(_xlpm.bbeta, IF(_xlfn.ISOMITTED(_xlpm.coeff), OLS_COEFF(_xlpm.y,_xlpm.X), VEC(_xlpm.coeff)), OLS_ESS(_xlpm.y,_xlpm.X,_xlpm.bbeta)/(OLS_ESS(_xlpm.y,_xlpm.X,_xlpm.bbeta) + OLS_RSS(_xlpm.y,_xlpm.X,_xlpm.bbeta))  ))</definedName>
    <definedName name="OLS_R2_ADJUSTED">_xlfn.LAMBDA(_xlpm.y,_xlpm.X,_xlop.coeff,_xlfn.LET(_xlpm.bbeta, IF(_xlfn.ISOMITTED(_xlpm.coeff), OLS_COEFF(_xlpm.y,_xlpm.X), VEC(_xlpm.coeff)), 1 - (1-OLS_R2(_xlpm.y,_xlpm.X,_xlpm.coeff))*(LENGTH(_xlpm.y)-1)/(LENGTH(_xlpm.y)-DIM(_xlpm.X,2)) ))</definedName>
    <definedName name="OLS_RESIDUALS">_xlfn.LAMBDA(_xlpm.y,_xlpm.X,_xlop.coeff,_xlfn.LET(_xlpm.bbeta, IF(_xlfn.ISOMITTED(_xlpm.coeff), OLS_COEFF(_xlpm.y,_xlpm.X), VEC(_xlpm.coeff)), _xlpm.y - MMULT(_xlpm.X,_xlpm.bbeta)))</definedName>
    <definedName name="OLS_RESIDUALS_AR">_xlfn.LAMBDA(_xlpm.y,_xlpm.X,_xlop.coeff,_xlop.order, _xlfn.LET( _xlpm.bbeta, IF(_xlfn.ISOMITTED(_xlpm.coeff), OLS_COEFF(_xlpm.y,_xlpm.X), VEC(_xlpm.coeff)), _xlpm.order, IF(_xlfn.ISOMITTED(_xlpm.order), 1, _xlpm.order), _xlpm.rho, OLS_COEFF(_xlfn.DROP(OLS_RESIDUALS(_xlpm.y,_xlpm.X,_xlpm.bbeta),_xlpm.order), _xlfn.DROP(OLS_RESIDUALS(_xlpm.y,_xlpm.X,_xlpm.bbeta),-_xlpm.order)), _xlpm.rho ))</definedName>
    <definedName name="OLS_RESIDUALS_PARTIAL">_xlfn.LAMBDA(_xlpm.y,_xlpm.X,_xlop.coeff,_xlfn.LET(_xlpm.bbeta, IF(_xlfn.ISOMITTED(_xlpm.coeff), OLS_COEFF(_xlpm.y,_xlpm.X), VEC(_xlpm.coeff)), _xlpm.res, _xlpm.y - MMULT(_xlpm.X,_xlpm.bbeta), _xlpm.resMat, REPMAT(_xlpm.res, 1, DIM(_xlpm.X,2)), _xlfn.MAKEARRAY(LENGTH(_xlpm.y), DIM(_xlpm.X,2), _xlfn.LAMBDA(_xlpm.row,_xlpm.col, INDEX(_xlpm.resMat,_xlpm.row,_xlpm.col) + INDEX(_xlpm.bbeta,_xlpm.col,1)*INDEX(_xlpm.X,_xlpm.row,_xlpm.col) ))))</definedName>
    <definedName name="OLS_RESIDUALS_STD">_xlfn.LAMBDA(_xlpm.y,_xlpm.X,_xlop.coeff,_xlop.standardized, _xlfn.LET( _xlpm.bbeta, IF(_xlfn.ISOMITTED(_xlpm.coeff), OLS_COEFF(_xlpm.y,_xlpm.X), VEC(_xlpm.coeff)), _xlpm.standardized, IF(_xlfn.ISOMITTED(_xlpm.standardized), TRUE, _xlpm.standardized), _xlpm.res, _xlpm.y - MMULT(_xlpm.X,_xlpm.bbeta), _xlpm.n, LENGTH(_xlpm.y), _xlpm.df, _xlpm.n - DIM(_xlpm.X,2), _xlpm.MSres, SUM(_xlpm.res^2)/_xlpm.df, _xlfn.SWITCH(_xlpm.standardized, FALSE, _xlpm.res, TRUE, _xlpm.res / SQRT(_xlpm.MSres), "N", _xlpm.res / SQRT(_xlpm.MSres), "T", _xlpm.res / SQRT(_xlpm.MSres*(1-OLS_LEVERAGE(_xlpm.y,_xlpm.X,_xlpm.bbeta))), "TOUT", _xlfn.LET(_xlpm.lev, OLS_LEVERAGE(_xlpm.y,_xlpm.X,_xlpm.bbeta), _xlpm.MSresi, ( (_xlpm.n-_xlpm.df+1)*_xlpm.MSres - _xlpm.res^2 / (1-_xlpm.lev) ) / (_xlpm.n - _xlpm.df), _xlpm.res / SQRT(_xlpm.MSresi * (1 - _xlpm.lev)) ), "# param standardized must be FALSE (default), TRUE (or ""N""), ""T"" or ""TOUT""" ) ))</definedName>
    <definedName name="OLS_RSS">_xlfn.LAMBDA(_xlpm.y,_xlpm.X,_xlop.coeff, _xlfn.LET( _xlpm.bbeta, IF(_xlfn.ISOMITTED(_xlpm.coeff), OLS_COEFF(_xlpm.y,_xlpm.X), VEC(_xlpm.coeff)), SUM(OLS_RESIDUALS(_xlpm.y,_xlpm.X,_xlpm.bbeta)^2) ))</definedName>
    <definedName name="OLS_STDEV">_xlfn.LAMBDA(_xlpm.y,_xlpm.X,_xlop.coeff,_xlfn.LET(_xlpm.bbeta, IF(_xlfn.ISOMITTED(_xlpm.coeff), OLS_COEFF(_xlpm.y,_xlpm.X), VEC(_xlpm.coeff)), SQRT(SUMSQ(OLS_RESIDUALS(_xlpm.y,_xlpm.X,_xlpm.bbeta))/(LENGTH(_xlpm.y)-DIM(_xlpm.X,2)))  ))</definedName>
    <definedName name="OLS_SUMMARY">_xlfn.LAMBDA(_xlpm.y,_xlpm.X,_xlop.hasLabels,_xlop.addConstToX,_xlop.addTrendToX,_xlop.useHAC,_xlfn.LET(_xlpm.hasLabels, IF(OR(_xlfn.ISOMITTED(_xlpm.hasLabels), ISBLANK(_xlpm.hasLabels)), FALSE, _xlpm.hasLabels), _xlpm.addConstToX, IF(OR(_xlfn.ISOMITTED(_xlpm.addConstToX), ISBLANK(_xlpm.addConstToX)), FALSE, _xlpm.addConstToX), _xlpm.addTrendToX, IF(OR(_xlfn.ISOMITTED(_xlpm.addTrendToX), ISBLANK(_xlpm.addTrendToX)), FALSE, _xlpm.addTrendToX), _xlpm.useHAC, IF(OR(_xlfn.ISOMITTED(_xlpm.useHAC), ISBLANK(_xlpm.useHAC)), FALSE, _xlpm.useHAC), _xlpm.Xtrend, IF(1 * _xlpm.addTrendToX &gt; 0, ADDTREND(_xlpm.X, 1, 1, IF(_xlpm.hasLabels, "trend", FALSE)), _xlpm.X), _xlpm.Xconst, IF(_xlpm.addConstToX, ADDCONST(_xlpm.Xtrend, 1, IF(_xlpm.hasLabels, "const", FALSE)), _xlpm.Xtrend), _xlpm.yLabel, IF(_xlpm.hasLabels, _xlfn.TAKE(_xlpm.y, 1), "Y"), _xlpm.xLabels, IF(_xlpm.hasLabels, VEC(_xlfn.TAKE(_xlpm.Xconst, 1)), VERTCAT_EX(VERTCAT_EX(IF(_xlpm.addConstToX = TRUE, "const", "ex"), IF(_xlpm.addTrendToX * 1 &gt; 0, "trend", "ex"), "ex"), "X" &amp; _xlfn.SEQUENCE(COLUMNS(_xlpm.X)), "ex")), _xlpm.y, IF(_xlpm.hasLabels, _xlfn.DROP(_xlpm.y, 1), _xlpm.y), _xlpm.X, IF(_xlpm.hasLabels, _xlfn.DROP(_xlpm.Xconst, 1), _xlpm.Xconst), _xlpm.bbeta, OLS_COEFF(_xlpm.y, _xlpm.X), _xlpm.std, IF(_xlpm.useHAC = FALSE, OLS_COEFF_STDEV(_xlpm.y, _xlpm.X, _xlpm.bbeta), OLS_COEFF_STDEV_HAC(_xlpm.y, _xlpm.X, _xlpm.bbeta)), _xlpm.tStat, IF(_xlpm.useHAC = FALSE, OLS_COEFF_TSTAT(_xlpm.y, _xlpm.X, _xlpm.bbeta), OLS_COEFF_TSTAT_HAC(_xlpm.y, _xlpm.X, _xlpm.bbeta)), _xlpm.pValue, IF(_xlpm.useHAC = FALSE, OLS_COEFF_PVALUE(_xlpm.y, _xlpm.X, _xlpm.bbeta), OLS_COEFF_PVALUE_HAC(_xlpm.y, _xlpm.X, _xlpm.bbeta)), _xlpm.stars, _xlfn.MAKEARRAY(ROWS(_xlpm.pValue), 1, _xlfn.LAMBDA(_xlpm.row,_xlpm.col, _xlfn.LET(_xlpm.val, INDEX(_xlpm.pValue, _xlpm.row), _xlfn.IFS(_xlpm.val &lt;= 0.01, "***", _xlpm.val &lt;= 0.05, "**", _xlpm.val &lt;= 0.1, "*", _xlpm.val &gt; 0.1, "")))), _xlpm.meanDepVar, AVERAGE(_xlpm.y), _xlpm.stdevDepVar, _xlfn.STDEV.S(_xlpm.y), _xlpm.sumSqRes, OLS_RSS(_xlpm.y, _xlpm.X, _xlpm.bbeta), _xlpm.stdevReg, OLS_STDEV(_xlpm.y, _xlpm.X, _xlpm.bbeta), _xlpm.rSquared, OLS_R2(_xlpm.y, _xlpm.X, _xlpm.bbeta), _xlpm.rSquaredAdj, OLS_R2_ADJUSTED(_xlpm.y, _xlpm.X, _xlpm.bbeta), _xlpm.fStat, OLS_FSTAT(_xlpm.y, _xlpm.X, _xlpm.bbeta), _xlpm.fStatPvalue, OLS_FSTAT_PVALUE(_xlpm.y, _xlpm.X, _xlpm.bbeta), _xlpm.logLik, OLS_LOGLIKELIHOOD(_xlpm.y, _xlpm.X, _xlpm.bbeta), _xlpm.infoCritAkaike, OLS_AIC(_xlpm.y, _xlpm.X, _xlpm.bbeta), _xlpm.infoCritSchwarz, OLS_BIC(_xlpm.y, _xlpm.X, _xlpm.bbeta), _xlpm.infoCritHQ, OLS_HQC(_xlpm.y, _xlpm.X, _xlpm.bbeta), _xlpm.resAR, OLS_RESIDUALS_AR(_xlpm.y, _xlpm.X, _xlpm.bbeta, 1), _xlpm.durbinWatson, OLS_DURBINWATSON(_xlpm.y, _xlpm.X, _xlpm.bbeta), _xlpm.titleLabel, _xlfn.EXPAND("Regression summary: " &amp; _xlpm.yLabel, 1, 6, ""), _xlpm.colLabel, _xlfn.HSTACK("", "coefficient", "standard error", "t-stat", "p-value", ""), _xlpm.rowLabel, _xlpm.xLabels, _xlpm.emptyLabel, _xlfn.EXPAND("", 1, 6, ""), _xlpm.mainTable, _xlfn.VSTACK(_xlpm.titleLabel, _xlpm.colLabel, _xlfn.HSTACK(_xlpm.rowLabel, _xlpm.bbeta, _xlpm.std, _xlpm.tStat, _xlpm.pValue, _xlpm.stars)), _xlpm.otherStats, _xlfn.HSTACK(_xlfn.VSTACK("Mean of dependent var.", "Sum of squared res.", "R-squared", "F", "Loglikelihood", "Schwarz criterion", "AR coeff. of residuals"), _xlfn.VSTACK(_xlpm.meanDepVar, _xlpm.sumSqRes, _xlpm.rSquared, _xlpm.fStat, _xlpm.logLik, _xlpm.infoCritSchwarz, _xlpm.resAR), _xlfn.EXPAND("", 7, 1, ""), _xlfn.VSTACK("Std of dependent var.", "Std of regression", "R-squared adjusted", "P-value(F)", "Akaike criterion", "Hannan-quinn criterion", "Durbin-Watson"), _xlfn.VSTACK(_xlpm.stdevDepVar, _xlpm.stdevReg, _xlpm.rSquaredAdj, _xlpm.fStatPvalue, _xlpm.infoCritAkaike, _xlpm.infoCritHQ, _xlpm.durbinWatson), _xlfn.EXPAND("", 7, 1, "")), IFERROR(_xlfn.VSTACK(_xlpm.mainTable, _xlpm.emptyLabel, _xlpm.otherStats), "# Error: check inputs")))</definedName>
    <definedName name="OLS_TSS">_xlfn.LAMBDA(_xlpm.y,_xlpm.X,_xlop.coeff,_xlfn.LET(_xlpm.bbeta, IF(_xlfn.ISOMITTED(_xlpm.coeff), OLS_COEFF(_xlpm.y,_xlpm.X), VEC(_xlpm.coeff)), OLS_ESS(_xlpm.y,_xlpm.X,_xlpm.bbeta) + OLS_RSS(_xlpm.y,_xlpm.X,_xlpm.bbeta)  ))</definedName>
    <definedName name="OLS_VARCOV">_xlfn.LAMBDA(_xlpm.y,_xlpm.X,_xlop.coeff,_xlfn.LET(_xlpm.bbeta, IF(_xlfn.ISOMITTED(_xlpm.coeff), OLS_COEFF(_xlpm.y,_xlpm.X), VEC(_xlpm.coeff)),_xlpm.XX,MINVERSE(MMULT(TRANSPOSE(_xlpm.X),_xlpm.X)), ( SUM(OLS_RESIDUALS(_xlpm.y,_xlpm.X,_xlpm.bbeta)^2) / (ROWS(_xlpm.X) - COLUMNS(_xlpm.X) ) ) *_xlpm.XX))</definedName>
    <definedName name="OLS_VARCOV_HAC">_xlfn.LAMBDA(_xlpm.y,_xlpm.X,_xlop.coeff,_xlfn.LET(_xlpm.bbeta, IF(_xlfn.ISOMITTED(_xlpm.coeff), OLS_COEFF(_xlpm.y,_xlpm.X), VEC(_xlpm.coeff)),_xlpm.XX,MINVERSE(MMULT(TRANSPOSE(_xlpm.X),_xlpm.X)), _xlpm.n, LENGTH(_xlpm.y), _xlpm.resMatrix, _xlpm.n/(_xlpm.n - DIM(_xlpm.X,2)) * MMULT(OLS_RESIDUALS(_xlpm.y,_xlpm.X,_xlpm.bbeta),TRANSPOSE(OLS_RESIDUALS(_xlpm.y,_xlpm.X,_xlpm.bbeta))), _xlpm.lags, ROUNDDOWN(4*(_xlpm.n/100)^(2/9),0), _xlpm.weightMatrix, _xlfn.MAKEARRAY(_xlpm.n,_xlpm.n, _xlfn.LAMBDA(_xlpm.lin,_xlpm.col, IF(ABS(_xlpm.col-_xlpm.lin)&gt;_xlpm.lags,0,INDEX(_xlpm.resMatrix,_xlpm.lin,_xlpm.col)*(1-ABS(_xlpm.col-_xlpm.lin)/(_xlpm.lags+1))) ) ), _xlpm.covMatrix, MMULT( MMULT(_xlpm.XX, MMULT(MMULT(TRANSPOSE(_xlpm.X),_xlpm.weightMatrix),_xlpm.X)),_xlpm.XX), _xlpm.covMatrix ))</definedName>
    <definedName name="ONES">_xlfn.LAMBDA(_xlpm.n,_xlop.m, _xlfn.LET(_xlpm.m, IF(_xlfn.ISOMITTED(_xlpm.m),_xlpm.n,IF(_xlpm.m=0,_xlpm.n,_xlpm.m)), _xlfn.MAKEARRAY(_xlpm.n, _xlpm.m,_xlfn.LAMBDA(_xlpm.lin,_xlpm.col,1))) )</definedName>
    <definedName name="RANKRANGE">_xlfn.LAMBDA(_xlpm.range,_xlop.rankRows,_xlop.asc,_xlop.uniqueRanksOnly,     _xlfn.LET(         _xlpm.asc, IF(OR(_xlfn.ISOMITTED(_xlpm.asc),ISBLANK(_xlpm.asc)),TRUE,_xlpm.asc),         _xlpm.uniqueRanksOnly, IF(OR(_xlfn.ISOMITTED(_xlpm.uniqueRanksOnly),ISBLANK(_xlpm.uniqueRanksOnly)),FALSE,_xlpm.uniqueRanksOnly),         _xlpm.nRows, ROWS(_xlpm.range),         _xlpm.mCols, COLUMNS(_xlpm.range),         _xlfn.SWITCH(IF(_xlpm.rankRows,1), 1,             _xlfn.LET(_xlpm.nonExclusive, _xlfn.MAKEARRAY(ROWS(_xlpm.range), COLUMNS(_xlpm.range), _xlfn.LAMBDA(_xlpm.row,_xlpm.col,             IF(_xlpm.asc, SUM(--(INDEX(_xlpm.range,_xlpm.row,0) &lt; INDEX(_xlpm.range,_xlpm.row,_xlpm.col)))+1, SUM(--(INDEX(_xlpm.range,_xlpm.row,0) &gt; INDEX(_xlpm.range,_xlpm.row,_xlpm.col)))+1)             )),             IF(_xlpm.uniqueRanksOnly=FALSE, _xlpm.nonExclusive,             _xlfn.MAKEARRAY(ROWS(_xlpm.range), COLUMNS(_xlpm.range), _xlfn.LAMBDA(_xlpm.row,_xlpm.col,             INDEX(_xlpm.nonExclusive, _xlpm.row, _xlpm.col) + SUM(1*(INDEX(_xlpm.nonExclusive, _xlpm.row, _xlpm.col)=SLICE(_xlpm.nonExclusive,_xlpm.row,_xlpm.row,1,_xlpm.col))) - 1             ))             )),             _xlfn.LET(_xlpm.nonExclusive, _xlfn.MAKEARRAY(ROWS(_xlpm.range), COLUMNS(_xlpm.range), _xlfn.LAMBDA(_xlpm.row,_xlpm.col,             IF(_xlpm.asc, SUM(--(INDEX(_xlpm.range,0,_xlpm.col) &lt; INDEX(_xlpm.range,_xlpm.row,_xlpm.col)))+1, SUM(--(INDEX(_xlpm.range,0,_xlpm.col) &gt; INDEX(_xlpm.range,_xlpm.row,_xlpm.col)))+1)             )),             IF(_xlpm.uniqueRanksOnly=FALSE, _xlpm.nonExclusive,             _xlfn.MAKEARRAY(ROWS(_xlpm.range), COLUMNS(_xlpm.range), _xlfn.LAMBDA(_xlpm.row,_xlpm.col,             INDEX(_xlpm.nonExclusive, _xlpm.row, _xlpm.col) + SUM(1*(INDEX(_xlpm.nonExclusive, _xlpm.row, _xlpm.col)=SLICE(_xlpm.nonExclusive,1,_xlpm.row,_xlpm.col,_xlpm.col))) - 1             ))             ))         )     ) )</definedName>
    <definedName name="REPLACEALL">_xlfn.LAMBDA(_xlpm.text,_xlpm.oldChars,_xlpm.newText,_xlop.treatCharsAsText, _xlfn.LET(_xlpm.treatCharsAsText, IF(_xlfn.ISOMITTED(_xlpm.treatCharsAsText), TRUE, _xlpm.treatCharsAsText), _xlpm.oldChars, IF(_xlpm.treatCharsAsText, VEC(_xlpm.oldChars), _xlfn.TEXTJOIN("",TRUE,_xlpm.oldChars) ), IF(_xlpm.treatCharsAsText, IF(AND(LENGTH(_xlpm.oldChars)=1,_xlpm.oldChars=""), _xlpm.text, REPLACEALL( SUBSTITUTE( _xlpm.text, SLICE(_xlpm.oldChars,1,1), _xlpm.newText), IFERROR(SLICE(_xlpm.oldChars,2,-1), ""), _xlpm.newText,_xlpm.treatCharsAsText)), IF(_xlpm.oldChars ="", _xlpm.text, REPLACEALL( SUBSTITUTE( _xlpm.text, LEFT(_xlpm.oldChars,1), _xlpm.newText), MID(_xlpm.oldChars, 2, LEN(_xlpm.oldChars)-1), _xlpm.newText,_xlpm.treatCharsAsText) ))))</definedName>
    <definedName name="REPMAT" comment="Repeat copies of array">_xlfn.LAMBDA(_xlpm.matrix,_xlop.n,_xlop.m,_xlop.expandFromWithin, _xlfn.LET( _xlpm.n, IF( OR( _xlfn.ISOMITTED(_xlpm.n), _xlpm.n&lt;1 ),1,_xlpm.n), _xlpm.m, IF( OR( _xlfn.ISOMITTED(_xlpm.m), _xlpm.m&lt;1),1,_xlpm.m), _xlpm.expandFromWithin, IF( OR( _xlfn.ISOMITTED(_xlpm.expandFromWithin), ISBLANK(_xlpm.expandFromWithin)), FALSE, _xlpm.expandFromWithin), _xlpm.result, IF(_xlpm.expandFromWithin=FALSE, _xlfn.LET( _xlpm.nn,_xlpm.n*ROWS(_xlpm.matrix), _xlpm.mm,_xlpm.m*COLUMNS(_xlpm.matrix), _xlpm.nseq, IF(MOD(_xlfn.SEQUENCE(_xlpm.nn,1),ROWS(_xlpm.matrix))=0, ROWS(_xlpm.matrix), MOD(_xlfn.SEQUENCE(_xlpm.nn,1),ROWS(_xlpm.matrix))), _xlpm.mseq, IF(MOD(_xlfn.SEQUENCE(1,_xlpm.mm),COLUMNS(_xlpm.matrix))=0, COLUMNS(_xlpm.matrix), MOD(_xlfn.SEQUENCE(1,_xlpm.mm),COLUMNS(_xlpm.matrix))), _xlfn.MAKEARRAY(_xlpm.nn,_xlpm.mm,_xlfn.LAMBDA(_xlpm.row,_xlpm.col,INDEX(_xlpm.matrix,INDEX(_xlpm.nseq,_xlpm.row),INDEX(_xlpm.mseq,1,_xlpm.col)))) ), _xlfn.LET( _xlpm.matrixV, _xlfn.REDUCE(_xlpm.matrix, _xlfn.SEQUENCE(ROWS(_xlpm.matrix)), _xlfn.LAMBDA(_xlpm.accum,_xlpm.x, _xlfn.VSTACK(_xlpm.accum, REPMAT(INDEX(_xlpm.matrix,_xlpm.x,0),_xlpm.n,1)))), _xlpm.matrixH, _xlfn.REDUCE(_xlpm.matrixV, _xlfn.SEQUENCE(COLUMNS(_xlpm.matrix)), _xlfn.LAMBDA(_xlpm.accum,_xlpm.x, _xlfn.HSTACK(_xlpm.accum, REPMAT(INDEX(_xlpm.matrixV,0,_xlpm.x),1,_xlpm.m)))), _xlfn.DROP(_xlpm.matrixH,ROWS(_xlpm.matrix),COLUMNS(_xlpm.matrix)) )), _xlpm.result ))</definedName>
    <definedName name="RESHAPE">_xlfn.LAMBDA(_xlpm.matrix,_xlpm.n,_xlpm.m,_xlop.rowsToCols, _xlfn.LET( _xlpm.rowsToCols, IF(_xlfn.ISOMITTED(_xlpm.rowsToCols),FALSE,_xlpm.rowsToCols), _xlpm.vecMatrix, VEC( IF(_xlpm.rowsToCols, _xlpm.matrix, TRANSPOSE(_xlpm.matrix)) ), IF( _xlpm.n+1 &lt;= ROWS(_xlpm.vecMatrix), HORZCAT( SLICE( _xlpm.vecMatrix, 1, _xlpm.n ), RESHAPE( SLICE( _xlpm.vecMatrix, _xlpm.n+1, ROWS(_xlpm.vecMatrix)  ), _xlpm.n,  _xlpm.m, TRUE) ), _xlpm.vecMatrix ) ))</definedName>
    <definedName name="RMMISSING">_xlfn.LAMBDA(_xlpm.matrix,_xlop.dim, _xlfn.LET(_xlpm.dim,IF(_xlfn.ISOMITTED(_xlpm.dim),1,_xlpm.dim), IF(_xlpm.dim = 1, _xlfn._xlws.FILTER( _xlpm.matrix, _xlfn.BYROW(_xlpm.matrix,_xlfn.LAMBDA(_xlpm.row, SUM(1*ISERROR(_xlpm.row)) + SUM(1*ISBLANK(_xlpm.row)) ))=0 ), _xlfn._xlws.FILTER( _xlpm.matrix, _xlfn.BYCOL(_xlpm.matrix,_xlfn.LAMBDA(_xlpm.col, SUM(1*ISERROR(_xlpm.col)) + SUM(1*ISBLANK(_xlpm.col)) ))=0 ) ) ))</definedName>
    <definedName name="RMOUTLIERS">_xlfn.LAMBDA(_xlpm.matrix,_xlop.dim,_xlop.method,_xlop.lb,_xlop.ub, _xlfn.LET( _xlpm.dim,IF(_xlfn.ISOMITTED(_xlpm.dim),1,_xlpm.dim), _xlpm.method,IF(_xlfn.ISOMITTED(_xlpm.method),"MAD",_xlpm.method), _xlpm.lb,IF(_xlfn.ISOMITTED(_xlpm.lb),3,_xlpm.lb), _xlpm.ub,IF(_xlfn.ISOMITTED(_xlpm.ub),3,_xlpm.ub), _xlpm.identOut, 1*ISOUTLIER(_xlpm.matrix,_xlpm.dim,_xlpm.method,_xlpm.lb,_xlpm.ub), IF(_xlpm.dim = 1, _xlfn._xlws.FILTER( _xlpm.matrix, _xlfn.BYROW(_xlpm.identOut,_xlfn.LAMBDA(_xlpm.row, SUM(IFERROR(_xlpm.row,0))))=0 ), _xlfn._xlws.FILTER( _xlpm.matrix, _xlfn.BYCOL(_xlpm.identOut,_xlfn.LAMBDA(_xlpm.col, SUM(IFERROR(_xlpm.col,0)) ))=0 ) ) ))</definedName>
    <definedName name="SAMPLE" comment="Extract a sample of lines from a matrix">_xlfn.LAMBDA(_xlpm.matrix,_xlpm.n,_xlop.dim,_xlop.withoutReplacement, _xlfn.LET( _xlpm.dim,IF(_xlfn.ISOMITTED(_xlpm.dim),1,_xlpm.dim), _xlpm.withoutReplacement,IF(_xlfn.ISOMITTED(_xlpm.withoutReplacement),TRUE,_xlpm.withoutReplacement), _xlpm.matrixClass, IF(_xlpm.dim=1,_xlpm.matrix,IF(_xlpm.dim=2,TRANSPOSE(_xlpm.matrix),#VALUE!)), _xlpm.matrixSample, IF(_xlpm.withoutReplacement = FALSE, SLICE(_xlpm.matrixClass, _xlfn.RANDARRAY(_xlpm.n,1,1,ROWS(_xlpm.matrixClass),TRUE), 0 ), IF(_xlpm.withoutReplacement = TRUE, SLICE(_xlfn.SORTBY(_xlpm.matrixClass, _xlfn.RANDARRAY(ROWS(_xlpm.matrixClass))), _xlfn.SEQUENCE(_xlpm.n), 0), #VALUE!)), IF(_xlpm.dim=1,_xlpm.matrixSample,TRANSPOSE(_xlpm.matrixSample)) ))</definedName>
    <definedName name="SEASADJ">_xlfn.LAMBDA(_xlpm.dates,_xlpm.values, _xlfn.LET(_xlpm.dummies, DUMMYVAR( MONTH(_xlpm.dates), FALSE),  AVERAGE(_xlpm.values) + OLS_RESIDUALS(_xlpm.values, _xlpm.dummies  ) ) )</definedName>
    <definedName name="SEASFACTOR">_xlfn.LAMBDA(_xlpm.dates,_xlpm.values, _xlfn.LET(_xlpm.dummies, DUMMYVAR( MONTH(_xlpm.dates), FALSE),  SEASADJ(_xlpm.dates, _xlpm.values) - _xlpm.values ) )</definedName>
    <definedName name="SLICE" comment="Slice a matrix">_xlfn.LAMBDA(_xlpm.matrix,_xlop.lin_start,_xlop.lin_end,_xlop.col_start,_xlop.col_end,_xlop.patch,_xlop.remove, _xlfn.LET( _xlpm.lin_start, IF( OR( _xlfn.ISOMITTED(_xlpm.lin_start), _xlpm.lin_start=0), 1, IF(ISTEXT(_xlpm.lin_start), MATCH(_xlpm.lin_start,INDEX(_xlpm.matrix,0,1),0),_xlpm.lin_start)), _xlpm.lin_end, IF( OR(_xlfn.ISOMITTED(_xlpm.lin_end), _xlpm.lin_end=0), ROWS(_xlpm.matrix), IF(ISTEXT(_xlpm.lin_end),MATCH(_xlpm.lin_end,INDEX(_xlpm.matrix,0,1),0),_xlpm.lin_end)), _xlpm.col_start, IF(OR(_xlfn.ISOMITTED(_xlpm.col_start), _xlpm.col_start=0),1, IF(ISTEXT(_xlpm.col_start), MATCH(_xlpm.col_start,INDEX(_xlpm.matrix,1,0),0),_xlpm.col_start)), _xlpm.col_end, IF( OR(_xlfn.ISOMITTED(_xlpm.col_end), _xlpm.col_end=0), COLUMNS(_xlpm.matrix), IF(ISTEXT(_xlpm.col_end), MATCH(_xlpm.col_end,INDEX(_xlpm.matrix,1,0),0),_xlpm.col_end)), _xlpm.remove, IF( OR(_xlfn.ISOMITTED(_xlpm.remove), _xlpm.remove=0), FALSE, _xlpm.remove),  _xlpm.idxLins, _xlfn.SEQUENCE( IF( _xlpm.lin_end &gt; 0, _xlpm.lin_end, ROWS(_xlpm.matrix) + _xlpm.lin_end + 1) - IF( _xlpm.lin_start &gt; 0, _xlpm.lin_start, ROWS(_xlpm.matrix) + _xlpm.lin_start + 1) + 1, 1, IF( _xlpm.lin_start &gt; 0, _xlpm.lin_start, ROWS(_xlpm.matrix) + _xlpm.lin_start + 1) ),  _xlpm.idxCols, _xlfn.SEQUENCE( 1, IF( _xlpm.col_end &gt; 0, _xlpm.col_end, COLUMNS(_xlpm.matrix) + _xlpm.col_end + 1) - IF( _xlpm.col_start &gt; 0, _xlpm.col_start, COLUMNS(_xlpm.matrix) + _xlpm.col_start + 1) + 1, IF( _xlpm.col_start &gt; 0, _xlpm.col_start, COLUMNS(_xlpm.matrix) + _xlpm.col_start + 1) ),  IF(_xlfn.ISOMITTED(_xlpm.patch), IF(_xlpm.remove=FALSE, INDEX(_xlpm.matrix, _xlpm.idxLins,_xlpm.idxCols), INDEX(_xlpm.matrix, IFERROR(COMPLEMENT(_xlpm.idxLins,1,ROWS(_xlpm.matrix)), _xlpm.idxLins), IFERROR(TRANSPOSE(COMPLEMENT(_xlpm.idxCols,1,COLUMNS(_xlpm.matrix))),_xlpm.idxCols)) ), _xlfn.LET( _xlpm.patchLeft, IF(_xlpm.col_start-1 &gt;=1,HORZCAT(  M(_xlpm.matrix, "[" &amp; (_xlpm.lin_start) &amp; ":" &amp; (_xlpm.lin_end) &amp; ",1:" &amp; (_xlpm.col_start-1) &amp; "]"), _xlpm.patch), _xlpm.patch ), _xlpm.patchRight, IF(_xlpm.col_end+1 &lt;= COLUMNS(_xlpm.matrix), HORZCAT(_xlpm.patchLeft, M(_xlpm.matrix, "[" &amp; (_xlpm.lin_start) &amp; ":" &amp; (_xlpm.lin_end) &amp; "," &amp; (_xlpm.col_end+1) &amp; ":]") ), _xlpm.patchLeft), _xlpm.patchUpper, IF(_xlpm.lin_start-1 &gt;= 1, VERTCAT( M(_xlpm.matrix, "[1:" &amp; (_xlpm.lin_start-1) &amp; ",:]"), _xlpm.patchRight), _xlpm.patchRight), _xlpm.patchLower, IF(_xlpm.lin_end+1 &lt;= ROWS(_xlpm.matrix), VERTCAT( _xlpm.patchUpper, M(_xlpm.matrix, "[" &amp; (_xlpm.lin_end+1) &amp; ":,:]") ), _xlpm.patchUpper), IF( AND( ROWS(_xlpm.patch) = (_xlpm.lin_end - _xlpm.lin_start + 1), COLUMNS(_xlpm.patch) = (_xlpm.col_end - _xlpm.col_start + 1) ), _xlpm.patchLower, "# Patch range size is different" )))) )</definedName>
    <definedName name="SORTRANGE">_xlfn.LAMBDA(_xlpm.range,_xlop.sortRows,_xlop.asc,     _xlfn.LET(         _xlpm.asc, IF(_xlfn.ISOMITTED(_xlpm.asc),TRUE,_xlpm.asc),         _xlpm.nRows, ROWS(_xlpm.range),         _xlpm.mCols, COLUMNS(_xlpm.range),         _xlfn.SWITCH(IF(_xlpm.sortRows,1), 1,             _xlfn.MAKEARRAY(_xlpm.nRows,_xlpm.mCols,                 _xlfn.LAMBDA(_xlpm.i,_xlpm.j,                     INDEX( _xlfn.BYROW(_xlpm.range,                             _xlfn.LAMBDA(_xlpm.value,                                 IF( _xlpm.asc,                                     _xlfn.LET(_xlpm.sortedValue, _xlfn._xlws.SORT(_xlpm.value,,,TRUE), SLICE(_xlpm.sortedValue,1,1,_xlpm.j,_xlpm.j)),                                     _xlfn.LET(_xlpm.sortedValue, _xlfn._xlws.SORT(_xlpm.value,,-1,TRUE), SLICE(_xlpm.sortedValue, 1,1,_xlpm.j,_xlpm.j))                                 )                             )                     ), _xlpm.i, 1)                 )             ),             _xlfn.MAKEARRAY(_xlpm.nRows,_xlpm.mCols,                 _xlfn.LAMBDA(_xlpm.i,_xlpm.j,                     INDEX( _xlfn.BYCOL(_xlpm.range,                         _xlfn.LAMBDA(_xlpm.value,                             IF( _xlpm.asc,                                 _xlfn.LET(_xlpm.sortedValue, _xlfn._xlws.SORT(_xlpm.value,,,FALSE), SLICE(_xlpm.sortedValue, _xlpm.i, _xlpm.i, 1, 1)),                                 _xlfn.LET(_xlpm.sortedValue, _xlfn._xlws.SORT(_xlpm.value,,-1,FALSE), SLICE(_xlpm.sortedValue, _xlpm.i, _xlpm.i, 1, 1))                             )                         )                     ), 1, _xlpm.j)                 )             )         )     ) )</definedName>
    <definedName name="SPLIT">_xlfn.LAMBDA(_xlpm.txt,_xlpm.delim,_xlop.n,_xlop.list, _xlfn.LET( _xlpm.p,IFERROR(FIND(_xlpm.delim,_xlpm.txt),0), _xlpm.delimLength, LEN(_xlpm.delim), _xlpm.list,IF(_xlfn.ISOMITTED(_xlpm.list), {""}, _xlpm.list), IF(_xlpm.p,_xludf.SPLIT(MID(_xlpm.txt,_xlpm.p+_xlpm.delimLength,9999999),_xlpm.delim,_xlpm.n+1, IF(_xlfn.SEQUENCE(1,_xlpm.n+1)&lt;_xlpm.n+1,_xlpm.list,LEFT(_xlpm.txt,_xlpm.p-1))), IF(_xlpm.n=0,_xlpm.txt,IF(_xlfn.SEQUENCE(1,_xlpm.n+1)&lt;_xlpm.n+1,_xlpm.list,_xlpm.txt)) ) ) )</definedName>
    <definedName name="SPLITALL">_xlfn.LAMBDA(_xlpm.text,_xlpm.delim, _xlfn.LET( _xlpm.delim, VEC(_xlpm.delim), _xlpm.text, SUBSTITUTE(_xlpm.text, INDEX(_xlpm.delim,1,1),"&lt;/y&gt;&lt;y&gt;"), IF( LENGTH(_xlpm.delim) = 1, TRANSPOSE( _xlfn.FILTERXML("&lt;x&gt;&lt;y&gt;"&amp; _xlpm.text &amp; "&lt;/y&gt;&lt;/x&gt;", "//y") ), SPLITALL(_xlpm.text, SLICE(_xlpm.delim,2,-1)) ) ))</definedName>
    <definedName name="SPLITTWO">_xlfn.LAMBDA(_xlpm.txt,_xlpm.delim1,_xlpm.delim2,_xlop.returnedObject, _xlfn.LET( _xlpm.returnedObject, IF(_xlfn.ISOMITTED(_xlpm.returnedObject), "ELEMENTS", UPPER(_xlpm.returnedObject)), _xlpm.txtVec, TEXTTOCHAR(_xlpm.txt), _xlpm.posPlus, NOZERO( _xlpm.txtVec = _xlpm.delim1 ), _xlpm.posMin, NOZERO( _xlpm.txtVec = _xlpm.delim2 ), _xlpm.posAll, RMMISSING( _xlfn._xlws.SORT( VEC( HORZCAT(_xlpm.posPlus,_xlpm.posMin) ) ) ), _xlpm.posStart,  IF(SUM(ISERR(_xlpm.posAll)*1), 1, VERTCAT(1, _xlpm.posAll + 1 )), _xlpm.posEnd, IF( SUM(ISERR(_xlpm.posAll)*1), LEN(_xlpm.txt), VERTCAT(_xlpm.posAll - 1, LEN(_xlpm.txt)) ), _xlpm.items, MID(_xlpm.txt,_xlpm.posStart,_xlpm.posEnd-_xlpm.posStart+1), _xlpm.itemsPlus, VERTCAT(1, _xlfn.MAP(_xlpm.posAll, _xlfn.LAMBDA(_xlpm.val, SUM(1*(_xlpm.val=_xlpm.posPlus))))), _xlpm.itemsMin, 1*NOT(_xlpm.itemsPlus), _xlfn.SWITCH(_xlpm.returnedObject, "ELEMENTS", _xlpm.items, "DELIM1POS", _xlpm.itemsPlus, "DELIM2POS", _xlpm.itemsMin ) ) )</definedName>
    <definedName name="STARTSWITH">_xlfn.LAMBDA(_xlpm.text,_xlpm.sequence,_xlop.start_num,_xlop.case_sensitive, _xlfn.LET( _xlpm.start_num, IF(_xlfn.ISOMITTED(_xlpm.start_num), 1,_xlpm.start_num), _xlpm.case_sensistive, IF(_xlfn.ISOMITTED(case_sensistive), FALSE, _xlpm.case_sensitive), CONTAINS(LEFT(MID(_xlpm.text, _xlpm.start_num, LEN(_xlpm.text) - _xlpm.start_num + 1), LEN(_xlpm.sequence)), _xlpm.sequence, 1, _xlpm.case_sensistive) ))</definedName>
    <definedName name="STATIONARIZE">_xlfn.LAMBDA(_xlpm.values,_xlop.automatic,_xlop.nLags,_xlop.significance,_xlop.constant,_xlop.trend,_xlop.maxDiffs, _xlfn.LET( _xlpm.automatic, IF(_xlfn.ISOMITTED(_xlpm.automatic), FALSE, _xlpm.automatic), _xlpm.nLags,IF(_xlfn.ISOMITTED(_xlpm.nLags), 0, _xlpm.nLags), _xlpm.significance, IF(_xlfn.ISOMITTED(_xlpm.significance), FALSE, _xlpm.significance), _xlpm.constant, IF(_xlfn.ISOMITTED(_xlpm.constant), FALSE, _xlpm.constant), _xlpm.trend, IF(_xlfn.ISOMITTED(_xlpm.trend), FALSE, _xlpm.trend ), _xlpm.maxDiffs, IF(OR( _xlfn.ISOMITTED(_xlpm.maxDiffs), ISBLANK(_xlpm.maxDiffs)), 2, _xlpm.maxDiffs ), IF(ISSTATIONARY(_xlpm.values, _xlpm.automatic, _xlpm.nLags, _xlpm.significance, _xlpm.constant, _xlpm.trend), _xlpm.values, IF(_xlpm.maxDiffs = 0, _xlpm.values, STATIONARIZE( DIFF(_xlpm.values,1,1), _xlpm.automatic, _xlpm.nLags, _xlpm.significance, _xlpm.constant, _xlpm.trend, _xlpm.maxDiffs - 1) )) ))</definedName>
    <definedName name="SUBS">_xlfn.LAMBDA(_xlpm.s,_xlpm.old,_xlpm.new, EVALS(SUBSTITUTE(_xlpm.s,_xlpm.old,_xlpm.new)))</definedName>
    <definedName name="TEXTTOARRAY">_xlfn.LAMBDA(_xlpm.matrixText,_xlop.lineChar,_xlop.colChar, _xlfn.LET( _xlpm.lineChar, IF(_xlfn.ISOMITTED(_xlpm.lineChar), MID( _xlfn.ARRAYTOTEXT({1;1},1), 3, 1), _xlpm.lineChar), _xlpm.colChar, IF(_xlfn.ISOMITTED(_xlpm.colChar), MID( _xlfn.ARRAYTOTEXT({1,1},1), 3, 1), _xlpm.colChar), _xlpm.rows, TRANSPOSE( _xludf.SPLIT( _xlfn.LET( _xlpm.matrix, _xlpm.matrixText, MID( _xlpm.matrix, 2, LEN(_xlpm.matrix) -2)), _xlpm.lineChar) ), _xlpm.actualValue, _xlfn.LAMBDA(_xlpm.value, _xlfn.LET(_xlpm.value,TRIM(_xlpm.value), IF( AND( LEFT(_xlpm.value,1) = """", RIGHT(_xlpm.value,1) = """" ),  MID(_xlpm.value, 2, LEN(_xlpm.value) - 2), VALUE(_xlpm.value) ) ) ), _xlfn.MAKEARRAY(LENGTH(_xlpm.rows), LENGTH( _xludf.SPLIT( INDEX(_xlpm.rows,1,1), _xlpm.colChar ) ), _xlfn.LAMBDA(_xlpm.row,_xlpm.col,  _xlpm.actualValue( INDEX( _xludf.SPLIT( INDEX(_xlpm.rows,_xlpm.row,1), _xlpm.colChar ), 1, _xlpm.col ) ) ) ) ))</definedName>
    <definedName name="TEXTTOCHAR">_xlfn.LAMBDA(_xlpm.txt,MID(_xlpm.txt,_xlfn.SEQUENCE(LEN(_xlpm.txt)),1))</definedName>
    <definedName name="TRIL">_xlfn.LAMBDA(_xlpm.matrix,_xlop.k,_xlfn.MAKEARRAY(ROWS(_xlpm.matrix),COLUMNS(_xlpm.matrix),_xlfn.LAMBDA(_xlpm.lin,_xlpm.col,_xlpm.col&lt;=(_xlpm.lin+_xlpm.k)))*_xlpm.matrix)</definedName>
    <definedName name="TRIU">_xlfn.LAMBDA(_xlpm.matrix,_xlop.K,_xlfn.MAKEARRAY(ROWS(_xlpm.matrix),COLUMNS(_xlpm.matrix),_xlfn.LAMBDA(_xlpm.lin,_xlpm.col,_xlpm.col&gt;=(_xlpm.lin+_xlpm.K)))*_xlpm.matrix)</definedName>
    <definedName name="TSOPER">_xlfn.LAMBDA(_xlpm.dates,_xlpm.values,_xlpm.operation, IF(OR(_xlfn.ISOMITTED(_xlpm.operation), _xlpm.operation=""), _xlpm.values, _xlfn.LET( _xlpm.oper, UPPER(LEFT(_xlpm.operation, FIND("(", _xlpm.operation) - 1)), _xlpm.lag, VALUE(MID(_xlpm.operation, FIND("(", _xlpm.operation) + 1, -1 + FIND(")", _xlpm.operation) - FIND("(", _xlpm.operation) )), _xlpm.result, _xlfn.SWITCH(_xlpm.oper, "V%", _xlfn.VSTACK( _xlfn.SEQUENCE(_xlpm.lag)*NA(), _xlfn.DROP(_xlpm.values, _xlpm.lag) / _xlfn.DROP(_xlpm.values, -_xlpm.lag) - 1), "VA", _xlfn.VSTACK( _xlfn.SEQUENCE(_xlpm.lag)*NA(), _xlfn.DROP(_xlpm.values, _xlpm.lag) - _xlfn.DROP(_xlpm.values, -_xlpm.lag) ), "LAG", _xlfn.VSTACK( _xlfn.SEQUENCE(_xlpm.lag)*NA(), _xlfn.DROP(_xlpm.values, -_xlpm.lag) ), "LEAD", _xlfn.VSTACK( _xlfn.DROP(_xlpm.values, _xlpm.lag), _xlfn.SEQUENCE(_xlpm.lag)*NA() ), "MA", _xlfn.VSTACK( _xlfn.SEQUENCE(_xlpm.lag)*NA(), _xlfn.MAKEARRAY(ROWS(_xlpm.values), 1, _xlfn.LAMBDA(_xlpm.row,_xlpm.col, AVERAGE(INDEX(_xlpm.values, _xlfn.SEQUENCE(_xlpm.lag, 1,_xlpm.row-_xlpm.lag+1))) )) ), "CR", (1 + _xlpm.values)^_xlpm.lag - 1, "IDX", _xlpm.values / INDEX(_xlpm.values,  MATCH(_xlpm.lag, _xlpm.dates, 0)), "B100", 100 * _xlpm.values / INDEX(_xlpm.values,  MATCH(_xlpm.lag, _xlpm.dates, 0)), "V%ACC", _xlpm.values / INDEX(_xlpm.values,  MATCH(_xlpm.lag, _xlpm.dates, 0)) - 1, "VAACC", _xlpm.values - INDEX(_xlpm.values,  MATCH(_xlpm.lag, _xlpm.dates, 0)), ), IF( ISERROR( FIND(";", _xlpm.operation) ), _xlpm.result, TSOPER(_xlpm.dates, _xlpm.result, MID(_xlpm.operation, FIND(";", _xlpm.operation) + 1, 999999999)) ) )))</definedName>
    <definedName name="TSTREND">_xlfn.LAMBDA(_xlpm.values,_xlop.nPower, _xlfn.LET(_xlpm.nPower, IF(_xlfn.ISOMITTED(_xlpm.nPower), 1, _xlpm.nPower),  OLS_FITTED(_xlpm.values, ADDCONST(_xlfn.SEQUENCE(ROWS(_xlpm.values))^_xlpm.nPower)) ) )</definedName>
    <definedName name="VARINFLATIONFACTOR">_xlfn.LAMBDA(_xlpm.y,_xlpm.X,_xlop.returnAllFactors, _xlfn.LET( _xlpm.returnAllFactors,IF(_xlfn.ISOMITTED(_xlpm.returnAllFactors), FALSE, _xlpm.returnAllFactors), IF(_xlpm.returnAllFactors, _xlfn.LET( _xlpm.X, _xlfn.HSTACK(_xlpm.y,_xlpm.X), _xlfn.MAP( _xlfn.SEQUENCE(COLUMNS(_xlpm.X),1),  _xlfn.LAMBDA(_xlpm.iVar, 1/(1 - OLS_R2(INDEX(_xlpm.X,,_xlpm.iVar), ADDCONST(SLICE(_xlpm.X,,,_xlpm.iVar,_xlpm.iVar,,TRUE) ) )) )) ), 1/(1 - OLS_R2(_xlpm.y,ADDCONST(_xlpm.X))) )))</definedName>
    <definedName name="VEC">_xlfn.LAMBDA(_xlpm.matrix,_xlop.rowsToCols, _xlfn.LET( _xlpm.rowsToCols, IF(_xlfn.ISOMITTED(_xlpm.rowsToCols),FALSE,_xlpm.rowsToCols), _xlpm.matrix, IF(_xlpm.rowsToCols, _xlpm.matrix, TRANSPOSE(_xlpm.matrix)), INDEX(_xlpm.matrix, _xlfn.MAKEARRAY(ROWS(_xlpm.matrix)*COLUMNS(_xlpm.matrix),1,_xlfn.LAMBDA(_xlpm.lin,_xlpm.col,ROUNDUP(_xlpm.lin/COLUMNS(_xlpm.matrix),0))), _xlfn.MAKEARRAY(ROWS(_xlpm.matrix)*COLUMNS(_xlpm.matrix),1,_xlfn.LAMBDA(_xlpm.lin,_xlpm.col,MOD(_xlpm.lin-1,COLUMNS(_xlpm.matrix))+1)) )) )</definedName>
    <definedName name="VERTCAT" comment="Concatenate arrays vertically">_xlfn.LAMBDA(_xlpm.matrixA,_xlpm.matrixB, _xlfn.LET( _xlpm.LinsA, IFERROR(ROWS(_xlpm.matrixA), 1), _xlpm.LinsB, IFERROR(ROWS(_xlpm.matrixB), 1), _xlpm.ColsA, IFERROR(COLUMNS(_xlpm.matrixA), 1), _xlpm.ColsB, IFERROR(COLUMNS(_xlpm.matrixB), 1), _xlpm.DataA, INDEX(_xlpm.matrixA, _xlfn.SEQUENCE(_xlpm.LinsA), _xlfn.SEQUENCE(1,MAX(_xlpm.ColsA,_xlpm.ColsB)) ), _xlpm.DataB, INDEX(_xlpm.matrixB, _xlfn.SEQUENCE(_xlpm.LinsB), _xlfn.SEQUENCE(1,MAX(_xlpm.ColsA,_xlpm.ColsB)) ), _xlpm.NumCols, COLUMNS(_xlpm.DataA), _xlpm.SeqCol, _xlfn.SEQUENCE( _xlpm.LinsA + _xlpm.LinsB ), _xlpm.SeqRow, _xlfn.SEQUENCE( 1, _xlpm.NumCols), _xlfn.IFS(_xlfn.ISOMITTED(_xlpm.matrixA), _xlpm.matrixB, _xlfn.ISOMITTED(_xlpm.matrixB), _xlpm.matrixA, TRUE, IF( _xlpm.SeqCol &lt;= _xlpm.LinsA, INDEX( _xlpm.DataA, _xlpm.SeqCol, _xlpm.SeqRow ), INDEX( _xlpm.DataB, _xlpm.SeqCol - _xlpm.LinsA, _xlpm.SeqRow ) ) ) ) )</definedName>
    <definedName name="VERTCAT_EX">_xlfn.LAMBDA(_xlpm.matrixA,_xlpm.matrixB,_xlpm.excludeValue, _xlfn.LET( _xlpm.testA, ALL(_xlpm.matrixA=_xlpm.excludeValue), _xlpm.testB, ALL(_xlpm.matrixB=_xlpm.excludeValue), _xlfn.IFS(AND(_xlpm.testA,_xlpm.testB), NA(), _xlpm.testA, _xlpm.matrixB, _xlpm.testB, _xlpm.matrixA, TRUE, VERTCAT(_xlpm.matrixA,_xlpm.matrixB)) ))</definedName>
    <definedName name="ZEROS">_xlfn.LAMBDA(_xlpm.n,_xlop.m, _xlfn.LET(_xlpm.m, IF(_xlfn.ISOMITTED(_xlpm.m),_xlpm.n,IF(_xlpm.m=0,_xlpm.n,_xlpm.m)), _xlfn.MAKEARRAY(_xlpm.n, _xlpm.m,_xlfn.LAMBDA(_xlpm.lin,_xlpm.col,0))) )</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2" i="106" l="1" a="1"/>
  <c r="H12" i="106" s="1"/>
  <c r="BL6" i="1" a="1"/>
  <c r="BL6" i="1" s="1"/>
  <c r="BL21" i="1" a="1"/>
  <c r="BL21" i="1" s="1"/>
  <c r="BH21" i="1" a="1"/>
  <c r="BH21" i="1" s="1"/>
  <c r="BH6" i="1" a="1"/>
  <c r="BH6" i="1" s="1"/>
  <c r="I55" i="12" a="1"/>
  <c r="I55" i="12" s="1"/>
  <c r="N20" i="107" a="1"/>
  <c r="N20" i="107" s="1"/>
  <c r="N13" i="107" a="1"/>
  <c r="N13" i="107" s="1"/>
  <c r="M13" i="52" a="1"/>
  <c r="M13" i="52" s="1"/>
  <c r="I64" i="12" a="1"/>
  <c r="I64" i="12" s="1"/>
  <c r="H33" i="106" a="1"/>
  <c r="H33" i="106" s="1"/>
  <c r="F55" i="12" a="1"/>
  <c r="F64" i="12" a="1"/>
  <c r="F55" i="12" l="1"/>
  <c r="F64" i="12"/>
  <c r="I62" i="12" l="1" a="1"/>
  <c r="I62" i="12" s="1"/>
  <c r="K31" i="95" a="1"/>
  <c r="K31" i="95" s="1"/>
  <c r="K20" i="95" a="1"/>
  <c r="K20" i="95" s="1"/>
  <c r="K25" i="105" a="1"/>
  <c r="K25" i="105" s="1"/>
  <c r="K17" i="105" a="1"/>
  <c r="K17" i="105" s="1"/>
  <c r="F62" i="12" a="1"/>
  <c r="F62" i="12" l="1"/>
  <c r="H56" i="2" a="1"/>
  <c r="H56" i="2" s="1"/>
  <c r="N56" i="2" a="1"/>
  <c r="N56" i="2" s="1"/>
  <c r="I17" i="12" l="1" a="1"/>
  <c r="I17" i="12" s="1"/>
  <c r="I16" i="12" a="1"/>
  <c r="I16" i="12" s="1"/>
  <c r="BD21" i="1" a="1"/>
  <c r="BD21" i="1" s="1"/>
  <c r="BA21" i="1" a="1"/>
  <c r="BA21" i="1" s="1"/>
  <c r="BD6" i="1" a="1"/>
  <c r="BD6" i="1" s="1"/>
  <c r="J9" i="18" a="1"/>
  <c r="J9" i="18" s="1"/>
  <c r="J9" i="17" a="1"/>
  <c r="J9" i="17" s="1"/>
  <c r="AT6" i="1" a="1"/>
  <c r="AT6" i="1" s="1"/>
  <c r="V38" i="2" a="1"/>
  <c r="V38" i="2" s="1"/>
  <c r="V41" i="2" a="1"/>
  <c r="V41" i="2" s="1"/>
  <c r="V26" i="2" a="1"/>
  <c r="V26" i="2" s="1"/>
  <c r="Y34" i="2" a="1"/>
  <c r="Y34" i="2" s="1"/>
  <c r="Y31" i="2" a="1"/>
  <c r="Y31" i="2" s="1"/>
  <c r="Y22" i="2" a="1"/>
  <c r="Y22" i="2" s="1"/>
  <c r="Y25" i="2" a="1"/>
  <c r="Y25" i="2" s="1"/>
  <c r="D19" i="2" a="1"/>
  <c r="D19" i="2" s="1"/>
  <c r="H13" i="2" a="1"/>
  <c r="H13" i="2" s="1"/>
  <c r="I82" i="12" a="1"/>
  <c r="I82" i="12" s="1"/>
  <c r="J11" i="101" a="1"/>
  <c r="J11" i="101" s="1"/>
  <c r="J23" i="101" a="1"/>
  <c r="J23" i="101" s="1"/>
  <c r="J35" i="101" a="1"/>
  <c r="J35" i="101" s="1"/>
  <c r="J19" i="97" a="1"/>
  <c r="J19" i="97" s="1"/>
  <c r="J10" i="97" a="1"/>
  <c r="J10" i="97" s="1"/>
  <c r="K21" i="93" a="1"/>
  <c r="K21" i="93" s="1"/>
  <c r="K10" i="93" a="1"/>
  <c r="K10" i="93" s="1"/>
  <c r="O75" i="36" a="1"/>
  <c r="O75" i="36" s="1"/>
  <c r="O12" i="35" a="1"/>
  <c r="O12" i="35" s="1"/>
  <c r="O11" i="36" a="1"/>
  <c r="O11" i="36" s="1"/>
  <c r="O33" i="35" a="1"/>
  <c r="O33" i="35" s="1"/>
  <c r="O76" i="35" a="1"/>
  <c r="O76" i="35" s="1"/>
  <c r="J21" i="13" a="1"/>
  <c r="J21" i="13" s="1"/>
  <c r="J30" i="13" a="1"/>
  <c r="J30" i="13" s="1"/>
  <c r="J11" i="13" a="1"/>
  <c r="J11" i="13" s="1"/>
  <c r="K24" i="28" a="1"/>
  <c r="K24" i="28" s="1"/>
  <c r="K36" i="28" a="1"/>
  <c r="K36" i="28" s="1"/>
  <c r="K11" i="28" a="1"/>
  <c r="K11" i="28" s="1"/>
  <c r="J10" i="27" a="1"/>
  <c r="J10" i="27" s="1"/>
  <c r="V58" i="2" a="1"/>
  <c r="V58" i="2" s="1"/>
  <c r="W61" i="2" a="1"/>
  <c r="W61" i="2" s="1"/>
  <c r="V61" i="2" a="1"/>
  <c r="V61" i="2" s="1"/>
  <c r="I127" i="12" a="1"/>
  <c r="I127" i="12" s="1"/>
  <c r="I113" i="12" a="1"/>
  <c r="I113" i="12" s="1"/>
  <c r="W58" i="2" a="1"/>
  <c r="W58" i="2" s="1"/>
  <c r="I139" i="12" a="1"/>
  <c r="I139" i="12" s="1"/>
  <c r="V35" i="2" a="1"/>
  <c r="V35" i="2" s="1"/>
  <c r="W35" i="2" a="1"/>
  <c r="W35" i="2" s="1"/>
  <c r="F82" i="12" a="1"/>
  <c r="F82" i="12" l="1"/>
  <c r="O55" i="35" a="1"/>
  <c r="O55" i="35" s="1"/>
  <c r="O54" i="36" a="1"/>
  <c r="O54" i="36" s="1"/>
  <c r="M12" i="10" a="1"/>
  <c r="M12" i="10" s="1"/>
  <c r="M8" i="10" a="1"/>
  <c r="M8" i="10" s="1"/>
  <c r="M16" i="11" a="1"/>
  <c r="M16" i="11" s="1"/>
  <c r="M9" i="11" a="1"/>
  <c r="M9" i="11" s="1"/>
  <c r="M23" i="11" a="1"/>
  <c r="M23" i="11" s="1"/>
  <c r="M18" i="10" a="1"/>
  <c r="M18" i="10" s="1"/>
  <c r="I27" i="12" a="1"/>
  <c r="I27" i="12" s="1"/>
  <c r="H13" i="99" a="1"/>
  <c r="H19" i="99" a="1"/>
  <c r="F27" i="12" a="1"/>
  <c r="H19" i="99" l="1"/>
  <c r="F27" i="12"/>
  <c r="H13" i="99"/>
  <c r="K12" i="98" a="1"/>
  <c r="K12" i="98" s="1"/>
  <c r="I63" i="12" a="1"/>
  <c r="I63" i="12" s="1"/>
  <c r="K23" i="98" a="1"/>
  <c r="K23" i="98" s="1"/>
  <c r="I61" i="12" a="1"/>
  <c r="I61" i="12" s="1"/>
  <c r="F61" i="12" a="1"/>
  <c r="F63" i="12" a="1"/>
  <c r="F63" i="12" l="1"/>
  <c r="F61" i="12"/>
  <c r="P30" i="88" l="1" a="1"/>
  <c r="P30" i="88" s="1"/>
  <c r="N30" i="88" a="1"/>
  <c r="N30" i="88" s="1"/>
  <c r="P17" i="90" a="1"/>
  <c r="P17" i="90" s="1"/>
  <c r="N17" i="90" a="1"/>
  <c r="N17" i="90" s="1"/>
  <c r="I110" i="12" a="1"/>
  <c r="I110" i="12" s="1"/>
  <c r="F110" i="12" a="1"/>
  <c r="F110" i="12" l="1"/>
  <c r="I109" i="12" a="1"/>
  <c r="I109" i="12" s="1"/>
  <c r="T13" i="89" a="1"/>
  <c r="T13" i="89" s="1"/>
  <c r="I108" i="12" a="1"/>
  <c r="I108" i="12" s="1"/>
  <c r="N13" i="89" a="1"/>
  <c r="N13" i="89" s="1"/>
  <c r="I106" i="12" a="1"/>
  <c r="I106" i="12" s="1"/>
  <c r="I105" i="12" a="1"/>
  <c r="I105" i="12" s="1"/>
  <c r="I107" i="12" a="1"/>
  <c r="I107" i="12" s="1"/>
  <c r="I104" i="12" a="1"/>
  <c r="I104" i="12" s="1"/>
  <c r="N19" i="87" a="1"/>
  <c r="N19" i="87" s="1"/>
  <c r="P19" i="87" a="1"/>
  <c r="P19" i="87" s="1"/>
  <c r="J526" i="87"/>
  <c r="I526" i="87"/>
  <c r="J525" i="87"/>
  <c r="I525" i="87"/>
  <c r="J524" i="87"/>
  <c r="I524" i="87"/>
  <c r="J523" i="87"/>
  <c r="I523" i="87"/>
  <c r="J522" i="87"/>
  <c r="I522" i="87"/>
  <c r="J521" i="87"/>
  <c r="I521" i="87"/>
  <c r="J520" i="87"/>
  <c r="I520" i="87"/>
  <c r="J519" i="87"/>
  <c r="I519" i="87"/>
  <c r="J518" i="87"/>
  <c r="I518" i="87"/>
  <c r="J517" i="87"/>
  <c r="I517" i="87"/>
  <c r="J516" i="87"/>
  <c r="I516" i="87"/>
  <c r="J515" i="87"/>
  <c r="I515" i="87"/>
  <c r="J514" i="87"/>
  <c r="I514" i="87"/>
  <c r="J513" i="87"/>
  <c r="I513" i="87"/>
  <c r="J512" i="87"/>
  <c r="I512" i="87"/>
  <c r="J511" i="87"/>
  <c r="I511" i="87"/>
  <c r="J510" i="87"/>
  <c r="I510" i="87"/>
  <c r="J509" i="87"/>
  <c r="I509" i="87"/>
  <c r="J508" i="87"/>
  <c r="I508" i="87"/>
  <c r="J507" i="87"/>
  <c r="I507" i="87"/>
  <c r="J506" i="87"/>
  <c r="I506" i="87"/>
  <c r="J505" i="87"/>
  <c r="I505" i="87"/>
  <c r="J504" i="87"/>
  <c r="I504" i="87"/>
  <c r="J503" i="87"/>
  <c r="I503" i="87"/>
  <c r="J502" i="87"/>
  <c r="I502" i="87"/>
  <c r="J501" i="87"/>
  <c r="I501" i="87"/>
  <c r="J500" i="87"/>
  <c r="I500" i="87"/>
  <c r="J499" i="87"/>
  <c r="I499" i="87"/>
  <c r="J498" i="87"/>
  <c r="I498" i="87"/>
  <c r="J497" i="87"/>
  <c r="I497" i="87"/>
  <c r="J496" i="87"/>
  <c r="I496" i="87"/>
  <c r="J495" i="87"/>
  <c r="I495" i="87"/>
  <c r="J494" i="87"/>
  <c r="I494" i="87"/>
  <c r="J493" i="87"/>
  <c r="I493" i="87"/>
  <c r="J492" i="87"/>
  <c r="I492" i="87"/>
  <c r="J491" i="87"/>
  <c r="I491" i="87"/>
  <c r="J490" i="87"/>
  <c r="I490" i="87"/>
  <c r="J489" i="87"/>
  <c r="I489" i="87"/>
  <c r="J488" i="87"/>
  <c r="I488" i="87"/>
  <c r="J487" i="87"/>
  <c r="I487" i="87"/>
  <c r="J486" i="87"/>
  <c r="I486" i="87"/>
  <c r="J485" i="87"/>
  <c r="I485" i="87"/>
  <c r="J484" i="87"/>
  <c r="I484" i="87"/>
  <c r="J483" i="87"/>
  <c r="I483" i="87"/>
  <c r="J482" i="87"/>
  <c r="I482" i="87"/>
  <c r="J481" i="87"/>
  <c r="I481" i="87"/>
  <c r="J480" i="87"/>
  <c r="I480" i="87"/>
  <c r="J479" i="87"/>
  <c r="I479" i="87"/>
  <c r="J478" i="87"/>
  <c r="I478" i="87"/>
  <c r="J477" i="87"/>
  <c r="I477" i="87"/>
  <c r="J476" i="87"/>
  <c r="I476" i="87"/>
  <c r="J475" i="87"/>
  <c r="I475" i="87"/>
  <c r="J474" i="87"/>
  <c r="I474" i="87"/>
  <c r="J473" i="87"/>
  <c r="I473" i="87"/>
  <c r="J472" i="87"/>
  <c r="I472" i="87"/>
  <c r="J471" i="87"/>
  <c r="I471" i="87"/>
  <c r="J470" i="87"/>
  <c r="I470" i="87"/>
  <c r="J469" i="87"/>
  <c r="I469" i="87"/>
  <c r="J468" i="87"/>
  <c r="I468" i="87"/>
  <c r="J467" i="87"/>
  <c r="I467" i="87"/>
  <c r="J466" i="87"/>
  <c r="I466" i="87"/>
  <c r="J465" i="87"/>
  <c r="I465" i="87"/>
  <c r="J464" i="87"/>
  <c r="I464" i="87"/>
  <c r="J463" i="87"/>
  <c r="I463" i="87"/>
  <c r="J462" i="87"/>
  <c r="I462" i="87"/>
  <c r="J461" i="87"/>
  <c r="I461" i="87"/>
  <c r="J460" i="87"/>
  <c r="I460" i="87"/>
  <c r="J459" i="87"/>
  <c r="I459" i="87"/>
  <c r="J458" i="87"/>
  <c r="I458" i="87"/>
  <c r="J457" i="87"/>
  <c r="I457" i="87"/>
  <c r="J456" i="87"/>
  <c r="I456" i="87"/>
  <c r="J455" i="87"/>
  <c r="I455" i="87"/>
  <c r="J454" i="87"/>
  <c r="I454" i="87"/>
  <c r="J453" i="87"/>
  <c r="I453" i="87"/>
  <c r="J452" i="87"/>
  <c r="I452" i="87"/>
  <c r="J451" i="87"/>
  <c r="I451" i="87"/>
  <c r="J450" i="87"/>
  <c r="I450" i="87"/>
  <c r="J449" i="87"/>
  <c r="I449" i="87"/>
  <c r="J448" i="87"/>
  <c r="I448" i="87"/>
  <c r="J447" i="87"/>
  <c r="I447" i="87"/>
  <c r="J446" i="87"/>
  <c r="I446" i="87"/>
  <c r="J445" i="87"/>
  <c r="I445" i="87"/>
  <c r="J444" i="87"/>
  <c r="I444" i="87"/>
  <c r="J443" i="87"/>
  <c r="I443" i="87"/>
  <c r="J442" i="87"/>
  <c r="I442" i="87"/>
  <c r="J441" i="87"/>
  <c r="I441" i="87"/>
  <c r="J440" i="87"/>
  <c r="I440" i="87"/>
  <c r="J439" i="87"/>
  <c r="I439" i="87"/>
  <c r="J438" i="87"/>
  <c r="I438" i="87"/>
  <c r="J437" i="87"/>
  <c r="I437" i="87"/>
  <c r="J436" i="87"/>
  <c r="I436" i="87"/>
  <c r="J435" i="87"/>
  <c r="I435" i="87"/>
  <c r="J434" i="87"/>
  <c r="I434" i="87"/>
  <c r="J433" i="87"/>
  <c r="I433" i="87"/>
  <c r="J432" i="87"/>
  <c r="I432" i="87"/>
  <c r="J431" i="87"/>
  <c r="I431" i="87"/>
  <c r="J430" i="87"/>
  <c r="I430" i="87"/>
  <c r="J429" i="87"/>
  <c r="I429" i="87"/>
  <c r="J428" i="87"/>
  <c r="I428" i="87"/>
  <c r="J427" i="87"/>
  <c r="I427" i="87"/>
  <c r="J426" i="87"/>
  <c r="I426" i="87"/>
  <c r="J425" i="87"/>
  <c r="I425" i="87"/>
  <c r="J424" i="87"/>
  <c r="I424" i="87"/>
  <c r="J423" i="87"/>
  <c r="I423" i="87"/>
  <c r="J422" i="87"/>
  <c r="I422" i="87"/>
  <c r="J421" i="87"/>
  <c r="I421" i="87"/>
  <c r="J420" i="87"/>
  <c r="I420" i="87"/>
  <c r="J419" i="87"/>
  <c r="I419" i="87"/>
  <c r="J418" i="87"/>
  <c r="I418" i="87"/>
  <c r="J417" i="87"/>
  <c r="I417" i="87"/>
  <c r="J416" i="87"/>
  <c r="I416" i="87"/>
  <c r="J415" i="87"/>
  <c r="I415" i="87"/>
  <c r="J414" i="87"/>
  <c r="I414" i="87"/>
  <c r="J413" i="87"/>
  <c r="I413" i="87"/>
  <c r="J412" i="87"/>
  <c r="I412" i="87"/>
  <c r="J411" i="87"/>
  <c r="I411" i="87"/>
  <c r="J410" i="87"/>
  <c r="I410" i="87"/>
  <c r="J409" i="87"/>
  <c r="I409" i="87"/>
  <c r="J408" i="87"/>
  <c r="I408" i="87"/>
  <c r="J407" i="87"/>
  <c r="I407" i="87"/>
  <c r="J406" i="87"/>
  <c r="I406" i="87"/>
  <c r="J405" i="87"/>
  <c r="I405" i="87"/>
  <c r="J404" i="87"/>
  <c r="I404" i="87"/>
  <c r="J403" i="87"/>
  <c r="I403" i="87"/>
  <c r="J402" i="87"/>
  <c r="I402" i="87"/>
  <c r="J401" i="87"/>
  <c r="I401" i="87"/>
  <c r="J400" i="87"/>
  <c r="I400" i="87"/>
  <c r="J399" i="87"/>
  <c r="I399" i="87"/>
  <c r="J398" i="87"/>
  <c r="I398" i="87"/>
  <c r="J397" i="87"/>
  <c r="I397" i="87"/>
  <c r="J396" i="87"/>
  <c r="I396" i="87"/>
  <c r="J395" i="87"/>
  <c r="I395" i="87"/>
  <c r="J394" i="87"/>
  <c r="I394" i="87"/>
  <c r="J393" i="87"/>
  <c r="I393" i="87"/>
  <c r="J392" i="87"/>
  <c r="I392" i="87"/>
  <c r="J391" i="87"/>
  <c r="I391" i="87"/>
  <c r="J390" i="87"/>
  <c r="I390" i="87"/>
  <c r="J389" i="87"/>
  <c r="I389" i="87"/>
  <c r="J388" i="87"/>
  <c r="I388" i="87"/>
  <c r="J387" i="87"/>
  <c r="I387" i="87"/>
  <c r="J386" i="87"/>
  <c r="I386" i="87"/>
  <c r="J385" i="87"/>
  <c r="I385" i="87"/>
  <c r="J384" i="87"/>
  <c r="I384" i="87"/>
  <c r="J383" i="87"/>
  <c r="I383" i="87"/>
  <c r="J382" i="87"/>
  <c r="I382" i="87"/>
  <c r="J381" i="87"/>
  <c r="I381" i="87"/>
  <c r="J380" i="87"/>
  <c r="I380" i="87"/>
  <c r="J379" i="87"/>
  <c r="I379" i="87"/>
  <c r="J378" i="87"/>
  <c r="I378" i="87"/>
  <c r="J377" i="87"/>
  <c r="I377" i="87"/>
  <c r="J376" i="87"/>
  <c r="I376" i="87"/>
  <c r="J375" i="87"/>
  <c r="I375" i="87"/>
  <c r="J374" i="87"/>
  <c r="I374" i="87"/>
  <c r="J373" i="87"/>
  <c r="I373" i="87"/>
  <c r="J372" i="87"/>
  <c r="I372" i="87"/>
  <c r="J371" i="87"/>
  <c r="I371" i="87"/>
  <c r="J370" i="87"/>
  <c r="I370" i="87"/>
  <c r="J369" i="87"/>
  <c r="I369" i="87"/>
  <c r="J368" i="87"/>
  <c r="I368" i="87"/>
  <c r="J367" i="87"/>
  <c r="I367" i="87"/>
  <c r="J366" i="87"/>
  <c r="I366" i="87"/>
  <c r="J365" i="87"/>
  <c r="I365" i="87"/>
  <c r="J364" i="87"/>
  <c r="I364" i="87"/>
  <c r="J363" i="87"/>
  <c r="I363" i="87"/>
  <c r="J362" i="87"/>
  <c r="I362" i="87"/>
  <c r="J361" i="87"/>
  <c r="I361" i="87"/>
  <c r="J360" i="87"/>
  <c r="I360" i="87"/>
  <c r="J359" i="87"/>
  <c r="I359" i="87"/>
  <c r="J358" i="87"/>
  <c r="I358" i="87"/>
  <c r="J357" i="87"/>
  <c r="I357" i="87"/>
  <c r="J356" i="87"/>
  <c r="I356" i="87"/>
  <c r="J355" i="87"/>
  <c r="I355" i="87"/>
  <c r="J354" i="87"/>
  <c r="I354" i="87"/>
  <c r="J353" i="87"/>
  <c r="I353" i="87"/>
  <c r="J352" i="87"/>
  <c r="I352" i="87"/>
  <c r="J351" i="87"/>
  <c r="I351" i="87"/>
  <c r="J350" i="87"/>
  <c r="I350" i="87"/>
  <c r="J349" i="87"/>
  <c r="I349" i="87"/>
  <c r="J348" i="87"/>
  <c r="I348" i="87"/>
  <c r="J347" i="87"/>
  <c r="I347" i="87"/>
  <c r="J346" i="87"/>
  <c r="I346" i="87"/>
  <c r="J345" i="87"/>
  <c r="I345" i="87"/>
  <c r="J344" i="87"/>
  <c r="I344" i="87"/>
  <c r="J343" i="87"/>
  <c r="I343" i="87"/>
  <c r="J342" i="87"/>
  <c r="I342" i="87"/>
  <c r="J341" i="87"/>
  <c r="I341" i="87"/>
  <c r="J340" i="87"/>
  <c r="I340" i="87"/>
  <c r="J339" i="87"/>
  <c r="I339" i="87"/>
  <c r="J338" i="87"/>
  <c r="I338" i="87"/>
  <c r="J337" i="87"/>
  <c r="I337" i="87"/>
  <c r="J336" i="87"/>
  <c r="I336" i="87"/>
  <c r="J335" i="87"/>
  <c r="I335" i="87"/>
  <c r="J334" i="87"/>
  <c r="I334" i="87"/>
  <c r="J333" i="87"/>
  <c r="I333" i="87"/>
  <c r="J332" i="87"/>
  <c r="I332" i="87"/>
  <c r="J331" i="87"/>
  <c r="I331" i="87"/>
  <c r="J330" i="87"/>
  <c r="I330" i="87"/>
  <c r="J329" i="87"/>
  <c r="I329" i="87"/>
  <c r="J328" i="87"/>
  <c r="I328" i="87"/>
  <c r="J327" i="87"/>
  <c r="I327" i="87"/>
  <c r="J326" i="87"/>
  <c r="I326" i="87"/>
  <c r="J325" i="87"/>
  <c r="I325" i="87"/>
  <c r="J324" i="87"/>
  <c r="I324" i="87"/>
  <c r="J323" i="87"/>
  <c r="I323" i="87"/>
  <c r="J322" i="87"/>
  <c r="I322" i="87"/>
  <c r="J321" i="87"/>
  <c r="I321" i="87"/>
  <c r="J318" i="87"/>
  <c r="I318" i="87"/>
  <c r="J317" i="87"/>
  <c r="I317" i="87"/>
  <c r="J316" i="87"/>
  <c r="I316" i="87"/>
  <c r="J315" i="87"/>
  <c r="I315" i="87"/>
  <c r="J314" i="87"/>
  <c r="I314" i="87"/>
  <c r="J313" i="87"/>
  <c r="I313" i="87"/>
  <c r="J312" i="87"/>
  <c r="I312" i="87"/>
  <c r="J311" i="87"/>
  <c r="I311" i="87"/>
  <c r="J310" i="87"/>
  <c r="I310" i="87"/>
  <c r="J309" i="87"/>
  <c r="I309" i="87"/>
  <c r="J308" i="87"/>
  <c r="I308" i="87"/>
  <c r="J307" i="87"/>
  <c r="I307" i="87"/>
  <c r="J306" i="87"/>
  <c r="I306" i="87"/>
  <c r="J305" i="87"/>
  <c r="I305" i="87"/>
  <c r="J304" i="87"/>
  <c r="I304" i="87"/>
  <c r="J303" i="87"/>
  <c r="I303" i="87"/>
  <c r="J302" i="87"/>
  <c r="I302" i="87"/>
  <c r="J301" i="87"/>
  <c r="I301" i="87"/>
  <c r="J300" i="87"/>
  <c r="I300" i="87"/>
  <c r="J299" i="87"/>
  <c r="I299" i="87"/>
  <c r="J298" i="87"/>
  <c r="I298" i="87"/>
  <c r="J297" i="87"/>
  <c r="I297" i="87"/>
  <c r="J296" i="87"/>
  <c r="I296" i="87"/>
  <c r="J295" i="87"/>
  <c r="I295" i="87"/>
  <c r="J294" i="87"/>
  <c r="I294" i="87"/>
  <c r="J293" i="87"/>
  <c r="I293" i="87"/>
  <c r="J292" i="87"/>
  <c r="I292" i="87"/>
  <c r="J291" i="87"/>
  <c r="I291" i="87"/>
  <c r="J290" i="87"/>
  <c r="I290" i="87"/>
  <c r="J289" i="87"/>
  <c r="I289" i="87"/>
  <c r="J288" i="87"/>
  <c r="I288" i="87"/>
  <c r="J287" i="87"/>
  <c r="I287" i="87"/>
  <c r="J286" i="87"/>
  <c r="I286" i="87"/>
  <c r="J285" i="87"/>
  <c r="I285" i="87"/>
  <c r="J284" i="87"/>
  <c r="I284" i="87"/>
  <c r="J283" i="87"/>
  <c r="I283" i="87"/>
  <c r="J282" i="87"/>
  <c r="I282" i="87"/>
  <c r="J281" i="87"/>
  <c r="I281" i="87"/>
  <c r="J280" i="87"/>
  <c r="I280" i="87"/>
  <c r="J279" i="87"/>
  <c r="I279" i="87"/>
  <c r="J278" i="87"/>
  <c r="I278" i="87"/>
  <c r="J277" i="87"/>
  <c r="I277" i="87"/>
  <c r="J276" i="87"/>
  <c r="I276" i="87"/>
  <c r="J275" i="87"/>
  <c r="I275" i="87"/>
  <c r="J274" i="87"/>
  <c r="I274" i="87"/>
  <c r="J273" i="87"/>
  <c r="I273" i="87"/>
  <c r="J272" i="87"/>
  <c r="I272" i="87"/>
  <c r="J271" i="87"/>
  <c r="I271" i="87"/>
  <c r="J270" i="87"/>
  <c r="I270" i="87"/>
  <c r="J269" i="87"/>
  <c r="I269" i="87"/>
  <c r="J268" i="87"/>
  <c r="I268" i="87"/>
  <c r="J267" i="87"/>
  <c r="I267" i="87"/>
  <c r="J266" i="87"/>
  <c r="I266" i="87"/>
  <c r="J265" i="87"/>
  <c r="I265" i="87"/>
  <c r="J264" i="87"/>
  <c r="I264" i="87"/>
  <c r="J263" i="87"/>
  <c r="I263" i="87"/>
  <c r="J262" i="87"/>
  <c r="I262" i="87"/>
  <c r="J261" i="87"/>
  <c r="I261" i="87"/>
  <c r="J260" i="87"/>
  <c r="I260" i="87"/>
  <c r="J259" i="87"/>
  <c r="I259" i="87"/>
  <c r="J258" i="87"/>
  <c r="I258" i="87"/>
  <c r="J257" i="87"/>
  <c r="I257" i="87"/>
  <c r="J256" i="87"/>
  <c r="I256" i="87"/>
  <c r="J255" i="87"/>
  <c r="I255" i="87"/>
  <c r="J254" i="87"/>
  <c r="I254" i="87"/>
  <c r="J253" i="87"/>
  <c r="I253" i="87"/>
  <c r="J252" i="87"/>
  <c r="I252" i="87"/>
  <c r="J251" i="87"/>
  <c r="I251" i="87"/>
  <c r="J250" i="87"/>
  <c r="I250" i="87"/>
  <c r="J249" i="87"/>
  <c r="I249" i="87"/>
  <c r="J248" i="87"/>
  <c r="I248" i="87"/>
  <c r="J247" i="87"/>
  <c r="I247" i="87"/>
  <c r="J246" i="87"/>
  <c r="I246" i="87"/>
  <c r="J245" i="87"/>
  <c r="I245" i="87"/>
  <c r="J244" i="87"/>
  <c r="I244" i="87"/>
  <c r="J243" i="87"/>
  <c r="I243" i="87"/>
  <c r="J242" i="87"/>
  <c r="I242" i="87"/>
  <c r="J241" i="87"/>
  <c r="I241" i="87"/>
  <c r="J240" i="87"/>
  <c r="I240" i="87"/>
  <c r="J239" i="87"/>
  <c r="I239" i="87"/>
  <c r="J238" i="87"/>
  <c r="I238" i="87"/>
  <c r="J237" i="87"/>
  <c r="I237" i="87"/>
  <c r="J236" i="87"/>
  <c r="I236" i="87"/>
  <c r="J235" i="87"/>
  <c r="I235" i="87"/>
  <c r="J234" i="87"/>
  <c r="I234" i="87"/>
  <c r="J233" i="87"/>
  <c r="I233" i="87"/>
  <c r="J232" i="87"/>
  <c r="I232" i="87"/>
  <c r="J231" i="87"/>
  <c r="I231" i="87"/>
  <c r="J230" i="87"/>
  <c r="I230" i="87"/>
  <c r="J229" i="87"/>
  <c r="I229" i="87"/>
  <c r="J228" i="87"/>
  <c r="I228" i="87"/>
  <c r="J227" i="87"/>
  <c r="I227" i="87"/>
  <c r="J226" i="87"/>
  <c r="I226" i="87"/>
  <c r="J225" i="87"/>
  <c r="I225" i="87"/>
  <c r="J224" i="87"/>
  <c r="I224" i="87"/>
  <c r="J223" i="87"/>
  <c r="I223" i="87"/>
  <c r="J222" i="87"/>
  <c r="I222" i="87"/>
  <c r="J221" i="87"/>
  <c r="I221" i="87"/>
  <c r="J220" i="87"/>
  <c r="I220" i="87"/>
  <c r="J219" i="87"/>
  <c r="I219" i="87"/>
  <c r="J218" i="87"/>
  <c r="I218" i="87"/>
  <c r="J217" i="87"/>
  <c r="I217" i="87"/>
  <c r="J216" i="87"/>
  <c r="I216" i="87"/>
  <c r="J215" i="87"/>
  <c r="I215" i="87"/>
  <c r="J214" i="87"/>
  <c r="I214" i="87"/>
  <c r="J213" i="87"/>
  <c r="I213" i="87"/>
  <c r="J212" i="87"/>
  <c r="I212" i="87"/>
  <c r="J211" i="87"/>
  <c r="I211" i="87"/>
  <c r="J210" i="87"/>
  <c r="I210" i="87"/>
  <c r="J209" i="87"/>
  <c r="I209" i="87"/>
  <c r="J208" i="87"/>
  <c r="I208" i="87"/>
  <c r="J207" i="87"/>
  <c r="I207" i="87"/>
  <c r="J206" i="87"/>
  <c r="I206" i="87"/>
  <c r="J205" i="87"/>
  <c r="I205" i="87"/>
  <c r="J204" i="87"/>
  <c r="I204" i="87"/>
  <c r="J203" i="87"/>
  <c r="I203" i="87"/>
  <c r="J202" i="87"/>
  <c r="I202" i="87"/>
  <c r="J201" i="87"/>
  <c r="I201" i="87"/>
  <c r="J200" i="87"/>
  <c r="I200" i="87"/>
  <c r="J199" i="87"/>
  <c r="I199" i="87"/>
  <c r="J198" i="87"/>
  <c r="I198" i="87"/>
  <c r="J197" i="87"/>
  <c r="I197" i="87"/>
  <c r="J196" i="87"/>
  <c r="I196" i="87"/>
  <c r="J195" i="87"/>
  <c r="I195" i="87"/>
  <c r="J194" i="87"/>
  <c r="I194" i="87"/>
  <c r="J193" i="87"/>
  <c r="I193" i="87"/>
  <c r="J192" i="87"/>
  <c r="I192" i="87"/>
  <c r="J191" i="87"/>
  <c r="I191" i="87"/>
  <c r="J190" i="87"/>
  <c r="I190" i="87"/>
  <c r="J189" i="87"/>
  <c r="I189" i="87"/>
  <c r="J188" i="87"/>
  <c r="I188" i="87"/>
  <c r="J187" i="87"/>
  <c r="I187" i="87"/>
  <c r="J186" i="87"/>
  <c r="I186" i="87"/>
  <c r="J185" i="87"/>
  <c r="I185" i="87"/>
  <c r="J184" i="87"/>
  <c r="I184" i="87"/>
  <c r="J183" i="87"/>
  <c r="I183" i="87"/>
  <c r="J182" i="87"/>
  <c r="I182" i="87"/>
  <c r="J181" i="87"/>
  <c r="I181" i="87"/>
  <c r="J180" i="87"/>
  <c r="I180" i="87"/>
  <c r="J179" i="87"/>
  <c r="I179" i="87"/>
  <c r="J178" i="87"/>
  <c r="I178" i="87"/>
  <c r="J177" i="87"/>
  <c r="I177" i="87"/>
  <c r="J176" i="87"/>
  <c r="I176" i="87"/>
  <c r="J175" i="87"/>
  <c r="I175" i="87"/>
  <c r="J174" i="87"/>
  <c r="I174" i="87"/>
  <c r="J173" i="87"/>
  <c r="I173" i="87"/>
  <c r="J172" i="87"/>
  <c r="I172" i="87"/>
  <c r="J171" i="87"/>
  <c r="I171" i="87"/>
  <c r="J170" i="87"/>
  <c r="I170" i="87"/>
  <c r="J169" i="87"/>
  <c r="I169" i="87"/>
  <c r="J168" i="87"/>
  <c r="I168" i="87"/>
  <c r="J167" i="87"/>
  <c r="I167" i="87"/>
  <c r="J166" i="87"/>
  <c r="I166" i="87"/>
  <c r="J165" i="87"/>
  <c r="I165" i="87"/>
  <c r="J164" i="87"/>
  <c r="I164" i="87"/>
  <c r="J163" i="87"/>
  <c r="I163" i="87"/>
  <c r="J162" i="87"/>
  <c r="I162" i="87"/>
  <c r="J161" i="87"/>
  <c r="I161" i="87"/>
  <c r="J160" i="87"/>
  <c r="I160" i="87"/>
  <c r="J159" i="87"/>
  <c r="I159" i="87"/>
  <c r="J158" i="87"/>
  <c r="I158" i="87"/>
  <c r="J157" i="87"/>
  <c r="I157" i="87"/>
  <c r="J156" i="87"/>
  <c r="I156" i="87"/>
  <c r="J155" i="87"/>
  <c r="I155" i="87"/>
  <c r="J154" i="87"/>
  <c r="I154" i="87"/>
  <c r="J153" i="87"/>
  <c r="I153" i="87"/>
  <c r="J152" i="87"/>
  <c r="I152" i="87"/>
  <c r="J151" i="87"/>
  <c r="I151" i="87"/>
  <c r="J150" i="87"/>
  <c r="I150" i="87"/>
  <c r="J149" i="87"/>
  <c r="I149" i="87"/>
  <c r="J148" i="87"/>
  <c r="I148" i="87"/>
  <c r="J147" i="87"/>
  <c r="I147" i="87"/>
  <c r="J146" i="87"/>
  <c r="I146" i="87"/>
  <c r="J145" i="87"/>
  <c r="I145" i="87"/>
  <c r="J144" i="87"/>
  <c r="I144" i="87"/>
  <c r="J143" i="87"/>
  <c r="I143" i="87"/>
  <c r="J142" i="87"/>
  <c r="I142" i="87"/>
  <c r="J141" i="87"/>
  <c r="I141" i="87"/>
  <c r="J140" i="87"/>
  <c r="I140" i="87"/>
  <c r="J139" i="87"/>
  <c r="I139" i="87"/>
  <c r="J138" i="87"/>
  <c r="I138" i="87"/>
  <c r="J137" i="87"/>
  <c r="I137" i="87"/>
  <c r="J136" i="87"/>
  <c r="I136" i="87"/>
  <c r="J135" i="87"/>
  <c r="I135" i="87"/>
  <c r="J134" i="87"/>
  <c r="I134" i="87"/>
  <c r="J133" i="87"/>
  <c r="I133" i="87"/>
  <c r="J132" i="87"/>
  <c r="I132" i="87"/>
  <c r="J131" i="87"/>
  <c r="I131" i="87"/>
  <c r="J130" i="87"/>
  <c r="I130" i="87"/>
  <c r="J129" i="87"/>
  <c r="I129" i="87"/>
  <c r="J128" i="87"/>
  <c r="I128" i="87"/>
  <c r="J127" i="87"/>
  <c r="I127" i="87"/>
  <c r="J126" i="87"/>
  <c r="I126" i="87"/>
  <c r="J125" i="87"/>
  <c r="I125" i="87"/>
  <c r="J124" i="87"/>
  <c r="I124" i="87"/>
  <c r="J123" i="87"/>
  <c r="I123" i="87"/>
  <c r="J122" i="87"/>
  <c r="I122" i="87"/>
  <c r="J121" i="87"/>
  <c r="I121" i="87"/>
  <c r="J120" i="87"/>
  <c r="I120" i="87"/>
  <c r="J119" i="87"/>
  <c r="I119" i="87"/>
  <c r="J118" i="87"/>
  <c r="I118" i="87"/>
  <c r="J117" i="87"/>
  <c r="I117" i="87"/>
  <c r="J116" i="87"/>
  <c r="I116" i="87"/>
  <c r="J115" i="87"/>
  <c r="I115" i="87"/>
  <c r="J114" i="87"/>
  <c r="I114" i="87"/>
  <c r="J113" i="87"/>
  <c r="I113" i="87"/>
  <c r="J112" i="87"/>
  <c r="I112" i="87"/>
  <c r="J111" i="87"/>
  <c r="I111" i="87"/>
  <c r="J110" i="87"/>
  <c r="I110" i="87"/>
  <c r="J109" i="87"/>
  <c r="I109" i="87"/>
  <c r="J108" i="87"/>
  <c r="I108" i="87"/>
  <c r="J107" i="87"/>
  <c r="I107" i="87"/>
  <c r="J106" i="87"/>
  <c r="I106" i="87"/>
  <c r="J105" i="87"/>
  <c r="I105" i="87"/>
  <c r="J104" i="87"/>
  <c r="I104" i="87"/>
  <c r="J103" i="87"/>
  <c r="I103" i="87"/>
  <c r="J102" i="87"/>
  <c r="I102" i="87"/>
  <c r="J101" i="87"/>
  <c r="I101" i="87"/>
  <c r="J100" i="87"/>
  <c r="I100" i="87"/>
  <c r="J99" i="87"/>
  <c r="I99" i="87"/>
  <c r="J98" i="87"/>
  <c r="I98" i="87"/>
  <c r="J97" i="87"/>
  <c r="I97" i="87"/>
  <c r="J96" i="87"/>
  <c r="I96" i="87"/>
  <c r="J95" i="87"/>
  <c r="I95" i="87"/>
  <c r="J94" i="87"/>
  <c r="I94" i="87"/>
  <c r="J93" i="87"/>
  <c r="I93" i="87"/>
  <c r="J92" i="87"/>
  <c r="I92" i="87"/>
  <c r="J91" i="87"/>
  <c r="I91" i="87"/>
  <c r="J90" i="87"/>
  <c r="I90" i="87"/>
  <c r="J89" i="87"/>
  <c r="I89" i="87"/>
  <c r="J88" i="87"/>
  <c r="I88" i="87"/>
  <c r="J87" i="87"/>
  <c r="I87" i="87"/>
  <c r="J86" i="87"/>
  <c r="I86" i="87"/>
  <c r="J85" i="87"/>
  <c r="I85" i="87"/>
  <c r="J84" i="87"/>
  <c r="I84" i="87"/>
  <c r="J83" i="87"/>
  <c r="I83" i="87"/>
  <c r="J82" i="87"/>
  <c r="I82" i="87"/>
  <c r="J81" i="87"/>
  <c r="I81" i="87"/>
  <c r="J80" i="87"/>
  <c r="I80" i="87"/>
  <c r="J79" i="87"/>
  <c r="I79" i="87"/>
  <c r="J78" i="87"/>
  <c r="I78" i="87"/>
  <c r="J77" i="87"/>
  <c r="I77" i="87"/>
  <c r="J76" i="87"/>
  <c r="I76" i="87"/>
  <c r="J75" i="87"/>
  <c r="I75" i="87"/>
  <c r="J74" i="87"/>
  <c r="I74" i="87"/>
  <c r="J73" i="87"/>
  <c r="I73" i="87"/>
  <c r="J72" i="87"/>
  <c r="I72" i="87"/>
  <c r="J71" i="87"/>
  <c r="I71" i="87"/>
  <c r="J70" i="87"/>
  <c r="I70" i="87"/>
  <c r="J69" i="87"/>
  <c r="I69" i="87"/>
  <c r="J68" i="87"/>
  <c r="I68" i="87"/>
  <c r="J67" i="87"/>
  <c r="I67" i="87"/>
  <c r="J66" i="87"/>
  <c r="I66" i="87"/>
  <c r="J65" i="87"/>
  <c r="I65" i="87"/>
  <c r="J64" i="87"/>
  <c r="I64" i="87"/>
  <c r="J63" i="87"/>
  <c r="I63" i="87"/>
  <c r="J62" i="87"/>
  <c r="I62" i="87"/>
  <c r="J61" i="87"/>
  <c r="I61" i="87"/>
  <c r="J60" i="87"/>
  <c r="I60" i="87"/>
  <c r="J59" i="87"/>
  <c r="I59" i="87"/>
  <c r="J58" i="87"/>
  <c r="I58" i="87"/>
  <c r="J57" i="87"/>
  <c r="I57" i="87"/>
  <c r="J56" i="87"/>
  <c r="I56" i="87"/>
  <c r="J55" i="87"/>
  <c r="I55" i="87"/>
  <c r="J54" i="87"/>
  <c r="I54" i="87"/>
  <c r="J53" i="87"/>
  <c r="I53" i="87"/>
  <c r="J52" i="87"/>
  <c r="I52" i="87"/>
  <c r="J51" i="87"/>
  <c r="I51" i="87"/>
  <c r="J50" i="87"/>
  <c r="I50" i="87"/>
  <c r="J49" i="87"/>
  <c r="I49" i="87"/>
  <c r="J48" i="87"/>
  <c r="I48" i="87"/>
  <c r="J47" i="87"/>
  <c r="I47" i="87"/>
  <c r="J46" i="87"/>
  <c r="I46" i="87"/>
  <c r="J45" i="87"/>
  <c r="I45" i="87"/>
  <c r="J44" i="87"/>
  <c r="I44" i="87"/>
  <c r="J43" i="87"/>
  <c r="I43" i="87"/>
  <c r="J42" i="87"/>
  <c r="I42" i="87"/>
  <c r="J41" i="87"/>
  <c r="I41" i="87"/>
  <c r="J40" i="87"/>
  <c r="I40" i="87"/>
  <c r="J39" i="87"/>
  <c r="I39" i="87"/>
  <c r="J38" i="87"/>
  <c r="I38" i="87"/>
  <c r="J37" i="87"/>
  <c r="I37" i="87"/>
  <c r="J36" i="87"/>
  <c r="I36" i="87"/>
  <c r="J35" i="87"/>
  <c r="I35" i="87"/>
  <c r="J34" i="87"/>
  <c r="I34" i="87"/>
  <c r="J33" i="87"/>
  <c r="I33" i="87"/>
  <c r="J32" i="87"/>
  <c r="I32" i="87"/>
  <c r="J31" i="87"/>
  <c r="I31" i="87"/>
  <c r="J30" i="87"/>
  <c r="I30" i="87"/>
  <c r="J29" i="87"/>
  <c r="I29" i="87"/>
  <c r="J28" i="87"/>
  <c r="I28" i="87"/>
  <c r="J27" i="87"/>
  <c r="I27" i="87"/>
  <c r="J26" i="87"/>
  <c r="I26" i="87"/>
  <c r="J25" i="87"/>
  <c r="I25" i="87"/>
  <c r="J24" i="87"/>
  <c r="I24" i="87"/>
  <c r="J23" i="87"/>
  <c r="I23" i="87"/>
  <c r="J22" i="87"/>
  <c r="I22" i="87"/>
  <c r="J21" i="87"/>
  <c r="I21" i="87"/>
  <c r="J20" i="87"/>
  <c r="I20" i="87"/>
  <c r="N19" i="85" a="1"/>
  <c r="N19" i="85" s="1"/>
  <c r="P19" i="85" a="1"/>
  <c r="P19" i="85" s="1"/>
  <c r="J526" i="85"/>
  <c r="I526" i="85"/>
  <c r="J525" i="85"/>
  <c r="I525" i="85"/>
  <c r="J524" i="85"/>
  <c r="I524" i="85"/>
  <c r="J523" i="85"/>
  <c r="I523" i="85"/>
  <c r="J522" i="85"/>
  <c r="I522" i="85"/>
  <c r="J521" i="85"/>
  <c r="I521" i="85"/>
  <c r="J520" i="85"/>
  <c r="I520" i="85"/>
  <c r="J519" i="85"/>
  <c r="I519" i="85"/>
  <c r="J518" i="85"/>
  <c r="I518" i="85"/>
  <c r="J517" i="85"/>
  <c r="I517" i="85"/>
  <c r="J516" i="85"/>
  <c r="I516" i="85"/>
  <c r="J515" i="85"/>
  <c r="I515" i="85"/>
  <c r="J514" i="85"/>
  <c r="I514" i="85"/>
  <c r="J513" i="85"/>
  <c r="I513" i="85"/>
  <c r="J512" i="85"/>
  <c r="I512" i="85"/>
  <c r="J511" i="85"/>
  <c r="I511" i="85"/>
  <c r="J510" i="85"/>
  <c r="I510" i="85"/>
  <c r="J509" i="85"/>
  <c r="I509" i="85"/>
  <c r="J508" i="85"/>
  <c r="I508" i="85"/>
  <c r="J507" i="85"/>
  <c r="I507" i="85"/>
  <c r="J506" i="85"/>
  <c r="I506" i="85"/>
  <c r="J505" i="85"/>
  <c r="I505" i="85"/>
  <c r="J504" i="85"/>
  <c r="I504" i="85"/>
  <c r="J503" i="85"/>
  <c r="I503" i="85"/>
  <c r="J502" i="85"/>
  <c r="I502" i="85"/>
  <c r="J501" i="85"/>
  <c r="I501" i="85"/>
  <c r="J500" i="85"/>
  <c r="I500" i="85"/>
  <c r="J499" i="85"/>
  <c r="I499" i="85"/>
  <c r="J498" i="85"/>
  <c r="I498" i="85"/>
  <c r="J497" i="85"/>
  <c r="I497" i="85"/>
  <c r="J496" i="85"/>
  <c r="I496" i="85"/>
  <c r="J495" i="85"/>
  <c r="I495" i="85"/>
  <c r="J494" i="85"/>
  <c r="I494" i="85"/>
  <c r="J493" i="85"/>
  <c r="I493" i="85"/>
  <c r="J492" i="85"/>
  <c r="I492" i="85"/>
  <c r="J491" i="85"/>
  <c r="I491" i="85"/>
  <c r="J490" i="85"/>
  <c r="I490" i="85"/>
  <c r="J489" i="85"/>
  <c r="I489" i="85"/>
  <c r="J488" i="85"/>
  <c r="I488" i="85"/>
  <c r="J487" i="85"/>
  <c r="I487" i="85"/>
  <c r="J486" i="85"/>
  <c r="I486" i="85"/>
  <c r="J485" i="85"/>
  <c r="I485" i="85"/>
  <c r="J484" i="85"/>
  <c r="I484" i="85"/>
  <c r="J483" i="85"/>
  <c r="I483" i="85"/>
  <c r="J482" i="85"/>
  <c r="I482" i="85"/>
  <c r="J481" i="85"/>
  <c r="I481" i="85"/>
  <c r="J480" i="85"/>
  <c r="I480" i="85"/>
  <c r="J479" i="85"/>
  <c r="I479" i="85"/>
  <c r="J478" i="85"/>
  <c r="I478" i="85"/>
  <c r="J477" i="85"/>
  <c r="I477" i="85"/>
  <c r="J476" i="85"/>
  <c r="I476" i="85"/>
  <c r="J475" i="85"/>
  <c r="I475" i="85"/>
  <c r="J474" i="85"/>
  <c r="I474" i="85"/>
  <c r="J473" i="85"/>
  <c r="I473" i="85"/>
  <c r="J472" i="85"/>
  <c r="I472" i="85"/>
  <c r="J471" i="85"/>
  <c r="I471" i="85"/>
  <c r="J470" i="85"/>
  <c r="I470" i="85"/>
  <c r="J469" i="85"/>
  <c r="I469" i="85"/>
  <c r="J468" i="85"/>
  <c r="I468" i="85"/>
  <c r="J467" i="85"/>
  <c r="I467" i="85"/>
  <c r="J466" i="85"/>
  <c r="I466" i="85"/>
  <c r="J465" i="85"/>
  <c r="I465" i="85"/>
  <c r="J464" i="85"/>
  <c r="I464" i="85"/>
  <c r="J463" i="85"/>
  <c r="I463" i="85"/>
  <c r="J462" i="85"/>
  <c r="I462" i="85"/>
  <c r="J461" i="85"/>
  <c r="I461" i="85"/>
  <c r="J460" i="85"/>
  <c r="I460" i="85"/>
  <c r="J459" i="85"/>
  <c r="I459" i="85"/>
  <c r="J458" i="85"/>
  <c r="I458" i="85"/>
  <c r="J457" i="85"/>
  <c r="I457" i="85"/>
  <c r="J456" i="85"/>
  <c r="I456" i="85"/>
  <c r="J455" i="85"/>
  <c r="I455" i="85"/>
  <c r="J454" i="85"/>
  <c r="I454" i="85"/>
  <c r="J453" i="85"/>
  <c r="I453" i="85"/>
  <c r="J452" i="85"/>
  <c r="I452" i="85"/>
  <c r="J451" i="85"/>
  <c r="I451" i="85"/>
  <c r="J450" i="85"/>
  <c r="I450" i="85"/>
  <c r="J449" i="85"/>
  <c r="I449" i="85"/>
  <c r="J448" i="85"/>
  <c r="I448" i="85"/>
  <c r="J447" i="85"/>
  <c r="I447" i="85"/>
  <c r="J446" i="85"/>
  <c r="I446" i="85"/>
  <c r="J445" i="85"/>
  <c r="I445" i="85"/>
  <c r="J444" i="85"/>
  <c r="I444" i="85"/>
  <c r="J443" i="85"/>
  <c r="I443" i="85"/>
  <c r="J442" i="85"/>
  <c r="I442" i="85"/>
  <c r="J441" i="85"/>
  <c r="I441" i="85"/>
  <c r="J440" i="85"/>
  <c r="I440" i="85"/>
  <c r="J439" i="85"/>
  <c r="I439" i="85"/>
  <c r="J438" i="85"/>
  <c r="I438" i="85"/>
  <c r="J437" i="85"/>
  <c r="I437" i="85"/>
  <c r="J436" i="85"/>
  <c r="I436" i="85"/>
  <c r="J435" i="85"/>
  <c r="I435" i="85"/>
  <c r="J434" i="85"/>
  <c r="I434" i="85"/>
  <c r="J433" i="85"/>
  <c r="I433" i="85"/>
  <c r="J432" i="85"/>
  <c r="I432" i="85"/>
  <c r="J431" i="85"/>
  <c r="I431" i="85"/>
  <c r="J430" i="85"/>
  <c r="I430" i="85"/>
  <c r="J429" i="85"/>
  <c r="I429" i="85"/>
  <c r="J428" i="85"/>
  <c r="I428" i="85"/>
  <c r="J427" i="85"/>
  <c r="I427" i="85"/>
  <c r="J426" i="85"/>
  <c r="I426" i="85"/>
  <c r="J425" i="85"/>
  <c r="I425" i="85"/>
  <c r="J424" i="85"/>
  <c r="I424" i="85"/>
  <c r="J423" i="85"/>
  <c r="I423" i="85"/>
  <c r="J422" i="85"/>
  <c r="I422" i="85"/>
  <c r="J421" i="85"/>
  <c r="I421" i="85"/>
  <c r="J420" i="85"/>
  <c r="I420" i="85"/>
  <c r="J419" i="85"/>
  <c r="I419" i="85"/>
  <c r="J418" i="85"/>
  <c r="I418" i="85"/>
  <c r="J417" i="85"/>
  <c r="I417" i="85"/>
  <c r="J416" i="85"/>
  <c r="I416" i="85"/>
  <c r="J415" i="85"/>
  <c r="I415" i="85"/>
  <c r="J414" i="85"/>
  <c r="I414" i="85"/>
  <c r="J413" i="85"/>
  <c r="I413" i="85"/>
  <c r="J412" i="85"/>
  <c r="I412" i="85"/>
  <c r="J411" i="85"/>
  <c r="I411" i="85"/>
  <c r="J410" i="85"/>
  <c r="I410" i="85"/>
  <c r="J409" i="85"/>
  <c r="I409" i="85"/>
  <c r="J408" i="85"/>
  <c r="I408" i="85"/>
  <c r="J407" i="85"/>
  <c r="I407" i="85"/>
  <c r="J406" i="85"/>
  <c r="I406" i="85"/>
  <c r="J405" i="85"/>
  <c r="I405" i="85"/>
  <c r="J404" i="85"/>
  <c r="I404" i="85"/>
  <c r="J403" i="85"/>
  <c r="I403" i="85"/>
  <c r="J402" i="85"/>
  <c r="I402" i="85"/>
  <c r="J401" i="85"/>
  <c r="I401" i="85"/>
  <c r="J400" i="85"/>
  <c r="I400" i="85"/>
  <c r="J399" i="85"/>
  <c r="I399" i="85"/>
  <c r="J398" i="85"/>
  <c r="I398" i="85"/>
  <c r="J397" i="85"/>
  <c r="I397" i="85"/>
  <c r="J396" i="85"/>
  <c r="I396" i="85"/>
  <c r="J395" i="85"/>
  <c r="I395" i="85"/>
  <c r="J394" i="85"/>
  <c r="I394" i="85"/>
  <c r="J393" i="85"/>
  <c r="I393" i="85"/>
  <c r="J392" i="85"/>
  <c r="I392" i="85"/>
  <c r="J391" i="85"/>
  <c r="I391" i="85"/>
  <c r="J390" i="85"/>
  <c r="I390" i="85"/>
  <c r="J389" i="85"/>
  <c r="I389" i="85"/>
  <c r="J388" i="85"/>
  <c r="I388" i="85"/>
  <c r="J387" i="85"/>
  <c r="I387" i="85"/>
  <c r="J386" i="85"/>
  <c r="I386" i="85"/>
  <c r="J385" i="85"/>
  <c r="I385" i="85"/>
  <c r="J384" i="85"/>
  <c r="I384" i="85"/>
  <c r="J383" i="85"/>
  <c r="I383" i="85"/>
  <c r="J382" i="85"/>
  <c r="I382" i="85"/>
  <c r="J381" i="85"/>
  <c r="I381" i="85"/>
  <c r="J380" i="85"/>
  <c r="I380" i="85"/>
  <c r="J379" i="85"/>
  <c r="I379" i="85"/>
  <c r="J378" i="85"/>
  <c r="I378" i="85"/>
  <c r="J377" i="85"/>
  <c r="I377" i="85"/>
  <c r="J376" i="85"/>
  <c r="I376" i="85"/>
  <c r="J375" i="85"/>
  <c r="I375" i="85"/>
  <c r="J374" i="85"/>
  <c r="I374" i="85"/>
  <c r="J373" i="85"/>
  <c r="I373" i="85"/>
  <c r="J372" i="85"/>
  <c r="I372" i="85"/>
  <c r="J371" i="85"/>
  <c r="I371" i="85"/>
  <c r="J370" i="85"/>
  <c r="I370" i="85"/>
  <c r="J369" i="85"/>
  <c r="I369" i="85"/>
  <c r="J368" i="85"/>
  <c r="I368" i="85"/>
  <c r="J367" i="85"/>
  <c r="I367" i="85"/>
  <c r="J366" i="85"/>
  <c r="I366" i="85"/>
  <c r="J365" i="85"/>
  <c r="I365" i="85"/>
  <c r="J364" i="85"/>
  <c r="I364" i="85"/>
  <c r="J363" i="85"/>
  <c r="I363" i="85"/>
  <c r="J362" i="85"/>
  <c r="I362" i="85"/>
  <c r="J361" i="85"/>
  <c r="I361" i="85"/>
  <c r="J360" i="85"/>
  <c r="I360" i="85"/>
  <c r="J359" i="85"/>
  <c r="I359" i="85"/>
  <c r="J358" i="85"/>
  <c r="I358" i="85"/>
  <c r="J357" i="85"/>
  <c r="I357" i="85"/>
  <c r="J356" i="85"/>
  <c r="I356" i="85"/>
  <c r="J355" i="85"/>
  <c r="I355" i="85"/>
  <c r="J354" i="85"/>
  <c r="I354" i="85"/>
  <c r="J353" i="85"/>
  <c r="I353" i="85"/>
  <c r="J352" i="85"/>
  <c r="I352" i="85"/>
  <c r="J351" i="85"/>
  <c r="I351" i="85"/>
  <c r="J350" i="85"/>
  <c r="I350" i="85"/>
  <c r="J349" i="85"/>
  <c r="I349" i="85"/>
  <c r="J348" i="85"/>
  <c r="I348" i="85"/>
  <c r="J347" i="85"/>
  <c r="I347" i="85"/>
  <c r="J346" i="85"/>
  <c r="I346" i="85"/>
  <c r="J345" i="85"/>
  <c r="I345" i="85"/>
  <c r="J344" i="85"/>
  <c r="I344" i="85"/>
  <c r="J343" i="85"/>
  <c r="I343" i="85"/>
  <c r="J342" i="85"/>
  <c r="I342" i="85"/>
  <c r="J341" i="85"/>
  <c r="I341" i="85"/>
  <c r="J340" i="85"/>
  <c r="I340" i="85"/>
  <c r="J339" i="85"/>
  <c r="I339" i="85"/>
  <c r="J338" i="85"/>
  <c r="I338" i="85"/>
  <c r="J337" i="85"/>
  <c r="I337" i="85"/>
  <c r="J336" i="85"/>
  <c r="I336" i="85"/>
  <c r="J335" i="85"/>
  <c r="I335" i="85"/>
  <c r="J334" i="85"/>
  <c r="I334" i="85"/>
  <c r="J333" i="85"/>
  <c r="I333" i="85"/>
  <c r="J332" i="85"/>
  <c r="I332" i="85"/>
  <c r="J331" i="85"/>
  <c r="I331" i="85"/>
  <c r="J330" i="85"/>
  <c r="I330" i="85"/>
  <c r="J329" i="85"/>
  <c r="I329" i="85"/>
  <c r="J328" i="85"/>
  <c r="I328" i="85"/>
  <c r="J327" i="85"/>
  <c r="I327" i="85"/>
  <c r="J326" i="85"/>
  <c r="I326" i="85"/>
  <c r="J325" i="85"/>
  <c r="I325" i="85"/>
  <c r="J324" i="85"/>
  <c r="I324" i="85"/>
  <c r="J323" i="85"/>
  <c r="I323" i="85"/>
  <c r="J322" i="85"/>
  <c r="I322" i="85"/>
  <c r="J321" i="85"/>
  <c r="I321" i="85"/>
  <c r="J318" i="85"/>
  <c r="I318" i="85"/>
  <c r="J317" i="85"/>
  <c r="I317" i="85"/>
  <c r="J316" i="85"/>
  <c r="I316" i="85"/>
  <c r="J315" i="85"/>
  <c r="I315" i="85"/>
  <c r="J314" i="85"/>
  <c r="I314" i="85"/>
  <c r="J313" i="85"/>
  <c r="I313" i="85"/>
  <c r="J312" i="85"/>
  <c r="I312" i="85"/>
  <c r="J311" i="85"/>
  <c r="I311" i="85"/>
  <c r="J310" i="85"/>
  <c r="I310" i="85"/>
  <c r="J309" i="85"/>
  <c r="I309" i="85"/>
  <c r="J308" i="85"/>
  <c r="I308" i="85"/>
  <c r="J307" i="85"/>
  <c r="I307" i="85"/>
  <c r="J306" i="85"/>
  <c r="I306" i="85"/>
  <c r="J305" i="85"/>
  <c r="I305" i="85"/>
  <c r="J304" i="85"/>
  <c r="I304" i="85"/>
  <c r="J303" i="85"/>
  <c r="I303" i="85"/>
  <c r="J302" i="85"/>
  <c r="I302" i="85"/>
  <c r="J301" i="85"/>
  <c r="I301" i="85"/>
  <c r="J300" i="85"/>
  <c r="I300" i="85"/>
  <c r="J299" i="85"/>
  <c r="I299" i="85"/>
  <c r="J298" i="85"/>
  <c r="I298" i="85"/>
  <c r="J297" i="85"/>
  <c r="I297" i="85"/>
  <c r="J296" i="85"/>
  <c r="I296" i="85"/>
  <c r="J295" i="85"/>
  <c r="I295" i="85"/>
  <c r="J294" i="85"/>
  <c r="I294" i="85"/>
  <c r="J293" i="85"/>
  <c r="I293" i="85"/>
  <c r="J292" i="85"/>
  <c r="I292" i="85"/>
  <c r="J291" i="85"/>
  <c r="I291" i="85"/>
  <c r="J290" i="85"/>
  <c r="I290" i="85"/>
  <c r="J289" i="85"/>
  <c r="I289" i="85"/>
  <c r="J288" i="85"/>
  <c r="I288" i="85"/>
  <c r="J287" i="85"/>
  <c r="I287" i="85"/>
  <c r="J286" i="85"/>
  <c r="I286" i="85"/>
  <c r="J285" i="85"/>
  <c r="I285" i="85"/>
  <c r="J284" i="85"/>
  <c r="I284" i="85"/>
  <c r="J283" i="85"/>
  <c r="I283" i="85"/>
  <c r="J282" i="85"/>
  <c r="I282" i="85"/>
  <c r="J281" i="85"/>
  <c r="I281" i="85"/>
  <c r="J280" i="85"/>
  <c r="I280" i="85"/>
  <c r="J279" i="85"/>
  <c r="I279" i="85"/>
  <c r="J278" i="85"/>
  <c r="I278" i="85"/>
  <c r="J277" i="85"/>
  <c r="I277" i="85"/>
  <c r="J276" i="85"/>
  <c r="I276" i="85"/>
  <c r="J275" i="85"/>
  <c r="I275" i="85"/>
  <c r="J274" i="85"/>
  <c r="I274" i="85"/>
  <c r="J273" i="85"/>
  <c r="I273" i="85"/>
  <c r="J272" i="85"/>
  <c r="I272" i="85"/>
  <c r="J271" i="85"/>
  <c r="I271" i="85"/>
  <c r="J270" i="85"/>
  <c r="I270" i="85"/>
  <c r="J269" i="85"/>
  <c r="I269" i="85"/>
  <c r="J268" i="85"/>
  <c r="I268" i="85"/>
  <c r="J267" i="85"/>
  <c r="I267" i="85"/>
  <c r="J266" i="85"/>
  <c r="I266" i="85"/>
  <c r="J265" i="85"/>
  <c r="I265" i="85"/>
  <c r="J264" i="85"/>
  <c r="I264" i="85"/>
  <c r="J263" i="85"/>
  <c r="I263" i="85"/>
  <c r="J262" i="85"/>
  <c r="I262" i="85"/>
  <c r="J261" i="85"/>
  <c r="I261" i="85"/>
  <c r="J260" i="85"/>
  <c r="I260" i="85"/>
  <c r="J259" i="85"/>
  <c r="I259" i="85"/>
  <c r="J258" i="85"/>
  <c r="I258" i="85"/>
  <c r="J257" i="85"/>
  <c r="I257" i="85"/>
  <c r="J256" i="85"/>
  <c r="I256" i="85"/>
  <c r="J255" i="85"/>
  <c r="I255" i="85"/>
  <c r="J254" i="85"/>
  <c r="I254" i="85"/>
  <c r="J253" i="85"/>
  <c r="I253" i="85"/>
  <c r="J252" i="85"/>
  <c r="I252" i="85"/>
  <c r="J251" i="85"/>
  <c r="I251" i="85"/>
  <c r="J250" i="85"/>
  <c r="I250" i="85"/>
  <c r="J249" i="85"/>
  <c r="I249" i="85"/>
  <c r="J248" i="85"/>
  <c r="I248" i="85"/>
  <c r="J247" i="85"/>
  <c r="I247" i="85"/>
  <c r="J246" i="85"/>
  <c r="I246" i="85"/>
  <c r="J245" i="85"/>
  <c r="I245" i="85"/>
  <c r="J244" i="85"/>
  <c r="I244" i="85"/>
  <c r="J243" i="85"/>
  <c r="I243" i="85"/>
  <c r="J242" i="85"/>
  <c r="I242" i="85"/>
  <c r="J241" i="85"/>
  <c r="I241" i="85"/>
  <c r="J240" i="85"/>
  <c r="I240" i="85"/>
  <c r="J239" i="85"/>
  <c r="I239" i="85"/>
  <c r="J238" i="85"/>
  <c r="I238" i="85"/>
  <c r="J237" i="85"/>
  <c r="I237" i="85"/>
  <c r="J236" i="85"/>
  <c r="I236" i="85"/>
  <c r="J235" i="85"/>
  <c r="I235" i="85"/>
  <c r="J234" i="85"/>
  <c r="I234" i="85"/>
  <c r="J233" i="85"/>
  <c r="I233" i="85"/>
  <c r="J232" i="85"/>
  <c r="I232" i="85"/>
  <c r="J231" i="85"/>
  <c r="I231" i="85"/>
  <c r="J230" i="85"/>
  <c r="I230" i="85"/>
  <c r="J229" i="85"/>
  <c r="I229" i="85"/>
  <c r="J228" i="85"/>
  <c r="I228" i="85"/>
  <c r="J227" i="85"/>
  <c r="I227" i="85"/>
  <c r="J226" i="85"/>
  <c r="I226" i="85"/>
  <c r="J225" i="85"/>
  <c r="I225" i="85"/>
  <c r="J224" i="85"/>
  <c r="I224" i="85"/>
  <c r="J223" i="85"/>
  <c r="I223" i="85"/>
  <c r="J222" i="85"/>
  <c r="I222" i="85"/>
  <c r="J221" i="85"/>
  <c r="I221" i="85"/>
  <c r="J220" i="85"/>
  <c r="I220" i="85"/>
  <c r="J219" i="85"/>
  <c r="I219" i="85"/>
  <c r="J218" i="85"/>
  <c r="I218" i="85"/>
  <c r="J217" i="85"/>
  <c r="I217" i="85"/>
  <c r="J216" i="85"/>
  <c r="I216" i="85"/>
  <c r="J215" i="85"/>
  <c r="I215" i="85"/>
  <c r="J214" i="85"/>
  <c r="I214" i="85"/>
  <c r="J213" i="85"/>
  <c r="I213" i="85"/>
  <c r="J212" i="85"/>
  <c r="I212" i="85"/>
  <c r="J211" i="85"/>
  <c r="I211" i="85"/>
  <c r="J210" i="85"/>
  <c r="I210" i="85"/>
  <c r="J209" i="85"/>
  <c r="I209" i="85"/>
  <c r="J208" i="85"/>
  <c r="I208" i="85"/>
  <c r="J207" i="85"/>
  <c r="I207" i="85"/>
  <c r="J206" i="85"/>
  <c r="I206" i="85"/>
  <c r="J205" i="85"/>
  <c r="I205" i="85"/>
  <c r="J204" i="85"/>
  <c r="I204" i="85"/>
  <c r="J203" i="85"/>
  <c r="I203" i="85"/>
  <c r="J202" i="85"/>
  <c r="I202" i="85"/>
  <c r="J201" i="85"/>
  <c r="I201" i="85"/>
  <c r="J200" i="85"/>
  <c r="I200" i="85"/>
  <c r="J199" i="85"/>
  <c r="I199" i="85"/>
  <c r="J198" i="85"/>
  <c r="I198" i="85"/>
  <c r="J197" i="85"/>
  <c r="I197" i="85"/>
  <c r="J196" i="85"/>
  <c r="I196" i="85"/>
  <c r="J195" i="85"/>
  <c r="I195" i="85"/>
  <c r="J194" i="85"/>
  <c r="I194" i="85"/>
  <c r="J193" i="85"/>
  <c r="I193" i="85"/>
  <c r="J192" i="85"/>
  <c r="I192" i="85"/>
  <c r="J191" i="85"/>
  <c r="I191" i="85"/>
  <c r="J190" i="85"/>
  <c r="I190" i="85"/>
  <c r="J189" i="85"/>
  <c r="I189" i="85"/>
  <c r="J188" i="85"/>
  <c r="I188" i="85"/>
  <c r="J187" i="85"/>
  <c r="I187" i="85"/>
  <c r="J186" i="85"/>
  <c r="I186" i="85"/>
  <c r="J185" i="85"/>
  <c r="I185" i="85"/>
  <c r="J184" i="85"/>
  <c r="I184" i="85"/>
  <c r="J183" i="85"/>
  <c r="I183" i="85"/>
  <c r="J182" i="85"/>
  <c r="I182" i="85"/>
  <c r="J181" i="85"/>
  <c r="I181" i="85"/>
  <c r="J180" i="85"/>
  <c r="I180" i="85"/>
  <c r="J179" i="85"/>
  <c r="I179" i="85"/>
  <c r="J178" i="85"/>
  <c r="I178" i="85"/>
  <c r="J177" i="85"/>
  <c r="I177" i="85"/>
  <c r="J176" i="85"/>
  <c r="I176" i="85"/>
  <c r="J175" i="85"/>
  <c r="I175" i="85"/>
  <c r="J174" i="85"/>
  <c r="I174" i="85"/>
  <c r="J173" i="85"/>
  <c r="I173" i="85"/>
  <c r="J172" i="85"/>
  <c r="I172" i="85"/>
  <c r="J171" i="85"/>
  <c r="I171" i="85"/>
  <c r="J170" i="85"/>
  <c r="I170" i="85"/>
  <c r="J169" i="85"/>
  <c r="I169" i="85"/>
  <c r="J168" i="85"/>
  <c r="I168" i="85"/>
  <c r="J167" i="85"/>
  <c r="I167" i="85"/>
  <c r="J166" i="85"/>
  <c r="I166" i="85"/>
  <c r="J165" i="85"/>
  <c r="I165" i="85"/>
  <c r="J164" i="85"/>
  <c r="I164" i="85"/>
  <c r="J163" i="85"/>
  <c r="I163" i="85"/>
  <c r="J162" i="85"/>
  <c r="I162" i="85"/>
  <c r="J161" i="85"/>
  <c r="I161" i="85"/>
  <c r="J160" i="85"/>
  <c r="I160" i="85"/>
  <c r="J159" i="85"/>
  <c r="I159" i="85"/>
  <c r="J158" i="85"/>
  <c r="I158" i="85"/>
  <c r="J157" i="85"/>
  <c r="I157" i="85"/>
  <c r="J156" i="85"/>
  <c r="I156" i="85"/>
  <c r="J155" i="85"/>
  <c r="I155" i="85"/>
  <c r="J154" i="85"/>
  <c r="I154" i="85"/>
  <c r="J153" i="85"/>
  <c r="I153" i="85"/>
  <c r="J152" i="85"/>
  <c r="I152" i="85"/>
  <c r="J151" i="85"/>
  <c r="I151" i="85"/>
  <c r="J150" i="85"/>
  <c r="I150" i="85"/>
  <c r="J149" i="85"/>
  <c r="I149" i="85"/>
  <c r="J148" i="85"/>
  <c r="I148" i="85"/>
  <c r="J147" i="85"/>
  <c r="I147" i="85"/>
  <c r="J146" i="85"/>
  <c r="I146" i="85"/>
  <c r="J145" i="85"/>
  <c r="I145" i="85"/>
  <c r="J144" i="85"/>
  <c r="I144" i="85"/>
  <c r="J143" i="85"/>
  <c r="I143" i="85"/>
  <c r="J142" i="85"/>
  <c r="I142" i="85"/>
  <c r="J141" i="85"/>
  <c r="I141" i="85"/>
  <c r="J140" i="85"/>
  <c r="I140" i="85"/>
  <c r="J139" i="85"/>
  <c r="I139" i="85"/>
  <c r="J138" i="85"/>
  <c r="I138" i="85"/>
  <c r="J137" i="85"/>
  <c r="I137" i="85"/>
  <c r="J136" i="85"/>
  <c r="I136" i="85"/>
  <c r="J135" i="85"/>
  <c r="I135" i="85"/>
  <c r="J134" i="85"/>
  <c r="I134" i="85"/>
  <c r="J133" i="85"/>
  <c r="I133" i="85"/>
  <c r="J132" i="85"/>
  <c r="I132" i="85"/>
  <c r="J131" i="85"/>
  <c r="I131" i="85"/>
  <c r="J130" i="85"/>
  <c r="I130" i="85"/>
  <c r="J129" i="85"/>
  <c r="I129" i="85"/>
  <c r="J128" i="85"/>
  <c r="I128" i="85"/>
  <c r="J127" i="85"/>
  <c r="I127" i="85"/>
  <c r="J126" i="85"/>
  <c r="I126" i="85"/>
  <c r="J125" i="85"/>
  <c r="I125" i="85"/>
  <c r="J124" i="85"/>
  <c r="I124" i="85"/>
  <c r="J123" i="85"/>
  <c r="I123" i="85"/>
  <c r="J122" i="85"/>
  <c r="I122" i="85"/>
  <c r="J121" i="85"/>
  <c r="I121" i="85"/>
  <c r="J120" i="85"/>
  <c r="I120" i="85"/>
  <c r="J119" i="85"/>
  <c r="I119" i="85"/>
  <c r="J118" i="85"/>
  <c r="I118" i="85"/>
  <c r="J117" i="85"/>
  <c r="I117" i="85"/>
  <c r="J116" i="85"/>
  <c r="I116" i="85"/>
  <c r="J115" i="85"/>
  <c r="I115" i="85"/>
  <c r="J114" i="85"/>
  <c r="I114" i="85"/>
  <c r="J113" i="85"/>
  <c r="I113" i="85"/>
  <c r="J112" i="85"/>
  <c r="I112" i="85"/>
  <c r="J111" i="85"/>
  <c r="I111" i="85"/>
  <c r="J110" i="85"/>
  <c r="I110" i="85"/>
  <c r="J109" i="85"/>
  <c r="I109" i="85"/>
  <c r="J108" i="85"/>
  <c r="I108" i="85"/>
  <c r="J107" i="85"/>
  <c r="I107" i="85"/>
  <c r="J106" i="85"/>
  <c r="I106" i="85"/>
  <c r="J105" i="85"/>
  <c r="I105" i="85"/>
  <c r="J104" i="85"/>
  <c r="I104" i="85"/>
  <c r="J103" i="85"/>
  <c r="I103" i="85"/>
  <c r="J102" i="85"/>
  <c r="I102" i="85"/>
  <c r="J101" i="85"/>
  <c r="I101" i="85"/>
  <c r="J100" i="85"/>
  <c r="I100" i="85"/>
  <c r="J99" i="85"/>
  <c r="I99" i="85"/>
  <c r="J98" i="85"/>
  <c r="I98" i="85"/>
  <c r="J97" i="85"/>
  <c r="I97" i="85"/>
  <c r="J96" i="85"/>
  <c r="I96" i="85"/>
  <c r="J95" i="85"/>
  <c r="I95" i="85"/>
  <c r="J94" i="85"/>
  <c r="I94" i="85"/>
  <c r="J93" i="85"/>
  <c r="I93" i="85"/>
  <c r="J92" i="85"/>
  <c r="I92" i="85"/>
  <c r="J91" i="85"/>
  <c r="I91" i="85"/>
  <c r="J90" i="85"/>
  <c r="I90" i="85"/>
  <c r="J89" i="85"/>
  <c r="I89" i="85"/>
  <c r="J88" i="85"/>
  <c r="I88" i="85"/>
  <c r="J87" i="85"/>
  <c r="I87" i="85"/>
  <c r="J86" i="85"/>
  <c r="I86" i="85"/>
  <c r="J85" i="85"/>
  <c r="I85" i="85"/>
  <c r="J84" i="85"/>
  <c r="I84" i="85"/>
  <c r="J83" i="85"/>
  <c r="I83" i="85"/>
  <c r="J82" i="85"/>
  <c r="I82" i="85"/>
  <c r="J81" i="85"/>
  <c r="I81" i="85"/>
  <c r="J80" i="85"/>
  <c r="I80" i="85"/>
  <c r="J79" i="85"/>
  <c r="I79" i="85"/>
  <c r="J78" i="85"/>
  <c r="I78" i="85"/>
  <c r="J77" i="85"/>
  <c r="I77" i="85"/>
  <c r="J76" i="85"/>
  <c r="I76" i="85"/>
  <c r="J75" i="85"/>
  <c r="I75" i="85"/>
  <c r="J74" i="85"/>
  <c r="I74" i="85"/>
  <c r="J73" i="85"/>
  <c r="I73" i="85"/>
  <c r="J72" i="85"/>
  <c r="I72" i="85"/>
  <c r="J71" i="85"/>
  <c r="I71" i="85"/>
  <c r="J70" i="85"/>
  <c r="I70" i="85"/>
  <c r="J69" i="85"/>
  <c r="I69" i="85"/>
  <c r="J68" i="85"/>
  <c r="I68" i="85"/>
  <c r="J67" i="85"/>
  <c r="I67" i="85"/>
  <c r="J66" i="85"/>
  <c r="I66" i="85"/>
  <c r="J65" i="85"/>
  <c r="I65" i="85"/>
  <c r="J64" i="85"/>
  <c r="I64" i="85"/>
  <c r="J63" i="85"/>
  <c r="I63" i="85"/>
  <c r="J62" i="85"/>
  <c r="I62" i="85"/>
  <c r="J61" i="85"/>
  <c r="I61" i="85"/>
  <c r="J60" i="85"/>
  <c r="I60" i="85"/>
  <c r="J59" i="85"/>
  <c r="I59" i="85"/>
  <c r="J58" i="85"/>
  <c r="I58" i="85"/>
  <c r="J57" i="85"/>
  <c r="I57" i="85"/>
  <c r="J56" i="85"/>
  <c r="I56" i="85"/>
  <c r="J55" i="85"/>
  <c r="I55" i="85"/>
  <c r="J54" i="85"/>
  <c r="I54" i="85"/>
  <c r="J53" i="85"/>
  <c r="I53" i="85"/>
  <c r="J52" i="85"/>
  <c r="I52" i="85"/>
  <c r="J51" i="85"/>
  <c r="I51" i="85"/>
  <c r="J50" i="85"/>
  <c r="I50" i="85"/>
  <c r="J49" i="85"/>
  <c r="I49" i="85"/>
  <c r="J48" i="85"/>
  <c r="I48" i="85"/>
  <c r="J47" i="85"/>
  <c r="I47" i="85"/>
  <c r="J46" i="85"/>
  <c r="I46" i="85"/>
  <c r="J45" i="85"/>
  <c r="I45" i="85"/>
  <c r="J44" i="85"/>
  <c r="I44" i="85"/>
  <c r="J43" i="85"/>
  <c r="I43" i="85"/>
  <c r="J42" i="85"/>
  <c r="I42" i="85"/>
  <c r="J41" i="85"/>
  <c r="I41" i="85"/>
  <c r="J40" i="85"/>
  <c r="I40" i="85"/>
  <c r="J39" i="85"/>
  <c r="I39" i="85"/>
  <c r="J38" i="85"/>
  <c r="I38" i="85"/>
  <c r="J37" i="85"/>
  <c r="I37" i="85"/>
  <c r="J36" i="85"/>
  <c r="I36" i="85"/>
  <c r="J35" i="85"/>
  <c r="I35" i="85"/>
  <c r="J34" i="85"/>
  <c r="I34" i="85"/>
  <c r="J33" i="85"/>
  <c r="I33" i="85"/>
  <c r="J32" i="85"/>
  <c r="I32" i="85"/>
  <c r="J31" i="85"/>
  <c r="I31" i="85"/>
  <c r="J30" i="85"/>
  <c r="I30" i="85"/>
  <c r="J29" i="85"/>
  <c r="I29" i="85"/>
  <c r="J28" i="85"/>
  <c r="I28" i="85"/>
  <c r="J27" i="85"/>
  <c r="I27" i="85"/>
  <c r="J26" i="85"/>
  <c r="I26" i="85"/>
  <c r="J25" i="85"/>
  <c r="I25" i="85"/>
  <c r="J24" i="85"/>
  <c r="I24" i="85"/>
  <c r="J23" i="85"/>
  <c r="I23" i="85"/>
  <c r="J22" i="85"/>
  <c r="I22" i="85"/>
  <c r="J21" i="85"/>
  <c r="I21" i="85"/>
  <c r="J20" i="85"/>
  <c r="I20" i="85"/>
  <c r="O18" i="84" a="1"/>
  <c r="O18" i="84" s="1"/>
  <c r="M18" i="84" a="1"/>
  <c r="M18" i="84" s="1"/>
  <c r="J525" i="84"/>
  <c r="I525" i="84"/>
  <c r="J524" i="84"/>
  <c r="I524" i="84"/>
  <c r="J523" i="84"/>
  <c r="I523" i="84"/>
  <c r="J522" i="84"/>
  <c r="I522" i="84"/>
  <c r="J521" i="84"/>
  <c r="I521" i="84"/>
  <c r="J520" i="84"/>
  <c r="I520" i="84"/>
  <c r="J519" i="84"/>
  <c r="I519" i="84"/>
  <c r="J518" i="84"/>
  <c r="I518" i="84"/>
  <c r="J517" i="84"/>
  <c r="I517" i="84"/>
  <c r="J516" i="84"/>
  <c r="I516" i="84"/>
  <c r="J515" i="84"/>
  <c r="I515" i="84"/>
  <c r="J514" i="84"/>
  <c r="I514" i="84"/>
  <c r="J513" i="84"/>
  <c r="I513" i="84"/>
  <c r="J512" i="84"/>
  <c r="I512" i="84"/>
  <c r="J511" i="84"/>
  <c r="I511" i="84"/>
  <c r="J510" i="84"/>
  <c r="I510" i="84"/>
  <c r="J509" i="84"/>
  <c r="I509" i="84"/>
  <c r="J508" i="84"/>
  <c r="I508" i="84"/>
  <c r="J507" i="84"/>
  <c r="I507" i="84"/>
  <c r="J506" i="84"/>
  <c r="I506" i="84"/>
  <c r="J505" i="84"/>
  <c r="I505" i="84"/>
  <c r="J504" i="84"/>
  <c r="I504" i="84"/>
  <c r="J503" i="84"/>
  <c r="I503" i="84"/>
  <c r="J502" i="84"/>
  <c r="I502" i="84"/>
  <c r="J501" i="84"/>
  <c r="I501" i="84"/>
  <c r="J500" i="84"/>
  <c r="I500" i="84"/>
  <c r="J499" i="84"/>
  <c r="I499" i="84"/>
  <c r="J498" i="84"/>
  <c r="I498" i="84"/>
  <c r="J497" i="84"/>
  <c r="I497" i="84"/>
  <c r="J496" i="84"/>
  <c r="I496" i="84"/>
  <c r="J495" i="84"/>
  <c r="I495" i="84"/>
  <c r="J494" i="84"/>
  <c r="I494" i="84"/>
  <c r="J493" i="84"/>
  <c r="I493" i="84"/>
  <c r="J492" i="84"/>
  <c r="I492" i="84"/>
  <c r="J491" i="84"/>
  <c r="I491" i="84"/>
  <c r="J490" i="84"/>
  <c r="I490" i="84"/>
  <c r="J489" i="84"/>
  <c r="I489" i="84"/>
  <c r="J488" i="84"/>
  <c r="I488" i="84"/>
  <c r="J487" i="84"/>
  <c r="I487" i="84"/>
  <c r="J486" i="84"/>
  <c r="I486" i="84"/>
  <c r="J485" i="84"/>
  <c r="I485" i="84"/>
  <c r="J484" i="84"/>
  <c r="I484" i="84"/>
  <c r="J483" i="84"/>
  <c r="I483" i="84"/>
  <c r="J482" i="84"/>
  <c r="I482" i="84"/>
  <c r="J481" i="84"/>
  <c r="I481" i="84"/>
  <c r="J480" i="84"/>
  <c r="I480" i="84"/>
  <c r="J479" i="84"/>
  <c r="I479" i="84"/>
  <c r="J478" i="84"/>
  <c r="I478" i="84"/>
  <c r="J477" i="84"/>
  <c r="I477" i="84"/>
  <c r="J476" i="84"/>
  <c r="I476" i="84"/>
  <c r="J475" i="84"/>
  <c r="I475" i="84"/>
  <c r="J474" i="84"/>
  <c r="I474" i="84"/>
  <c r="J473" i="84"/>
  <c r="I473" i="84"/>
  <c r="J472" i="84"/>
  <c r="I472" i="84"/>
  <c r="J471" i="84"/>
  <c r="I471" i="84"/>
  <c r="J470" i="84"/>
  <c r="I470" i="84"/>
  <c r="J469" i="84"/>
  <c r="I469" i="84"/>
  <c r="J468" i="84"/>
  <c r="I468" i="84"/>
  <c r="J467" i="84"/>
  <c r="I467" i="84"/>
  <c r="J466" i="84"/>
  <c r="I466" i="84"/>
  <c r="J465" i="84"/>
  <c r="I465" i="84"/>
  <c r="J464" i="84"/>
  <c r="I464" i="84"/>
  <c r="J463" i="84"/>
  <c r="I463" i="84"/>
  <c r="J462" i="84"/>
  <c r="I462" i="84"/>
  <c r="J461" i="84"/>
  <c r="I461" i="84"/>
  <c r="J460" i="84"/>
  <c r="I460" i="84"/>
  <c r="J459" i="84"/>
  <c r="I459" i="84"/>
  <c r="J458" i="84"/>
  <c r="I458" i="84"/>
  <c r="J457" i="84"/>
  <c r="I457" i="84"/>
  <c r="J456" i="84"/>
  <c r="I456" i="84"/>
  <c r="J455" i="84"/>
  <c r="I455" i="84"/>
  <c r="J454" i="84"/>
  <c r="I454" i="84"/>
  <c r="J453" i="84"/>
  <c r="I453" i="84"/>
  <c r="J452" i="84"/>
  <c r="I452" i="84"/>
  <c r="J451" i="84"/>
  <c r="I451" i="84"/>
  <c r="J450" i="84"/>
  <c r="I450" i="84"/>
  <c r="J449" i="84"/>
  <c r="I449" i="84"/>
  <c r="J448" i="84"/>
  <c r="I448" i="84"/>
  <c r="J447" i="84"/>
  <c r="I447" i="84"/>
  <c r="J446" i="84"/>
  <c r="I446" i="84"/>
  <c r="J445" i="84"/>
  <c r="I445" i="84"/>
  <c r="J444" i="84"/>
  <c r="I444" i="84"/>
  <c r="J443" i="84"/>
  <c r="I443" i="84"/>
  <c r="J442" i="84"/>
  <c r="I442" i="84"/>
  <c r="J441" i="84"/>
  <c r="I441" i="84"/>
  <c r="J440" i="84"/>
  <c r="I440" i="84"/>
  <c r="J439" i="84"/>
  <c r="I439" i="84"/>
  <c r="J438" i="84"/>
  <c r="I438" i="84"/>
  <c r="J437" i="84"/>
  <c r="I437" i="84"/>
  <c r="J436" i="84"/>
  <c r="I436" i="84"/>
  <c r="J435" i="84"/>
  <c r="I435" i="84"/>
  <c r="J434" i="84"/>
  <c r="I434" i="84"/>
  <c r="J433" i="84"/>
  <c r="I433" i="84"/>
  <c r="J432" i="84"/>
  <c r="I432" i="84"/>
  <c r="J431" i="84"/>
  <c r="I431" i="84"/>
  <c r="J430" i="84"/>
  <c r="I430" i="84"/>
  <c r="J429" i="84"/>
  <c r="I429" i="84"/>
  <c r="J428" i="84"/>
  <c r="I428" i="84"/>
  <c r="J427" i="84"/>
  <c r="I427" i="84"/>
  <c r="J426" i="84"/>
  <c r="I426" i="84"/>
  <c r="J425" i="84"/>
  <c r="I425" i="84"/>
  <c r="J424" i="84"/>
  <c r="I424" i="84"/>
  <c r="J423" i="84"/>
  <c r="I423" i="84"/>
  <c r="J422" i="84"/>
  <c r="I422" i="84"/>
  <c r="J421" i="84"/>
  <c r="I421" i="84"/>
  <c r="J420" i="84"/>
  <c r="I420" i="84"/>
  <c r="J419" i="84"/>
  <c r="I419" i="84"/>
  <c r="J418" i="84"/>
  <c r="I418" i="84"/>
  <c r="J417" i="84"/>
  <c r="I417" i="84"/>
  <c r="J416" i="84"/>
  <c r="I416" i="84"/>
  <c r="J415" i="84"/>
  <c r="I415" i="84"/>
  <c r="J414" i="84"/>
  <c r="I414" i="84"/>
  <c r="J413" i="84"/>
  <c r="I413" i="84"/>
  <c r="J412" i="84"/>
  <c r="I412" i="84"/>
  <c r="J411" i="84"/>
  <c r="I411" i="84"/>
  <c r="J410" i="84"/>
  <c r="I410" i="84"/>
  <c r="J409" i="84"/>
  <c r="I409" i="84"/>
  <c r="J408" i="84"/>
  <c r="I408" i="84"/>
  <c r="J407" i="84"/>
  <c r="I407" i="84"/>
  <c r="J406" i="84"/>
  <c r="I406" i="84"/>
  <c r="J405" i="84"/>
  <c r="I405" i="84"/>
  <c r="J404" i="84"/>
  <c r="I404" i="84"/>
  <c r="J403" i="84"/>
  <c r="I403" i="84"/>
  <c r="J402" i="84"/>
  <c r="I402" i="84"/>
  <c r="J401" i="84"/>
  <c r="I401" i="84"/>
  <c r="J400" i="84"/>
  <c r="I400" i="84"/>
  <c r="J399" i="84"/>
  <c r="I399" i="84"/>
  <c r="J398" i="84"/>
  <c r="I398" i="84"/>
  <c r="J397" i="84"/>
  <c r="I397" i="84"/>
  <c r="J396" i="84"/>
  <c r="I396" i="84"/>
  <c r="J395" i="84"/>
  <c r="I395" i="84"/>
  <c r="J394" i="84"/>
  <c r="I394" i="84"/>
  <c r="J393" i="84"/>
  <c r="I393" i="84"/>
  <c r="J392" i="84"/>
  <c r="I392" i="84"/>
  <c r="J391" i="84"/>
  <c r="I391" i="84"/>
  <c r="J390" i="84"/>
  <c r="I390" i="84"/>
  <c r="J389" i="84"/>
  <c r="I389" i="84"/>
  <c r="J388" i="84"/>
  <c r="I388" i="84"/>
  <c r="J387" i="84"/>
  <c r="I387" i="84"/>
  <c r="J386" i="84"/>
  <c r="I386" i="84"/>
  <c r="J385" i="84"/>
  <c r="I385" i="84"/>
  <c r="J384" i="84"/>
  <c r="I384" i="84"/>
  <c r="J383" i="84"/>
  <c r="I383" i="84"/>
  <c r="J382" i="84"/>
  <c r="I382" i="84"/>
  <c r="J381" i="84"/>
  <c r="I381" i="84"/>
  <c r="J380" i="84"/>
  <c r="I380" i="84"/>
  <c r="J379" i="84"/>
  <c r="I379" i="84"/>
  <c r="J378" i="84"/>
  <c r="I378" i="84"/>
  <c r="J377" i="84"/>
  <c r="I377" i="84"/>
  <c r="J376" i="84"/>
  <c r="I376" i="84"/>
  <c r="J375" i="84"/>
  <c r="I375" i="84"/>
  <c r="J374" i="84"/>
  <c r="I374" i="84"/>
  <c r="J373" i="84"/>
  <c r="I373" i="84"/>
  <c r="J372" i="84"/>
  <c r="I372" i="84"/>
  <c r="J371" i="84"/>
  <c r="I371" i="84"/>
  <c r="J370" i="84"/>
  <c r="I370" i="84"/>
  <c r="J369" i="84"/>
  <c r="I369" i="84"/>
  <c r="J368" i="84"/>
  <c r="I368" i="84"/>
  <c r="J367" i="84"/>
  <c r="I367" i="84"/>
  <c r="J366" i="84"/>
  <c r="I366" i="84"/>
  <c r="J365" i="84"/>
  <c r="I365" i="84"/>
  <c r="J364" i="84"/>
  <c r="I364" i="84"/>
  <c r="J363" i="84"/>
  <c r="I363" i="84"/>
  <c r="J362" i="84"/>
  <c r="I362" i="84"/>
  <c r="J361" i="84"/>
  <c r="I361" i="84"/>
  <c r="J360" i="84"/>
  <c r="I360" i="84"/>
  <c r="J359" i="84"/>
  <c r="I359" i="84"/>
  <c r="J358" i="84"/>
  <c r="I358" i="84"/>
  <c r="J357" i="84"/>
  <c r="I357" i="84"/>
  <c r="J356" i="84"/>
  <c r="I356" i="84"/>
  <c r="J355" i="84"/>
  <c r="I355" i="84"/>
  <c r="J354" i="84"/>
  <c r="I354" i="84"/>
  <c r="J353" i="84"/>
  <c r="I353" i="84"/>
  <c r="J352" i="84"/>
  <c r="I352" i="84"/>
  <c r="J351" i="84"/>
  <c r="I351" i="84"/>
  <c r="J350" i="84"/>
  <c r="I350" i="84"/>
  <c r="J349" i="84"/>
  <c r="I349" i="84"/>
  <c r="J348" i="84"/>
  <c r="I348" i="84"/>
  <c r="J347" i="84"/>
  <c r="I347" i="84"/>
  <c r="J346" i="84"/>
  <c r="I346" i="84"/>
  <c r="J345" i="84"/>
  <c r="I345" i="84"/>
  <c r="J344" i="84"/>
  <c r="I344" i="84"/>
  <c r="J343" i="84"/>
  <c r="I343" i="84"/>
  <c r="J342" i="84"/>
  <c r="I342" i="84"/>
  <c r="J341" i="84"/>
  <c r="I341" i="84"/>
  <c r="J340" i="84"/>
  <c r="I340" i="84"/>
  <c r="J339" i="84"/>
  <c r="I339" i="84"/>
  <c r="J338" i="84"/>
  <c r="I338" i="84"/>
  <c r="J337" i="84"/>
  <c r="I337" i="84"/>
  <c r="J336" i="84"/>
  <c r="I336" i="84"/>
  <c r="J335" i="84"/>
  <c r="I335" i="84"/>
  <c r="J334" i="84"/>
  <c r="I334" i="84"/>
  <c r="J333" i="84"/>
  <c r="I333" i="84"/>
  <c r="J332" i="84"/>
  <c r="I332" i="84"/>
  <c r="J331" i="84"/>
  <c r="I331" i="84"/>
  <c r="J330" i="84"/>
  <c r="I330" i="84"/>
  <c r="J329" i="84"/>
  <c r="I329" i="84"/>
  <c r="J328" i="84"/>
  <c r="I328" i="84"/>
  <c r="J327" i="84"/>
  <c r="I327" i="84"/>
  <c r="J326" i="84"/>
  <c r="I326" i="84"/>
  <c r="J325" i="84"/>
  <c r="I325" i="84"/>
  <c r="J324" i="84"/>
  <c r="I324" i="84"/>
  <c r="J323" i="84"/>
  <c r="I323" i="84"/>
  <c r="J322" i="84"/>
  <c r="I322" i="84"/>
  <c r="J321" i="84"/>
  <c r="I321" i="84"/>
  <c r="J320" i="84"/>
  <c r="I320" i="84"/>
  <c r="J317" i="84"/>
  <c r="I317" i="84"/>
  <c r="J316" i="84"/>
  <c r="I316" i="84"/>
  <c r="J315" i="84"/>
  <c r="I315" i="84"/>
  <c r="J314" i="84"/>
  <c r="I314" i="84"/>
  <c r="J313" i="84"/>
  <c r="I313" i="84"/>
  <c r="J312" i="84"/>
  <c r="I312" i="84"/>
  <c r="J311" i="84"/>
  <c r="I311" i="84"/>
  <c r="J310" i="84"/>
  <c r="I310" i="84"/>
  <c r="J309" i="84"/>
  <c r="I309" i="84"/>
  <c r="J308" i="84"/>
  <c r="I308" i="84"/>
  <c r="J307" i="84"/>
  <c r="I307" i="84"/>
  <c r="J306" i="84"/>
  <c r="I306" i="84"/>
  <c r="J305" i="84"/>
  <c r="I305" i="84"/>
  <c r="J304" i="84"/>
  <c r="I304" i="84"/>
  <c r="J303" i="84"/>
  <c r="I303" i="84"/>
  <c r="J302" i="84"/>
  <c r="I302" i="84"/>
  <c r="J301" i="84"/>
  <c r="I301" i="84"/>
  <c r="J300" i="84"/>
  <c r="I300" i="84"/>
  <c r="J299" i="84"/>
  <c r="I299" i="84"/>
  <c r="J298" i="84"/>
  <c r="I298" i="84"/>
  <c r="J297" i="84"/>
  <c r="I297" i="84"/>
  <c r="J296" i="84"/>
  <c r="I296" i="84"/>
  <c r="J295" i="84"/>
  <c r="I295" i="84"/>
  <c r="J294" i="84"/>
  <c r="I294" i="84"/>
  <c r="J293" i="84"/>
  <c r="I293" i="84"/>
  <c r="J292" i="84"/>
  <c r="I292" i="84"/>
  <c r="J291" i="84"/>
  <c r="I291" i="84"/>
  <c r="J290" i="84"/>
  <c r="I290" i="84"/>
  <c r="J289" i="84"/>
  <c r="I289" i="84"/>
  <c r="J288" i="84"/>
  <c r="I288" i="84"/>
  <c r="J287" i="84"/>
  <c r="I287" i="84"/>
  <c r="J286" i="84"/>
  <c r="I286" i="84"/>
  <c r="J285" i="84"/>
  <c r="I285" i="84"/>
  <c r="J284" i="84"/>
  <c r="I284" i="84"/>
  <c r="J283" i="84"/>
  <c r="I283" i="84"/>
  <c r="J282" i="84"/>
  <c r="I282" i="84"/>
  <c r="J281" i="84"/>
  <c r="I281" i="84"/>
  <c r="J280" i="84"/>
  <c r="I280" i="84"/>
  <c r="J279" i="84"/>
  <c r="I279" i="84"/>
  <c r="J278" i="84"/>
  <c r="I278" i="84"/>
  <c r="J277" i="84"/>
  <c r="I277" i="84"/>
  <c r="J276" i="84"/>
  <c r="I276" i="84"/>
  <c r="J275" i="84"/>
  <c r="I275" i="84"/>
  <c r="J274" i="84"/>
  <c r="I274" i="84"/>
  <c r="J273" i="84"/>
  <c r="I273" i="84"/>
  <c r="J272" i="84"/>
  <c r="I272" i="84"/>
  <c r="J271" i="84"/>
  <c r="I271" i="84"/>
  <c r="J270" i="84"/>
  <c r="I270" i="84"/>
  <c r="J269" i="84"/>
  <c r="I269" i="84"/>
  <c r="J268" i="84"/>
  <c r="I268" i="84"/>
  <c r="J267" i="84"/>
  <c r="I267" i="84"/>
  <c r="J266" i="84"/>
  <c r="I266" i="84"/>
  <c r="J265" i="84"/>
  <c r="I265" i="84"/>
  <c r="J264" i="84"/>
  <c r="I264" i="84"/>
  <c r="J263" i="84"/>
  <c r="I263" i="84"/>
  <c r="J262" i="84"/>
  <c r="I262" i="84"/>
  <c r="J261" i="84"/>
  <c r="I261" i="84"/>
  <c r="J260" i="84"/>
  <c r="I260" i="84"/>
  <c r="J259" i="84"/>
  <c r="I259" i="84"/>
  <c r="J258" i="84"/>
  <c r="I258" i="84"/>
  <c r="J257" i="84"/>
  <c r="I257" i="84"/>
  <c r="J256" i="84"/>
  <c r="I256" i="84"/>
  <c r="J255" i="84"/>
  <c r="I255" i="84"/>
  <c r="J254" i="84"/>
  <c r="I254" i="84"/>
  <c r="J253" i="84"/>
  <c r="I253" i="84"/>
  <c r="J252" i="84"/>
  <c r="I252" i="84"/>
  <c r="J251" i="84"/>
  <c r="I251" i="84"/>
  <c r="J250" i="84"/>
  <c r="I250" i="84"/>
  <c r="J249" i="84"/>
  <c r="I249" i="84"/>
  <c r="J248" i="84"/>
  <c r="I248" i="84"/>
  <c r="J247" i="84"/>
  <c r="I247" i="84"/>
  <c r="J246" i="84"/>
  <c r="I246" i="84"/>
  <c r="J245" i="84"/>
  <c r="I245" i="84"/>
  <c r="J244" i="84"/>
  <c r="I244" i="84"/>
  <c r="J243" i="84"/>
  <c r="I243" i="84"/>
  <c r="J242" i="84"/>
  <c r="I242" i="84"/>
  <c r="J241" i="84"/>
  <c r="I241" i="84"/>
  <c r="J240" i="84"/>
  <c r="I240" i="84"/>
  <c r="J239" i="84"/>
  <c r="I239" i="84"/>
  <c r="J238" i="84"/>
  <c r="I238" i="84"/>
  <c r="J237" i="84"/>
  <c r="I237" i="84"/>
  <c r="J236" i="84"/>
  <c r="I236" i="84"/>
  <c r="J235" i="84"/>
  <c r="I235" i="84"/>
  <c r="J234" i="84"/>
  <c r="I234" i="84"/>
  <c r="J233" i="84"/>
  <c r="I233" i="84"/>
  <c r="J232" i="84"/>
  <c r="I232" i="84"/>
  <c r="J231" i="84"/>
  <c r="I231" i="84"/>
  <c r="J230" i="84"/>
  <c r="I230" i="84"/>
  <c r="J229" i="84"/>
  <c r="I229" i="84"/>
  <c r="J228" i="84"/>
  <c r="I228" i="84"/>
  <c r="J227" i="84"/>
  <c r="I227" i="84"/>
  <c r="J226" i="84"/>
  <c r="I226" i="84"/>
  <c r="J225" i="84"/>
  <c r="I225" i="84"/>
  <c r="J224" i="84"/>
  <c r="I224" i="84"/>
  <c r="J223" i="84"/>
  <c r="I223" i="84"/>
  <c r="J222" i="84"/>
  <c r="I222" i="84"/>
  <c r="J221" i="84"/>
  <c r="I221" i="84"/>
  <c r="J220" i="84"/>
  <c r="I220" i="84"/>
  <c r="J219" i="84"/>
  <c r="I219" i="84"/>
  <c r="J218" i="84"/>
  <c r="I218" i="84"/>
  <c r="J217" i="84"/>
  <c r="I217" i="84"/>
  <c r="J216" i="84"/>
  <c r="I216" i="84"/>
  <c r="J215" i="84"/>
  <c r="I215" i="84"/>
  <c r="J214" i="84"/>
  <c r="I214" i="84"/>
  <c r="J213" i="84"/>
  <c r="I213" i="84"/>
  <c r="J212" i="84"/>
  <c r="I212" i="84"/>
  <c r="J211" i="84"/>
  <c r="I211" i="84"/>
  <c r="J210" i="84"/>
  <c r="I210" i="84"/>
  <c r="J209" i="84"/>
  <c r="I209" i="84"/>
  <c r="J208" i="84"/>
  <c r="I208" i="84"/>
  <c r="J207" i="84"/>
  <c r="I207" i="84"/>
  <c r="J206" i="84"/>
  <c r="I206" i="84"/>
  <c r="J205" i="84"/>
  <c r="I205" i="84"/>
  <c r="J204" i="84"/>
  <c r="I204" i="84"/>
  <c r="J203" i="84"/>
  <c r="I203" i="84"/>
  <c r="J202" i="84"/>
  <c r="I202" i="84"/>
  <c r="J201" i="84"/>
  <c r="I201" i="84"/>
  <c r="J200" i="84"/>
  <c r="I200" i="84"/>
  <c r="J199" i="84"/>
  <c r="I199" i="84"/>
  <c r="J198" i="84"/>
  <c r="I198" i="84"/>
  <c r="J197" i="84"/>
  <c r="I197" i="84"/>
  <c r="J196" i="84"/>
  <c r="I196" i="84"/>
  <c r="J195" i="84"/>
  <c r="I195" i="84"/>
  <c r="J194" i="84"/>
  <c r="I194" i="84"/>
  <c r="J193" i="84"/>
  <c r="I193" i="84"/>
  <c r="J192" i="84"/>
  <c r="I192" i="84"/>
  <c r="J191" i="84"/>
  <c r="I191" i="84"/>
  <c r="J190" i="84"/>
  <c r="I190" i="84"/>
  <c r="J189" i="84"/>
  <c r="I189" i="84"/>
  <c r="J188" i="84"/>
  <c r="I188" i="84"/>
  <c r="J187" i="84"/>
  <c r="I187" i="84"/>
  <c r="J186" i="84"/>
  <c r="I186" i="84"/>
  <c r="J185" i="84"/>
  <c r="I185" i="84"/>
  <c r="J184" i="84"/>
  <c r="I184" i="84"/>
  <c r="J183" i="84"/>
  <c r="I183" i="84"/>
  <c r="J182" i="84"/>
  <c r="I182" i="84"/>
  <c r="J181" i="84"/>
  <c r="I181" i="84"/>
  <c r="J180" i="84"/>
  <c r="I180" i="84"/>
  <c r="J179" i="84"/>
  <c r="I179" i="84"/>
  <c r="J178" i="84"/>
  <c r="I178" i="84"/>
  <c r="J177" i="84"/>
  <c r="I177" i="84"/>
  <c r="J176" i="84"/>
  <c r="I176" i="84"/>
  <c r="J175" i="84"/>
  <c r="I175" i="84"/>
  <c r="J174" i="84"/>
  <c r="I174" i="84"/>
  <c r="J173" i="84"/>
  <c r="I173" i="84"/>
  <c r="J172" i="84"/>
  <c r="I172" i="84"/>
  <c r="J171" i="84"/>
  <c r="I171" i="84"/>
  <c r="J170" i="84"/>
  <c r="I170" i="84"/>
  <c r="J169" i="84"/>
  <c r="I169" i="84"/>
  <c r="J168" i="84"/>
  <c r="I168" i="84"/>
  <c r="J167" i="84"/>
  <c r="I167" i="84"/>
  <c r="J166" i="84"/>
  <c r="I166" i="84"/>
  <c r="J165" i="84"/>
  <c r="I165" i="84"/>
  <c r="J164" i="84"/>
  <c r="I164" i="84"/>
  <c r="J163" i="84"/>
  <c r="I163" i="84"/>
  <c r="J162" i="84"/>
  <c r="I162" i="84"/>
  <c r="J161" i="84"/>
  <c r="I161" i="84"/>
  <c r="J160" i="84"/>
  <c r="I160" i="84"/>
  <c r="J159" i="84"/>
  <c r="I159" i="84"/>
  <c r="J158" i="84"/>
  <c r="I158" i="84"/>
  <c r="J157" i="84"/>
  <c r="I157" i="84"/>
  <c r="J156" i="84"/>
  <c r="I156" i="84"/>
  <c r="J155" i="84"/>
  <c r="I155" i="84"/>
  <c r="J154" i="84"/>
  <c r="I154" i="84"/>
  <c r="J153" i="84"/>
  <c r="I153" i="84"/>
  <c r="J152" i="84"/>
  <c r="I152" i="84"/>
  <c r="J151" i="84"/>
  <c r="I151" i="84"/>
  <c r="J150" i="84"/>
  <c r="I150" i="84"/>
  <c r="J149" i="84"/>
  <c r="I149" i="84"/>
  <c r="J148" i="84"/>
  <c r="I148" i="84"/>
  <c r="J147" i="84"/>
  <c r="I147" i="84"/>
  <c r="J146" i="84"/>
  <c r="I146" i="84"/>
  <c r="J145" i="84"/>
  <c r="I145" i="84"/>
  <c r="J144" i="84"/>
  <c r="I144" i="84"/>
  <c r="J143" i="84"/>
  <c r="I143" i="84"/>
  <c r="J142" i="84"/>
  <c r="I142" i="84"/>
  <c r="J141" i="84"/>
  <c r="I141" i="84"/>
  <c r="J140" i="84"/>
  <c r="I140" i="84"/>
  <c r="J139" i="84"/>
  <c r="I139" i="84"/>
  <c r="J138" i="84"/>
  <c r="I138" i="84"/>
  <c r="J137" i="84"/>
  <c r="I137" i="84"/>
  <c r="J136" i="84"/>
  <c r="I136" i="84"/>
  <c r="J135" i="84"/>
  <c r="I135" i="84"/>
  <c r="J134" i="84"/>
  <c r="I134" i="84"/>
  <c r="J133" i="84"/>
  <c r="I133" i="84"/>
  <c r="J132" i="84"/>
  <c r="I132" i="84"/>
  <c r="J131" i="84"/>
  <c r="I131" i="84"/>
  <c r="J130" i="84"/>
  <c r="I130" i="84"/>
  <c r="J129" i="84"/>
  <c r="I129" i="84"/>
  <c r="J128" i="84"/>
  <c r="I128" i="84"/>
  <c r="J127" i="84"/>
  <c r="I127" i="84"/>
  <c r="J126" i="84"/>
  <c r="I126" i="84"/>
  <c r="J125" i="84"/>
  <c r="I125" i="84"/>
  <c r="J124" i="84"/>
  <c r="I124" i="84"/>
  <c r="J123" i="84"/>
  <c r="I123" i="84"/>
  <c r="J122" i="84"/>
  <c r="I122" i="84"/>
  <c r="J121" i="84"/>
  <c r="I121" i="84"/>
  <c r="J120" i="84"/>
  <c r="I120" i="84"/>
  <c r="J119" i="84"/>
  <c r="I119" i="84"/>
  <c r="J118" i="84"/>
  <c r="I118" i="84"/>
  <c r="J117" i="84"/>
  <c r="I117" i="84"/>
  <c r="J116" i="84"/>
  <c r="I116" i="84"/>
  <c r="J115" i="84"/>
  <c r="I115" i="84"/>
  <c r="J114" i="84"/>
  <c r="I114" i="84"/>
  <c r="J113" i="84"/>
  <c r="I113" i="84"/>
  <c r="J112" i="84"/>
  <c r="I112" i="84"/>
  <c r="J111" i="84"/>
  <c r="I111" i="84"/>
  <c r="J110" i="84"/>
  <c r="I110" i="84"/>
  <c r="J109" i="84"/>
  <c r="I109" i="84"/>
  <c r="J108" i="84"/>
  <c r="I108" i="84"/>
  <c r="J107" i="84"/>
  <c r="I107" i="84"/>
  <c r="J106" i="84"/>
  <c r="I106" i="84"/>
  <c r="J105" i="84"/>
  <c r="I105" i="84"/>
  <c r="J104" i="84"/>
  <c r="I104" i="84"/>
  <c r="J103" i="84"/>
  <c r="I103" i="84"/>
  <c r="J102" i="84"/>
  <c r="I102" i="84"/>
  <c r="J101" i="84"/>
  <c r="I101" i="84"/>
  <c r="J100" i="84"/>
  <c r="I100" i="84"/>
  <c r="J99" i="84"/>
  <c r="I99" i="84"/>
  <c r="J98" i="84"/>
  <c r="I98" i="84"/>
  <c r="J97" i="84"/>
  <c r="I97" i="84"/>
  <c r="J96" i="84"/>
  <c r="I96" i="84"/>
  <c r="J95" i="84"/>
  <c r="I95" i="84"/>
  <c r="J94" i="84"/>
  <c r="I94" i="84"/>
  <c r="J93" i="84"/>
  <c r="I93" i="84"/>
  <c r="J92" i="84"/>
  <c r="I92" i="84"/>
  <c r="J91" i="84"/>
  <c r="I91" i="84"/>
  <c r="J90" i="84"/>
  <c r="I90" i="84"/>
  <c r="J89" i="84"/>
  <c r="I89" i="84"/>
  <c r="J88" i="84"/>
  <c r="I88" i="84"/>
  <c r="J87" i="84"/>
  <c r="I87" i="84"/>
  <c r="J86" i="84"/>
  <c r="I86" i="84"/>
  <c r="J85" i="84"/>
  <c r="I85" i="84"/>
  <c r="J84" i="84"/>
  <c r="I84" i="84"/>
  <c r="J83" i="84"/>
  <c r="I83" i="84"/>
  <c r="J82" i="84"/>
  <c r="I82" i="84"/>
  <c r="J81" i="84"/>
  <c r="I81" i="84"/>
  <c r="J80" i="84"/>
  <c r="I80" i="84"/>
  <c r="J79" i="84"/>
  <c r="I79" i="84"/>
  <c r="J78" i="84"/>
  <c r="I78" i="84"/>
  <c r="J77" i="84"/>
  <c r="I77" i="84"/>
  <c r="J76" i="84"/>
  <c r="I76" i="84"/>
  <c r="J75" i="84"/>
  <c r="I75" i="84"/>
  <c r="J74" i="84"/>
  <c r="I74" i="84"/>
  <c r="J73" i="84"/>
  <c r="I73" i="84"/>
  <c r="J72" i="84"/>
  <c r="I72" i="84"/>
  <c r="J71" i="84"/>
  <c r="I71" i="84"/>
  <c r="J70" i="84"/>
  <c r="I70" i="84"/>
  <c r="J69" i="84"/>
  <c r="I69" i="84"/>
  <c r="J68" i="84"/>
  <c r="I68" i="84"/>
  <c r="J67" i="84"/>
  <c r="I67" i="84"/>
  <c r="J66" i="84"/>
  <c r="I66" i="84"/>
  <c r="J65" i="84"/>
  <c r="I65" i="84"/>
  <c r="J64" i="84"/>
  <c r="I64" i="84"/>
  <c r="J63" i="84"/>
  <c r="I63" i="84"/>
  <c r="J62" i="84"/>
  <c r="I62" i="84"/>
  <c r="J61" i="84"/>
  <c r="I61" i="84"/>
  <c r="J60" i="84"/>
  <c r="I60" i="84"/>
  <c r="J59" i="84"/>
  <c r="I59" i="84"/>
  <c r="J58" i="84"/>
  <c r="I58" i="84"/>
  <c r="J57" i="84"/>
  <c r="I57" i="84"/>
  <c r="J56" i="84"/>
  <c r="I56" i="84"/>
  <c r="J55" i="84"/>
  <c r="I55" i="84"/>
  <c r="J54" i="84"/>
  <c r="I54" i="84"/>
  <c r="J53" i="84"/>
  <c r="I53" i="84"/>
  <c r="J52" i="84"/>
  <c r="I52" i="84"/>
  <c r="J51" i="84"/>
  <c r="I51" i="84"/>
  <c r="J50" i="84"/>
  <c r="I50" i="84"/>
  <c r="J49" i="84"/>
  <c r="I49" i="84"/>
  <c r="J48" i="84"/>
  <c r="I48" i="84"/>
  <c r="J47" i="84"/>
  <c r="I47" i="84"/>
  <c r="J46" i="84"/>
  <c r="I46" i="84"/>
  <c r="J45" i="84"/>
  <c r="I45" i="84"/>
  <c r="J44" i="84"/>
  <c r="I44" i="84"/>
  <c r="J43" i="84"/>
  <c r="I43" i="84"/>
  <c r="J42" i="84"/>
  <c r="I42" i="84"/>
  <c r="J41" i="84"/>
  <c r="I41" i="84"/>
  <c r="J40" i="84"/>
  <c r="I40" i="84"/>
  <c r="J39" i="84"/>
  <c r="I39" i="84"/>
  <c r="J38" i="84"/>
  <c r="I38" i="84"/>
  <c r="J37" i="84"/>
  <c r="I37" i="84"/>
  <c r="J36" i="84"/>
  <c r="I36" i="84"/>
  <c r="J35" i="84"/>
  <c r="I35" i="84"/>
  <c r="J34" i="84"/>
  <c r="I34" i="84"/>
  <c r="J33" i="84"/>
  <c r="I33" i="84"/>
  <c r="J32" i="84"/>
  <c r="I32" i="84"/>
  <c r="J31" i="84"/>
  <c r="I31" i="84"/>
  <c r="J30" i="84"/>
  <c r="I30" i="84"/>
  <c r="J29" i="84"/>
  <c r="I29" i="84"/>
  <c r="J28" i="84"/>
  <c r="I28" i="84"/>
  <c r="J27" i="84"/>
  <c r="I27" i="84"/>
  <c r="J26" i="84"/>
  <c r="I26" i="84"/>
  <c r="J25" i="84"/>
  <c r="I25" i="84"/>
  <c r="J24" i="84"/>
  <c r="I24" i="84"/>
  <c r="J23" i="84"/>
  <c r="I23" i="84"/>
  <c r="J22" i="84"/>
  <c r="I22" i="84"/>
  <c r="J21" i="84"/>
  <c r="I21" i="84"/>
  <c r="J20" i="84"/>
  <c r="I20" i="84"/>
  <c r="J19" i="84"/>
  <c r="I19" i="84"/>
  <c r="J525" i="79"/>
  <c r="I525" i="79"/>
  <c r="J524" i="79"/>
  <c r="I524" i="79"/>
  <c r="J523" i="79"/>
  <c r="I523" i="79"/>
  <c r="J522" i="79"/>
  <c r="I522" i="79"/>
  <c r="J521" i="79"/>
  <c r="I521" i="79"/>
  <c r="J520" i="79"/>
  <c r="I520" i="79"/>
  <c r="J519" i="79"/>
  <c r="I519" i="79"/>
  <c r="J518" i="79"/>
  <c r="I518" i="79"/>
  <c r="J517" i="79"/>
  <c r="I517" i="79"/>
  <c r="J516" i="79"/>
  <c r="I516" i="79"/>
  <c r="J515" i="79"/>
  <c r="I515" i="79"/>
  <c r="J514" i="79"/>
  <c r="I514" i="79"/>
  <c r="J513" i="79"/>
  <c r="I513" i="79"/>
  <c r="J512" i="79"/>
  <c r="I512" i="79"/>
  <c r="J511" i="79"/>
  <c r="I511" i="79"/>
  <c r="J510" i="79"/>
  <c r="I510" i="79"/>
  <c r="J509" i="79"/>
  <c r="I509" i="79"/>
  <c r="J508" i="79"/>
  <c r="I508" i="79"/>
  <c r="J507" i="79"/>
  <c r="I507" i="79"/>
  <c r="J506" i="79"/>
  <c r="I506" i="79"/>
  <c r="J505" i="79"/>
  <c r="I505" i="79"/>
  <c r="J504" i="79"/>
  <c r="I504" i="79"/>
  <c r="J503" i="79"/>
  <c r="I503" i="79"/>
  <c r="J502" i="79"/>
  <c r="I502" i="79"/>
  <c r="J501" i="79"/>
  <c r="I501" i="79"/>
  <c r="J500" i="79"/>
  <c r="I500" i="79"/>
  <c r="J499" i="79"/>
  <c r="I499" i="79"/>
  <c r="J498" i="79"/>
  <c r="I498" i="79"/>
  <c r="J497" i="79"/>
  <c r="I497" i="79"/>
  <c r="J496" i="79"/>
  <c r="I496" i="79"/>
  <c r="J495" i="79"/>
  <c r="I495" i="79"/>
  <c r="J494" i="79"/>
  <c r="I494" i="79"/>
  <c r="J493" i="79"/>
  <c r="I493" i="79"/>
  <c r="J492" i="79"/>
  <c r="I492" i="79"/>
  <c r="J491" i="79"/>
  <c r="I491" i="79"/>
  <c r="J490" i="79"/>
  <c r="I490" i="79"/>
  <c r="J489" i="79"/>
  <c r="I489" i="79"/>
  <c r="J488" i="79"/>
  <c r="I488" i="79"/>
  <c r="J487" i="79"/>
  <c r="I487" i="79"/>
  <c r="J486" i="79"/>
  <c r="I486" i="79"/>
  <c r="J485" i="79"/>
  <c r="I485" i="79"/>
  <c r="J484" i="79"/>
  <c r="I484" i="79"/>
  <c r="J483" i="79"/>
  <c r="I483" i="79"/>
  <c r="J482" i="79"/>
  <c r="I482" i="79"/>
  <c r="J481" i="79"/>
  <c r="I481" i="79"/>
  <c r="J480" i="79"/>
  <c r="I480" i="79"/>
  <c r="J479" i="79"/>
  <c r="I479" i="79"/>
  <c r="J478" i="79"/>
  <c r="I478" i="79"/>
  <c r="J477" i="79"/>
  <c r="I477" i="79"/>
  <c r="J476" i="79"/>
  <c r="I476" i="79"/>
  <c r="J475" i="79"/>
  <c r="I475" i="79"/>
  <c r="J474" i="79"/>
  <c r="I474" i="79"/>
  <c r="J473" i="79"/>
  <c r="I473" i="79"/>
  <c r="J472" i="79"/>
  <c r="I472" i="79"/>
  <c r="J471" i="79"/>
  <c r="I471" i="79"/>
  <c r="J470" i="79"/>
  <c r="I470" i="79"/>
  <c r="J469" i="79"/>
  <c r="I469" i="79"/>
  <c r="J468" i="79"/>
  <c r="I468" i="79"/>
  <c r="J467" i="79"/>
  <c r="I467" i="79"/>
  <c r="J466" i="79"/>
  <c r="I466" i="79"/>
  <c r="J465" i="79"/>
  <c r="I465" i="79"/>
  <c r="J464" i="79"/>
  <c r="I464" i="79"/>
  <c r="J463" i="79"/>
  <c r="I463" i="79"/>
  <c r="J462" i="79"/>
  <c r="I462" i="79"/>
  <c r="J461" i="79"/>
  <c r="I461" i="79"/>
  <c r="J460" i="79"/>
  <c r="I460" i="79"/>
  <c r="J459" i="79"/>
  <c r="I459" i="79"/>
  <c r="J458" i="79"/>
  <c r="I458" i="79"/>
  <c r="J457" i="79"/>
  <c r="I457" i="79"/>
  <c r="J456" i="79"/>
  <c r="I456" i="79"/>
  <c r="J455" i="79"/>
  <c r="I455" i="79"/>
  <c r="J454" i="79"/>
  <c r="I454" i="79"/>
  <c r="J453" i="79"/>
  <c r="I453" i="79"/>
  <c r="J452" i="79"/>
  <c r="I452" i="79"/>
  <c r="J451" i="79"/>
  <c r="I451" i="79"/>
  <c r="J450" i="79"/>
  <c r="I450" i="79"/>
  <c r="J449" i="79"/>
  <c r="I449" i="79"/>
  <c r="J448" i="79"/>
  <c r="I448" i="79"/>
  <c r="J447" i="79"/>
  <c r="I447" i="79"/>
  <c r="J446" i="79"/>
  <c r="I446" i="79"/>
  <c r="J445" i="79"/>
  <c r="I445" i="79"/>
  <c r="J444" i="79"/>
  <c r="I444" i="79"/>
  <c r="J443" i="79"/>
  <c r="I443" i="79"/>
  <c r="J442" i="79"/>
  <c r="I442" i="79"/>
  <c r="J441" i="79"/>
  <c r="I441" i="79"/>
  <c r="J440" i="79"/>
  <c r="I440" i="79"/>
  <c r="J439" i="79"/>
  <c r="I439" i="79"/>
  <c r="J438" i="79"/>
  <c r="I438" i="79"/>
  <c r="J437" i="79"/>
  <c r="I437" i="79"/>
  <c r="J436" i="79"/>
  <c r="I436" i="79"/>
  <c r="J435" i="79"/>
  <c r="I435" i="79"/>
  <c r="J434" i="79"/>
  <c r="I434" i="79"/>
  <c r="J433" i="79"/>
  <c r="I433" i="79"/>
  <c r="J432" i="79"/>
  <c r="I432" i="79"/>
  <c r="J431" i="79"/>
  <c r="I431" i="79"/>
  <c r="J430" i="79"/>
  <c r="I430" i="79"/>
  <c r="J429" i="79"/>
  <c r="I429" i="79"/>
  <c r="J428" i="79"/>
  <c r="I428" i="79"/>
  <c r="J427" i="79"/>
  <c r="I427" i="79"/>
  <c r="J426" i="79"/>
  <c r="I426" i="79"/>
  <c r="J425" i="79"/>
  <c r="I425" i="79"/>
  <c r="J424" i="79"/>
  <c r="I424" i="79"/>
  <c r="J423" i="79"/>
  <c r="I423" i="79"/>
  <c r="J422" i="79"/>
  <c r="I422" i="79"/>
  <c r="J421" i="79"/>
  <c r="I421" i="79"/>
  <c r="J420" i="79"/>
  <c r="I420" i="79"/>
  <c r="J419" i="79"/>
  <c r="I419" i="79"/>
  <c r="J418" i="79"/>
  <c r="I418" i="79"/>
  <c r="J417" i="79"/>
  <c r="I417" i="79"/>
  <c r="J416" i="79"/>
  <c r="I416" i="79"/>
  <c r="J415" i="79"/>
  <c r="I415" i="79"/>
  <c r="J414" i="79"/>
  <c r="I414" i="79"/>
  <c r="J413" i="79"/>
  <c r="I413" i="79"/>
  <c r="J412" i="79"/>
  <c r="I412" i="79"/>
  <c r="J411" i="79"/>
  <c r="I411" i="79"/>
  <c r="J410" i="79"/>
  <c r="I410" i="79"/>
  <c r="J409" i="79"/>
  <c r="I409" i="79"/>
  <c r="J408" i="79"/>
  <c r="I408" i="79"/>
  <c r="J407" i="79"/>
  <c r="I407" i="79"/>
  <c r="J406" i="79"/>
  <c r="I406" i="79"/>
  <c r="J405" i="79"/>
  <c r="I405" i="79"/>
  <c r="J404" i="79"/>
  <c r="I404" i="79"/>
  <c r="J403" i="79"/>
  <c r="I403" i="79"/>
  <c r="J402" i="79"/>
  <c r="I402" i="79"/>
  <c r="J401" i="79"/>
  <c r="I401" i="79"/>
  <c r="J400" i="79"/>
  <c r="I400" i="79"/>
  <c r="J399" i="79"/>
  <c r="I399" i="79"/>
  <c r="J398" i="79"/>
  <c r="I398" i="79"/>
  <c r="J397" i="79"/>
  <c r="I397" i="79"/>
  <c r="J396" i="79"/>
  <c r="I396" i="79"/>
  <c r="J395" i="79"/>
  <c r="I395" i="79"/>
  <c r="J394" i="79"/>
  <c r="I394" i="79"/>
  <c r="J393" i="79"/>
  <c r="I393" i="79"/>
  <c r="J392" i="79"/>
  <c r="I392" i="79"/>
  <c r="J391" i="79"/>
  <c r="I391" i="79"/>
  <c r="J390" i="79"/>
  <c r="I390" i="79"/>
  <c r="J389" i="79"/>
  <c r="I389" i="79"/>
  <c r="J388" i="79"/>
  <c r="I388" i="79"/>
  <c r="J387" i="79"/>
  <c r="I387" i="79"/>
  <c r="J386" i="79"/>
  <c r="I386" i="79"/>
  <c r="J385" i="79"/>
  <c r="I385" i="79"/>
  <c r="J384" i="79"/>
  <c r="I384" i="79"/>
  <c r="J383" i="79"/>
  <c r="I383" i="79"/>
  <c r="J382" i="79"/>
  <c r="I382" i="79"/>
  <c r="J381" i="79"/>
  <c r="I381" i="79"/>
  <c r="J380" i="79"/>
  <c r="I380" i="79"/>
  <c r="J379" i="79"/>
  <c r="I379" i="79"/>
  <c r="J378" i="79"/>
  <c r="I378" i="79"/>
  <c r="J377" i="79"/>
  <c r="I377" i="79"/>
  <c r="J376" i="79"/>
  <c r="I376" i="79"/>
  <c r="J375" i="79"/>
  <c r="I375" i="79"/>
  <c r="J374" i="79"/>
  <c r="I374" i="79"/>
  <c r="J373" i="79"/>
  <c r="I373" i="79"/>
  <c r="J372" i="79"/>
  <c r="I372" i="79"/>
  <c r="J371" i="79"/>
  <c r="I371" i="79"/>
  <c r="J370" i="79"/>
  <c r="I370" i="79"/>
  <c r="J369" i="79"/>
  <c r="I369" i="79"/>
  <c r="J368" i="79"/>
  <c r="I368" i="79"/>
  <c r="J367" i="79"/>
  <c r="I367" i="79"/>
  <c r="J366" i="79"/>
  <c r="I366" i="79"/>
  <c r="J365" i="79"/>
  <c r="I365" i="79"/>
  <c r="J364" i="79"/>
  <c r="I364" i="79"/>
  <c r="J363" i="79"/>
  <c r="I363" i="79"/>
  <c r="J362" i="79"/>
  <c r="I362" i="79"/>
  <c r="J361" i="79"/>
  <c r="I361" i="79"/>
  <c r="J360" i="79"/>
  <c r="I360" i="79"/>
  <c r="J359" i="79"/>
  <c r="I359" i="79"/>
  <c r="J358" i="79"/>
  <c r="I358" i="79"/>
  <c r="J357" i="79"/>
  <c r="I357" i="79"/>
  <c r="J356" i="79"/>
  <c r="I356" i="79"/>
  <c r="J355" i="79"/>
  <c r="I355" i="79"/>
  <c r="J354" i="79"/>
  <c r="I354" i="79"/>
  <c r="J353" i="79"/>
  <c r="I353" i="79"/>
  <c r="J352" i="79"/>
  <c r="I352" i="79"/>
  <c r="J351" i="79"/>
  <c r="I351" i="79"/>
  <c r="J350" i="79"/>
  <c r="I350" i="79"/>
  <c r="J349" i="79"/>
  <c r="I349" i="79"/>
  <c r="J348" i="79"/>
  <c r="I348" i="79"/>
  <c r="J347" i="79"/>
  <c r="I347" i="79"/>
  <c r="J346" i="79"/>
  <c r="I346" i="79"/>
  <c r="J345" i="79"/>
  <c r="I345" i="79"/>
  <c r="J344" i="79"/>
  <c r="I344" i="79"/>
  <c r="J343" i="79"/>
  <c r="I343" i="79"/>
  <c r="J342" i="79"/>
  <c r="I342" i="79"/>
  <c r="J341" i="79"/>
  <c r="I341" i="79"/>
  <c r="J340" i="79"/>
  <c r="I340" i="79"/>
  <c r="J339" i="79"/>
  <c r="I339" i="79"/>
  <c r="J338" i="79"/>
  <c r="I338" i="79"/>
  <c r="J337" i="79"/>
  <c r="I337" i="79"/>
  <c r="J336" i="79"/>
  <c r="I336" i="79"/>
  <c r="J335" i="79"/>
  <c r="I335" i="79"/>
  <c r="J334" i="79"/>
  <c r="I334" i="79"/>
  <c r="J333" i="79"/>
  <c r="I333" i="79"/>
  <c r="J332" i="79"/>
  <c r="I332" i="79"/>
  <c r="J331" i="79"/>
  <c r="I331" i="79"/>
  <c r="J330" i="79"/>
  <c r="I330" i="79"/>
  <c r="J329" i="79"/>
  <c r="I329" i="79"/>
  <c r="J328" i="79"/>
  <c r="I328" i="79"/>
  <c r="J327" i="79"/>
  <c r="I327" i="79"/>
  <c r="J326" i="79"/>
  <c r="I326" i="79"/>
  <c r="J325" i="79"/>
  <c r="I325" i="79"/>
  <c r="J324" i="79"/>
  <c r="I324" i="79"/>
  <c r="J323" i="79"/>
  <c r="I323" i="79"/>
  <c r="J322" i="79"/>
  <c r="I322" i="79"/>
  <c r="J321" i="79"/>
  <c r="I321" i="79"/>
  <c r="J320" i="79"/>
  <c r="I320" i="79"/>
  <c r="J317" i="79"/>
  <c r="I317" i="79"/>
  <c r="J316" i="79"/>
  <c r="I316" i="79"/>
  <c r="J315" i="79"/>
  <c r="I315" i="79"/>
  <c r="J314" i="79"/>
  <c r="I314" i="79"/>
  <c r="J313" i="79"/>
  <c r="I313" i="79"/>
  <c r="J312" i="79"/>
  <c r="I312" i="79"/>
  <c r="J311" i="79"/>
  <c r="I311" i="79"/>
  <c r="J310" i="79"/>
  <c r="I310" i="79"/>
  <c r="J309" i="79"/>
  <c r="I309" i="79"/>
  <c r="J308" i="79"/>
  <c r="I308" i="79"/>
  <c r="J307" i="79"/>
  <c r="I307" i="79"/>
  <c r="J306" i="79"/>
  <c r="I306" i="79"/>
  <c r="J305" i="79"/>
  <c r="I305" i="79"/>
  <c r="J304" i="79"/>
  <c r="I304" i="79"/>
  <c r="J303" i="79"/>
  <c r="I303" i="79"/>
  <c r="J302" i="79"/>
  <c r="I302" i="79"/>
  <c r="J301" i="79"/>
  <c r="I301" i="79"/>
  <c r="J300" i="79"/>
  <c r="I300" i="79"/>
  <c r="J299" i="79"/>
  <c r="I299" i="79"/>
  <c r="J298" i="79"/>
  <c r="I298" i="79"/>
  <c r="J297" i="79"/>
  <c r="I297" i="79"/>
  <c r="J296" i="79"/>
  <c r="I296" i="79"/>
  <c r="J295" i="79"/>
  <c r="I295" i="79"/>
  <c r="J294" i="79"/>
  <c r="I294" i="79"/>
  <c r="J293" i="79"/>
  <c r="I293" i="79"/>
  <c r="J292" i="79"/>
  <c r="I292" i="79"/>
  <c r="J291" i="79"/>
  <c r="I291" i="79"/>
  <c r="J290" i="79"/>
  <c r="I290" i="79"/>
  <c r="J289" i="79"/>
  <c r="I289" i="79"/>
  <c r="J288" i="79"/>
  <c r="I288" i="79"/>
  <c r="J287" i="79"/>
  <c r="I287" i="79"/>
  <c r="J286" i="79"/>
  <c r="I286" i="79"/>
  <c r="J285" i="79"/>
  <c r="I285" i="79"/>
  <c r="J284" i="79"/>
  <c r="I284" i="79"/>
  <c r="J283" i="79"/>
  <c r="I283" i="79"/>
  <c r="J282" i="79"/>
  <c r="I282" i="79"/>
  <c r="J281" i="79"/>
  <c r="I281" i="79"/>
  <c r="J280" i="79"/>
  <c r="I280" i="79"/>
  <c r="J279" i="79"/>
  <c r="I279" i="79"/>
  <c r="J278" i="79"/>
  <c r="I278" i="79"/>
  <c r="J277" i="79"/>
  <c r="I277" i="79"/>
  <c r="J276" i="79"/>
  <c r="I276" i="79"/>
  <c r="J275" i="79"/>
  <c r="I275" i="79"/>
  <c r="J274" i="79"/>
  <c r="I274" i="79"/>
  <c r="J273" i="79"/>
  <c r="I273" i="79"/>
  <c r="J272" i="79"/>
  <c r="I272" i="79"/>
  <c r="J271" i="79"/>
  <c r="I271" i="79"/>
  <c r="J270" i="79"/>
  <c r="I270" i="79"/>
  <c r="J269" i="79"/>
  <c r="I269" i="79"/>
  <c r="J268" i="79"/>
  <c r="I268" i="79"/>
  <c r="J267" i="79"/>
  <c r="I267" i="79"/>
  <c r="J266" i="79"/>
  <c r="I266" i="79"/>
  <c r="J265" i="79"/>
  <c r="I265" i="79"/>
  <c r="J264" i="79"/>
  <c r="I264" i="79"/>
  <c r="J263" i="79"/>
  <c r="I263" i="79"/>
  <c r="J262" i="79"/>
  <c r="I262" i="79"/>
  <c r="J261" i="79"/>
  <c r="I261" i="79"/>
  <c r="J260" i="79"/>
  <c r="I260" i="79"/>
  <c r="J259" i="79"/>
  <c r="I259" i="79"/>
  <c r="J258" i="79"/>
  <c r="I258" i="79"/>
  <c r="J257" i="79"/>
  <c r="I257" i="79"/>
  <c r="J256" i="79"/>
  <c r="I256" i="79"/>
  <c r="J255" i="79"/>
  <c r="I255" i="79"/>
  <c r="J254" i="79"/>
  <c r="I254" i="79"/>
  <c r="J253" i="79"/>
  <c r="I253" i="79"/>
  <c r="J252" i="79"/>
  <c r="I252" i="79"/>
  <c r="J251" i="79"/>
  <c r="I251" i="79"/>
  <c r="J250" i="79"/>
  <c r="I250" i="79"/>
  <c r="J249" i="79"/>
  <c r="I249" i="79"/>
  <c r="J248" i="79"/>
  <c r="I248" i="79"/>
  <c r="J247" i="79"/>
  <c r="I247" i="79"/>
  <c r="J246" i="79"/>
  <c r="I246" i="79"/>
  <c r="J245" i="79"/>
  <c r="I245" i="79"/>
  <c r="J244" i="79"/>
  <c r="I244" i="79"/>
  <c r="J243" i="79"/>
  <c r="I243" i="79"/>
  <c r="J242" i="79"/>
  <c r="I242" i="79"/>
  <c r="J241" i="79"/>
  <c r="I241" i="79"/>
  <c r="J240" i="79"/>
  <c r="I240" i="79"/>
  <c r="J239" i="79"/>
  <c r="I239" i="79"/>
  <c r="J238" i="79"/>
  <c r="I238" i="79"/>
  <c r="J237" i="79"/>
  <c r="I237" i="79"/>
  <c r="J236" i="79"/>
  <c r="I236" i="79"/>
  <c r="J235" i="79"/>
  <c r="I235" i="79"/>
  <c r="J234" i="79"/>
  <c r="I234" i="79"/>
  <c r="J233" i="79"/>
  <c r="I233" i="79"/>
  <c r="J232" i="79"/>
  <c r="I232" i="79"/>
  <c r="J231" i="79"/>
  <c r="I231" i="79"/>
  <c r="J230" i="79"/>
  <c r="I230" i="79"/>
  <c r="J229" i="79"/>
  <c r="I229" i="79"/>
  <c r="J228" i="79"/>
  <c r="I228" i="79"/>
  <c r="J227" i="79"/>
  <c r="I227" i="79"/>
  <c r="J226" i="79"/>
  <c r="I226" i="79"/>
  <c r="J225" i="79"/>
  <c r="I225" i="79"/>
  <c r="J224" i="79"/>
  <c r="I224" i="79"/>
  <c r="J223" i="79"/>
  <c r="I223" i="79"/>
  <c r="J222" i="79"/>
  <c r="I222" i="79"/>
  <c r="J221" i="79"/>
  <c r="I221" i="79"/>
  <c r="J220" i="79"/>
  <c r="I220" i="79"/>
  <c r="J219" i="79"/>
  <c r="I219" i="79"/>
  <c r="J218" i="79"/>
  <c r="I218" i="79"/>
  <c r="J217" i="79"/>
  <c r="I217" i="79"/>
  <c r="J216" i="79"/>
  <c r="I216" i="79"/>
  <c r="J215" i="79"/>
  <c r="I215" i="79"/>
  <c r="J214" i="79"/>
  <c r="I214" i="79"/>
  <c r="J213" i="79"/>
  <c r="I213" i="79"/>
  <c r="J212" i="79"/>
  <c r="I212" i="79"/>
  <c r="J211" i="79"/>
  <c r="I211" i="79"/>
  <c r="J210" i="79"/>
  <c r="I210" i="79"/>
  <c r="J209" i="79"/>
  <c r="I209" i="79"/>
  <c r="J208" i="79"/>
  <c r="I208" i="79"/>
  <c r="J207" i="79"/>
  <c r="I207" i="79"/>
  <c r="J206" i="79"/>
  <c r="I206" i="79"/>
  <c r="J205" i="79"/>
  <c r="I205" i="79"/>
  <c r="J204" i="79"/>
  <c r="I204" i="79"/>
  <c r="J203" i="79"/>
  <c r="I203" i="79"/>
  <c r="J202" i="79"/>
  <c r="I202" i="79"/>
  <c r="J201" i="79"/>
  <c r="I201" i="79"/>
  <c r="J200" i="79"/>
  <c r="I200" i="79"/>
  <c r="J199" i="79"/>
  <c r="I199" i="79"/>
  <c r="J198" i="79"/>
  <c r="I198" i="79"/>
  <c r="J197" i="79"/>
  <c r="I197" i="79"/>
  <c r="J196" i="79"/>
  <c r="I196" i="79"/>
  <c r="J195" i="79"/>
  <c r="I195" i="79"/>
  <c r="J194" i="79"/>
  <c r="I194" i="79"/>
  <c r="J193" i="79"/>
  <c r="I193" i="79"/>
  <c r="J192" i="79"/>
  <c r="I192" i="79"/>
  <c r="J191" i="79"/>
  <c r="I191" i="79"/>
  <c r="J190" i="79"/>
  <c r="I190" i="79"/>
  <c r="J189" i="79"/>
  <c r="I189" i="79"/>
  <c r="J188" i="79"/>
  <c r="I188" i="79"/>
  <c r="J187" i="79"/>
  <c r="I187" i="79"/>
  <c r="J186" i="79"/>
  <c r="I186" i="79"/>
  <c r="J185" i="79"/>
  <c r="I185" i="79"/>
  <c r="J184" i="79"/>
  <c r="I184" i="79"/>
  <c r="J183" i="79"/>
  <c r="I183" i="79"/>
  <c r="J182" i="79"/>
  <c r="I182" i="79"/>
  <c r="J181" i="79"/>
  <c r="I181" i="79"/>
  <c r="J180" i="79"/>
  <c r="I180" i="79"/>
  <c r="J179" i="79"/>
  <c r="I179" i="79"/>
  <c r="J178" i="79"/>
  <c r="I178" i="79"/>
  <c r="J177" i="79"/>
  <c r="I177" i="79"/>
  <c r="J176" i="79"/>
  <c r="I176" i="79"/>
  <c r="J175" i="79"/>
  <c r="I175" i="79"/>
  <c r="J174" i="79"/>
  <c r="I174" i="79"/>
  <c r="J173" i="79"/>
  <c r="I173" i="79"/>
  <c r="J172" i="79"/>
  <c r="I172" i="79"/>
  <c r="J171" i="79"/>
  <c r="I171" i="79"/>
  <c r="J170" i="79"/>
  <c r="I170" i="79"/>
  <c r="J169" i="79"/>
  <c r="I169" i="79"/>
  <c r="J168" i="79"/>
  <c r="I168" i="79"/>
  <c r="J167" i="79"/>
  <c r="I167" i="79"/>
  <c r="J166" i="79"/>
  <c r="I166" i="79"/>
  <c r="J165" i="79"/>
  <c r="I165" i="79"/>
  <c r="J164" i="79"/>
  <c r="I164" i="79"/>
  <c r="J163" i="79"/>
  <c r="I163" i="79"/>
  <c r="J162" i="79"/>
  <c r="I162" i="79"/>
  <c r="J161" i="79"/>
  <c r="I161" i="79"/>
  <c r="J160" i="79"/>
  <c r="I160" i="79"/>
  <c r="J159" i="79"/>
  <c r="I159" i="79"/>
  <c r="J158" i="79"/>
  <c r="I158" i="79"/>
  <c r="J157" i="79"/>
  <c r="I157" i="79"/>
  <c r="J156" i="79"/>
  <c r="I156" i="79"/>
  <c r="J155" i="79"/>
  <c r="I155" i="79"/>
  <c r="J154" i="79"/>
  <c r="I154" i="79"/>
  <c r="J153" i="79"/>
  <c r="I153" i="79"/>
  <c r="J152" i="79"/>
  <c r="I152" i="79"/>
  <c r="J151" i="79"/>
  <c r="I151" i="79"/>
  <c r="J150" i="79"/>
  <c r="I150" i="79"/>
  <c r="J149" i="79"/>
  <c r="I149" i="79"/>
  <c r="J148" i="79"/>
  <c r="I148" i="79"/>
  <c r="J147" i="79"/>
  <c r="I147" i="79"/>
  <c r="J146" i="79"/>
  <c r="I146" i="79"/>
  <c r="J145" i="79"/>
  <c r="I145" i="79"/>
  <c r="J144" i="79"/>
  <c r="I144" i="79"/>
  <c r="J143" i="79"/>
  <c r="I143" i="79"/>
  <c r="J142" i="79"/>
  <c r="I142" i="79"/>
  <c r="J141" i="79"/>
  <c r="I141" i="79"/>
  <c r="J140" i="79"/>
  <c r="I140" i="79"/>
  <c r="J139" i="79"/>
  <c r="I139" i="79"/>
  <c r="J138" i="79"/>
  <c r="I138" i="79"/>
  <c r="J137" i="79"/>
  <c r="I137" i="79"/>
  <c r="J136" i="79"/>
  <c r="I136" i="79"/>
  <c r="J135" i="79"/>
  <c r="I135" i="79"/>
  <c r="J134" i="79"/>
  <c r="I134" i="79"/>
  <c r="J133" i="79"/>
  <c r="I133" i="79"/>
  <c r="J132" i="79"/>
  <c r="I132" i="79"/>
  <c r="J131" i="79"/>
  <c r="I131" i="79"/>
  <c r="J130" i="79"/>
  <c r="I130" i="79"/>
  <c r="J129" i="79"/>
  <c r="I129" i="79"/>
  <c r="J128" i="79"/>
  <c r="I128" i="79"/>
  <c r="J127" i="79"/>
  <c r="I127" i="79"/>
  <c r="J126" i="79"/>
  <c r="I126" i="79"/>
  <c r="J125" i="79"/>
  <c r="I125" i="79"/>
  <c r="J124" i="79"/>
  <c r="I124" i="79"/>
  <c r="J123" i="79"/>
  <c r="I123" i="79"/>
  <c r="J122" i="79"/>
  <c r="I122" i="79"/>
  <c r="J121" i="79"/>
  <c r="I121" i="79"/>
  <c r="J120" i="79"/>
  <c r="I120" i="79"/>
  <c r="J119" i="79"/>
  <c r="I119" i="79"/>
  <c r="J118" i="79"/>
  <c r="I118" i="79"/>
  <c r="J117" i="79"/>
  <c r="I117" i="79"/>
  <c r="J116" i="79"/>
  <c r="I116" i="79"/>
  <c r="J115" i="79"/>
  <c r="I115" i="79"/>
  <c r="J114" i="79"/>
  <c r="I114" i="79"/>
  <c r="J113" i="79"/>
  <c r="I113" i="79"/>
  <c r="J112" i="79"/>
  <c r="I112" i="79"/>
  <c r="J111" i="79"/>
  <c r="I111" i="79"/>
  <c r="J110" i="79"/>
  <c r="I110" i="79"/>
  <c r="J109" i="79"/>
  <c r="I109" i="79"/>
  <c r="J108" i="79"/>
  <c r="I108" i="79"/>
  <c r="J107" i="79"/>
  <c r="I107" i="79"/>
  <c r="J106" i="79"/>
  <c r="I106" i="79"/>
  <c r="J105" i="79"/>
  <c r="I105" i="79"/>
  <c r="J104" i="79"/>
  <c r="I104" i="79"/>
  <c r="J103" i="79"/>
  <c r="I103" i="79"/>
  <c r="J102" i="79"/>
  <c r="I102" i="79"/>
  <c r="J101" i="79"/>
  <c r="I101" i="79"/>
  <c r="J100" i="79"/>
  <c r="I100" i="79"/>
  <c r="J99" i="79"/>
  <c r="I99" i="79"/>
  <c r="J98" i="79"/>
  <c r="I98" i="79"/>
  <c r="J97" i="79"/>
  <c r="I97" i="79"/>
  <c r="J96" i="79"/>
  <c r="I96" i="79"/>
  <c r="J95" i="79"/>
  <c r="I95" i="79"/>
  <c r="J94" i="79"/>
  <c r="I94" i="79"/>
  <c r="J93" i="79"/>
  <c r="I93" i="79"/>
  <c r="J92" i="79"/>
  <c r="I92" i="79"/>
  <c r="J91" i="79"/>
  <c r="I91" i="79"/>
  <c r="J90" i="79"/>
  <c r="I90" i="79"/>
  <c r="J89" i="79"/>
  <c r="I89" i="79"/>
  <c r="J88" i="79"/>
  <c r="I88" i="79"/>
  <c r="J87" i="79"/>
  <c r="I87" i="79"/>
  <c r="J86" i="79"/>
  <c r="I86" i="79"/>
  <c r="J85" i="79"/>
  <c r="I85" i="79"/>
  <c r="J84" i="79"/>
  <c r="I84" i="79"/>
  <c r="J83" i="79"/>
  <c r="I83" i="79"/>
  <c r="J82" i="79"/>
  <c r="I82" i="79"/>
  <c r="J81" i="79"/>
  <c r="I81" i="79"/>
  <c r="J80" i="79"/>
  <c r="I80" i="79"/>
  <c r="J79" i="79"/>
  <c r="I79" i="79"/>
  <c r="J78" i="79"/>
  <c r="I78" i="79"/>
  <c r="J77" i="79"/>
  <c r="I77" i="79"/>
  <c r="J76" i="79"/>
  <c r="I76" i="79"/>
  <c r="J75" i="79"/>
  <c r="I75" i="79"/>
  <c r="J74" i="79"/>
  <c r="I74" i="79"/>
  <c r="J73" i="79"/>
  <c r="I73" i="79"/>
  <c r="J72" i="79"/>
  <c r="I72" i="79"/>
  <c r="J71" i="79"/>
  <c r="I71" i="79"/>
  <c r="J70" i="79"/>
  <c r="I70" i="79"/>
  <c r="J69" i="79"/>
  <c r="I69" i="79"/>
  <c r="J68" i="79"/>
  <c r="I68" i="79"/>
  <c r="J67" i="79"/>
  <c r="I67" i="79"/>
  <c r="J66" i="79"/>
  <c r="I66" i="79"/>
  <c r="J65" i="79"/>
  <c r="I65" i="79"/>
  <c r="J64" i="79"/>
  <c r="I64" i="79"/>
  <c r="J63" i="79"/>
  <c r="I63" i="79"/>
  <c r="J62" i="79"/>
  <c r="I62" i="79"/>
  <c r="J61" i="79"/>
  <c r="I61" i="79"/>
  <c r="J60" i="79"/>
  <c r="I60" i="79"/>
  <c r="J59" i="79"/>
  <c r="I59" i="79"/>
  <c r="J58" i="79"/>
  <c r="I58" i="79"/>
  <c r="J57" i="79"/>
  <c r="I57" i="79"/>
  <c r="J56" i="79"/>
  <c r="I56" i="79"/>
  <c r="J55" i="79"/>
  <c r="I55" i="79"/>
  <c r="J54" i="79"/>
  <c r="I54" i="79"/>
  <c r="J53" i="79"/>
  <c r="I53" i="79"/>
  <c r="J52" i="79"/>
  <c r="I52" i="79"/>
  <c r="J51" i="79"/>
  <c r="I51" i="79"/>
  <c r="J50" i="79"/>
  <c r="I50" i="79"/>
  <c r="J49" i="79"/>
  <c r="I49" i="79"/>
  <c r="J48" i="79"/>
  <c r="I48" i="79"/>
  <c r="J47" i="79"/>
  <c r="I47" i="79"/>
  <c r="J46" i="79"/>
  <c r="I46" i="79"/>
  <c r="J45" i="79"/>
  <c r="I45" i="79"/>
  <c r="J44" i="79"/>
  <c r="I44" i="79"/>
  <c r="J43" i="79"/>
  <c r="I43" i="79"/>
  <c r="J42" i="79"/>
  <c r="I42" i="79"/>
  <c r="J41" i="79"/>
  <c r="I41" i="79"/>
  <c r="J40" i="79"/>
  <c r="I40" i="79"/>
  <c r="J39" i="79"/>
  <c r="I39" i="79"/>
  <c r="J38" i="79"/>
  <c r="I38" i="79"/>
  <c r="J37" i="79"/>
  <c r="I37" i="79"/>
  <c r="J36" i="79"/>
  <c r="I36" i="79"/>
  <c r="J35" i="79"/>
  <c r="I35" i="79"/>
  <c r="J34" i="79"/>
  <c r="I34" i="79"/>
  <c r="J33" i="79"/>
  <c r="I33" i="79"/>
  <c r="J32" i="79"/>
  <c r="I32" i="79"/>
  <c r="J31" i="79"/>
  <c r="I31" i="79"/>
  <c r="J30" i="79"/>
  <c r="I30" i="79"/>
  <c r="J29" i="79"/>
  <c r="I29" i="79"/>
  <c r="J28" i="79"/>
  <c r="I28" i="79"/>
  <c r="J27" i="79"/>
  <c r="I27" i="79"/>
  <c r="J26" i="79"/>
  <c r="I26" i="79"/>
  <c r="J25" i="79"/>
  <c r="I25" i="79"/>
  <c r="J24" i="79"/>
  <c r="I24" i="79"/>
  <c r="J23" i="79"/>
  <c r="I23" i="79"/>
  <c r="J22" i="79"/>
  <c r="I22" i="79"/>
  <c r="J21" i="79"/>
  <c r="I21" i="79"/>
  <c r="J20" i="79"/>
  <c r="I20" i="79"/>
  <c r="J19" i="79"/>
  <c r="I19" i="79"/>
  <c r="F106" i="12" a="1"/>
  <c r="F108" i="12" a="1"/>
  <c r="F107" i="12" a="1"/>
  <c r="F109" i="12" a="1"/>
  <c r="F104" i="12" a="1"/>
  <c r="F105" i="12" a="1"/>
  <c r="F109" i="12" l="1"/>
  <c r="F108" i="12"/>
  <c r="F106" i="12"/>
  <c r="F105" i="12"/>
  <c r="F107" i="12"/>
  <c r="F104" i="12"/>
  <c r="O18" i="79" a="1"/>
  <c r="O18" i="79" s="1"/>
  <c r="M18" i="79" a="1"/>
  <c r="M18" i="79" s="1"/>
  <c r="J16" i="14" l="1" a="1"/>
  <c r="J16" i="14" s="1"/>
  <c r="J10" i="14" a="1"/>
  <c r="J10" i="14" s="1"/>
  <c r="J19" i="21" a="1"/>
  <c r="J19" i="21" s="1"/>
  <c r="I59" i="12" a="1"/>
  <c r="I59" i="12" s="1"/>
  <c r="I26" i="12" a="1"/>
  <c r="I26" i="12" s="1"/>
  <c r="I25" i="12" a="1"/>
  <c r="I25" i="12" s="1"/>
  <c r="I60" i="12" a="1"/>
  <c r="I60" i="12" s="1"/>
  <c r="K17" i="76" a="1"/>
  <c r="K17" i="76" s="1"/>
  <c r="K9" i="76" a="1"/>
  <c r="K9" i="76" s="1"/>
  <c r="I58" i="12" a="1"/>
  <c r="I58" i="12" s="1"/>
  <c r="I103" i="12" a="1"/>
  <c r="I103" i="12" s="1"/>
  <c r="F675" i="71"/>
  <c r="G675" i="71" s="1"/>
  <c r="F674" i="71"/>
  <c r="G674" i="71" s="1"/>
  <c r="F673" i="71"/>
  <c r="G673" i="71" s="1"/>
  <c r="F672" i="71"/>
  <c r="G672" i="71" s="1"/>
  <c r="F671" i="71"/>
  <c r="G671" i="71" s="1"/>
  <c r="F670" i="71"/>
  <c r="G670" i="71" s="1"/>
  <c r="F669" i="71"/>
  <c r="G669" i="71" s="1"/>
  <c r="F668" i="71"/>
  <c r="G668" i="71" s="1"/>
  <c r="F667" i="71"/>
  <c r="G667" i="71" s="1"/>
  <c r="F666" i="71"/>
  <c r="G666" i="71" s="1"/>
  <c r="F665" i="71"/>
  <c r="G665" i="71" s="1"/>
  <c r="F664" i="71"/>
  <c r="G664" i="71" s="1"/>
  <c r="F663" i="71"/>
  <c r="G663" i="71" s="1"/>
  <c r="F662" i="71"/>
  <c r="G662" i="71" s="1"/>
  <c r="F661" i="71"/>
  <c r="G661" i="71" s="1"/>
  <c r="F660" i="71"/>
  <c r="G660" i="71" s="1"/>
  <c r="F659" i="71"/>
  <c r="G659" i="71" s="1"/>
  <c r="F658" i="71"/>
  <c r="G658" i="71" s="1"/>
  <c r="F657" i="71"/>
  <c r="G657" i="71" s="1"/>
  <c r="F656" i="71"/>
  <c r="G656" i="71" s="1"/>
  <c r="F655" i="71"/>
  <c r="G655" i="71" s="1"/>
  <c r="G654" i="71"/>
  <c r="F654" i="71"/>
  <c r="F653" i="71"/>
  <c r="G653" i="71" s="1"/>
  <c r="F652" i="71"/>
  <c r="G652" i="71" s="1"/>
  <c r="F651" i="71"/>
  <c r="G651" i="71" s="1"/>
  <c r="F650" i="71"/>
  <c r="G650" i="71" s="1"/>
  <c r="F649" i="71"/>
  <c r="G649" i="71" s="1"/>
  <c r="F648" i="71"/>
  <c r="G648" i="71" s="1"/>
  <c r="F647" i="71"/>
  <c r="G647" i="71" s="1"/>
  <c r="F646" i="71"/>
  <c r="G646" i="71" s="1"/>
  <c r="F645" i="71"/>
  <c r="G645" i="71" s="1"/>
  <c r="F644" i="71"/>
  <c r="G644" i="71" s="1"/>
  <c r="F643" i="71"/>
  <c r="G643" i="71" s="1"/>
  <c r="F642" i="71"/>
  <c r="G642" i="71" s="1"/>
  <c r="F641" i="71"/>
  <c r="G641" i="71" s="1"/>
  <c r="F640" i="71"/>
  <c r="G640" i="71" s="1"/>
  <c r="F639" i="71"/>
  <c r="G639" i="71" s="1"/>
  <c r="F638" i="71"/>
  <c r="G638" i="71" s="1"/>
  <c r="F637" i="71"/>
  <c r="G637" i="71" s="1"/>
  <c r="F636" i="71"/>
  <c r="G636" i="71" s="1"/>
  <c r="F635" i="71"/>
  <c r="G635" i="71" s="1"/>
  <c r="F634" i="71"/>
  <c r="G634" i="71" s="1"/>
  <c r="F633" i="71"/>
  <c r="G633" i="71" s="1"/>
  <c r="F632" i="71"/>
  <c r="G632" i="71" s="1"/>
  <c r="F631" i="71"/>
  <c r="G631" i="71" s="1"/>
  <c r="F630" i="71"/>
  <c r="G630" i="71" s="1"/>
  <c r="F629" i="71"/>
  <c r="G629" i="71" s="1"/>
  <c r="F628" i="71"/>
  <c r="G628" i="71" s="1"/>
  <c r="F627" i="71"/>
  <c r="G627" i="71" s="1"/>
  <c r="F626" i="71"/>
  <c r="G626" i="71" s="1"/>
  <c r="F625" i="71"/>
  <c r="G625" i="71" s="1"/>
  <c r="G624" i="71"/>
  <c r="F624" i="71"/>
  <c r="F623" i="71"/>
  <c r="G623" i="71" s="1"/>
  <c r="F622" i="71"/>
  <c r="G622" i="71" s="1"/>
  <c r="F621" i="71"/>
  <c r="G621" i="71" s="1"/>
  <c r="F620" i="71"/>
  <c r="G620" i="71" s="1"/>
  <c r="F619" i="71"/>
  <c r="G619" i="71" s="1"/>
  <c r="F618" i="71"/>
  <c r="G618" i="71" s="1"/>
  <c r="G617" i="71"/>
  <c r="F617" i="71"/>
  <c r="F616" i="71"/>
  <c r="G616" i="71" s="1"/>
  <c r="G615" i="71"/>
  <c r="F615" i="71"/>
  <c r="F614" i="71"/>
  <c r="G614" i="71" s="1"/>
  <c r="F613" i="71"/>
  <c r="G613" i="71" s="1"/>
  <c r="F612" i="71"/>
  <c r="G612" i="71" s="1"/>
  <c r="F611" i="71"/>
  <c r="G611" i="71" s="1"/>
  <c r="F610" i="71"/>
  <c r="G610" i="71" s="1"/>
  <c r="F609" i="71"/>
  <c r="G609" i="71" s="1"/>
  <c r="F608" i="71"/>
  <c r="G608" i="71" s="1"/>
  <c r="F607" i="71"/>
  <c r="G607" i="71" s="1"/>
  <c r="G606" i="71"/>
  <c r="F606" i="71"/>
  <c r="F605" i="71"/>
  <c r="G605" i="71" s="1"/>
  <c r="F604" i="71"/>
  <c r="G604" i="71" s="1"/>
  <c r="F603" i="71"/>
  <c r="G603" i="71" s="1"/>
  <c r="F602" i="71"/>
  <c r="G602" i="71" s="1"/>
  <c r="F601" i="71"/>
  <c r="G601" i="71" s="1"/>
  <c r="F600" i="71"/>
  <c r="G600" i="71" s="1"/>
  <c r="F599" i="71"/>
  <c r="G599" i="71" s="1"/>
  <c r="F598" i="71"/>
  <c r="G598" i="71" s="1"/>
  <c r="F597" i="71"/>
  <c r="G597" i="71" s="1"/>
  <c r="F596" i="71"/>
  <c r="G596" i="71" s="1"/>
  <c r="F595" i="71"/>
  <c r="G595" i="71" s="1"/>
  <c r="F594" i="71"/>
  <c r="G594" i="71" s="1"/>
  <c r="F593" i="71"/>
  <c r="G593" i="71" s="1"/>
  <c r="F592" i="71"/>
  <c r="G592" i="71" s="1"/>
  <c r="F591" i="71"/>
  <c r="G591" i="71" s="1"/>
  <c r="F590" i="71"/>
  <c r="G590" i="71" s="1"/>
  <c r="F589" i="71"/>
  <c r="G589" i="71" s="1"/>
  <c r="F588" i="71"/>
  <c r="G588" i="71" s="1"/>
  <c r="F587" i="71"/>
  <c r="G587" i="71" s="1"/>
  <c r="F586" i="71"/>
  <c r="G586" i="71" s="1"/>
  <c r="G585" i="71"/>
  <c r="F585" i="71"/>
  <c r="F584" i="71"/>
  <c r="G584" i="71" s="1"/>
  <c r="F583" i="71"/>
  <c r="G583" i="71" s="1"/>
  <c r="F582" i="71"/>
  <c r="G582" i="71" s="1"/>
  <c r="F581" i="71"/>
  <c r="G581" i="71" s="1"/>
  <c r="F580" i="71"/>
  <c r="G580" i="71" s="1"/>
  <c r="F579" i="71"/>
  <c r="G579" i="71" s="1"/>
  <c r="F578" i="71"/>
  <c r="G578" i="71" s="1"/>
  <c r="F577" i="71"/>
  <c r="G577" i="71" s="1"/>
  <c r="F576" i="71"/>
  <c r="G576" i="71" s="1"/>
  <c r="F575" i="71"/>
  <c r="G575" i="71" s="1"/>
  <c r="G574" i="71"/>
  <c r="F574" i="71"/>
  <c r="F573" i="71"/>
  <c r="G573" i="71" s="1"/>
  <c r="F572" i="71"/>
  <c r="G572" i="71" s="1"/>
  <c r="F571" i="71"/>
  <c r="G571" i="71" s="1"/>
  <c r="F570" i="71"/>
  <c r="G570" i="71" s="1"/>
  <c r="G569" i="71"/>
  <c r="F569" i="71"/>
  <c r="F568" i="71"/>
  <c r="G568" i="71" s="1"/>
  <c r="F567" i="71"/>
  <c r="G567" i="71" s="1"/>
  <c r="F566" i="71"/>
  <c r="G566" i="71" s="1"/>
  <c r="F565" i="71"/>
  <c r="G565" i="71" s="1"/>
  <c r="F564" i="71"/>
  <c r="G564" i="71" s="1"/>
  <c r="F563" i="71"/>
  <c r="G563" i="71" s="1"/>
  <c r="F562" i="71"/>
  <c r="G562" i="71" s="1"/>
  <c r="F561" i="71"/>
  <c r="G561" i="71" s="1"/>
  <c r="F560" i="71"/>
  <c r="G560" i="71" s="1"/>
  <c r="F559" i="71"/>
  <c r="G559" i="71" s="1"/>
  <c r="F558" i="71"/>
  <c r="G558" i="71" s="1"/>
  <c r="F557" i="71"/>
  <c r="G557" i="71" s="1"/>
  <c r="F556" i="71"/>
  <c r="G556" i="71" s="1"/>
  <c r="F555" i="71"/>
  <c r="G555" i="71" s="1"/>
  <c r="F554" i="71"/>
  <c r="G554" i="71" s="1"/>
  <c r="F553" i="71"/>
  <c r="G553" i="71" s="1"/>
  <c r="F552" i="71"/>
  <c r="G552" i="71" s="1"/>
  <c r="G551" i="71"/>
  <c r="F551" i="71"/>
  <c r="F550" i="71"/>
  <c r="G550" i="71" s="1"/>
  <c r="F549" i="71"/>
  <c r="G549" i="71" s="1"/>
  <c r="F548" i="71"/>
  <c r="G548" i="71" s="1"/>
  <c r="F547" i="71"/>
  <c r="G547" i="71" s="1"/>
  <c r="F546" i="71"/>
  <c r="G546" i="71" s="1"/>
  <c r="F545" i="71"/>
  <c r="G545" i="71" s="1"/>
  <c r="F544" i="71"/>
  <c r="G544" i="71" s="1"/>
  <c r="F543" i="71"/>
  <c r="G543" i="71" s="1"/>
  <c r="G542" i="71"/>
  <c r="F542" i="71"/>
  <c r="F541" i="71"/>
  <c r="G541" i="71" s="1"/>
  <c r="F540" i="71"/>
  <c r="G540" i="71" s="1"/>
  <c r="F539" i="71"/>
  <c r="G539" i="71" s="1"/>
  <c r="F538" i="71"/>
  <c r="G538" i="71" s="1"/>
  <c r="G537" i="71"/>
  <c r="F537" i="71"/>
  <c r="F536" i="71"/>
  <c r="G536" i="71" s="1"/>
  <c r="F535" i="71"/>
  <c r="G535" i="71" s="1"/>
  <c r="F534" i="71"/>
  <c r="G534" i="71" s="1"/>
  <c r="G533" i="71"/>
  <c r="F533" i="71"/>
  <c r="F532" i="71"/>
  <c r="G532" i="71" s="1"/>
  <c r="F531" i="71"/>
  <c r="G531" i="71" s="1"/>
  <c r="F530" i="71"/>
  <c r="G530" i="71" s="1"/>
  <c r="F529" i="71"/>
  <c r="G529" i="71" s="1"/>
  <c r="F528" i="71"/>
  <c r="G528" i="71" s="1"/>
  <c r="F527" i="71"/>
  <c r="G527" i="71" s="1"/>
  <c r="F526" i="71"/>
  <c r="G526" i="71" s="1"/>
  <c r="F525" i="71"/>
  <c r="G525" i="71" s="1"/>
  <c r="F524" i="71"/>
  <c r="G524" i="71" s="1"/>
  <c r="F523" i="71"/>
  <c r="G523" i="71" s="1"/>
  <c r="F522" i="71"/>
  <c r="G522" i="71" s="1"/>
  <c r="F521" i="71"/>
  <c r="G521" i="71" s="1"/>
  <c r="F520" i="71"/>
  <c r="G520" i="71" s="1"/>
  <c r="F519" i="71"/>
  <c r="G519" i="71" s="1"/>
  <c r="F518" i="71"/>
  <c r="G518" i="71" s="1"/>
  <c r="F517" i="71"/>
  <c r="G517" i="71" s="1"/>
  <c r="F516" i="71"/>
  <c r="G516" i="71" s="1"/>
  <c r="F515" i="71"/>
  <c r="G515" i="71" s="1"/>
  <c r="F514" i="71"/>
  <c r="G514" i="71" s="1"/>
  <c r="F513" i="71"/>
  <c r="G513" i="71" s="1"/>
  <c r="F512" i="71"/>
  <c r="G512" i="71" s="1"/>
  <c r="F511" i="71"/>
  <c r="G511" i="71" s="1"/>
  <c r="G510" i="71"/>
  <c r="F510" i="71"/>
  <c r="F509" i="71"/>
  <c r="G509" i="71" s="1"/>
  <c r="F508" i="71"/>
  <c r="G508" i="71" s="1"/>
  <c r="F507" i="71"/>
  <c r="G507" i="71" s="1"/>
  <c r="F506" i="71"/>
  <c r="G506" i="71" s="1"/>
  <c r="G505" i="71"/>
  <c r="F505" i="71"/>
  <c r="F504" i="71"/>
  <c r="G504" i="71" s="1"/>
  <c r="F503" i="71"/>
  <c r="G503" i="71" s="1"/>
  <c r="F502" i="71"/>
  <c r="G502" i="71" s="1"/>
  <c r="G501" i="71"/>
  <c r="F501" i="71"/>
  <c r="F500" i="71"/>
  <c r="G500" i="71" s="1"/>
  <c r="F499" i="71"/>
  <c r="G499" i="71" s="1"/>
  <c r="F498" i="71"/>
  <c r="G498" i="71" s="1"/>
  <c r="F497" i="71"/>
  <c r="G497" i="71" s="1"/>
  <c r="F496" i="71"/>
  <c r="G496" i="71" s="1"/>
  <c r="F495" i="71"/>
  <c r="G495" i="71" s="1"/>
  <c r="F494" i="71"/>
  <c r="G494" i="71" s="1"/>
  <c r="F493" i="71"/>
  <c r="G493" i="71" s="1"/>
  <c r="F492" i="71"/>
  <c r="G492" i="71" s="1"/>
  <c r="F491" i="71"/>
  <c r="G491" i="71" s="1"/>
  <c r="F490" i="71"/>
  <c r="G490" i="71" s="1"/>
  <c r="F489" i="71"/>
  <c r="G489" i="71" s="1"/>
  <c r="F488" i="71"/>
  <c r="G488" i="71" s="1"/>
  <c r="F487" i="71"/>
  <c r="G487" i="71" s="1"/>
  <c r="F486" i="71"/>
  <c r="G486" i="71" s="1"/>
  <c r="F485" i="71"/>
  <c r="G485" i="71" s="1"/>
  <c r="F484" i="71"/>
  <c r="G484" i="71" s="1"/>
  <c r="F483" i="71"/>
  <c r="G483" i="71" s="1"/>
  <c r="F482" i="71"/>
  <c r="G482" i="71" s="1"/>
  <c r="F481" i="71"/>
  <c r="G481" i="71" s="1"/>
  <c r="F480" i="71"/>
  <c r="G480" i="71" s="1"/>
  <c r="F479" i="71"/>
  <c r="G479" i="71" s="1"/>
  <c r="G478" i="71"/>
  <c r="F478" i="71"/>
  <c r="F477" i="71"/>
  <c r="G477" i="71" s="1"/>
  <c r="F476" i="71"/>
  <c r="G476" i="71" s="1"/>
  <c r="F475" i="71"/>
  <c r="G475" i="71" s="1"/>
  <c r="F474" i="71"/>
  <c r="G474" i="71" s="1"/>
  <c r="G473" i="71"/>
  <c r="F473" i="71"/>
  <c r="F472" i="71"/>
  <c r="G472" i="71" s="1"/>
  <c r="F471" i="71"/>
  <c r="G471" i="71" s="1"/>
  <c r="F470" i="71"/>
  <c r="G470" i="71" s="1"/>
  <c r="G469" i="71"/>
  <c r="F469" i="71"/>
  <c r="F468" i="71"/>
  <c r="G468" i="71" s="1"/>
  <c r="F467" i="71"/>
  <c r="G467" i="71" s="1"/>
  <c r="F466" i="71"/>
  <c r="G466" i="71" s="1"/>
  <c r="F465" i="71"/>
  <c r="G465" i="71" s="1"/>
  <c r="F464" i="71"/>
  <c r="G464" i="71" s="1"/>
  <c r="F463" i="71"/>
  <c r="G463" i="71" s="1"/>
  <c r="F462" i="71"/>
  <c r="G462" i="71" s="1"/>
  <c r="F461" i="71"/>
  <c r="G461" i="71" s="1"/>
  <c r="F460" i="71"/>
  <c r="G460" i="71" s="1"/>
  <c r="F459" i="71"/>
  <c r="G459" i="71" s="1"/>
  <c r="F458" i="71"/>
  <c r="G458" i="71" s="1"/>
  <c r="F457" i="71"/>
  <c r="G457" i="71" s="1"/>
  <c r="F456" i="71"/>
  <c r="G456" i="71" s="1"/>
  <c r="F455" i="71"/>
  <c r="G455" i="71" s="1"/>
  <c r="F454" i="71"/>
  <c r="G454" i="71" s="1"/>
  <c r="F453" i="71"/>
  <c r="G453" i="71" s="1"/>
  <c r="F452" i="71"/>
  <c r="G452" i="71" s="1"/>
  <c r="F451" i="71"/>
  <c r="G451" i="71" s="1"/>
  <c r="F450" i="71"/>
  <c r="G450" i="71" s="1"/>
  <c r="F449" i="71"/>
  <c r="G449" i="71" s="1"/>
  <c r="F448" i="71"/>
  <c r="G448" i="71" s="1"/>
  <c r="F447" i="71"/>
  <c r="G447" i="71" s="1"/>
  <c r="F446" i="71"/>
  <c r="G446" i="71" s="1"/>
  <c r="F445" i="71"/>
  <c r="G445" i="71" s="1"/>
  <c r="F444" i="71"/>
  <c r="G444" i="71" s="1"/>
  <c r="F443" i="71"/>
  <c r="G443" i="71" s="1"/>
  <c r="F442" i="71"/>
  <c r="G442" i="71" s="1"/>
  <c r="G441" i="71"/>
  <c r="F441" i="71"/>
  <c r="F440" i="71"/>
  <c r="G440" i="71" s="1"/>
  <c r="F439" i="71"/>
  <c r="G439" i="71" s="1"/>
  <c r="F438" i="71"/>
  <c r="G438" i="71" s="1"/>
  <c r="F437" i="71"/>
  <c r="G437" i="71" s="1"/>
  <c r="F436" i="71"/>
  <c r="G436" i="71" s="1"/>
  <c r="F435" i="71"/>
  <c r="G435" i="71" s="1"/>
  <c r="F434" i="71"/>
  <c r="G434" i="71" s="1"/>
  <c r="F433" i="71"/>
  <c r="G433" i="71" s="1"/>
  <c r="G432" i="71"/>
  <c r="F432" i="71"/>
  <c r="F431" i="71"/>
  <c r="G431" i="71" s="1"/>
  <c r="F430" i="71"/>
  <c r="G430" i="71" s="1"/>
  <c r="F429" i="71"/>
  <c r="G429" i="71" s="1"/>
  <c r="F428" i="71"/>
  <c r="G428" i="71" s="1"/>
  <c r="F427" i="71"/>
  <c r="G427" i="71" s="1"/>
  <c r="F426" i="71"/>
  <c r="G426" i="71" s="1"/>
  <c r="F425" i="71"/>
  <c r="G425" i="71" s="1"/>
  <c r="F424" i="71"/>
  <c r="G424" i="71" s="1"/>
  <c r="F423" i="71"/>
  <c r="G423" i="71" s="1"/>
  <c r="F422" i="71"/>
  <c r="G422" i="71" s="1"/>
  <c r="F421" i="71"/>
  <c r="G421" i="71" s="1"/>
  <c r="F420" i="71"/>
  <c r="G420" i="71" s="1"/>
  <c r="F419" i="71"/>
  <c r="G419" i="71" s="1"/>
  <c r="F418" i="71"/>
  <c r="G418" i="71" s="1"/>
  <c r="F417" i="71"/>
  <c r="G417" i="71" s="1"/>
  <c r="F416" i="71"/>
  <c r="G416" i="71" s="1"/>
  <c r="F415" i="71"/>
  <c r="G415" i="71" s="1"/>
  <c r="G414" i="71"/>
  <c r="F414" i="71"/>
  <c r="F413" i="71"/>
  <c r="G413" i="71" s="1"/>
  <c r="F412" i="71"/>
  <c r="G412" i="71" s="1"/>
  <c r="F411" i="71"/>
  <c r="G411" i="71" s="1"/>
  <c r="F410" i="71"/>
  <c r="G410" i="71" s="1"/>
  <c r="F409" i="71"/>
  <c r="G409" i="71" s="1"/>
  <c r="F408" i="71"/>
  <c r="G408" i="71" s="1"/>
  <c r="F407" i="71"/>
  <c r="G407" i="71" s="1"/>
  <c r="F406" i="71"/>
  <c r="G406" i="71" s="1"/>
  <c r="G405" i="71"/>
  <c r="F405" i="71"/>
  <c r="F404" i="71"/>
  <c r="G404" i="71" s="1"/>
  <c r="F403" i="71"/>
  <c r="G403" i="71" s="1"/>
  <c r="F402" i="71"/>
  <c r="G402" i="71" s="1"/>
  <c r="F401" i="71"/>
  <c r="G401" i="71" s="1"/>
  <c r="F400" i="71"/>
  <c r="G400" i="71" s="1"/>
  <c r="F399" i="71"/>
  <c r="G399" i="71" s="1"/>
  <c r="F398" i="71"/>
  <c r="G398" i="71" s="1"/>
  <c r="F397" i="71"/>
  <c r="G397" i="71" s="1"/>
  <c r="F396" i="71"/>
  <c r="G396" i="71" s="1"/>
  <c r="F395" i="71"/>
  <c r="G395" i="71" s="1"/>
  <c r="F394" i="71"/>
  <c r="G394" i="71" s="1"/>
  <c r="F393" i="71"/>
  <c r="G393" i="71" s="1"/>
  <c r="F392" i="71"/>
  <c r="G392" i="71" s="1"/>
  <c r="F391" i="71"/>
  <c r="G391" i="71" s="1"/>
  <c r="F390" i="71"/>
  <c r="G390" i="71" s="1"/>
  <c r="F389" i="71"/>
  <c r="G389" i="71" s="1"/>
  <c r="F388" i="71"/>
  <c r="G388" i="71" s="1"/>
  <c r="F387" i="71"/>
  <c r="G387" i="71" s="1"/>
  <c r="F386" i="71"/>
  <c r="G386" i="71" s="1"/>
  <c r="F385" i="71"/>
  <c r="G385" i="71" s="1"/>
  <c r="G384" i="71"/>
  <c r="F384" i="71"/>
  <c r="F383" i="71"/>
  <c r="G383" i="71" s="1"/>
  <c r="F382" i="71"/>
  <c r="G382" i="71" s="1"/>
  <c r="F381" i="71"/>
  <c r="G381" i="71" s="1"/>
  <c r="F380" i="71"/>
  <c r="G380" i="71" s="1"/>
  <c r="F379" i="71"/>
  <c r="G379" i="71" s="1"/>
  <c r="F378" i="71"/>
  <c r="G378" i="71" s="1"/>
  <c r="F377" i="71"/>
  <c r="G377" i="71" s="1"/>
  <c r="F376" i="71"/>
  <c r="G376" i="71" s="1"/>
  <c r="F375" i="71"/>
  <c r="G375" i="71" s="1"/>
  <c r="F374" i="71"/>
  <c r="G374" i="71" s="1"/>
  <c r="F373" i="71"/>
  <c r="G373" i="71" s="1"/>
  <c r="F372" i="71"/>
  <c r="G372" i="71" s="1"/>
  <c r="F371" i="71"/>
  <c r="G371" i="71" s="1"/>
  <c r="G370" i="71"/>
  <c r="F370" i="71"/>
  <c r="F369" i="71"/>
  <c r="G369" i="71" s="1"/>
  <c r="F368" i="71"/>
  <c r="G368" i="71" s="1"/>
  <c r="F367" i="71"/>
  <c r="G367" i="71" s="1"/>
  <c r="F366" i="71"/>
  <c r="G366" i="71" s="1"/>
  <c r="F365" i="71"/>
  <c r="G365" i="71" s="1"/>
  <c r="F364" i="71"/>
  <c r="G364" i="71" s="1"/>
  <c r="F363" i="71"/>
  <c r="G363" i="71" s="1"/>
  <c r="F362" i="71"/>
  <c r="G362" i="71" s="1"/>
  <c r="F361" i="71"/>
  <c r="G361" i="71" s="1"/>
  <c r="F360" i="71"/>
  <c r="G360" i="71" s="1"/>
  <c r="F359" i="71"/>
  <c r="G359" i="71" s="1"/>
  <c r="F358" i="71"/>
  <c r="G358" i="71" s="1"/>
  <c r="F357" i="71"/>
  <c r="G357" i="71" s="1"/>
  <c r="F356" i="71"/>
  <c r="G356" i="71" s="1"/>
  <c r="F355" i="71"/>
  <c r="G355" i="71" s="1"/>
  <c r="F354" i="71"/>
  <c r="G354" i="71" s="1"/>
  <c r="F353" i="71"/>
  <c r="G353" i="71" s="1"/>
  <c r="F352" i="71"/>
  <c r="G352" i="71" s="1"/>
  <c r="F351" i="71"/>
  <c r="G351" i="71" s="1"/>
  <c r="F350" i="71"/>
  <c r="G350" i="71" s="1"/>
  <c r="F349" i="71"/>
  <c r="G349" i="71" s="1"/>
  <c r="F348" i="71"/>
  <c r="G348" i="71" s="1"/>
  <c r="F347" i="71"/>
  <c r="G347" i="71" s="1"/>
  <c r="F346" i="71"/>
  <c r="G346" i="71" s="1"/>
  <c r="F345" i="71"/>
  <c r="G345" i="71" s="1"/>
  <c r="F344" i="71"/>
  <c r="G344" i="71" s="1"/>
  <c r="F343" i="71"/>
  <c r="G343" i="71" s="1"/>
  <c r="F342" i="71"/>
  <c r="G342" i="71" s="1"/>
  <c r="F341" i="71"/>
  <c r="G341" i="71" s="1"/>
  <c r="F340" i="71"/>
  <c r="G340" i="71" s="1"/>
  <c r="F339" i="71"/>
  <c r="G339" i="71" s="1"/>
  <c r="G338" i="71"/>
  <c r="F338" i="71"/>
  <c r="F337" i="71"/>
  <c r="G337" i="71" s="1"/>
  <c r="F336" i="71"/>
  <c r="G336" i="71" s="1"/>
  <c r="F335" i="71"/>
  <c r="G335" i="71" s="1"/>
  <c r="F334" i="71"/>
  <c r="G334" i="71" s="1"/>
  <c r="G333" i="71"/>
  <c r="F333" i="71"/>
  <c r="F332" i="71"/>
  <c r="G332" i="71" s="1"/>
  <c r="F331" i="71"/>
  <c r="G331" i="71" s="1"/>
  <c r="F330" i="71"/>
  <c r="G330" i="71" s="1"/>
  <c r="F329" i="71"/>
  <c r="G329" i="71" s="1"/>
  <c r="F328" i="71"/>
  <c r="G328" i="71" s="1"/>
  <c r="F327" i="71"/>
  <c r="G327" i="71" s="1"/>
  <c r="F326" i="71"/>
  <c r="G326" i="71" s="1"/>
  <c r="G325" i="71"/>
  <c r="F325" i="71"/>
  <c r="F324" i="71"/>
  <c r="G324" i="71" s="1"/>
  <c r="G323" i="71"/>
  <c r="F323" i="71"/>
  <c r="F322" i="71"/>
  <c r="G322" i="71" s="1"/>
  <c r="F321" i="71"/>
  <c r="G321" i="71" s="1"/>
  <c r="G320" i="71"/>
  <c r="F320" i="71"/>
  <c r="F319" i="71"/>
  <c r="G319" i="71" s="1"/>
  <c r="F318" i="71"/>
  <c r="G318" i="71" s="1"/>
  <c r="G317" i="71"/>
  <c r="F317" i="71"/>
  <c r="F316" i="71"/>
  <c r="G316" i="71" s="1"/>
  <c r="F315" i="71"/>
  <c r="G315" i="71" s="1"/>
  <c r="F314" i="71"/>
  <c r="G314" i="71" s="1"/>
  <c r="F313" i="71"/>
  <c r="G313" i="71" s="1"/>
  <c r="G312" i="71"/>
  <c r="F312" i="71"/>
  <c r="F311" i="71"/>
  <c r="G311" i="71" s="1"/>
  <c r="F310" i="71"/>
  <c r="G310" i="71" s="1"/>
  <c r="G309" i="71"/>
  <c r="F309" i="71"/>
  <c r="F308" i="71"/>
  <c r="G308" i="71" s="1"/>
  <c r="F307" i="71"/>
  <c r="G307" i="71" s="1"/>
  <c r="F306" i="71"/>
  <c r="G306" i="71" s="1"/>
  <c r="F305" i="71"/>
  <c r="G305" i="71" s="1"/>
  <c r="F304" i="71"/>
  <c r="G304" i="71" s="1"/>
  <c r="F303" i="71"/>
  <c r="G303" i="71" s="1"/>
  <c r="F302" i="71"/>
  <c r="G302" i="71" s="1"/>
  <c r="F301" i="71"/>
  <c r="G301" i="71" s="1"/>
  <c r="F300" i="71"/>
  <c r="G300" i="71" s="1"/>
  <c r="F299" i="71"/>
  <c r="G299" i="71" s="1"/>
  <c r="F298" i="71"/>
  <c r="G298" i="71" s="1"/>
  <c r="G297" i="71"/>
  <c r="F297" i="71"/>
  <c r="F296" i="71"/>
  <c r="G296" i="71" s="1"/>
  <c r="G295" i="71"/>
  <c r="F295" i="71"/>
  <c r="F294" i="71"/>
  <c r="G294" i="71" s="1"/>
  <c r="F293" i="71"/>
  <c r="G293" i="71" s="1"/>
  <c r="F292" i="71"/>
  <c r="G292" i="71" s="1"/>
  <c r="F291" i="71"/>
  <c r="G291" i="71" s="1"/>
  <c r="F290" i="71"/>
  <c r="G290" i="71" s="1"/>
  <c r="F289" i="71"/>
  <c r="G289" i="71" s="1"/>
  <c r="F288" i="71"/>
  <c r="G288" i="71" s="1"/>
  <c r="F287" i="71"/>
  <c r="G287" i="71" s="1"/>
  <c r="F286" i="71"/>
  <c r="G286" i="71" s="1"/>
  <c r="F285" i="71"/>
  <c r="G285" i="71" s="1"/>
  <c r="F284" i="71"/>
  <c r="G284" i="71" s="1"/>
  <c r="F283" i="71"/>
  <c r="G283" i="71" s="1"/>
  <c r="F282" i="71"/>
  <c r="G282" i="71" s="1"/>
  <c r="G281" i="71"/>
  <c r="F281" i="71"/>
  <c r="F280" i="71"/>
  <c r="G280" i="71" s="1"/>
  <c r="G279" i="71"/>
  <c r="F279" i="71"/>
  <c r="F278" i="71"/>
  <c r="G278" i="71" s="1"/>
  <c r="F277" i="71"/>
  <c r="G277" i="71" s="1"/>
  <c r="F276" i="71"/>
  <c r="G276" i="71" s="1"/>
  <c r="F275" i="71"/>
  <c r="G275" i="71" s="1"/>
  <c r="F274" i="71"/>
  <c r="G274" i="71" s="1"/>
  <c r="F273" i="71"/>
  <c r="G273" i="71" s="1"/>
  <c r="F272" i="71"/>
  <c r="G272" i="71" s="1"/>
  <c r="F271" i="71"/>
  <c r="G271" i="71" s="1"/>
  <c r="F270" i="71"/>
  <c r="G270" i="71" s="1"/>
  <c r="F269" i="71"/>
  <c r="G269" i="71" s="1"/>
  <c r="F268" i="71"/>
  <c r="G268" i="71" s="1"/>
  <c r="F267" i="71"/>
  <c r="G267" i="71" s="1"/>
  <c r="F266" i="71"/>
  <c r="G266" i="71" s="1"/>
  <c r="G265" i="71"/>
  <c r="F265" i="71"/>
  <c r="F264" i="71"/>
  <c r="G264" i="71" s="1"/>
  <c r="G263" i="71"/>
  <c r="F263" i="71"/>
  <c r="F262" i="71"/>
  <c r="G262" i="71" s="1"/>
  <c r="F261" i="71"/>
  <c r="G261" i="71" s="1"/>
  <c r="F260" i="71"/>
  <c r="G260" i="71" s="1"/>
  <c r="F259" i="71"/>
  <c r="G259" i="71" s="1"/>
  <c r="F258" i="71"/>
  <c r="G258" i="71" s="1"/>
  <c r="F257" i="71"/>
  <c r="G257" i="71" s="1"/>
  <c r="G256" i="71"/>
  <c r="F256" i="71"/>
  <c r="F255" i="71"/>
  <c r="G255" i="71" s="1"/>
  <c r="F254" i="71"/>
  <c r="G254" i="71" s="1"/>
  <c r="F253" i="71"/>
  <c r="G253" i="71" s="1"/>
  <c r="F252" i="71"/>
  <c r="G252" i="71" s="1"/>
  <c r="F251" i="71"/>
  <c r="G251" i="71" s="1"/>
  <c r="F250" i="71"/>
  <c r="G250" i="71" s="1"/>
  <c r="F249" i="71"/>
  <c r="G249" i="71" s="1"/>
  <c r="F248" i="71"/>
  <c r="G248" i="71" s="1"/>
  <c r="F247" i="71"/>
  <c r="G247" i="71" s="1"/>
  <c r="F246" i="71"/>
  <c r="G246" i="71" s="1"/>
  <c r="G245" i="71"/>
  <c r="F245" i="71"/>
  <c r="G244" i="71"/>
  <c r="F244" i="71"/>
  <c r="F243" i="71"/>
  <c r="G243" i="71" s="1"/>
  <c r="F242" i="71"/>
  <c r="G242" i="71" s="1"/>
  <c r="F241" i="71"/>
  <c r="G241" i="71" s="1"/>
  <c r="G240" i="71"/>
  <c r="F240" i="71"/>
  <c r="F239" i="71"/>
  <c r="G239" i="71" s="1"/>
  <c r="F238" i="71"/>
  <c r="G238" i="71" s="1"/>
  <c r="F237" i="71"/>
  <c r="G237" i="71" s="1"/>
  <c r="F236" i="71"/>
  <c r="G236" i="71" s="1"/>
  <c r="F235" i="71"/>
  <c r="G235" i="71" s="1"/>
  <c r="F234" i="71"/>
  <c r="G234" i="71" s="1"/>
  <c r="F233" i="71"/>
  <c r="G233" i="71" s="1"/>
  <c r="F232" i="71"/>
  <c r="G232" i="71" s="1"/>
  <c r="F231" i="71"/>
  <c r="G231" i="71" s="1"/>
  <c r="F230" i="71"/>
  <c r="G230" i="71" s="1"/>
  <c r="G229" i="71"/>
  <c r="F229" i="71"/>
  <c r="G228" i="71"/>
  <c r="F228" i="71"/>
  <c r="F227" i="71"/>
  <c r="G227" i="71" s="1"/>
  <c r="F226" i="71"/>
  <c r="G226" i="71" s="1"/>
  <c r="F225" i="71"/>
  <c r="G225" i="71" s="1"/>
  <c r="G224" i="71"/>
  <c r="F224" i="71"/>
  <c r="F223" i="71"/>
  <c r="G223" i="71" s="1"/>
  <c r="F222" i="71"/>
  <c r="G222" i="71" s="1"/>
  <c r="F221" i="71"/>
  <c r="G221" i="71" s="1"/>
  <c r="F220" i="71"/>
  <c r="G220" i="71" s="1"/>
  <c r="F219" i="71"/>
  <c r="G219" i="71" s="1"/>
  <c r="F218" i="71"/>
  <c r="G218" i="71" s="1"/>
  <c r="F217" i="71"/>
  <c r="G217" i="71" s="1"/>
  <c r="F216" i="71"/>
  <c r="G216" i="71" s="1"/>
  <c r="F215" i="71"/>
  <c r="G215" i="71" s="1"/>
  <c r="F214" i="71"/>
  <c r="G214" i="71" s="1"/>
  <c r="F213" i="71"/>
  <c r="G213" i="71" s="1"/>
  <c r="F212" i="71"/>
  <c r="G212" i="71" s="1"/>
  <c r="G211" i="71"/>
  <c r="F211" i="71"/>
  <c r="F210" i="71"/>
  <c r="G210" i="71" s="1"/>
  <c r="F209" i="71"/>
  <c r="G209" i="71" s="1"/>
  <c r="G208" i="71"/>
  <c r="F208" i="71"/>
  <c r="F207" i="71"/>
  <c r="G207" i="71" s="1"/>
  <c r="F206" i="71"/>
  <c r="G206" i="71" s="1"/>
  <c r="G205" i="71"/>
  <c r="F205" i="71"/>
  <c r="F204" i="71"/>
  <c r="G204" i="71" s="1"/>
  <c r="F203" i="71"/>
  <c r="G203" i="71" s="1"/>
  <c r="F202" i="71"/>
  <c r="G202" i="71" s="1"/>
  <c r="F201" i="71"/>
  <c r="G201" i="71" s="1"/>
  <c r="F200" i="71"/>
  <c r="G200" i="71" s="1"/>
  <c r="F199" i="71"/>
  <c r="G199" i="71" s="1"/>
  <c r="F198" i="71"/>
  <c r="G198" i="71" s="1"/>
  <c r="F197" i="71"/>
  <c r="G197" i="71" s="1"/>
  <c r="F196" i="71"/>
  <c r="G196" i="71" s="1"/>
  <c r="G195" i="71"/>
  <c r="F195" i="71"/>
  <c r="F194" i="71"/>
  <c r="G194" i="71" s="1"/>
  <c r="F193" i="71"/>
  <c r="G193" i="71" s="1"/>
  <c r="F192" i="71"/>
  <c r="G192" i="71" s="1"/>
  <c r="F191" i="71"/>
  <c r="G191" i="71" s="1"/>
  <c r="F190" i="71"/>
  <c r="G190" i="71" s="1"/>
  <c r="F189" i="71"/>
  <c r="G189" i="71" s="1"/>
  <c r="F188" i="71"/>
  <c r="G188" i="71" s="1"/>
  <c r="F187" i="71"/>
  <c r="G187" i="71" s="1"/>
  <c r="F186" i="71"/>
  <c r="G186" i="71" s="1"/>
  <c r="F185" i="71"/>
  <c r="G185" i="71" s="1"/>
  <c r="G184" i="71"/>
  <c r="F184" i="71"/>
  <c r="F183" i="71"/>
  <c r="G183" i="71" s="1"/>
  <c r="F182" i="71"/>
  <c r="G182" i="71" s="1"/>
  <c r="F181" i="71"/>
  <c r="G181" i="71" s="1"/>
  <c r="F180" i="71"/>
  <c r="G180" i="71" s="1"/>
  <c r="G179" i="71"/>
  <c r="F179" i="71"/>
  <c r="G178" i="71"/>
  <c r="F178" i="71"/>
  <c r="F177" i="71"/>
  <c r="G177" i="71" s="1"/>
  <c r="F176" i="71"/>
  <c r="G176" i="71" s="1"/>
  <c r="F175" i="71"/>
  <c r="G175" i="71" s="1"/>
  <c r="F174" i="71"/>
  <c r="G174" i="71" s="1"/>
  <c r="G173" i="71"/>
  <c r="F173" i="71"/>
  <c r="F172" i="71"/>
  <c r="G172" i="71" s="1"/>
  <c r="F171" i="71"/>
  <c r="G171" i="71" s="1"/>
  <c r="F170" i="71"/>
  <c r="G170" i="71" s="1"/>
  <c r="F169" i="71"/>
  <c r="G169" i="71" s="1"/>
  <c r="F168" i="71"/>
  <c r="G168" i="71" s="1"/>
  <c r="F167" i="71"/>
  <c r="G167" i="71" s="1"/>
  <c r="F166" i="71"/>
  <c r="G166" i="71" s="1"/>
  <c r="F165" i="71"/>
  <c r="G165" i="71" s="1"/>
  <c r="F164" i="71"/>
  <c r="G164" i="71" s="1"/>
  <c r="G163" i="71"/>
  <c r="F163" i="71"/>
  <c r="F162" i="71"/>
  <c r="G162" i="71" s="1"/>
  <c r="F161" i="71"/>
  <c r="G161" i="71" s="1"/>
  <c r="G160" i="71"/>
  <c r="F160" i="71"/>
  <c r="F159" i="71"/>
  <c r="G159" i="71" s="1"/>
  <c r="F158" i="71"/>
  <c r="G158" i="71" s="1"/>
  <c r="G157" i="71"/>
  <c r="F157" i="71"/>
  <c r="G156" i="71"/>
  <c r="F156" i="71"/>
  <c r="F155" i="71"/>
  <c r="G155" i="71" s="1"/>
  <c r="F154" i="71"/>
  <c r="G154" i="71" s="1"/>
  <c r="F153" i="71"/>
  <c r="G153" i="71" s="1"/>
  <c r="F152" i="71"/>
  <c r="G152" i="71" s="1"/>
  <c r="F151" i="71"/>
  <c r="G151" i="71" s="1"/>
  <c r="F150" i="71"/>
  <c r="G150" i="71" s="1"/>
  <c r="F149" i="71"/>
  <c r="G149" i="71" s="1"/>
  <c r="G148" i="71"/>
  <c r="F148" i="71"/>
  <c r="F147" i="71"/>
  <c r="G147" i="71" s="1"/>
  <c r="F146" i="71"/>
  <c r="G146" i="71" s="1"/>
  <c r="F145" i="71"/>
  <c r="G145" i="71" s="1"/>
  <c r="F144" i="71"/>
  <c r="G144" i="71" s="1"/>
  <c r="F143" i="71"/>
  <c r="G143" i="71" s="1"/>
  <c r="F142" i="71"/>
  <c r="G142" i="71" s="1"/>
  <c r="G141" i="71"/>
  <c r="F141" i="71"/>
  <c r="F140" i="71"/>
  <c r="G140" i="71" s="1"/>
  <c r="F139" i="71"/>
  <c r="G139" i="71" s="1"/>
  <c r="F138" i="71"/>
  <c r="G138" i="71" s="1"/>
  <c r="F137" i="71"/>
  <c r="G137" i="71" s="1"/>
  <c r="G136" i="71"/>
  <c r="F136" i="71"/>
  <c r="G135" i="71"/>
  <c r="F135" i="71"/>
  <c r="F134" i="71"/>
  <c r="G134" i="71" s="1"/>
  <c r="F133" i="71"/>
  <c r="G133" i="71" s="1"/>
  <c r="F132" i="71"/>
  <c r="G132" i="71" s="1"/>
  <c r="G131" i="71"/>
  <c r="F131" i="71"/>
  <c r="G130" i="71"/>
  <c r="F130" i="71"/>
  <c r="F129" i="71"/>
  <c r="G129" i="71" s="1"/>
  <c r="F128" i="71"/>
  <c r="G128" i="71" s="1"/>
  <c r="F127" i="71"/>
  <c r="G127" i="71" s="1"/>
  <c r="F126" i="71"/>
  <c r="G126" i="71" s="1"/>
  <c r="F125" i="71"/>
  <c r="G125" i="71" s="1"/>
  <c r="F124" i="71"/>
  <c r="G124" i="71" s="1"/>
  <c r="F123" i="71"/>
  <c r="G123" i="71" s="1"/>
  <c r="F122" i="71"/>
  <c r="G122" i="71" s="1"/>
  <c r="F121" i="71"/>
  <c r="G121" i="71" s="1"/>
  <c r="F120" i="71"/>
  <c r="G120" i="71" s="1"/>
  <c r="G119" i="71"/>
  <c r="F119" i="71"/>
  <c r="F118" i="71"/>
  <c r="G118" i="71" s="1"/>
  <c r="F117" i="71"/>
  <c r="G117" i="71" s="1"/>
  <c r="F116" i="71"/>
  <c r="G116" i="71" s="1"/>
  <c r="F115" i="71"/>
  <c r="G115" i="71" s="1"/>
  <c r="F114" i="71"/>
  <c r="G114" i="71" s="1"/>
  <c r="F113" i="71"/>
  <c r="G113" i="71" s="1"/>
  <c r="F112" i="71"/>
  <c r="G112" i="71" s="1"/>
  <c r="G111" i="71"/>
  <c r="F111" i="71"/>
  <c r="F110" i="71"/>
  <c r="G110" i="71" s="1"/>
  <c r="F109" i="71"/>
  <c r="G109" i="71" s="1"/>
  <c r="F108" i="71"/>
  <c r="G108" i="71" s="1"/>
  <c r="F107" i="71"/>
  <c r="G107" i="71" s="1"/>
  <c r="F106" i="71"/>
  <c r="G106" i="71" s="1"/>
  <c r="F105" i="71"/>
  <c r="G105" i="71" s="1"/>
  <c r="F104" i="71"/>
  <c r="G104" i="71" s="1"/>
  <c r="F103" i="71"/>
  <c r="G103" i="71" s="1"/>
  <c r="F102" i="71"/>
  <c r="G102" i="71" s="1"/>
  <c r="F101" i="71"/>
  <c r="G101" i="71" s="1"/>
  <c r="F100" i="71"/>
  <c r="G100" i="71" s="1"/>
  <c r="F99" i="71"/>
  <c r="G99" i="71" s="1"/>
  <c r="F98" i="71"/>
  <c r="G98" i="71" s="1"/>
  <c r="G97" i="71"/>
  <c r="F97" i="71"/>
  <c r="F96" i="71"/>
  <c r="G96" i="71" s="1"/>
  <c r="F95" i="71"/>
  <c r="G95" i="71" s="1"/>
  <c r="F94" i="71"/>
  <c r="G94" i="71" s="1"/>
  <c r="F93" i="71"/>
  <c r="G93" i="71" s="1"/>
  <c r="F92" i="71"/>
  <c r="G92" i="71" s="1"/>
  <c r="F91" i="71"/>
  <c r="G91" i="71" s="1"/>
  <c r="F90" i="71"/>
  <c r="G90" i="71" s="1"/>
  <c r="F89" i="71"/>
  <c r="G89" i="71" s="1"/>
  <c r="F88" i="71"/>
  <c r="G88" i="71" s="1"/>
  <c r="F87" i="71"/>
  <c r="G87" i="71" s="1"/>
  <c r="F86" i="71"/>
  <c r="G86" i="71" s="1"/>
  <c r="F85" i="71"/>
  <c r="G85" i="71" s="1"/>
  <c r="F84" i="71"/>
  <c r="G84" i="71" s="1"/>
  <c r="F83" i="71"/>
  <c r="G83" i="71" s="1"/>
  <c r="F82" i="71"/>
  <c r="G82" i="71" s="1"/>
  <c r="F81" i="71"/>
  <c r="G81" i="71" s="1"/>
  <c r="F80" i="71"/>
  <c r="G80" i="71" s="1"/>
  <c r="G79" i="71"/>
  <c r="F79" i="71"/>
  <c r="F78" i="71"/>
  <c r="G78" i="71" s="1"/>
  <c r="F77" i="71"/>
  <c r="G77" i="71" s="1"/>
  <c r="F76" i="71"/>
  <c r="G76" i="71" s="1"/>
  <c r="G75" i="71"/>
  <c r="F75" i="71"/>
  <c r="F74" i="71"/>
  <c r="G74" i="71" s="1"/>
  <c r="F73" i="71"/>
  <c r="G73" i="71" s="1"/>
  <c r="F72" i="71"/>
  <c r="G72" i="71" s="1"/>
  <c r="F71" i="71"/>
  <c r="G71" i="71" s="1"/>
  <c r="F70" i="71"/>
  <c r="G70" i="71" s="1"/>
  <c r="F69" i="71"/>
  <c r="G69" i="71" s="1"/>
  <c r="F68" i="71"/>
  <c r="G68" i="71" s="1"/>
  <c r="F67" i="71"/>
  <c r="G67" i="71" s="1"/>
  <c r="F66" i="71"/>
  <c r="G66" i="71" s="1"/>
  <c r="F65" i="71"/>
  <c r="G65" i="71" s="1"/>
  <c r="F64" i="71"/>
  <c r="G64" i="71" s="1"/>
  <c r="G63" i="71"/>
  <c r="F63" i="71"/>
  <c r="F62" i="71"/>
  <c r="G62" i="71" s="1"/>
  <c r="F61" i="71"/>
  <c r="G61" i="71" s="1"/>
  <c r="F60" i="71"/>
  <c r="G60" i="71" s="1"/>
  <c r="F59" i="71"/>
  <c r="G59" i="71" s="1"/>
  <c r="F58" i="71"/>
  <c r="G58" i="71" s="1"/>
  <c r="G57" i="71"/>
  <c r="F57" i="71"/>
  <c r="F56" i="71"/>
  <c r="G56" i="71" s="1"/>
  <c r="F55" i="71"/>
  <c r="G55" i="71" s="1"/>
  <c r="F54" i="71"/>
  <c r="G54" i="71" s="1"/>
  <c r="F53" i="71"/>
  <c r="G53" i="71" s="1"/>
  <c r="F52" i="71"/>
  <c r="G52" i="71" s="1"/>
  <c r="F51" i="71"/>
  <c r="G51" i="71" s="1"/>
  <c r="F50" i="71"/>
  <c r="G50" i="71" s="1"/>
  <c r="F49" i="71"/>
  <c r="G49" i="71" s="1"/>
  <c r="F48" i="71"/>
  <c r="G48" i="71" s="1"/>
  <c r="F47" i="71"/>
  <c r="G47" i="71" s="1"/>
  <c r="F46" i="71"/>
  <c r="G46" i="71" s="1"/>
  <c r="F45" i="71"/>
  <c r="G45" i="71" s="1"/>
  <c r="F44" i="71"/>
  <c r="G44" i="71" s="1"/>
  <c r="F43" i="71"/>
  <c r="G43" i="71" s="1"/>
  <c r="F42" i="71"/>
  <c r="G42" i="71" s="1"/>
  <c r="G41" i="71"/>
  <c r="F41" i="71"/>
  <c r="F40" i="71"/>
  <c r="G40" i="71" s="1"/>
  <c r="F39" i="71"/>
  <c r="G39" i="71" s="1"/>
  <c r="F38" i="71"/>
  <c r="G38" i="71" s="1"/>
  <c r="F37" i="71"/>
  <c r="G37" i="71" s="1"/>
  <c r="F36" i="71"/>
  <c r="G36" i="71" s="1"/>
  <c r="F35" i="71"/>
  <c r="G35" i="71" s="1"/>
  <c r="F34" i="71"/>
  <c r="G34" i="71" s="1"/>
  <c r="F33" i="71"/>
  <c r="G33" i="71" s="1"/>
  <c r="F32" i="71"/>
  <c r="G32" i="71" s="1"/>
  <c r="F31" i="71"/>
  <c r="G31" i="71" s="1"/>
  <c r="F30" i="71"/>
  <c r="G30" i="71" s="1"/>
  <c r="G29" i="71"/>
  <c r="F29" i="71"/>
  <c r="F28" i="71"/>
  <c r="G28" i="71" s="1"/>
  <c r="G27" i="71"/>
  <c r="F27" i="71"/>
  <c r="F26" i="71"/>
  <c r="G26" i="71" s="1"/>
  <c r="G25" i="71"/>
  <c r="F25" i="71"/>
  <c r="F24" i="71"/>
  <c r="G24" i="71" s="1"/>
  <c r="F23" i="71"/>
  <c r="G23" i="71" s="1"/>
  <c r="F22" i="71"/>
  <c r="G22" i="71" s="1"/>
  <c r="F21" i="71"/>
  <c r="G21" i="71" s="1"/>
  <c r="F20" i="71"/>
  <c r="G20" i="71" s="1"/>
  <c r="F19" i="71"/>
  <c r="G19" i="71" s="1"/>
  <c r="F18" i="71"/>
  <c r="G18" i="71" s="1"/>
  <c r="H18" i="71" s="1"/>
  <c r="L17" i="71" a="1"/>
  <c r="L17" i="71" s="1"/>
  <c r="I17" i="71"/>
  <c r="F17" i="71"/>
  <c r="G17" i="71" s="1"/>
  <c r="H17" i="70" a="1"/>
  <c r="H17" i="70" s="1"/>
  <c r="H12" i="68" a="1"/>
  <c r="H12" i="68" s="1"/>
  <c r="H12" i="67" a="1"/>
  <c r="H12" i="67" s="1"/>
  <c r="K12" i="68" a="1"/>
  <c r="K12" i="68" s="1"/>
  <c r="K12" i="67" a="1"/>
  <c r="K12" i="67" s="1"/>
  <c r="K12" i="69" a="1"/>
  <c r="K12" i="69" s="1"/>
  <c r="H12" i="69" a="1"/>
  <c r="H12" i="69" s="1"/>
  <c r="I76" i="12" a="1"/>
  <c r="I76" i="12" s="1"/>
  <c r="I75" i="12" a="1"/>
  <c r="I75" i="12" s="1"/>
  <c r="I74" i="12" a="1"/>
  <c r="I74" i="12" s="1"/>
  <c r="I102" i="12" a="1"/>
  <c r="I102" i="12" s="1"/>
  <c r="I101" i="12" a="1"/>
  <c r="I101" i="12" s="1"/>
  <c r="S11" i="66" a="1"/>
  <c r="S11" i="66" s="1"/>
  <c r="O11" i="66" a="1"/>
  <c r="O11" i="66" s="1"/>
  <c r="S11" i="65" a="1"/>
  <c r="S11" i="65" s="1"/>
  <c r="O11" i="65" a="1"/>
  <c r="O11" i="65" s="1"/>
  <c r="S11" i="64" a="1"/>
  <c r="S11" i="64" s="1"/>
  <c r="O11" i="64" a="1"/>
  <c r="O11" i="64" s="1"/>
  <c r="I100" i="12" a="1"/>
  <c r="I100" i="12" s="1"/>
  <c r="J8" i="29" a="1"/>
  <c r="J8" i="29" s="1"/>
  <c r="I93" i="12" a="1"/>
  <c r="I93" i="12" s="1"/>
  <c r="L8" i="63" a="1"/>
  <c r="L8" i="63" s="1"/>
  <c r="J8" i="63" a="1"/>
  <c r="J8" i="63" s="1"/>
  <c r="I91" i="12" a="1"/>
  <c r="I91" i="12" s="1"/>
  <c r="M9" i="62" a="1"/>
  <c r="M9" i="62" s="1"/>
  <c r="K9" i="62" a="1"/>
  <c r="K9" i="62" s="1"/>
  <c r="G247" i="62"/>
  <c r="G246" i="62"/>
  <c r="G245" i="62"/>
  <c r="G244" i="62"/>
  <c r="G243" i="62"/>
  <c r="G242" i="62"/>
  <c r="G241" i="62"/>
  <c r="G240" i="62"/>
  <c r="G239" i="62"/>
  <c r="G238" i="62"/>
  <c r="G237" i="62"/>
  <c r="G236" i="62"/>
  <c r="G235" i="62"/>
  <c r="G234" i="62"/>
  <c r="G233" i="62"/>
  <c r="G232" i="62"/>
  <c r="G231" i="62"/>
  <c r="G230" i="62"/>
  <c r="G229" i="62"/>
  <c r="G228" i="62"/>
  <c r="G227" i="62"/>
  <c r="G226" i="62"/>
  <c r="G225" i="62"/>
  <c r="G224" i="62"/>
  <c r="G223" i="62"/>
  <c r="G222" i="62"/>
  <c r="G221" i="62"/>
  <c r="G220" i="62"/>
  <c r="G219" i="62"/>
  <c r="G218" i="62"/>
  <c r="G217" i="62"/>
  <c r="G216" i="62"/>
  <c r="G215" i="62"/>
  <c r="G214" i="62"/>
  <c r="G213" i="62"/>
  <c r="G212" i="62"/>
  <c r="G211" i="62"/>
  <c r="G210" i="62"/>
  <c r="G209" i="62"/>
  <c r="G208" i="62"/>
  <c r="G207" i="62"/>
  <c r="G206" i="62"/>
  <c r="G205" i="62"/>
  <c r="G204" i="62"/>
  <c r="G203" i="62"/>
  <c r="G202" i="62"/>
  <c r="G201" i="62"/>
  <c r="G200" i="62"/>
  <c r="G199" i="62"/>
  <c r="G198" i="62"/>
  <c r="G197" i="62"/>
  <c r="G196" i="62"/>
  <c r="G195" i="62"/>
  <c r="G194" i="62"/>
  <c r="G193" i="62"/>
  <c r="G192" i="62"/>
  <c r="G191" i="62"/>
  <c r="G190" i="62"/>
  <c r="G189" i="62"/>
  <c r="G188" i="62"/>
  <c r="G187" i="62"/>
  <c r="G186" i="62"/>
  <c r="G185" i="62"/>
  <c r="G184" i="62"/>
  <c r="G183" i="62"/>
  <c r="G182" i="62"/>
  <c r="G181" i="62"/>
  <c r="G180" i="62"/>
  <c r="G179" i="62"/>
  <c r="G178" i="62"/>
  <c r="G177" i="62"/>
  <c r="G176" i="62"/>
  <c r="G175" i="62"/>
  <c r="G174" i="62"/>
  <c r="G173" i="62"/>
  <c r="G172" i="62"/>
  <c r="G171" i="62"/>
  <c r="G170" i="62"/>
  <c r="G169" i="62"/>
  <c r="G168" i="62"/>
  <c r="G167" i="62"/>
  <c r="G166" i="62"/>
  <c r="G165" i="62"/>
  <c r="G164" i="62"/>
  <c r="G163" i="62"/>
  <c r="G162" i="62"/>
  <c r="G161" i="62"/>
  <c r="G160" i="62"/>
  <c r="G159" i="62"/>
  <c r="G158" i="62"/>
  <c r="G157" i="62"/>
  <c r="G156" i="62"/>
  <c r="G155" i="62"/>
  <c r="G154" i="62"/>
  <c r="G153" i="62"/>
  <c r="G152" i="62"/>
  <c r="G151" i="62"/>
  <c r="G150" i="62"/>
  <c r="G149" i="62"/>
  <c r="G148" i="62"/>
  <c r="G147" i="62"/>
  <c r="G146" i="62"/>
  <c r="G145" i="62"/>
  <c r="G144" i="62"/>
  <c r="G143" i="62"/>
  <c r="G142" i="62"/>
  <c r="G141" i="62"/>
  <c r="G140" i="62"/>
  <c r="G139" i="62"/>
  <c r="G138" i="62"/>
  <c r="G137" i="62"/>
  <c r="G136" i="62"/>
  <c r="G135" i="62"/>
  <c r="G134" i="62"/>
  <c r="G133" i="62"/>
  <c r="G132" i="62"/>
  <c r="G131" i="62"/>
  <c r="G130" i="62"/>
  <c r="G129" i="62"/>
  <c r="G128" i="62"/>
  <c r="G127" i="62"/>
  <c r="G126" i="62"/>
  <c r="G125" i="62"/>
  <c r="G124" i="62"/>
  <c r="G123" i="62"/>
  <c r="G122" i="62"/>
  <c r="G121" i="62"/>
  <c r="G120" i="62"/>
  <c r="G119" i="62"/>
  <c r="G118" i="62"/>
  <c r="G117" i="62"/>
  <c r="G116" i="62"/>
  <c r="G115" i="62"/>
  <c r="G114" i="62"/>
  <c r="G113" i="62"/>
  <c r="G112" i="62"/>
  <c r="G111" i="62"/>
  <c r="G110" i="62"/>
  <c r="G109" i="62"/>
  <c r="G108" i="62"/>
  <c r="G107" i="62"/>
  <c r="G106" i="62"/>
  <c r="G105" i="62"/>
  <c r="G104" i="62"/>
  <c r="G103" i="62"/>
  <c r="G102" i="62"/>
  <c r="G101" i="62"/>
  <c r="G100" i="62"/>
  <c r="G99" i="62"/>
  <c r="G98" i="62"/>
  <c r="G97" i="62"/>
  <c r="G96" i="62"/>
  <c r="G95" i="62"/>
  <c r="G94" i="62"/>
  <c r="G93" i="62"/>
  <c r="G92" i="62"/>
  <c r="G91" i="62"/>
  <c r="G90" i="62"/>
  <c r="G89" i="62"/>
  <c r="G88" i="62"/>
  <c r="G87" i="62"/>
  <c r="G86" i="62"/>
  <c r="G85" i="62"/>
  <c r="G84" i="62"/>
  <c r="G83" i="62"/>
  <c r="G82" i="62"/>
  <c r="G81" i="62"/>
  <c r="G80" i="62"/>
  <c r="G79" i="62"/>
  <c r="G78" i="62"/>
  <c r="G77" i="62"/>
  <c r="G76" i="62"/>
  <c r="G75" i="62"/>
  <c r="G74" i="62"/>
  <c r="G73" i="62"/>
  <c r="G72" i="62"/>
  <c r="G71" i="62"/>
  <c r="G70" i="62"/>
  <c r="G69" i="62"/>
  <c r="G68" i="62"/>
  <c r="G67" i="62"/>
  <c r="G66" i="62"/>
  <c r="G65" i="62"/>
  <c r="G64" i="62"/>
  <c r="G63" i="62"/>
  <c r="G62" i="62"/>
  <c r="G61" i="62"/>
  <c r="G60" i="62"/>
  <c r="G59" i="62"/>
  <c r="G58" i="62"/>
  <c r="G57" i="62"/>
  <c r="G56" i="62"/>
  <c r="G55" i="62"/>
  <c r="G54" i="62"/>
  <c r="G53" i="62"/>
  <c r="G52" i="62"/>
  <c r="G51" i="62"/>
  <c r="G50" i="62"/>
  <c r="G49" i="62"/>
  <c r="G48" i="62"/>
  <c r="G47" i="62"/>
  <c r="G46" i="62"/>
  <c r="G45" i="62"/>
  <c r="G44" i="62"/>
  <c r="G43" i="62"/>
  <c r="G42" i="62"/>
  <c r="G41" i="62"/>
  <c r="G40" i="62"/>
  <c r="G39" i="62"/>
  <c r="G38" i="62"/>
  <c r="G37" i="62"/>
  <c r="G36" i="62"/>
  <c r="G35" i="62"/>
  <c r="G34" i="62"/>
  <c r="G33" i="62"/>
  <c r="G32" i="62"/>
  <c r="G31" i="62"/>
  <c r="G30" i="62"/>
  <c r="G29" i="62"/>
  <c r="G28" i="62"/>
  <c r="G27" i="62"/>
  <c r="G26" i="62"/>
  <c r="G25" i="62"/>
  <c r="G24" i="62"/>
  <c r="G23" i="62"/>
  <c r="G22" i="62"/>
  <c r="G21" i="62"/>
  <c r="G20" i="62"/>
  <c r="G19" i="62"/>
  <c r="G18" i="62"/>
  <c r="G17" i="62"/>
  <c r="G16" i="62"/>
  <c r="G15" i="62"/>
  <c r="G14" i="62"/>
  <c r="G13" i="62"/>
  <c r="G12" i="62"/>
  <c r="G11" i="62"/>
  <c r="G10" i="62"/>
  <c r="G9" i="62"/>
  <c r="M14" i="61" a="1"/>
  <c r="M14" i="61" s="1"/>
  <c r="K14" i="61" a="1"/>
  <c r="K14" i="61" s="1"/>
  <c r="J10" i="60" a="1"/>
  <c r="J10" i="60" s="1"/>
  <c r="I14" i="61"/>
  <c r="O3" i="61" s="1"/>
  <c r="H10" i="60"/>
  <c r="L10" i="60" s="1" a="1"/>
  <c r="L10" i="60" s="1"/>
  <c r="R32" i="2" a="1"/>
  <c r="R32" i="2" s="1"/>
  <c r="I13" i="2" a="1"/>
  <c r="I13" i="2" s="1"/>
  <c r="K11" i="55" a="1"/>
  <c r="K11" i="55" s="1"/>
  <c r="K11" i="56" a="1"/>
  <c r="K11" i="56" s="1"/>
  <c r="I99" i="12" a="1"/>
  <c r="I99" i="12" s="1"/>
  <c r="I144" i="12" a="1"/>
  <c r="I144" i="12" s="1"/>
  <c r="I143" i="12" a="1"/>
  <c r="I143" i="12" s="1"/>
  <c r="H12" i="78" a="1"/>
  <c r="J25" i="77" a="1"/>
  <c r="L14" i="77" a="1"/>
  <c r="J14" i="77" a="1"/>
  <c r="F93" i="12" a="1"/>
  <c r="F58" i="12" a="1"/>
  <c r="F26" i="12" a="1"/>
  <c r="F25" i="12" a="1"/>
  <c r="F76" i="12" a="1"/>
  <c r="F74" i="12" a="1"/>
  <c r="F91" i="12" a="1"/>
  <c r="F103" i="12" a="1"/>
  <c r="F102" i="12" a="1"/>
  <c r="F57" i="12" a="1"/>
  <c r="F59" i="12" a="1"/>
  <c r="F100" i="12" a="1"/>
  <c r="F99" i="12" a="1"/>
  <c r="F60" i="12" a="1"/>
  <c r="F101" i="12" a="1"/>
  <c r="F75" i="12" a="1"/>
  <c r="F59" i="12" l="1"/>
  <c r="J14" i="77"/>
  <c r="F26" i="12"/>
  <c r="L14" i="77"/>
  <c r="J25" i="77"/>
  <c r="F25" i="12"/>
  <c r="H12" i="78"/>
  <c r="F60" i="12"/>
  <c r="F58" i="12"/>
  <c r="F103" i="12"/>
  <c r="I18" i="71"/>
  <c r="H19" i="71"/>
  <c r="F57" i="12"/>
  <c r="F76" i="12"/>
  <c r="F75" i="12"/>
  <c r="F74" i="12"/>
  <c r="F102" i="12"/>
  <c r="F101" i="12"/>
  <c r="F100" i="12"/>
  <c r="F93" i="12"/>
  <c r="F91" i="12"/>
  <c r="N3" i="60"/>
  <c r="F99" i="12"/>
  <c r="W38" i="2" a="1"/>
  <c r="W38" i="2" s="1"/>
  <c r="W41" i="2" a="1"/>
  <c r="W41" i="2" s="1"/>
  <c r="I126" i="12" a="1"/>
  <c r="I126" i="12" s="1"/>
  <c r="I125" i="12" a="1"/>
  <c r="I125" i="12" s="1"/>
  <c r="L41" i="2" a="1"/>
  <c r="L41" i="2" s="1"/>
  <c r="H41" i="2" a="1"/>
  <c r="H41" i="2" s="1"/>
  <c r="H26" i="2" a="1"/>
  <c r="H26" i="2" s="1"/>
  <c r="Y52" i="2" a="1"/>
  <c r="Y52" i="2" s="1"/>
  <c r="Y37" i="2" a="1"/>
  <c r="Y37" i="2" s="1"/>
  <c r="AB52" i="2" a="1"/>
  <c r="AB52" i="2" s="1"/>
  <c r="I26" i="2" a="1"/>
  <c r="I26" i="2" s="1"/>
  <c r="AB37" i="2" a="1"/>
  <c r="AB37" i="2" s="1"/>
  <c r="I19" i="71" l="1"/>
  <c r="H20" i="71"/>
  <c r="I142" i="12" a="1"/>
  <c r="I142" i="12" s="1"/>
  <c r="I141" i="12" a="1"/>
  <c r="I141" i="12" s="1"/>
  <c r="R19" i="2" a="1"/>
  <c r="R19" i="2" s="1"/>
  <c r="W44" i="2" a="1"/>
  <c r="W44" i="2" s="1"/>
  <c r="V44" i="2" a="1"/>
  <c r="V44" i="2" s="1"/>
  <c r="R41" i="2" a="1"/>
  <c r="R41" i="2" s="1"/>
  <c r="S41" i="2" a="1"/>
  <c r="S41" i="2" s="1"/>
  <c r="T16" i="59" a="1"/>
  <c r="T16" i="59" s="1"/>
  <c r="I89" i="12" a="1"/>
  <c r="I89" i="12" s="1"/>
  <c r="AD13" i="59" a="1"/>
  <c r="AD13" i="59" s="1"/>
  <c r="AC13" i="59" a="1"/>
  <c r="AC13" i="59" s="1"/>
  <c r="L16" i="59" a="1"/>
  <c r="L16" i="59" s="1"/>
  <c r="AE11" i="59" s="1" a="1"/>
  <c r="AE11" i="59" s="1"/>
  <c r="H16" i="59" a="1"/>
  <c r="H16" i="59" s="1"/>
  <c r="AC16" i="59" a="1"/>
  <c r="AC16" i="59" s="1"/>
  <c r="Y16" i="59" a="1"/>
  <c r="Y16" i="59" s="1"/>
  <c r="AD11" i="59" a="1"/>
  <c r="AD11" i="59" s="1"/>
  <c r="AC11" i="59" a="1"/>
  <c r="AC11" i="59" s="1"/>
  <c r="Z13" i="59" a="1"/>
  <c r="Z13" i="59" s="1"/>
  <c r="Y13" i="59" a="1"/>
  <c r="Y13" i="59" s="1"/>
  <c r="Z11" i="59" a="1"/>
  <c r="Z11" i="59" s="1"/>
  <c r="Y11" i="59" a="1"/>
  <c r="Y11" i="59" s="1"/>
  <c r="I88" i="12" a="1"/>
  <c r="I88" i="12" s="1"/>
  <c r="S14" i="57" a="1"/>
  <c r="S14" i="57" s="1"/>
  <c r="X14" i="57" a="1"/>
  <c r="X14" i="57" s="1"/>
  <c r="G15" i="57" a="1"/>
  <c r="G15" i="57" s="1"/>
  <c r="Y14" i="57" s="1" a="1"/>
  <c r="Y14" i="57" s="1"/>
  <c r="H14" i="57" a="1"/>
  <c r="H14" i="57" s="1"/>
  <c r="I15" i="57" s="1" a="1"/>
  <c r="I15" i="57" s="1"/>
  <c r="AA14" i="57" s="1" a="1"/>
  <c r="AA14" i="57" s="1"/>
  <c r="X11" i="57" a="1"/>
  <c r="X11" i="57" s="1"/>
  <c r="W14" i="47" a="1"/>
  <c r="W14" i="47" s="1"/>
  <c r="V14" i="47" a="1"/>
  <c r="V14" i="47" s="1"/>
  <c r="U14" i="47" a="1"/>
  <c r="U14" i="47" s="1"/>
  <c r="P14" i="47" a="1"/>
  <c r="P14" i="47" s="1"/>
  <c r="P15" i="49" a="1"/>
  <c r="P15" i="49" s="1"/>
  <c r="T15" i="49" a="1"/>
  <c r="T15" i="49" s="1"/>
  <c r="S15" i="49" a="1"/>
  <c r="S15" i="49" s="1"/>
  <c r="R26" i="2" a="1"/>
  <c r="R26" i="2" s="1"/>
  <c r="V32" i="2" a="1"/>
  <c r="V32" i="2" s="1"/>
  <c r="I18" i="30" a="1"/>
  <c r="I18" i="30" s="1"/>
  <c r="I18" i="20" a="1"/>
  <c r="I18" i="20" s="1"/>
  <c r="I11" i="30" a="1"/>
  <c r="I11" i="30" s="1"/>
  <c r="S32" i="2" a="1"/>
  <c r="S32" i="2" s="1"/>
  <c r="F88" i="12" a="1"/>
  <c r="F89" i="12" a="1"/>
  <c r="I20" i="71" l="1"/>
  <c r="H21" i="71"/>
  <c r="F89" i="12"/>
  <c r="AE13" i="59" a="1"/>
  <c r="AE13" i="59" s="1"/>
  <c r="AA13" i="59" a="1"/>
  <c r="AA13" i="59" s="1"/>
  <c r="AA11" i="59" a="1"/>
  <c r="AA11" i="59" s="1"/>
  <c r="Z14" i="57" a="1"/>
  <c r="Z14" i="57" s="1"/>
  <c r="F88" i="12"/>
  <c r="J16" i="57" a="1"/>
  <c r="J16" i="57" s="1"/>
  <c r="AA11" i="57" a="1"/>
  <c r="AA11" i="57" s="1"/>
  <c r="Y11" i="57" a="1"/>
  <c r="Y11" i="57" s="1"/>
  <c r="Z11" i="57" a="1"/>
  <c r="Z11" i="57" s="1"/>
  <c r="H17" i="49"/>
  <c r="H18" i="49"/>
  <c r="H19" i="49"/>
  <c r="H20" i="49"/>
  <c r="H21" i="49"/>
  <c r="H22" i="49"/>
  <c r="H23" i="49"/>
  <c r="H24" i="49"/>
  <c r="H25" i="49"/>
  <c r="H26" i="49"/>
  <c r="H27" i="49"/>
  <c r="H28" i="49"/>
  <c r="H29" i="49"/>
  <c r="H30" i="49"/>
  <c r="H31" i="49"/>
  <c r="H32" i="49"/>
  <c r="H33" i="49"/>
  <c r="H34" i="49"/>
  <c r="H35" i="49"/>
  <c r="H36" i="49"/>
  <c r="H37" i="49"/>
  <c r="H38" i="49"/>
  <c r="H39" i="49"/>
  <c r="H40" i="49"/>
  <c r="H41" i="49"/>
  <c r="H42" i="49"/>
  <c r="H43" i="49"/>
  <c r="H44" i="49"/>
  <c r="H45" i="49"/>
  <c r="H46" i="49"/>
  <c r="H47" i="49"/>
  <c r="H48" i="49"/>
  <c r="H49" i="49"/>
  <c r="H50" i="49"/>
  <c r="H51" i="49"/>
  <c r="H52" i="49"/>
  <c r="H53" i="49"/>
  <c r="H54" i="49"/>
  <c r="H55" i="49"/>
  <c r="H56" i="49"/>
  <c r="H57" i="49"/>
  <c r="H58" i="49"/>
  <c r="H59" i="49"/>
  <c r="H60" i="49"/>
  <c r="H61" i="49"/>
  <c r="H62" i="49"/>
  <c r="H63" i="49"/>
  <c r="H64" i="49"/>
  <c r="H65" i="49"/>
  <c r="H66" i="49"/>
  <c r="H67" i="49"/>
  <c r="H68" i="49"/>
  <c r="H69" i="49"/>
  <c r="H70" i="49"/>
  <c r="H71" i="49"/>
  <c r="H72" i="49"/>
  <c r="H73" i="49"/>
  <c r="H74" i="49"/>
  <c r="H75" i="49"/>
  <c r="H76" i="49"/>
  <c r="H77" i="49"/>
  <c r="H78" i="49"/>
  <c r="H79" i="49"/>
  <c r="H80" i="49"/>
  <c r="H81" i="49"/>
  <c r="H82" i="49"/>
  <c r="H83" i="49"/>
  <c r="H84" i="49"/>
  <c r="H85" i="49"/>
  <c r="H86" i="49"/>
  <c r="H87" i="49"/>
  <c r="H88" i="49"/>
  <c r="H89" i="49"/>
  <c r="H90" i="49"/>
  <c r="H91" i="49"/>
  <c r="H92" i="49"/>
  <c r="H93" i="49"/>
  <c r="H94" i="49"/>
  <c r="H95" i="49"/>
  <c r="H96" i="49"/>
  <c r="H97" i="49"/>
  <c r="H98" i="49"/>
  <c r="H99" i="49"/>
  <c r="H100" i="49"/>
  <c r="H101" i="49"/>
  <c r="H102" i="49"/>
  <c r="H103" i="49"/>
  <c r="H104" i="49"/>
  <c r="H105" i="49"/>
  <c r="H106" i="49"/>
  <c r="H107" i="49"/>
  <c r="H108" i="49"/>
  <c r="H109" i="49"/>
  <c r="H110" i="49"/>
  <c r="H111" i="49"/>
  <c r="H112" i="49"/>
  <c r="H113" i="49"/>
  <c r="H114" i="49"/>
  <c r="H115" i="49"/>
  <c r="H116" i="49"/>
  <c r="H117" i="49"/>
  <c r="H118" i="49"/>
  <c r="H119" i="49"/>
  <c r="H120" i="49"/>
  <c r="H121" i="49"/>
  <c r="H122" i="49"/>
  <c r="H123" i="49"/>
  <c r="H124" i="49"/>
  <c r="H125" i="49"/>
  <c r="H126" i="49"/>
  <c r="H127" i="49"/>
  <c r="H128" i="49"/>
  <c r="H129" i="49"/>
  <c r="H130" i="49"/>
  <c r="H131" i="49"/>
  <c r="H132" i="49"/>
  <c r="H133" i="49"/>
  <c r="H134" i="49"/>
  <c r="H135" i="49"/>
  <c r="H136" i="49"/>
  <c r="H137" i="49"/>
  <c r="H138" i="49"/>
  <c r="H139" i="49"/>
  <c r="H140" i="49"/>
  <c r="H141" i="49"/>
  <c r="H142" i="49"/>
  <c r="H143" i="49"/>
  <c r="H144" i="49"/>
  <c r="H145" i="49"/>
  <c r="H146" i="49"/>
  <c r="H147" i="49"/>
  <c r="H148" i="49"/>
  <c r="H149" i="49"/>
  <c r="H150" i="49"/>
  <c r="H151" i="49"/>
  <c r="H152" i="49"/>
  <c r="H153" i="49"/>
  <c r="H154" i="49"/>
  <c r="H155" i="49"/>
  <c r="H156" i="49"/>
  <c r="H157" i="49"/>
  <c r="H158" i="49"/>
  <c r="H159" i="49"/>
  <c r="H160" i="49"/>
  <c r="H161" i="49"/>
  <c r="H162" i="49"/>
  <c r="H163" i="49"/>
  <c r="H164" i="49"/>
  <c r="H165" i="49"/>
  <c r="H166" i="49"/>
  <c r="H167" i="49"/>
  <c r="H168" i="49"/>
  <c r="H169" i="49"/>
  <c r="H170" i="49"/>
  <c r="H171" i="49"/>
  <c r="H172" i="49"/>
  <c r="H173" i="49"/>
  <c r="H174" i="49"/>
  <c r="H175" i="49"/>
  <c r="H176" i="49"/>
  <c r="H177" i="49"/>
  <c r="H178" i="49"/>
  <c r="H179" i="49"/>
  <c r="H180" i="49"/>
  <c r="H181" i="49"/>
  <c r="H182" i="49"/>
  <c r="H183" i="49"/>
  <c r="H184" i="49"/>
  <c r="H185" i="49"/>
  <c r="H186" i="49"/>
  <c r="H187" i="49"/>
  <c r="H188" i="49"/>
  <c r="H189" i="49"/>
  <c r="H190" i="49"/>
  <c r="H191" i="49"/>
  <c r="H192" i="49"/>
  <c r="H193" i="49"/>
  <c r="H194" i="49"/>
  <c r="H195" i="49"/>
  <c r="H196" i="49"/>
  <c r="H197" i="49"/>
  <c r="H198" i="49"/>
  <c r="H199" i="49"/>
  <c r="H200" i="49"/>
  <c r="H201" i="49"/>
  <c r="H202" i="49"/>
  <c r="H203" i="49"/>
  <c r="H204" i="49"/>
  <c r="H205" i="49"/>
  <c r="H206" i="49"/>
  <c r="H207" i="49"/>
  <c r="H208" i="49"/>
  <c r="H209" i="49"/>
  <c r="H210" i="49"/>
  <c r="H211" i="49"/>
  <c r="H212" i="49"/>
  <c r="H213" i="49"/>
  <c r="H214" i="49"/>
  <c r="H215" i="49"/>
  <c r="H216" i="49"/>
  <c r="H217" i="49"/>
  <c r="H218" i="49"/>
  <c r="H219" i="49"/>
  <c r="H220" i="49"/>
  <c r="H221" i="49"/>
  <c r="H222" i="49"/>
  <c r="H223" i="49"/>
  <c r="H224" i="49"/>
  <c r="H225" i="49"/>
  <c r="H226" i="49"/>
  <c r="H227" i="49"/>
  <c r="H228" i="49"/>
  <c r="H229" i="49"/>
  <c r="H230" i="49"/>
  <c r="H231" i="49"/>
  <c r="H232" i="49"/>
  <c r="H233" i="49"/>
  <c r="H234" i="49"/>
  <c r="H235" i="49"/>
  <c r="H236" i="49"/>
  <c r="H237" i="49"/>
  <c r="H238" i="49"/>
  <c r="H239" i="49"/>
  <c r="H240" i="49"/>
  <c r="H241" i="49"/>
  <c r="H242" i="49"/>
  <c r="H243" i="49"/>
  <c r="H244" i="49"/>
  <c r="H245" i="49"/>
  <c r="H246" i="49"/>
  <c r="H247" i="49"/>
  <c r="H248" i="49"/>
  <c r="H249" i="49"/>
  <c r="H250" i="49"/>
  <c r="H251" i="49"/>
  <c r="H252" i="49"/>
  <c r="H253" i="49"/>
  <c r="H254" i="49"/>
  <c r="H16" i="49"/>
  <c r="I21" i="71" l="1"/>
  <c r="H22" i="71"/>
  <c r="AB14" i="57" a="1"/>
  <c r="AB14" i="57" s="1"/>
  <c r="K17" i="57" a="1"/>
  <c r="K17" i="57" s="1"/>
  <c r="AB11" i="57" a="1"/>
  <c r="AB11" i="57" s="1"/>
  <c r="P11" i="47" a="1"/>
  <c r="P11" i="47" s="1"/>
  <c r="AQ21" i="1" a="1"/>
  <c r="AQ21" i="1" s="1"/>
  <c r="AN21" i="1" a="1"/>
  <c r="AN21" i="1" s="1"/>
  <c r="AK21" i="1" a="1"/>
  <c r="AK21" i="1" s="1"/>
  <c r="AN6" i="1" a="1"/>
  <c r="AN6" i="1" s="1"/>
  <c r="AK6" i="1" a="1"/>
  <c r="AK6" i="1" s="1"/>
  <c r="AQ6" i="1" a="1"/>
  <c r="AQ6" i="1" s="1"/>
  <c r="I133" i="12" a="1"/>
  <c r="I133" i="12" s="1"/>
  <c r="I132" i="12" a="1"/>
  <c r="I132" i="12" s="1"/>
  <c r="I50" i="12" a="1"/>
  <c r="I50" i="12" s="1"/>
  <c r="K24" i="56" a="1"/>
  <c r="K24" i="56" s="1"/>
  <c r="G26" i="56"/>
  <c r="G13" i="56"/>
  <c r="I51" i="12" a="1"/>
  <c r="I51" i="12" s="1"/>
  <c r="G26" i="55"/>
  <c r="G13" i="55"/>
  <c r="K24" i="55" a="1"/>
  <c r="K24" i="55" s="1"/>
  <c r="I11" i="12" a="1"/>
  <c r="I11" i="12" s="1"/>
  <c r="AG41" i="2" a="1"/>
  <c r="AG41" i="2" s="1"/>
  <c r="AG34" i="2" a="1"/>
  <c r="AG34" i="2" s="1"/>
  <c r="AG26" i="2" a="1"/>
  <c r="AG26" i="2" s="1"/>
  <c r="AF19" i="2" a="1"/>
  <c r="AF19" i="2" s="1"/>
  <c r="Y28" i="2" a="1"/>
  <c r="Y28" i="2" s="1"/>
  <c r="Y19" i="2" a="1"/>
  <c r="Y19" i="2" s="1"/>
  <c r="V29" i="2" a="1"/>
  <c r="V29" i="2" s="1"/>
  <c r="V19" i="2" a="1"/>
  <c r="V19" i="2" s="1"/>
  <c r="H19" i="2" a="1"/>
  <c r="H19" i="2" s="1"/>
  <c r="A19" i="2" a="1"/>
  <c r="A19" i="2" s="1"/>
  <c r="I120" i="12" a="1"/>
  <c r="I120" i="12" s="1"/>
  <c r="I118" i="12" a="1"/>
  <c r="I118" i="12" s="1"/>
  <c r="AH34" i="2" a="1"/>
  <c r="AH34" i="2" s="1"/>
  <c r="AH41" i="2" a="1"/>
  <c r="AH41" i="2" s="1"/>
  <c r="AH26" i="2" a="1"/>
  <c r="AH26" i="2" s="1"/>
  <c r="I116" i="12" a="1"/>
  <c r="I116" i="12" s="1"/>
  <c r="I122" i="12" a="1"/>
  <c r="I122" i="12" s="1"/>
  <c r="L19" i="2" a="1"/>
  <c r="L19" i="2" s="1"/>
  <c r="H5" i="2" a="1"/>
  <c r="H5" i="2" s="1"/>
  <c r="F51" i="12" a="1"/>
  <c r="F50" i="12" a="1"/>
  <c r="I22" i="71" l="1"/>
  <c r="H23" i="71"/>
  <c r="AC14" i="57" a="1"/>
  <c r="AC14" i="57" s="1"/>
  <c r="AC11" i="57" a="1"/>
  <c r="AC11" i="57" s="1"/>
  <c r="F50" i="12"/>
  <c r="F51" i="12"/>
  <c r="I135" i="12" a="1"/>
  <c r="I135" i="12" s="1"/>
  <c r="Z34" i="2" a="1"/>
  <c r="Z34" i="2" s="1"/>
  <c r="I131" i="12" a="1"/>
  <c r="I131" i="12" s="1"/>
  <c r="I134" i="12" a="1"/>
  <c r="I134" i="12" s="1"/>
  <c r="I130" i="12" a="1"/>
  <c r="I130" i="12" s="1"/>
  <c r="I129" i="12" a="1"/>
  <c r="I129" i="12" s="1"/>
  <c r="I128" i="12" a="1"/>
  <c r="I128" i="12" s="1"/>
  <c r="I56" i="12" a="1"/>
  <c r="I56" i="12" s="1"/>
  <c r="M18" i="53" a="1"/>
  <c r="M18" i="53" s="1"/>
  <c r="M11" i="53" a="1"/>
  <c r="M11" i="53" s="1"/>
  <c r="M20" i="52" a="1"/>
  <c r="M20" i="52" s="1"/>
  <c r="I54" i="12" a="1"/>
  <c r="I54" i="12" s="1"/>
  <c r="I69" i="12" a="1"/>
  <c r="I69" i="12" s="1"/>
  <c r="BT6" i="1" a="1"/>
  <c r="BT6" i="1" s="1"/>
  <c r="T11" i="36" a="1"/>
  <c r="T11" i="36" s="1"/>
  <c r="O32" i="36" a="1"/>
  <c r="O32" i="36" s="1"/>
  <c r="J34" i="27" a="1"/>
  <c r="J34" i="27" s="1"/>
  <c r="S6" i="1" a="1"/>
  <c r="S6" i="1" s="1"/>
  <c r="AG21" i="1" a="1"/>
  <c r="AG21" i="1" s="1"/>
  <c r="W6" i="1" a="1"/>
  <c r="W6" i="1" s="1"/>
  <c r="Z6" i="1" a="1"/>
  <c r="Z6" i="1" s="1"/>
  <c r="AC6" i="1" a="1"/>
  <c r="AC6" i="1" s="1"/>
  <c r="AG6" i="1" a="1"/>
  <c r="AG6" i="1" s="1"/>
  <c r="I21" i="12" a="1"/>
  <c r="I21" i="12" s="1"/>
  <c r="CH21" i="1" a="1"/>
  <c r="CH21" i="1" s="1"/>
  <c r="CH6" i="1" a="1"/>
  <c r="CH6" i="1" s="1"/>
  <c r="S21" i="1" a="1"/>
  <c r="S21" i="1" s="1"/>
  <c r="E6" i="1" a="1"/>
  <c r="H6" i="1" a="1"/>
  <c r="K6" i="1" a="1"/>
  <c r="O6" i="1" a="1"/>
  <c r="O6" i="1" s="1"/>
  <c r="J37" i="14" a="1"/>
  <c r="J37" i="14" s="1"/>
  <c r="L8" i="34" a="1"/>
  <c r="L8" i="34" s="1"/>
  <c r="V11" i="47" a="1"/>
  <c r="V11" i="47" s="1"/>
  <c r="W11" i="47" a="1"/>
  <c r="W11" i="47" s="1"/>
  <c r="U11" i="47" a="1"/>
  <c r="U11" i="47" s="1"/>
  <c r="Q11" i="47" a="1"/>
  <c r="Q11" i="47" s="1"/>
  <c r="R11" i="47" a="1"/>
  <c r="R11" i="47" s="1"/>
  <c r="AW6" i="1" a="1"/>
  <c r="AW6" i="1" s="1"/>
  <c r="BT21" i="1" a="1"/>
  <c r="BT21" i="1" s="1"/>
  <c r="BP6" i="1" a="1"/>
  <c r="BP6" i="1" s="1"/>
  <c r="I87" i="12" a="1"/>
  <c r="I87" i="12" s="1"/>
  <c r="I86" i="12" a="1"/>
  <c r="I86" i="12" s="1"/>
  <c r="I85" i="12" a="1"/>
  <c r="I85" i="12" s="1"/>
  <c r="I84" i="12" a="1"/>
  <c r="I84" i="12" s="1"/>
  <c r="M9" i="50" a="1"/>
  <c r="M9" i="50" s="1"/>
  <c r="K9" i="50" a="1"/>
  <c r="K9" i="50" s="1"/>
  <c r="J13" i="48" a="1"/>
  <c r="J13" i="48" s="1"/>
  <c r="M13" i="48" a="1"/>
  <c r="M13" i="48" s="1"/>
  <c r="AW21" i="1" a="1"/>
  <c r="AW21" i="1" s="1"/>
  <c r="I70" i="12" a="1"/>
  <c r="I70" i="12" s="1"/>
  <c r="F87" i="12" a="1"/>
  <c r="F85" i="12" a="1"/>
  <c r="F84" i="12" a="1"/>
  <c r="F56" i="12" a="1"/>
  <c r="F54" i="12" a="1"/>
  <c r="F86" i="12" a="1"/>
  <c r="H6" i="1" l="1"/>
  <c r="BA6" i="1" s="1" a="1"/>
  <c r="BA6" i="1" s="1"/>
  <c r="K6" i="1"/>
  <c r="I23" i="71"/>
  <c r="H24" i="71"/>
  <c r="E6" i="1"/>
  <c r="Z28" i="2" a="1"/>
  <c r="Z28" i="2" s="1"/>
  <c r="Z31" i="2" a="1"/>
  <c r="Z31" i="2" s="1"/>
  <c r="Z22" i="2" a="1"/>
  <c r="Z22" i="2" s="1"/>
  <c r="Z25" i="2" a="1"/>
  <c r="Z25" i="2" s="1"/>
  <c r="Z19" i="2" a="1"/>
  <c r="Z19" i="2" s="1"/>
  <c r="F56" i="12"/>
  <c r="F54" i="12"/>
  <c r="F87" i="12"/>
  <c r="F86" i="12"/>
  <c r="F85" i="12"/>
  <c r="F84" i="12"/>
  <c r="I24" i="71" l="1"/>
  <c r="H25" i="71"/>
  <c r="BX21" i="1" a="1"/>
  <c r="BX21" i="1" s="1"/>
  <c r="BX6" i="1" a="1"/>
  <c r="BX6" i="1" s="1"/>
  <c r="BP21" i="1" a="1"/>
  <c r="BP21" i="1" s="1"/>
  <c r="CE6" i="1" a="1"/>
  <c r="CE6" i="1" s="1"/>
  <c r="CE21" i="1" a="1"/>
  <c r="CE21" i="1" s="1"/>
  <c r="I71" i="12" a="1"/>
  <c r="I71" i="12" s="1"/>
  <c r="O21" i="1" a="1"/>
  <c r="O21" i="1" s="1"/>
  <c r="J12" i="21" a="1"/>
  <c r="J12" i="21" s="1"/>
  <c r="I53" i="12" a="1"/>
  <c r="I53" i="12" s="1"/>
  <c r="I18" i="44" a="1"/>
  <c r="I18" i="44" s="1"/>
  <c r="I11" i="44" a="1"/>
  <c r="I11" i="44" s="1"/>
  <c r="F53" i="12" a="1"/>
  <c r="I25" i="71" l="1"/>
  <c r="H26" i="71"/>
  <c r="F53" i="12"/>
  <c r="I140" i="12" a="1"/>
  <c r="I140" i="12" s="1"/>
  <c r="I138" i="12" a="1"/>
  <c r="I138" i="12" s="1"/>
  <c r="I137" i="12" a="1"/>
  <c r="I137" i="12" s="1"/>
  <c r="I136" i="12" a="1"/>
  <c r="I136" i="12" s="1"/>
  <c r="I119" i="12" a="1"/>
  <c r="I119" i="12" s="1"/>
  <c r="I52" i="12" a="1"/>
  <c r="I52" i="12" s="1"/>
  <c r="I73" i="12" a="1"/>
  <c r="I73" i="12" s="1"/>
  <c r="F16" i="41"/>
  <c r="K11" i="41" s="1" a="1"/>
  <c r="K11" i="41" s="1"/>
  <c r="O11" i="40" a="1"/>
  <c r="O11" i="40" s="1"/>
  <c r="F52" i="12" a="1"/>
  <c r="F73" i="12" a="1"/>
  <c r="I26" i="71" l="1"/>
  <c r="H27" i="71"/>
  <c r="K19" i="41" a="1"/>
  <c r="K19" i="41" s="1"/>
  <c r="F52" i="12"/>
  <c r="F73" i="12"/>
  <c r="K11" i="40" a="1"/>
  <c r="K11" i="40" s="1"/>
  <c r="K25" i="40" a="1"/>
  <c r="K25" i="40" s="1"/>
  <c r="AC21" i="1" a="1"/>
  <c r="AC21" i="1" s="1"/>
  <c r="W21" i="1" a="1"/>
  <c r="W21" i="1" s="1"/>
  <c r="K21" i="1" a="1"/>
  <c r="K21" i="1" s="1"/>
  <c r="I117" i="12" a="1"/>
  <c r="I117" i="12" s="1"/>
  <c r="I98" i="12" a="1"/>
  <c r="I98" i="12" s="1"/>
  <c r="U8" i="34" a="1"/>
  <c r="U8" i="34" s="1"/>
  <c r="F98" i="12" a="1"/>
  <c r="I27" i="71" l="1"/>
  <c r="H28" i="71"/>
  <c r="F98" i="12"/>
  <c r="M10" i="37" a="1"/>
  <c r="M10" i="37" s="1"/>
  <c r="AB15" i="37" a="1"/>
  <c r="AB15" i="37" s="1"/>
  <c r="AA15" i="37" a="1"/>
  <c r="AA15" i="37" s="1"/>
  <c r="Z15" i="37" a="1"/>
  <c r="Z15" i="37" s="1"/>
  <c r="AB14" i="37" a="1"/>
  <c r="AB14" i="37" s="1"/>
  <c r="AA14" i="37" a="1"/>
  <c r="AA14" i="37" s="1"/>
  <c r="Z14" i="37" a="1"/>
  <c r="Z14" i="37" s="1"/>
  <c r="AB13" i="37" a="1"/>
  <c r="AB13" i="37" s="1"/>
  <c r="AA13" i="37" a="1"/>
  <c r="AA13" i="37" s="1"/>
  <c r="Z13" i="37" a="1"/>
  <c r="Z13" i="37" s="1"/>
  <c r="AB12" i="37" a="1"/>
  <c r="AB12" i="37" s="1"/>
  <c r="AA12" i="37" a="1"/>
  <c r="AA12" i="37" s="1"/>
  <c r="Z12" i="37" a="1"/>
  <c r="Z12" i="37" s="1"/>
  <c r="AB11" i="37" a="1"/>
  <c r="AB11" i="37" s="1"/>
  <c r="AA11" i="37" a="1"/>
  <c r="AA11" i="37" s="1"/>
  <c r="Z11" i="37" a="1"/>
  <c r="Z11" i="37" s="1"/>
  <c r="AB10" i="37" a="1"/>
  <c r="AB10" i="37" s="1"/>
  <c r="AA10" i="37" a="1"/>
  <c r="AA10" i="37" s="1"/>
  <c r="Z10" i="37" a="1"/>
  <c r="Z10" i="37" s="1"/>
  <c r="Y15" i="37" a="1"/>
  <c r="Y15" i="37" s="1"/>
  <c r="Y14" i="37" a="1"/>
  <c r="Y14" i="37" s="1"/>
  <c r="Y13" i="37" a="1"/>
  <c r="Y13" i="37" s="1"/>
  <c r="Y12" i="37" a="1"/>
  <c r="Y12" i="37" s="1"/>
  <c r="Y11" i="37" a="1"/>
  <c r="Y11" i="37" s="1"/>
  <c r="Y10" i="37" a="1"/>
  <c r="Y10" i="37" s="1"/>
  <c r="U10" i="37" a="1"/>
  <c r="U10" i="37" s="1"/>
  <c r="V10" i="37" a="1"/>
  <c r="V10" i="37" s="1"/>
  <c r="W10" i="37" a="1"/>
  <c r="W10" i="37" s="1"/>
  <c r="X10" i="37" a="1"/>
  <c r="X10" i="37" s="1"/>
  <c r="U11" i="37" a="1"/>
  <c r="U11" i="37" s="1"/>
  <c r="V11" i="37" a="1"/>
  <c r="V11" i="37" s="1"/>
  <c r="W11" i="37" a="1"/>
  <c r="W11" i="37" s="1"/>
  <c r="X11" i="37" a="1"/>
  <c r="X11" i="37" s="1"/>
  <c r="U12" i="37" a="1"/>
  <c r="U12" i="37" s="1"/>
  <c r="V12" i="37" a="1"/>
  <c r="V12" i="37" s="1"/>
  <c r="W12" i="37" a="1"/>
  <c r="W12" i="37" s="1"/>
  <c r="X12" i="37" a="1"/>
  <c r="X12" i="37" s="1"/>
  <c r="U13" i="37" a="1"/>
  <c r="U13" i="37" s="1"/>
  <c r="V13" i="37" a="1"/>
  <c r="V13" i="37" s="1"/>
  <c r="W13" i="37" a="1"/>
  <c r="W13" i="37" s="1"/>
  <c r="X13" i="37" a="1"/>
  <c r="X13" i="37" s="1"/>
  <c r="U14" i="37" a="1"/>
  <c r="U14" i="37" s="1"/>
  <c r="V14" i="37" a="1"/>
  <c r="V14" i="37" s="1"/>
  <c r="W14" i="37" a="1"/>
  <c r="W14" i="37" s="1"/>
  <c r="X14" i="37" a="1"/>
  <c r="X14" i="37" s="1"/>
  <c r="U15" i="37" a="1"/>
  <c r="U15" i="37" s="1"/>
  <c r="V15" i="37" a="1"/>
  <c r="V15" i="37" s="1"/>
  <c r="W15" i="37" a="1"/>
  <c r="W15" i="37" s="1"/>
  <c r="X15" i="37" a="1"/>
  <c r="X15" i="37" s="1"/>
  <c r="R15" i="37" a="1"/>
  <c r="R15" i="37" s="1"/>
  <c r="S15" i="37" a="1"/>
  <c r="S15" i="37" s="1"/>
  <c r="T15" i="37" a="1"/>
  <c r="T15" i="37" s="1"/>
  <c r="Q15" i="37" a="1"/>
  <c r="Q15" i="37" s="1"/>
  <c r="R14" i="37" a="1"/>
  <c r="R14" i="37" s="1"/>
  <c r="S14" i="37" a="1"/>
  <c r="S14" i="37" s="1"/>
  <c r="T14" i="37" a="1"/>
  <c r="T14" i="37" s="1"/>
  <c r="Q14" i="37" a="1"/>
  <c r="Q14" i="37" s="1"/>
  <c r="Q12" i="37" a="1"/>
  <c r="Q12" i="37" s="1"/>
  <c r="R13" i="37" a="1"/>
  <c r="R13" i="37" s="1"/>
  <c r="S13" i="37" a="1"/>
  <c r="S13" i="37" s="1"/>
  <c r="T13" i="37" a="1"/>
  <c r="T13" i="37" s="1"/>
  <c r="Q13" i="37" a="1"/>
  <c r="Q13" i="37" s="1"/>
  <c r="R12" i="37" a="1"/>
  <c r="R12" i="37" s="1"/>
  <c r="S12" i="37" a="1"/>
  <c r="S12" i="37" s="1"/>
  <c r="T12" i="37" a="1"/>
  <c r="T12" i="37" s="1"/>
  <c r="R11" i="37" a="1"/>
  <c r="R11" i="37" s="1"/>
  <c r="S11" i="37" a="1"/>
  <c r="S11" i="37" s="1"/>
  <c r="T11" i="37" a="1"/>
  <c r="T11" i="37" s="1"/>
  <c r="Q11" i="37" a="1"/>
  <c r="Q11" i="37" s="1"/>
  <c r="R10" i="37" a="1"/>
  <c r="R10" i="37" s="1"/>
  <c r="S10" i="37" a="1"/>
  <c r="S10" i="37" s="1"/>
  <c r="T10" i="37" a="1"/>
  <c r="T10" i="37" s="1"/>
  <c r="Q10" i="37" a="1"/>
  <c r="Q10" i="37" s="1"/>
  <c r="I97" i="12" a="1"/>
  <c r="I97" i="12" s="1"/>
  <c r="T12" i="35" a="1"/>
  <c r="T12" i="35" s="1"/>
  <c r="I96" i="12" a="1"/>
  <c r="I96" i="12" s="1"/>
  <c r="I95" i="12" a="1"/>
  <c r="I95" i="12" s="1"/>
  <c r="F95" i="12" a="1"/>
  <c r="F97" i="12" a="1"/>
  <c r="F96" i="12" a="1"/>
  <c r="I28" i="71" l="1"/>
  <c r="H29" i="71"/>
  <c r="F97" i="12"/>
  <c r="F96" i="12"/>
  <c r="F95" i="12"/>
  <c r="I94" i="12" a="1"/>
  <c r="I94" i="12" s="1"/>
  <c r="P8" i="31" a="1"/>
  <c r="P8" i="31" s="1"/>
  <c r="O8" i="31" a="1"/>
  <c r="O8" i="31" s="1"/>
  <c r="M8" i="31" a="1"/>
  <c r="M8" i="31" s="1"/>
  <c r="I29" i="71" l="1"/>
  <c r="H30" i="71"/>
  <c r="I47" i="12" a="1"/>
  <c r="I47" i="12" s="1"/>
  <c r="I92" i="12" a="1"/>
  <c r="I92" i="12" s="1"/>
  <c r="L8" i="29" a="1"/>
  <c r="L8" i="29" s="1"/>
  <c r="I81" i="12" a="1"/>
  <c r="I81" i="12" s="1"/>
  <c r="F58" i="26"/>
  <c r="F57" i="26"/>
  <c r="F56" i="26"/>
  <c r="F55" i="26"/>
  <c r="F54" i="26"/>
  <c r="F53" i="26"/>
  <c r="F52" i="26"/>
  <c r="F51" i="26"/>
  <c r="F50" i="26"/>
  <c r="F49" i="26"/>
  <c r="F48" i="26"/>
  <c r="F47" i="26"/>
  <c r="F46" i="26"/>
  <c r="F45" i="26"/>
  <c r="F44" i="26"/>
  <c r="F43" i="26"/>
  <c r="F42" i="26"/>
  <c r="F41" i="26"/>
  <c r="F40" i="26"/>
  <c r="F39" i="26"/>
  <c r="F38" i="26"/>
  <c r="F37" i="26"/>
  <c r="F36" i="26"/>
  <c r="F35" i="26"/>
  <c r="I35" i="26" s="1" a="1"/>
  <c r="I35" i="26" s="1"/>
  <c r="M9" i="25" a="1"/>
  <c r="M9" i="25" s="1"/>
  <c r="G10" i="25"/>
  <c r="G11" i="25"/>
  <c r="G12" i="25"/>
  <c r="G13" i="25"/>
  <c r="G14" i="25"/>
  <c r="G15" i="25"/>
  <c r="G16" i="25"/>
  <c r="G17" i="25"/>
  <c r="G18"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57" i="25"/>
  <c r="G58" i="25"/>
  <c r="G59" i="25"/>
  <c r="G60" i="25"/>
  <c r="G61" i="25"/>
  <c r="G62" i="25"/>
  <c r="G63" i="25"/>
  <c r="G64" i="25"/>
  <c r="G65" i="25"/>
  <c r="G66" i="25"/>
  <c r="G67" i="25"/>
  <c r="G68" i="25"/>
  <c r="G69" i="25"/>
  <c r="G70" i="25"/>
  <c r="G71" i="25"/>
  <c r="G72" i="25"/>
  <c r="G73" i="25"/>
  <c r="G74" i="25"/>
  <c r="G75" i="25"/>
  <c r="G76" i="25"/>
  <c r="G77" i="25"/>
  <c r="G78" i="25"/>
  <c r="G79" i="25"/>
  <c r="G80" i="25"/>
  <c r="G81" i="25"/>
  <c r="G82" i="25"/>
  <c r="G83" i="25"/>
  <c r="G84" i="25"/>
  <c r="G85" i="25"/>
  <c r="G86" i="25"/>
  <c r="G87" i="25"/>
  <c r="G88" i="25"/>
  <c r="G89" i="25"/>
  <c r="G90" i="25"/>
  <c r="G91" i="25"/>
  <c r="G92" i="25"/>
  <c r="G93" i="25"/>
  <c r="G94" i="25"/>
  <c r="G95" i="25"/>
  <c r="G96" i="25"/>
  <c r="G97" i="25"/>
  <c r="G98" i="25"/>
  <c r="G99" i="25"/>
  <c r="G100" i="25"/>
  <c r="G101" i="25"/>
  <c r="G102" i="25"/>
  <c r="G103" i="25"/>
  <c r="G104" i="25"/>
  <c r="G105" i="25"/>
  <c r="G106" i="25"/>
  <c r="G107" i="25"/>
  <c r="G108" i="25"/>
  <c r="G109" i="25"/>
  <c r="G110" i="25"/>
  <c r="G111" i="25"/>
  <c r="G112" i="25"/>
  <c r="G113" i="25"/>
  <c r="G114" i="25"/>
  <c r="G115" i="25"/>
  <c r="G116" i="25"/>
  <c r="G117" i="25"/>
  <c r="G118" i="25"/>
  <c r="G119" i="25"/>
  <c r="G120" i="25"/>
  <c r="G121" i="25"/>
  <c r="G122" i="25"/>
  <c r="G123" i="25"/>
  <c r="G124" i="25"/>
  <c r="G125" i="25"/>
  <c r="G126" i="25"/>
  <c r="G127" i="25"/>
  <c r="G128" i="25"/>
  <c r="G129" i="25"/>
  <c r="G130" i="25"/>
  <c r="G131" i="25"/>
  <c r="G132" i="25"/>
  <c r="G133" i="25"/>
  <c r="G134" i="25"/>
  <c r="G135" i="25"/>
  <c r="G136" i="25"/>
  <c r="G137" i="25"/>
  <c r="G138" i="25"/>
  <c r="G139" i="25"/>
  <c r="G140" i="25"/>
  <c r="G141" i="25"/>
  <c r="G142" i="25"/>
  <c r="G143" i="25"/>
  <c r="G144" i="25"/>
  <c r="G145" i="25"/>
  <c r="G146" i="25"/>
  <c r="G147" i="25"/>
  <c r="G148" i="25"/>
  <c r="G149" i="25"/>
  <c r="G150" i="25"/>
  <c r="G151" i="25"/>
  <c r="G152" i="25"/>
  <c r="G153" i="25"/>
  <c r="G154" i="25"/>
  <c r="G155" i="25"/>
  <c r="G156" i="25"/>
  <c r="G157" i="25"/>
  <c r="G158" i="25"/>
  <c r="G159" i="25"/>
  <c r="G160" i="25"/>
  <c r="G161" i="25"/>
  <c r="G162" i="25"/>
  <c r="G163" i="25"/>
  <c r="G164" i="25"/>
  <c r="G165" i="25"/>
  <c r="G166" i="25"/>
  <c r="G167" i="25"/>
  <c r="G168" i="25"/>
  <c r="G169" i="25"/>
  <c r="G170" i="25"/>
  <c r="G171" i="25"/>
  <c r="G172" i="25"/>
  <c r="G173" i="25"/>
  <c r="G174" i="25"/>
  <c r="G175" i="25"/>
  <c r="G176" i="25"/>
  <c r="G177" i="25"/>
  <c r="G178" i="25"/>
  <c r="G179" i="25"/>
  <c r="G180" i="25"/>
  <c r="G181" i="25"/>
  <c r="G182" i="25"/>
  <c r="G183" i="25"/>
  <c r="G184" i="25"/>
  <c r="G185" i="25"/>
  <c r="G186" i="25"/>
  <c r="G187" i="25"/>
  <c r="G188" i="25"/>
  <c r="G189" i="25"/>
  <c r="G190" i="25"/>
  <c r="G191" i="25"/>
  <c r="G192" i="25"/>
  <c r="G193" i="25"/>
  <c r="G194" i="25"/>
  <c r="G195" i="25"/>
  <c r="G196" i="25"/>
  <c r="G197" i="25"/>
  <c r="G198" i="25"/>
  <c r="G199" i="25"/>
  <c r="G200" i="25"/>
  <c r="G201" i="25"/>
  <c r="G202" i="25"/>
  <c r="G203" i="25"/>
  <c r="G204" i="25"/>
  <c r="G205" i="25"/>
  <c r="G206" i="25"/>
  <c r="G207" i="25"/>
  <c r="G208" i="25"/>
  <c r="G209" i="25"/>
  <c r="G210" i="25"/>
  <c r="G211" i="25"/>
  <c r="G212" i="25"/>
  <c r="G213" i="25"/>
  <c r="G214" i="25"/>
  <c r="G215" i="25"/>
  <c r="G216" i="25"/>
  <c r="G217" i="25"/>
  <c r="G218" i="25"/>
  <c r="G219" i="25"/>
  <c r="G220" i="25"/>
  <c r="G221" i="25"/>
  <c r="G222" i="25"/>
  <c r="G223" i="25"/>
  <c r="G224" i="25"/>
  <c r="G225" i="25"/>
  <c r="G226" i="25"/>
  <c r="G227" i="25"/>
  <c r="G228" i="25"/>
  <c r="G229" i="25"/>
  <c r="G230" i="25"/>
  <c r="G231" i="25"/>
  <c r="G232" i="25"/>
  <c r="G233" i="25"/>
  <c r="G234" i="25"/>
  <c r="G235" i="25"/>
  <c r="G236" i="25"/>
  <c r="G237" i="25"/>
  <c r="G238" i="25"/>
  <c r="G239" i="25"/>
  <c r="G240" i="25"/>
  <c r="G241" i="25"/>
  <c r="G242" i="25"/>
  <c r="G243" i="25"/>
  <c r="G244" i="25"/>
  <c r="G245" i="25"/>
  <c r="G246" i="25"/>
  <c r="G247" i="25"/>
  <c r="G9" i="25"/>
  <c r="K9" i="25" s="1" a="1"/>
  <c r="K9" i="25" s="1"/>
  <c r="F47" i="12" a="1"/>
  <c r="F94" i="12" a="1"/>
  <c r="F92" i="12" a="1"/>
  <c r="F81" i="12" a="1"/>
  <c r="I30" i="71" l="1"/>
  <c r="H31" i="71"/>
  <c r="F94" i="12"/>
  <c r="F47" i="12"/>
  <c r="F92" i="12"/>
  <c r="F81" i="12"/>
  <c r="J22" i="27" a="1"/>
  <c r="J22" i="27" s="1"/>
  <c r="I80" i="12" a="1"/>
  <c r="I80" i="12" s="1"/>
  <c r="I90" i="12" a="1"/>
  <c r="I90" i="12" s="1"/>
  <c r="K28" i="23" a="1"/>
  <c r="K28" i="23" s="1"/>
  <c r="K19" i="23" a="1"/>
  <c r="K19" i="23" s="1"/>
  <c r="K10" i="23" a="1"/>
  <c r="K10" i="23" s="1"/>
  <c r="I40" i="12" a="1"/>
  <c r="I40" i="12" s="1"/>
  <c r="I49" i="12" a="1"/>
  <c r="I49" i="12" s="1"/>
  <c r="I83" i="12" a="1"/>
  <c r="I83" i="12" s="1"/>
  <c r="F83" i="12" a="1"/>
  <c r="F80" i="12" a="1"/>
  <c r="F90" i="12" a="1"/>
  <c r="I31" i="71" l="1"/>
  <c r="H32" i="71"/>
  <c r="F80" i="12"/>
  <c r="F90" i="12"/>
  <c r="F83" i="12"/>
  <c r="F9" i="26"/>
  <c r="F10" i="26"/>
  <c r="F11" i="26"/>
  <c r="F12" i="26"/>
  <c r="F13" i="26"/>
  <c r="F14" i="26"/>
  <c r="F15" i="26"/>
  <c r="F16" i="26"/>
  <c r="F17" i="26"/>
  <c r="F18" i="26"/>
  <c r="F19" i="26"/>
  <c r="F20" i="26"/>
  <c r="F21" i="26"/>
  <c r="F22" i="26"/>
  <c r="F23" i="26"/>
  <c r="F24" i="26"/>
  <c r="F25" i="26"/>
  <c r="F26" i="26"/>
  <c r="F27" i="26"/>
  <c r="F28" i="26"/>
  <c r="F29" i="26"/>
  <c r="F30" i="26"/>
  <c r="F31" i="26"/>
  <c r="F8" i="26"/>
  <c r="I115" i="12" a="1"/>
  <c r="I115" i="12" s="1"/>
  <c r="I121" i="12" a="1"/>
  <c r="I121" i="12" s="1"/>
  <c r="I32" i="71" l="1"/>
  <c r="H33" i="71"/>
  <c r="W32" i="2" a="1"/>
  <c r="W32" i="2" s="1"/>
  <c r="W29" i="2" a="1"/>
  <c r="W29" i="2" s="1"/>
  <c r="W26" i="2" a="1"/>
  <c r="W26" i="2" s="1"/>
  <c r="S26" i="2" a="1"/>
  <c r="S26" i="2" s="1"/>
  <c r="W19" i="2" a="1"/>
  <c r="W19" i="2" s="1"/>
  <c r="I8" i="26" a="1"/>
  <c r="I8" i="26" s="1"/>
  <c r="S19" i="2" a="1"/>
  <c r="S19" i="2" s="1"/>
  <c r="I33" i="71" l="1"/>
  <c r="H34" i="71"/>
  <c r="K7" i="24" a="1"/>
  <c r="K7" i="24" s="1"/>
  <c r="G18" i="24"/>
  <c r="K17" i="24" s="1" a="1"/>
  <c r="K17" i="24" s="1"/>
  <c r="G8" i="24"/>
  <c r="F49" i="12" a="1"/>
  <c r="I34" i="71" l="1"/>
  <c r="H35" i="71"/>
  <c r="F49" i="12"/>
  <c r="I35" i="71" l="1"/>
  <c r="H36" i="71"/>
  <c r="I124" i="12" a="1"/>
  <c r="I124" i="12" s="1"/>
  <c r="I123" i="12" a="1"/>
  <c r="I123" i="12" s="1"/>
  <c r="I114" i="12" a="1"/>
  <c r="I114" i="12" s="1"/>
  <c r="I72" i="12" a="1"/>
  <c r="I72" i="12" s="1"/>
  <c r="I68" i="12" a="1"/>
  <c r="I68" i="12" s="1"/>
  <c r="I48" i="12" a="1"/>
  <c r="I48" i="12" s="1"/>
  <c r="I46" i="12" a="1"/>
  <c r="I46" i="12" s="1"/>
  <c r="I45" i="12" a="1"/>
  <c r="I45" i="12" s="1"/>
  <c r="I44" i="12" a="1"/>
  <c r="I44" i="12" s="1"/>
  <c r="I43" i="12" a="1"/>
  <c r="I43" i="12" s="1"/>
  <c r="I42" i="12" a="1"/>
  <c r="I42" i="12" s="1"/>
  <c r="I41" i="12" a="1"/>
  <c r="I41" i="12" s="1"/>
  <c r="I39" i="12" a="1"/>
  <c r="I39" i="12" s="1"/>
  <c r="I38" i="12" a="1"/>
  <c r="I38" i="12" s="1"/>
  <c r="I37" i="12" a="1"/>
  <c r="I37" i="12" s="1"/>
  <c r="I36" i="12" a="1"/>
  <c r="I36" i="12" s="1"/>
  <c r="I35" i="12" a="1"/>
  <c r="I35" i="12" s="1"/>
  <c r="I34" i="12" a="1"/>
  <c r="I34" i="12" s="1"/>
  <c r="I33" i="12" a="1"/>
  <c r="I33" i="12" s="1"/>
  <c r="I32" i="12" a="1"/>
  <c r="I32" i="12" s="1"/>
  <c r="I31" i="12" a="1"/>
  <c r="I31" i="12" s="1"/>
  <c r="I20" i="12" a="1"/>
  <c r="I20" i="12" s="1"/>
  <c r="I19" i="12" a="1"/>
  <c r="I19" i="12" s="1"/>
  <c r="I18" i="12" a="1"/>
  <c r="I18" i="12" s="1"/>
  <c r="I15" i="12" a="1"/>
  <c r="I15" i="12" s="1"/>
  <c r="I14" i="12" a="1"/>
  <c r="I14" i="12" s="1"/>
  <c r="I13" i="12" a="1"/>
  <c r="I13" i="12" s="1"/>
  <c r="I12" i="12" a="1"/>
  <c r="I12" i="12" s="1"/>
  <c r="K20" i="9" a="1"/>
  <c r="K20" i="9" s="1"/>
  <c r="K9" i="9" a="1"/>
  <c r="K9" i="9" s="1"/>
  <c r="J9" i="22" a="1"/>
  <c r="J9" i="22" s="1"/>
  <c r="J16" i="22" a="1"/>
  <c r="J16" i="22" s="1"/>
  <c r="CB21" i="1" a="1"/>
  <c r="CB21" i="1" s="1"/>
  <c r="CB6" i="1" a="1"/>
  <c r="CB6" i="1" s="1"/>
  <c r="I11" i="20" a="1"/>
  <c r="I11" i="20" s="1"/>
  <c r="O11" i="19" a="1"/>
  <c r="O11" i="19" s="1"/>
  <c r="H11" i="19" a="1"/>
  <c r="H11" i="19" s="1"/>
  <c r="Z21" i="1" a="1"/>
  <c r="Z21" i="1" s="1"/>
  <c r="J28" i="18" a="1"/>
  <c r="J28" i="18" s="1"/>
  <c r="J21" i="18" a="1"/>
  <c r="J21" i="18" s="1"/>
  <c r="J15" i="18" a="1"/>
  <c r="J15" i="18" s="1"/>
  <c r="J28" i="17" a="1"/>
  <c r="J28" i="17" s="1"/>
  <c r="J21" i="17" a="1"/>
  <c r="J21" i="17" s="1"/>
  <c r="J15" i="17" a="1"/>
  <c r="J15" i="17" s="1"/>
  <c r="F35" i="12" a="1"/>
  <c r="F45" i="12" a="1"/>
  <c r="F34" i="12" a="1"/>
  <c r="F42" i="12" a="1"/>
  <c r="F46" i="12" a="1"/>
  <c r="F48" i="12" a="1"/>
  <c r="F40" i="12" a="1"/>
  <c r="F32" i="12" a="1"/>
  <c r="F44" i="12" a="1"/>
  <c r="F37" i="12" a="1"/>
  <c r="F43" i="12" a="1"/>
  <c r="F33" i="12" a="1"/>
  <c r="F41" i="12" a="1"/>
  <c r="F36" i="12" a="1"/>
  <c r="F31" i="12" a="1"/>
  <c r="F39" i="12" a="1"/>
  <c r="F38" i="12" a="1"/>
  <c r="I36" i="71" l="1"/>
  <c r="H37" i="71"/>
  <c r="F48" i="12"/>
  <c r="F39" i="12"/>
  <c r="F38" i="12"/>
  <c r="F35" i="12"/>
  <c r="F45" i="12"/>
  <c r="F42" i="12"/>
  <c r="F34" i="12"/>
  <c r="F44" i="12"/>
  <c r="F36" i="12"/>
  <c r="F43" i="12"/>
  <c r="F41" i="12"/>
  <c r="F33" i="12"/>
  <c r="F46" i="12"/>
  <c r="F37" i="12"/>
  <c r="F40" i="12"/>
  <c r="F32" i="12"/>
  <c r="F31" i="12"/>
  <c r="AT21" i="1" a="1"/>
  <c r="AT21" i="1" s="1"/>
  <c r="J19" i="15" a="1"/>
  <c r="J19" i="15" s="1"/>
  <c r="J9" i="15" a="1"/>
  <c r="J9" i="15" s="1"/>
  <c r="B19" i="2" a="1"/>
  <c r="B19" i="2" s="1"/>
  <c r="J29" i="14" a="1"/>
  <c r="J29" i="14" s="1"/>
  <c r="L29" i="14" s="1" a="1"/>
  <c r="L29" i="14" s="1"/>
  <c r="J22" i="14" a="1"/>
  <c r="J22" i="14" s="1"/>
  <c r="J13" i="7" a="1"/>
  <c r="J13" i="7" s="1"/>
  <c r="J7" i="7" a="1"/>
  <c r="J7" i="7" s="1"/>
  <c r="J13" i="6" a="1"/>
  <c r="J13" i="6" s="1"/>
  <c r="J7" i="6" a="1"/>
  <c r="J7" i="6" s="1"/>
  <c r="K7" i="4" a="1"/>
  <c r="K7" i="4" s="1"/>
  <c r="K38" i="4" a="1"/>
  <c r="K38" i="4" s="1"/>
  <c r="K31" i="4" a="1"/>
  <c r="K31" i="4" s="1"/>
  <c r="K25" i="4" a="1"/>
  <c r="K25" i="4" s="1"/>
  <c r="K19" i="4" a="1"/>
  <c r="K19" i="4" s="1"/>
  <c r="K13" i="4" a="1"/>
  <c r="K13" i="4" s="1"/>
  <c r="I37" i="71" l="1"/>
  <c r="H38" i="71"/>
  <c r="H17" i="8" a="1"/>
  <c r="H17" i="8" s="1"/>
  <c r="H9" i="8" a="1"/>
  <c r="H9" i="8" s="1"/>
  <c r="H9" i="3" a="1"/>
  <c r="H9" i="3" s="1"/>
  <c r="H16" i="3" a="1"/>
  <c r="H16" i="3" s="1"/>
  <c r="H17" i="5" a="1"/>
  <c r="H17" i="5" s="1"/>
  <c r="H9" i="5" a="1"/>
  <c r="H9" i="5" s="1"/>
  <c r="I38" i="71" l="1"/>
  <c r="H39" i="71"/>
  <c r="E19" i="2" a="1"/>
  <c r="E19" i="2" s="1"/>
  <c r="H21" i="1" a="1"/>
  <c r="H21" i="1" s="1"/>
  <c r="E21" i="1" a="1"/>
  <c r="E21" i="1" s="1"/>
  <c r="I39" i="71" l="1"/>
  <c r="H40" i="71"/>
  <c r="I40" i="71" l="1"/>
  <c r="H41" i="71"/>
  <c r="I41" i="71" l="1"/>
  <c r="H42" i="71"/>
  <c r="I42" i="71" l="1"/>
  <c r="H43" i="71"/>
  <c r="I43" i="71" l="1"/>
  <c r="H44" i="71"/>
  <c r="I44" i="71" l="1"/>
  <c r="H45" i="71"/>
  <c r="I45" i="71" l="1"/>
  <c r="H46" i="71"/>
  <c r="I46" i="71" l="1"/>
  <c r="H47" i="71"/>
  <c r="I47" i="71" l="1"/>
  <c r="H48" i="71"/>
  <c r="I48" i="71" l="1"/>
  <c r="H49" i="71"/>
  <c r="I49" i="71" l="1"/>
  <c r="H50" i="71"/>
  <c r="I50" i="71" l="1"/>
  <c r="H51" i="71"/>
  <c r="I51" i="71" l="1"/>
  <c r="H52" i="71"/>
  <c r="I52" i="71" l="1"/>
  <c r="H53" i="71"/>
  <c r="I53" i="71" l="1"/>
  <c r="H54" i="71"/>
  <c r="I54" i="71" l="1"/>
  <c r="H55" i="71"/>
  <c r="I55" i="71" l="1"/>
  <c r="H56" i="71"/>
  <c r="I56" i="71" l="1"/>
  <c r="H57" i="71"/>
  <c r="I57" i="71" l="1"/>
  <c r="H58" i="71"/>
  <c r="I58" i="71" l="1"/>
  <c r="H59" i="71"/>
  <c r="I59" i="71" l="1"/>
  <c r="H60" i="71"/>
  <c r="I60" i="71" l="1"/>
  <c r="H61" i="71"/>
  <c r="I61" i="71" l="1"/>
  <c r="H62" i="71"/>
  <c r="I62" i="71" l="1"/>
  <c r="H63" i="71"/>
  <c r="I63" i="71" l="1"/>
  <c r="H64" i="71"/>
  <c r="I64" i="71" l="1"/>
  <c r="H65" i="71"/>
  <c r="I65" i="71" l="1"/>
  <c r="H66" i="71"/>
  <c r="I66" i="71" l="1"/>
  <c r="H67" i="71"/>
  <c r="I67" i="71" l="1"/>
  <c r="H68" i="71"/>
  <c r="I68" i="71" l="1"/>
  <c r="H69" i="71"/>
  <c r="I69" i="71" l="1"/>
  <c r="H70" i="71"/>
  <c r="I70" i="71" l="1"/>
  <c r="H71" i="71"/>
  <c r="I71" i="71" l="1"/>
  <c r="H72" i="71"/>
  <c r="I72" i="71" l="1"/>
  <c r="H73" i="71"/>
  <c r="I73" i="71" l="1"/>
  <c r="H74" i="71"/>
  <c r="I74" i="71" l="1"/>
  <c r="H75" i="71"/>
  <c r="I75" i="71" l="1"/>
  <c r="H76" i="71"/>
  <c r="I76" i="71" l="1"/>
  <c r="H77" i="71"/>
  <c r="I77" i="71" l="1"/>
  <c r="H78" i="71"/>
  <c r="I78" i="71" l="1"/>
  <c r="H79" i="71"/>
  <c r="I79" i="71" l="1"/>
  <c r="H80" i="71"/>
  <c r="I80" i="71" l="1"/>
  <c r="H81" i="71"/>
  <c r="I81" i="71" l="1"/>
  <c r="H82" i="71"/>
  <c r="I82" i="71" l="1"/>
  <c r="H83" i="71"/>
  <c r="I83" i="71" l="1"/>
  <c r="H84" i="71"/>
  <c r="I84" i="71" l="1"/>
  <c r="H85" i="71"/>
  <c r="I85" i="71" l="1"/>
  <c r="H86" i="71"/>
  <c r="I86" i="71" l="1"/>
  <c r="H87" i="71"/>
  <c r="I87" i="71" l="1"/>
  <c r="H88" i="71"/>
  <c r="I88" i="71" l="1"/>
  <c r="H89" i="71"/>
  <c r="I89" i="71" l="1"/>
  <c r="H90" i="71"/>
  <c r="I90" i="71" l="1"/>
  <c r="H91" i="71"/>
  <c r="I91" i="71" l="1"/>
  <c r="H92" i="71"/>
  <c r="I92" i="71" l="1"/>
  <c r="H93" i="71"/>
  <c r="I93" i="71" l="1"/>
  <c r="H94" i="71"/>
  <c r="I94" i="71" l="1"/>
  <c r="H95" i="71"/>
  <c r="I95" i="71" l="1"/>
  <c r="H96" i="71"/>
  <c r="I96" i="71" l="1"/>
  <c r="H97" i="71"/>
  <c r="I97" i="71" l="1"/>
  <c r="H98" i="71"/>
  <c r="I98" i="71" l="1"/>
  <c r="H99" i="71"/>
  <c r="I99" i="71" l="1"/>
  <c r="H100" i="71"/>
  <c r="I100" i="71" l="1"/>
  <c r="H101" i="71"/>
  <c r="I101" i="71" l="1"/>
  <c r="H102" i="71"/>
  <c r="I102" i="71" l="1"/>
  <c r="H103" i="71"/>
  <c r="I103" i="71" l="1"/>
  <c r="H104" i="71"/>
  <c r="I104" i="71" l="1"/>
  <c r="H105" i="71"/>
  <c r="I105" i="71" l="1"/>
  <c r="H106" i="71"/>
  <c r="I106" i="71" l="1"/>
  <c r="H107" i="71"/>
  <c r="I107" i="71" l="1"/>
  <c r="H108" i="71"/>
  <c r="I108" i="71" l="1"/>
  <c r="H109" i="71"/>
  <c r="I109" i="71" l="1"/>
  <c r="H110" i="71"/>
  <c r="I110" i="71" l="1"/>
  <c r="H111" i="71"/>
  <c r="I111" i="71" l="1"/>
  <c r="H112" i="71"/>
  <c r="I112" i="71" l="1"/>
  <c r="H113" i="71"/>
  <c r="I113" i="71" l="1"/>
  <c r="H114" i="71"/>
  <c r="I114" i="71" l="1"/>
  <c r="H115" i="71"/>
  <c r="I115" i="71" l="1"/>
  <c r="H116" i="71"/>
  <c r="I116" i="71" l="1"/>
  <c r="H117" i="71"/>
  <c r="I117" i="71" l="1"/>
  <c r="H118" i="71"/>
  <c r="I118" i="71" l="1"/>
  <c r="H119" i="71"/>
  <c r="I119" i="71" l="1"/>
  <c r="H120" i="71"/>
  <c r="I120" i="71" l="1"/>
  <c r="H121" i="71"/>
  <c r="I121" i="71" l="1"/>
  <c r="H122" i="71"/>
  <c r="I122" i="71" l="1"/>
  <c r="H123" i="71"/>
  <c r="I123" i="71" l="1"/>
  <c r="H124" i="71"/>
  <c r="I124" i="71" l="1"/>
  <c r="H125" i="71"/>
  <c r="I125" i="71" l="1"/>
  <c r="H126" i="71"/>
  <c r="I126" i="71" l="1"/>
  <c r="H127" i="71"/>
  <c r="I127" i="71" l="1"/>
  <c r="H128" i="71"/>
  <c r="I128" i="71" l="1"/>
  <c r="H129" i="71"/>
  <c r="I129" i="71" l="1"/>
  <c r="H130" i="71"/>
  <c r="I130" i="71" l="1"/>
  <c r="H131" i="71"/>
  <c r="I131" i="71" l="1"/>
  <c r="H132" i="71"/>
  <c r="I132" i="71" l="1"/>
  <c r="H133" i="71"/>
  <c r="I133" i="71" l="1"/>
  <c r="H134" i="71"/>
  <c r="I134" i="71" l="1"/>
  <c r="H135" i="71"/>
  <c r="I135" i="71" l="1"/>
  <c r="H136" i="71"/>
  <c r="I136" i="71" l="1"/>
  <c r="H137" i="71"/>
  <c r="I137" i="71" l="1"/>
  <c r="H138" i="71"/>
  <c r="I138" i="71" l="1"/>
  <c r="H139" i="71"/>
  <c r="I139" i="71" l="1"/>
  <c r="H140" i="71"/>
  <c r="I140" i="71" l="1"/>
  <c r="H141" i="71"/>
  <c r="I141" i="71" l="1"/>
  <c r="H142" i="71"/>
  <c r="I142" i="71" l="1"/>
  <c r="H143" i="71"/>
  <c r="I143" i="71" l="1"/>
  <c r="H144" i="71"/>
  <c r="I144" i="71" l="1"/>
  <c r="H145" i="71"/>
  <c r="I145" i="71" l="1"/>
  <c r="H146" i="71"/>
  <c r="I146" i="71" l="1"/>
  <c r="H147" i="71"/>
  <c r="I147" i="71" l="1"/>
  <c r="H148" i="71"/>
  <c r="I148" i="71" l="1"/>
  <c r="H149" i="71"/>
  <c r="I149" i="71" l="1"/>
  <c r="H150" i="71"/>
  <c r="I150" i="71" l="1"/>
  <c r="H151" i="71"/>
  <c r="I151" i="71" l="1"/>
  <c r="H152" i="71"/>
  <c r="I152" i="71" l="1"/>
  <c r="H153" i="71"/>
  <c r="I153" i="71" l="1"/>
  <c r="H154" i="71"/>
  <c r="I154" i="71" l="1"/>
  <c r="H155" i="71"/>
  <c r="I155" i="71" l="1"/>
  <c r="H156" i="71"/>
  <c r="I156" i="71" l="1"/>
  <c r="H157" i="71"/>
  <c r="I157" i="71" l="1"/>
  <c r="H158" i="71"/>
  <c r="I158" i="71" l="1"/>
  <c r="H159" i="71"/>
  <c r="I159" i="71" l="1"/>
  <c r="H160" i="71"/>
  <c r="I160" i="71" l="1"/>
  <c r="H161" i="71"/>
  <c r="I161" i="71" l="1"/>
  <c r="H162" i="71"/>
  <c r="I162" i="71" l="1"/>
  <c r="H163" i="71"/>
  <c r="I163" i="71" l="1"/>
  <c r="H164" i="71"/>
  <c r="I164" i="71" l="1"/>
  <c r="H165" i="71"/>
  <c r="I165" i="71" l="1"/>
  <c r="H166" i="71"/>
  <c r="I166" i="71" l="1"/>
  <c r="H167" i="71"/>
  <c r="I167" i="71" l="1"/>
  <c r="H168" i="71"/>
  <c r="I168" i="71" l="1"/>
  <c r="H169" i="71"/>
  <c r="I169" i="71" l="1"/>
  <c r="H170" i="71"/>
  <c r="I170" i="71" l="1"/>
  <c r="H171" i="71"/>
  <c r="I171" i="71" l="1"/>
  <c r="H172" i="71"/>
  <c r="I172" i="71" l="1"/>
  <c r="H173" i="71"/>
  <c r="I173" i="71" l="1"/>
  <c r="H174" i="71"/>
  <c r="I174" i="71" l="1"/>
  <c r="H175" i="71"/>
  <c r="I175" i="71" l="1"/>
  <c r="H176" i="71"/>
  <c r="I176" i="71" l="1"/>
  <c r="H177" i="71"/>
  <c r="I177" i="71" l="1"/>
  <c r="H178" i="71"/>
  <c r="I178" i="71" l="1"/>
  <c r="H179" i="71"/>
  <c r="H180" i="71" l="1"/>
  <c r="I179" i="71"/>
  <c r="I180" i="71" l="1"/>
  <c r="H181" i="71"/>
  <c r="I181" i="71" l="1"/>
  <c r="H182" i="71"/>
  <c r="I182" i="71" l="1"/>
  <c r="H183" i="71"/>
  <c r="I183" i="71" l="1"/>
  <c r="H184" i="71"/>
  <c r="I184" i="71" l="1"/>
  <c r="H185" i="71"/>
  <c r="I185" i="71" l="1"/>
  <c r="H186" i="71"/>
  <c r="I186" i="71" l="1"/>
  <c r="H187" i="71"/>
  <c r="I187" i="71" l="1"/>
  <c r="H188" i="71"/>
  <c r="I188" i="71" l="1"/>
  <c r="H189" i="71"/>
  <c r="I189" i="71" l="1"/>
  <c r="H190" i="71"/>
  <c r="I190" i="71" l="1"/>
  <c r="H191" i="71"/>
  <c r="I191" i="71" l="1"/>
  <c r="H192" i="71"/>
  <c r="I192" i="71" l="1"/>
  <c r="H193" i="71"/>
  <c r="I193" i="71" l="1"/>
  <c r="H194" i="71"/>
  <c r="I194" i="71" l="1"/>
  <c r="H195" i="71"/>
  <c r="I195" i="71" l="1"/>
  <c r="H196" i="71"/>
  <c r="I196" i="71" l="1"/>
  <c r="H197" i="71"/>
  <c r="I197" i="71" l="1"/>
  <c r="H198" i="71"/>
  <c r="I198" i="71" l="1"/>
  <c r="H199" i="71"/>
  <c r="I199" i="71" l="1"/>
  <c r="H200" i="71"/>
  <c r="I200" i="71" l="1"/>
  <c r="H201" i="71"/>
  <c r="I201" i="71" l="1"/>
  <c r="H202" i="71"/>
  <c r="I202" i="71" l="1"/>
  <c r="H203" i="71"/>
  <c r="I203" i="71" l="1"/>
  <c r="H204" i="71"/>
  <c r="I204" i="71" l="1"/>
  <c r="H205" i="71"/>
  <c r="I205" i="71" l="1"/>
  <c r="H206" i="71"/>
  <c r="I206" i="71" l="1"/>
  <c r="H207" i="71"/>
  <c r="I207" i="71" l="1"/>
  <c r="H208" i="71"/>
  <c r="I208" i="71" l="1"/>
  <c r="H209" i="71"/>
  <c r="I209" i="71" l="1"/>
  <c r="H210" i="71"/>
  <c r="I210" i="71" l="1"/>
  <c r="H211" i="71"/>
  <c r="I211" i="71" l="1"/>
  <c r="H212" i="71"/>
  <c r="I212" i="71" l="1"/>
  <c r="H213" i="71"/>
  <c r="I213" i="71" l="1"/>
  <c r="H214" i="71"/>
  <c r="I214" i="71" l="1"/>
  <c r="H215" i="71"/>
  <c r="I215" i="71" l="1"/>
  <c r="H216" i="71"/>
  <c r="I216" i="71" l="1"/>
  <c r="H217" i="71"/>
  <c r="I217" i="71" l="1"/>
  <c r="H218" i="71"/>
  <c r="H219" i="71" l="1"/>
  <c r="I218" i="71"/>
  <c r="I219" i="71" l="1"/>
  <c r="H220" i="71"/>
  <c r="I220" i="71" l="1"/>
  <c r="H221" i="71"/>
  <c r="I221" i="71" l="1"/>
  <c r="H222" i="71"/>
  <c r="I222" i="71" l="1"/>
  <c r="H223" i="71"/>
  <c r="I223" i="71" l="1"/>
  <c r="H224" i="71"/>
  <c r="I224" i="71" l="1"/>
  <c r="H225" i="71"/>
  <c r="I225" i="71" l="1"/>
  <c r="H226" i="71"/>
  <c r="I226" i="71" l="1"/>
  <c r="H227" i="71"/>
  <c r="I227" i="71" l="1"/>
  <c r="H228" i="71"/>
  <c r="I228" i="71" l="1"/>
  <c r="H229" i="71"/>
  <c r="I229" i="71" l="1"/>
  <c r="H230" i="71"/>
  <c r="I230" i="71" l="1"/>
  <c r="H231" i="71"/>
  <c r="I231" i="71" l="1"/>
  <c r="H232" i="71"/>
  <c r="I232" i="71" l="1"/>
  <c r="H233" i="71"/>
  <c r="I233" i="71" l="1"/>
  <c r="H234" i="71"/>
  <c r="I234" i="71" l="1"/>
  <c r="H235" i="71"/>
  <c r="I235" i="71" l="1"/>
  <c r="H236" i="71"/>
  <c r="I236" i="71" l="1"/>
  <c r="H237" i="71"/>
  <c r="I237" i="71" l="1"/>
  <c r="H238" i="71"/>
  <c r="I238" i="71" l="1"/>
  <c r="H239" i="71"/>
  <c r="I239" i="71" l="1"/>
  <c r="H240" i="71"/>
  <c r="I240" i="71" l="1"/>
  <c r="H241" i="71"/>
  <c r="I241" i="71" l="1"/>
  <c r="H242" i="71"/>
  <c r="I242" i="71" l="1"/>
  <c r="H243" i="71"/>
  <c r="I243" i="71" l="1"/>
  <c r="H244" i="71"/>
  <c r="I244" i="71" l="1"/>
  <c r="H245" i="71"/>
  <c r="I245" i="71" l="1"/>
  <c r="H246" i="71"/>
  <c r="I246" i="71" l="1"/>
  <c r="H247" i="71"/>
  <c r="I247" i="71" l="1"/>
  <c r="H248" i="71"/>
  <c r="I248" i="71" l="1"/>
  <c r="H249" i="71"/>
  <c r="I249" i="71" l="1"/>
  <c r="H250" i="71"/>
  <c r="I250" i="71" l="1"/>
  <c r="H251" i="71"/>
  <c r="I251" i="71" l="1"/>
  <c r="H252" i="71"/>
  <c r="I252" i="71" l="1"/>
  <c r="H253" i="71"/>
  <c r="I253" i="71" l="1"/>
  <c r="H254" i="71"/>
  <c r="I254" i="71" l="1"/>
  <c r="H255" i="71"/>
  <c r="I255" i="71" l="1"/>
  <c r="H256" i="71"/>
  <c r="I256" i="71" l="1"/>
  <c r="H257" i="71"/>
  <c r="I257" i="71" l="1"/>
  <c r="H258" i="71"/>
  <c r="I258" i="71" l="1"/>
  <c r="H259" i="71"/>
  <c r="I259" i="71" l="1"/>
  <c r="H260" i="71"/>
  <c r="I260" i="71" l="1"/>
  <c r="H261" i="71"/>
  <c r="I261" i="71" l="1"/>
  <c r="H262" i="71"/>
  <c r="I262" i="71" l="1"/>
  <c r="H263" i="71"/>
  <c r="I263" i="71" l="1"/>
  <c r="H264" i="71"/>
  <c r="I264" i="71" l="1"/>
  <c r="H265" i="71"/>
  <c r="I265" i="71" l="1"/>
  <c r="H266" i="71"/>
  <c r="I266" i="71" l="1"/>
  <c r="H267" i="71"/>
  <c r="I267" i="71" l="1"/>
  <c r="H268" i="71"/>
  <c r="I268" i="71" l="1"/>
  <c r="H269" i="71"/>
  <c r="I269" i="71" l="1"/>
  <c r="H270" i="71"/>
  <c r="I270" i="71" l="1"/>
  <c r="H271" i="71"/>
  <c r="I271" i="71" l="1"/>
  <c r="H272" i="71"/>
  <c r="I272" i="71" l="1"/>
  <c r="H273" i="71"/>
  <c r="I273" i="71" l="1"/>
  <c r="H274" i="71"/>
  <c r="I274" i="71" l="1"/>
  <c r="H275" i="71"/>
  <c r="I275" i="71" l="1"/>
  <c r="H276" i="71"/>
  <c r="I276" i="71" l="1"/>
  <c r="H277" i="71"/>
  <c r="I277" i="71" l="1"/>
  <c r="H278" i="71"/>
  <c r="I278" i="71" l="1"/>
  <c r="H279" i="71"/>
  <c r="I279" i="71" l="1"/>
  <c r="H280" i="71"/>
  <c r="I280" i="71" l="1"/>
  <c r="H281" i="71"/>
  <c r="I281" i="71" l="1"/>
  <c r="H282" i="71"/>
  <c r="I282" i="71" l="1"/>
  <c r="H283" i="71"/>
  <c r="I283" i="71" l="1"/>
  <c r="H284" i="71"/>
  <c r="I284" i="71" l="1"/>
  <c r="H285" i="71"/>
  <c r="I285" i="71" l="1"/>
  <c r="H286" i="71"/>
  <c r="I286" i="71" l="1"/>
  <c r="H287" i="71"/>
  <c r="I287" i="71" l="1"/>
  <c r="H288" i="71"/>
  <c r="I288" i="71" l="1"/>
  <c r="H289" i="71"/>
  <c r="I289" i="71" l="1"/>
  <c r="H290" i="71"/>
  <c r="I290" i="71" l="1"/>
  <c r="H291" i="71"/>
  <c r="I291" i="71" l="1"/>
  <c r="H292" i="71"/>
  <c r="I292" i="71" l="1"/>
  <c r="H293" i="71"/>
  <c r="I293" i="71" l="1"/>
  <c r="H294" i="71"/>
  <c r="I294" i="71" l="1"/>
  <c r="H295" i="71"/>
  <c r="I295" i="71" l="1"/>
  <c r="H296" i="71"/>
  <c r="I296" i="71" l="1"/>
  <c r="H297" i="71"/>
  <c r="I297" i="71" l="1"/>
  <c r="H298" i="71"/>
  <c r="I298" i="71" l="1"/>
  <c r="H299" i="71"/>
  <c r="I299" i="71" l="1"/>
  <c r="H300" i="71"/>
  <c r="I300" i="71" l="1"/>
  <c r="H301" i="71"/>
  <c r="I301" i="71" l="1"/>
  <c r="H302" i="71"/>
  <c r="I302" i="71" l="1"/>
  <c r="H303" i="71"/>
  <c r="I303" i="71" l="1"/>
  <c r="H304" i="71"/>
  <c r="I304" i="71" l="1"/>
  <c r="H305" i="71"/>
  <c r="I305" i="71" l="1"/>
  <c r="H306" i="71"/>
  <c r="I306" i="71" l="1"/>
  <c r="H307" i="71"/>
  <c r="I307" i="71" l="1"/>
  <c r="H308" i="71"/>
  <c r="I308" i="71" l="1"/>
  <c r="H309" i="71"/>
  <c r="I309" i="71" l="1"/>
  <c r="H310" i="71"/>
  <c r="I310" i="71" l="1"/>
  <c r="H311" i="71"/>
  <c r="I311" i="71" l="1"/>
  <c r="H312" i="71"/>
  <c r="I312" i="71" l="1"/>
  <c r="H313" i="71"/>
  <c r="I313" i="71" l="1"/>
  <c r="H314" i="71"/>
  <c r="I314" i="71" l="1"/>
  <c r="H315" i="71"/>
  <c r="I315" i="71" l="1"/>
  <c r="H316" i="71"/>
  <c r="I316" i="71" l="1"/>
  <c r="H317" i="71"/>
  <c r="I317" i="71" l="1"/>
  <c r="H318" i="71"/>
  <c r="I318" i="71" l="1"/>
  <c r="H319" i="71"/>
  <c r="I319" i="71" l="1"/>
  <c r="H320" i="71"/>
  <c r="I320" i="71" l="1"/>
  <c r="H321" i="71"/>
  <c r="I321" i="71" l="1"/>
  <c r="H322" i="71"/>
  <c r="I322" i="71" l="1"/>
  <c r="H323" i="71"/>
  <c r="I323" i="71" l="1"/>
  <c r="H324" i="71"/>
  <c r="I324" i="71" l="1"/>
  <c r="H325" i="71"/>
  <c r="I325" i="71" l="1"/>
  <c r="H326" i="71"/>
  <c r="I326" i="71" l="1"/>
  <c r="H327" i="71"/>
  <c r="I327" i="71" l="1"/>
  <c r="H328" i="71"/>
  <c r="I328" i="71" l="1"/>
  <c r="H329" i="71"/>
  <c r="I329" i="71" l="1"/>
  <c r="H330" i="71"/>
  <c r="I330" i="71" l="1"/>
  <c r="H331" i="71"/>
  <c r="I331" i="71" l="1"/>
  <c r="H332" i="71"/>
  <c r="I332" i="71" l="1"/>
  <c r="H333" i="71"/>
  <c r="I333" i="71" l="1"/>
  <c r="H334" i="71"/>
  <c r="I334" i="71" l="1"/>
  <c r="H335" i="71"/>
  <c r="I335" i="71" l="1"/>
  <c r="H336" i="71"/>
  <c r="I336" i="71" l="1"/>
  <c r="H337" i="71"/>
  <c r="I337" i="71" l="1"/>
  <c r="H338" i="71"/>
  <c r="I338" i="71" l="1"/>
  <c r="H339" i="71"/>
  <c r="I339" i="71" l="1"/>
  <c r="H340" i="71"/>
  <c r="I340" i="71" l="1"/>
  <c r="H341" i="71"/>
  <c r="I341" i="71" l="1"/>
  <c r="H342" i="71"/>
  <c r="I342" i="71" l="1"/>
  <c r="H343" i="71"/>
  <c r="I343" i="71" l="1"/>
  <c r="H344" i="71"/>
  <c r="I344" i="71" l="1"/>
  <c r="H345" i="71"/>
  <c r="I345" i="71" l="1"/>
  <c r="H346" i="71"/>
  <c r="I346" i="71" l="1"/>
  <c r="H347" i="71"/>
  <c r="I347" i="71" l="1"/>
  <c r="H348" i="71"/>
  <c r="I348" i="71" l="1"/>
  <c r="H349" i="71"/>
  <c r="I349" i="71" l="1"/>
  <c r="H350" i="71"/>
  <c r="I350" i="71" l="1"/>
  <c r="H351" i="71"/>
  <c r="I351" i="71" l="1"/>
  <c r="H352" i="71"/>
  <c r="I352" i="71" l="1"/>
  <c r="H353" i="71"/>
  <c r="I353" i="71" l="1"/>
  <c r="H354" i="71"/>
  <c r="I354" i="71" l="1"/>
  <c r="H355" i="71"/>
  <c r="I355" i="71" l="1"/>
  <c r="H356" i="71"/>
  <c r="I356" i="71" l="1"/>
  <c r="H357" i="71"/>
  <c r="I357" i="71" l="1"/>
  <c r="H358" i="71"/>
  <c r="I358" i="71" l="1"/>
  <c r="H359" i="71"/>
  <c r="I359" i="71" l="1"/>
  <c r="H360" i="71"/>
  <c r="I360" i="71" l="1"/>
  <c r="H361" i="71"/>
  <c r="I361" i="71" l="1"/>
  <c r="H362" i="71"/>
  <c r="I362" i="71" l="1"/>
  <c r="H363" i="71"/>
  <c r="I363" i="71" l="1"/>
  <c r="H364" i="71"/>
  <c r="I364" i="71" l="1"/>
  <c r="H365" i="71"/>
  <c r="I365" i="71" l="1"/>
  <c r="H366" i="71"/>
  <c r="I366" i="71" l="1"/>
  <c r="H367" i="71"/>
  <c r="I367" i="71" l="1"/>
  <c r="H368" i="71"/>
  <c r="I368" i="71" l="1"/>
  <c r="H369" i="71"/>
  <c r="I369" i="71" l="1"/>
  <c r="H370" i="71"/>
  <c r="I370" i="71" l="1"/>
  <c r="H371" i="71"/>
  <c r="I371" i="71" l="1"/>
  <c r="H372" i="71"/>
  <c r="I372" i="71" l="1"/>
  <c r="H373" i="71"/>
  <c r="I373" i="71" l="1"/>
  <c r="H374" i="71"/>
  <c r="I374" i="71" l="1"/>
  <c r="H375" i="71"/>
  <c r="I375" i="71" l="1"/>
  <c r="H376" i="71"/>
  <c r="I376" i="71" l="1"/>
  <c r="H377" i="71"/>
  <c r="I377" i="71" l="1"/>
  <c r="H378" i="71"/>
  <c r="I378" i="71" l="1"/>
  <c r="H379" i="71"/>
  <c r="I379" i="71" l="1"/>
  <c r="H380" i="71"/>
  <c r="I380" i="71" l="1"/>
  <c r="H381" i="71"/>
  <c r="I381" i="71" l="1"/>
  <c r="H382" i="71"/>
  <c r="I382" i="71" l="1"/>
  <c r="H383" i="71"/>
  <c r="I383" i="71" l="1"/>
  <c r="H384" i="71"/>
  <c r="I384" i="71" l="1"/>
  <c r="H385" i="71"/>
  <c r="I385" i="71" l="1"/>
  <c r="H386" i="71"/>
  <c r="I386" i="71" l="1"/>
  <c r="H387" i="71"/>
  <c r="I387" i="71" l="1"/>
  <c r="H388" i="71"/>
  <c r="I388" i="71" l="1"/>
  <c r="H389" i="71"/>
  <c r="I389" i="71" l="1"/>
  <c r="H390" i="71"/>
  <c r="I390" i="71" l="1"/>
  <c r="H391" i="71"/>
  <c r="I391" i="71" l="1"/>
  <c r="H392" i="71"/>
  <c r="I392" i="71" l="1"/>
  <c r="H393" i="71"/>
  <c r="I393" i="71" l="1"/>
  <c r="H394" i="71"/>
  <c r="I394" i="71" l="1"/>
  <c r="H395" i="71"/>
  <c r="I395" i="71" l="1"/>
  <c r="H396" i="71"/>
  <c r="I396" i="71" l="1"/>
  <c r="H397" i="71"/>
  <c r="I397" i="71" l="1"/>
  <c r="H398" i="71"/>
  <c r="I398" i="71" l="1"/>
  <c r="H399" i="71"/>
  <c r="I399" i="71" l="1"/>
  <c r="H400" i="71"/>
  <c r="I400" i="71" l="1"/>
  <c r="H401" i="71"/>
  <c r="I401" i="71" l="1"/>
  <c r="H402" i="71"/>
  <c r="I402" i="71" l="1"/>
  <c r="H403" i="71"/>
  <c r="I403" i="71" l="1"/>
  <c r="H404" i="71"/>
  <c r="I404" i="71" l="1"/>
  <c r="H405" i="71"/>
  <c r="I405" i="71" l="1"/>
  <c r="H406" i="71"/>
  <c r="I406" i="71" l="1"/>
  <c r="H407" i="71"/>
  <c r="I407" i="71" l="1"/>
  <c r="H408" i="71"/>
  <c r="I408" i="71" l="1"/>
  <c r="H409" i="71"/>
  <c r="I409" i="71" l="1"/>
  <c r="H410" i="71"/>
  <c r="I410" i="71" l="1"/>
  <c r="H411" i="71"/>
  <c r="I411" i="71" l="1"/>
  <c r="H412" i="71"/>
  <c r="I412" i="71" l="1"/>
  <c r="H413" i="71"/>
  <c r="I413" i="71" l="1"/>
  <c r="H414" i="71"/>
  <c r="I414" i="71" l="1"/>
  <c r="H415" i="71"/>
  <c r="I415" i="71" l="1"/>
  <c r="H416" i="71"/>
  <c r="I416" i="71" l="1"/>
  <c r="H417" i="71"/>
  <c r="I417" i="71" l="1"/>
  <c r="H418" i="71"/>
  <c r="I418" i="71" l="1"/>
  <c r="H419" i="71"/>
  <c r="I419" i="71" l="1"/>
  <c r="H420" i="71"/>
  <c r="I420" i="71" l="1"/>
  <c r="H421" i="71"/>
  <c r="I421" i="71" l="1"/>
  <c r="H422" i="71"/>
  <c r="I422" i="71" l="1"/>
  <c r="H423" i="71"/>
  <c r="I423" i="71" l="1"/>
  <c r="H424" i="71"/>
  <c r="I424" i="71" l="1"/>
  <c r="H425" i="71"/>
  <c r="I425" i="71" l="1"/>
  <c r="H426" i="71"/>
  <c r="I426" i="71" l="1"/>
  <c r="H427" i="71"/>
  <c r="I427" i="71" l="1"/>
  <c r="H428" i="71"/>
  <c r="I428" i="71" l="1"/>
  <c r="H429" i="71"/>
  <c r="I429" i="71" l="1"/>
  <c r="H430" i="71"/>
  <c r="I430" i="71" l="1"/>
  <c r="H431" i="71"/>
  <c r="I431" i="71" l="1"/>
  <c r="H432" i="71"/>
  <c r="I432" i="71" l="1"/>
  <c r="H433" i="71"/>
  <c r="I433" i="71" l="1"/>
  <c r="H434" i="71"/>
  <c r="I434" i="71" l="1"/>
  <c r="H435" i="71"/>
  <c r="I435" i="71" l="1"/>
  <c r="H436" i="71"/>
  <c r="I436" i="71" l="1"/>
  <c r="H437" i="71"/>
  <c r="I437" i="71" l="1"/>
  <c r="H438" i="71"/>
  <c r="I438" i="71" l="1"/>
  <c r="H439" i="71"/>
  <c r="I439" i="71" l="1"/>
  <c r="H440" i="71"/>
  <c r="I440" i="71" l="1"/>
  <c r="H441" i="71"/>
  <c r="I441" i="71" l="1"/>
  <c r="H442" i="71"/>
  <c r="I442" i="71" l="1"/>
  <c r="H443" i="71"/>
  <c r="I443" i="71" l="1"/>
  <c r="H444" i="71"/>
  <c r="I444" i="71" l="1"/>
  <c r="H445" i="71"/>
  <c r="I445" i="71" l="1"/>
  <c r="H446" i="71"/>
  <c r="I446" i="71" l="1"/>
  <c r="H447" i="71"/>
  <c r="I447" i="71" l="1"/>
  <c r="H448" i="71"/>
  <c r="I448" i="71" l="1"/>
  <c r="H449" i="71"/>
  <c r="I449" i="71" l="1"/>
  <c r="H450" i="71"/>
  <c r="I450" i="71" l="1"/>
  <c r="H451" i="71"/>
  <c r="I451" i="71" l="1"/>
  <c r="H452" i="71"/>
  <c r="I452" i="71" l="1"/>
  <c r="H453" i="71"/>
  <c r="I453" i="71" l="1"/>
  <c r="H454" i="71"/>
  <c r="I454" i="71" l="1"/>
  <c r="H455" i="71"/>
  <c r="I455" i="71" l="1"/>
  <c r="H456" i="71"/>
  <c r="I456" i="71" l="1"/>
  <c r="H457" i="71"/>
  <c r="I457" i="71" l="1"/>
  <c r="H458" i="71"/>
  <c r="I458" i="71" l="1"/>
  <c r="H459" i="71"/>
  <c r="I459" i="71" l="1"/>
  <c r="H460" i="71"/>
  <c r="I460" i="71" l="1"/>
  <c r="H461" i="71"/>
  <c r="I461" i="71" l="1"/>
  <c r="H462" i="71"/>
  <c r="I462" i="71" l="1"/>
  <c r="H463" i="71"/>
  <c r="I463" i="71" l="1"/>
  <c r="H464" i="71"/>
  <c r="I464" i="71" l="1"/>
  <c r="H465" i="71"/>
  <c r="I465" i="71" l="1"/>
  <c r="H466" i="71"/>
  <c r="I466" i="71" l="1"/>
  <c r="H467" i="71"/>
  <c r="I467" i="71" l="1"/>
  <c r="H468" i="71"/>
  <c r="I468" i="71" l="1"/>
  <c r="H469" i="71"/>
  <c r="I469" i="71" l="1"/>
  <c r="H470" i="71"/>
  <c r="I470" i="71" l="1"/>
  <c r="H471" i="71"/>
  <c r="I471" i="71" l="1"/>
  <c r="H472" i="71"/>
  <c r="I472" i="71" l="1"/>
  <c r="H473" i="71"/>
  <c r="I473" i="71" l="1"/>
  <c r="H474" i="71"/>
  <c r="I474" i="71" l="1"/>
  <c r="H475" i="71"/>
  <c r="I475" i="71" l="1"/>
  <c r="H476" i="71"/>
  <c r="I476" i="71" l="1"/>
  <c r="H477" i="71"/>
  <c r="I477" i="71" l="1"/>
  <c r="H478" i="71"/>
  <c r="I478" i="71" l="1"/>
  <c r="H479" i="71"/>
  <c r="I479" i="71" l="1"/>
  <c r="H480" i="71"/>
  <c r="I480" i="71" l="1"/>
  <c r="H481" i="71"/>
  <c r="I481" i="71" l="1"/>
  <c r="H482" i="71"/>
  <c r="I482" i="71" l="1"/>
  <c r="H483" i="71"/>
  <c r="I483" i="71" l="1"/>
  <c r="H484" i="71"/>
  <c r="I484" i="71" l="1"/>
  <c r="H485" i="71"/>
  <c r="I485" i="71" l="1"/>
  <c r="H486" i="71"/>
  <c r="I486" i="71" l="1"/>
  <c r="H487" i="71"/>
  <c r="I487" i="71" l="1"/>
  <c r="H488" i="71"/>
  <c r="I488" i="71" l="1"/>
  <c r="H489" i="71"/>
  <c r="I489" i="71" l="1"/>
  <c r="H490" i="71"/>
  <c r="I490" i="71" l="1"/>
  <c r="H491" i="71"/>
  <c r="I491" i="71" l="1"/>
  <c r="H492" i="71"/>
  <c r="I492" i="71" l="1"/>
  <c r="H493" i="71"/>
  <c r="I493" i="71" l="1"/>
  <c r="H494" i="71"/>
  <c r="I494" i="71" l="1"/>
  <c r="H495" i="71"/>
  <c r="I495" i="71" l="1"/>
  <c r="H496" i="71"/>
  <c r="I496" i="71" l="1"/>
  <c r="H497" i="71"/>
  <c r="I497" i="71" l="1"/>
  <c r="H498" i="71"/>
  <c r="I498" i="71" l="1"/>
  <c r="H499" i="71"/>
  <c r="I499" i="71" l="1"/>
  <c r="H500" i="71"/>
  <c r="I500" i="71" l="1"/>
  <c r="H501" i="71"/>
  <c r="I501" i="71" l="1"/>
  <c r="H502" i="71"/>
  <c r="I502" i="71" l="1"/>
  <c r="H503" i="71"/>
  <c r="I503" i="71" l="1"/>
  <c r="H504" i="71"/>
  <c r="I504" i="71" l="1"/>
  <c r="H505" i="71"/>
  <c r="I505" i="71" l="1"/>
  <c r="H506" i="71"/>
  <c r="I506" i="71" l="1"/>
  <c r="H507" i="71"/>
  <c r="I507" i="71" l="1"/>
  <c r="H508" i="71"/>
  <c r="I508" i="71" l="1"/>
  <c r="H509" i="71"/>
  <c r="I509" i="71" l="1"/>
  <c r="H510" i="71"/>
  <c r="I510" i="71" l="1"/>
  <c r="H511" i="71"/>
  <c r="I511" i="71" l="1"/>
  <c r="H512" i="71"/>
  <c r="I512" i="71" l="1"/>
  <c r="H513" i="71"/>
  <c r="I513" i="71" l="1"/>
  <c r="H514" i="71"/>
  <c r="I514" i="71" l="1"/>
  <c r="H515" i="71"/>
  <c r="I515" i="71" l="1"/>
  <c r="H516" i="71"/>
  <c r="I516" i="71" l="1"/>
  <c r="H517" i="71"/>
  <c r="I517" i="71" l="1"/>
  <c r="H518" i="71"/>
  <c r="I518" i="71" l="1"/>
  <c r="H519" i="71"/>
  <c r="I519" i="71" l="1"/>
  <c r="H520" i="71"/>
  <c r="I520" i="71" l="1"/>
  <c r="H521" i="71"/>
  <c r="I521" i="71" l="1"/>
  <c r="H522" i="71"/>
  <c r="I522" i="71" l="1"/>
  <c r="H523" i="71"/>
  <c r="I523" i="71" l="1"/>
  <c r="H524" i="71"/>
  <c r="I524" i="71" l="1"/>
  <c r="H525" i="71"/>
  <c r="I525" i="71" l="1"/>
  <c r="H526" i="71"/>
  <c r="I526" i="71" l="1"/>
  <c r="H527" i="71"/>
  <c r="I527" i="71" l="1"/>
  <c r="H528" i="71"/>
  <c r="I528" i="71" l="1"/>
  <c r="H529" i="71"/>
  <c r="I529" i="71" l="1"/>
  <c r="H530" i="71"/>
  <c r="I530" i="71" l="1"/>
  <c r="H531" i="71"/>
  <c r="I531" i="71" l="1"/>
  <c r="H532" i="71"/>
  <c r="I532" i="71" l="1"/>
  <c r="H533" i="71"/>
  <c r="I533" i="71" l="1"/>
  <c r="H534" i="71"/>
  <c r="I534" i="71" l="1"/>
  <c r="H535" i="71"/>
  <c r="I535" i="71" l="1"/>
  <c r="H536" i="71"/>
  <c r="I536" i="71" l="1"/>
  <c r="H537" i="71"/>
  <c r="I537" i="71" l="1"/>
  <c r="H538" i="71"/>
  <c r="I538" i="71" l="1"/>
  <c r="H539" i="71"/>
  <c r="I539" i="71" l="1"/>
  <c r="H540" i="71"/>
  <c r="I540" i="71" l="1"/>
  <c r="H541" i="71"/>
  <c r="I541" i="71" l="1"/>
  <c r="H542" i="71"/>
  <c r="I542" i="71" l="1"/>
  <c r="H543" i="71"/>
  <c r="I543" i="71" l="1"/>
  <c r="H544" i="71"/>
  <c r="I544" i="71" l="1"/>
  <c r="H545" i="71"/>
  <c r="I545" i="71" l="1"/>
  <c r="H546" i="71"/>
  <c r="I546" i="71" l="1"/>
  <c r="H547" i="71"/>
  <c r="I547" i="71" l="1"/>
  <c r="H548" i="71"/>
  <c r="I548" i="71" l="1"/>
  <c r="H549" i="71"/>
  <c r="I549" i="71" l="1"/>
  <c r="H550" i="71"/>
  <c r="I550" i="71" l="1"/>
  <c r="H551" i="71"/>
  <c r="I551" i="71" l="1"/>
  <c r="H552" i="71"/>
  <c r="I552" i="71" l="1"/>
  <c r="H553" i="71"/>
  <c r="I553" i="71" l="1"/>
  <c r="H554" i="71"/>
  <c r="I554" i="71" l="1"/>
  <c r="H555" i="71"/>
  <c r="I555" i="71" l="1"/>
  <c r="H556" i="71"/>
  <c r="I556" i="71" l="1"/>
  <c r="H557" i="71"/>
  <c r="I557" i="71" l="1"/>
  <c r="H558" i="71"/>
  <c r="I558" i="71" l="1"/>
  <c r="H559" i="71"/>
  <c r="I559" i="71" l="1"/>
  <c r="H560" i="71"/>
  <c r="I560" i="71" l="1"/>
  <c r="H561" i="71"/>
  <c r="I561" i="71" l="1"/>
  <c r="H562" i="71"/>
  <c r="I562" i="71" l="1"/>
  <c r="H563" i="71"/>
  <c r="I563" i="71" l="1"/>
  <c r="H564" i="71"/>
  <c r="I564" i="71" l="1"/>
  <c r="H565" i="71"/>
  <c r="I565" i="71" l="1"/>
  <c r="H566" i="71"/>
  <c r="I566" i="71" l="1"/>
  <c r="H567" i="71"/>
  <c r="I567" i="71" l="1"/>
  <c r="H568" i="71"/>
  <c r="I568" i="71" l="1"/>
  <c r="H569" i="71"/>
  <c r="I569" i="71" l="1"/>
  <c r="H570" i="71"/>
  <c r="I570" i="71" l="1"/>
  <c r="H571" i="71"/>
  <c r="I571" i="71" l="1"/>
  <c r="H572" i="71"/>
  <c r="I572" i="71" l="1"/>
  <c r="H573" i="71"/>
  <c r="I573" i="71" l="1"/>
  <c r="H574" i="71"/>
  <c r="I574" i="71" l="1"/>
  <c r="H575" i="71"/>
  <c r="I575" i="71" l="1"/>
  <c r="H576" i="71"/>
  <c r="I576" i="71" l="1"/>
  <c r="H577" i="71"/>
  <c r="I577" i="71" l="1"/>
  <c r="H578" i="71"/>
  <c r="I578" i="71" l="1"/>
  <c r="H579" i="71"/>
  <c r="I579" i="71" l="1"/>
  <c r="H580" i="71"/>
  <c r="I580" i="71" l="1"/>
  <c r="H581" i="71"/>
  <c r="I581" i="71" l="1"/>
  <c r="H582" i="71"/>
  <c r="I582" i="71" l="1"/>
  <c r="H583" i="71"/>
  <c r="I583" i="71" l="1"/>
  <c r="H584" i="71"/>
  <c r="I584" i="71" l="1"/>
  <c r="H585" i="71"/>
  <c r="I585" i="71" l="1"/>
  <c r="H586" i="71"/>
  <c r="I586" i="71" l="1"/>
  <c r="H587" i="71"/>
  <c r="I587" i="71" l="1"/>
  <c r="H588" i="71"/>
  <c r="I588" i="71" l="1"/>
  <c r="H589" i="71"/>
  <c r="I589" i="71" l="1"/>
  <c r="H590" i="71"/>
  <c r="I590" i="71" l="1"/>
  <c r="H591" i="71"/>
  <c r="I591" i="71" l="1"/>
  <c r="H592" i="71"/>
  <c r="I592" i="71" l="1"/>
  <c r="H593" i="71"/>
  <c r="I593" i="71" l="1"/>
  <c r="H594" i="71"/>
  <c r="I594" i="71" l="1"/>
  <c r="H595" i="71"/>
  <c r="I595" i="71" l="1"/>
  <c r="H596" i="71"/>
  <c r="I596" i="71" l="1"/>
  <c r="H597" i="71"/>
  <c r="I597" i="71" l="1"/>
  <c r="H598" i="71"/>
  <c r="I598" i="71" l="1"/>
  <c r="H599" i="71"/>
  <c r="I599" i="71" l="1"/>
  <c r="H600" i="71"/>
  <c r="I600" i="71" l="1"/>
  <c r="H601" i="71"/>
  <c r="I601" i="71" l="1"/>
  <c r="H602" i="71"/>
  <c r="I602" i="71" l="1"/>
  <c r="H603" i="71"/>
  <c r="I603" i="71" l="1"/>
  <c r="H604" i="71"/>
  <c r="I604" i="71" l="1"/>
  <c r="H605" i="71"/>
  <c r="I605" i="71" l="1"/>
  <c r="H606" i="71"/>
  <c r="I606" i="71" l="1"/>
  <c r="H607" i="71"/>
  <c r="I607" i="71" l="1"/>
  <c r="H608" i="71"/>
  <c r="I608" i="71" l="1"/>
  <c r="H609" i="71"/>
  <c r="I609" i="71" l="1"/>
  <c r="H610" i="71"/>
  <c r="I610" i="71" l="1"/>
  <c r="H611" i="71"/>
  <c r="I611" i="71" l="1"/>
  <c r="H612" i="71"/>
  <c r="I612" i="71" l="1"/>
  <c r="H613" i="71"/>
  <c r="I613" i="71" l="1"/>
  <c r="H614" i="71"/>
  <c r="I614" i="71" l="1"/>
  <c r="H615" i="71"/>
  <c r="I615" i="71" l="1"/>
  <c r="H616" i="71"/>
  <c r="I616" i="71" l="1"/>
  <c r="H617" i="71"/>
  <c r="I617" i="71" l="1"/>
  <c r="H618" i="71"/>
  <c r="I618" i="71" l="1"/>
  <c r="H619" i="71"/>
  <c r="I619" i="71" l="1"/>
  <c r="H620" i="71"/>
  <c r="I620" i="71" l="1"/>
  <c r="H621" i="71"/>
  <c r="I621" i="71" l="1"/>
  <c r="H622" i="71"/>
  <c r="I622" i="71" l="1"/>
  <c r="H623" i="71"/>
  <c r="I623" i="71" l="1"/>
  <c r="H624" i="71"/>
  <c r="I624" i="71" l="1"/>
  <c r="H625" i="71"/>
  <c r="I625" i="71" l="1"/>
  <c r="H626" i="71"/>
  <c r="I626" i="71" l="1"/>
  <c r="H627" i="71"/>
  <c r="I627" i="71" l="1"/>
  <c r="H628" i="71"/>
  <c r="I628" i="71" l="1"/>
  <c r="H629" i="71"/>
  <c r="I629" i="71" l="1"/>
  <c r="H630" i="71"/>
  <c r="I630" i="71" l="1"/>
  <c r="H631" i="71"/>
  <c r="I631" i="71" l="1"/>
  <c r="H632" i="71"/>
  <c r="I632" i="71" l="1"/>
  <c r="H633" i="71"/>
  <c r="I633" i="71" l="1"/>
  <c r="H634" i="71"/>
  <c r="I634" i="71" l="1"/>
  <c r="H635" i="71"/>
  <c r="I635" i="71" l="1"/>
  <c r="H636" i="71"/>
  <c r="I636" i="71" l="1"/>
  <c r="H637" i="71"/>
  <c r="I637" i="71" l="1"/>
  <c r="H638" i="71"/>
  <c r="I638" i="71" l="1"/>
  <c r="H639" i="71"/>
  <c r="I639" i="71" l="1"/>
  <c r="H640" i="71"/>
  <c r="I640" i="71" l="1"/>
  <c r="H641" i="71"/>
  <c r="I641" i="71" l="1"/>
  <c r="H642" i="71"/>
  <c r="I642" i="71" l="1"/>
  <c r="H643" i="71"/>
  <c r="I643" i="71" l="1"/>
  <c r="H644" i="71"/>
  <c r="I644" i="71" l="1"/>
  <c r="H645" i="71"/>
  <c r="I645" i="71" l="1"/>
  <c r="H646" i="71"/>
  <c r="I646" i="71" l="1"/>
  <c r="H647" i="71"/>
  <c r="I647" i="71" l="1"/>
  <c r="H648" i="71"/>
  <c r="I648" i="71" l="1"/>
  <c r="H649" i="71"/>
  <c r="I649" i="71" l="1"/>
  <c r="H650" i="71"/>
  <c r="I650" i="71" l="1"/>
  <c r="H651" i="71"/>
  <c r="I651" i="71" l="1"/>
  <c r="H652" i="71"/>
  <c r="I652" i="71" l="1"/>
  <c r="H653" i="71"/>
  <c r="I653" i="71" l="1"/>
  <c r="H654" i="71"/>
  <c r="I654" i="71" l="1"/>
  <c r="H655" i="71"/>
  <c r="I655" i="71" l="1"/>
  <c r="H656" i="71"/>
  <c r="I656" i="71" l="1"/>
  <c r="H657" i="71"/>
  <c r="I657" i="71" l="1"/>
  <c r="H658" i="71"/>
  <c r="I658" i="71" l="1"/>
  <c r="H659" i="71"/>
  <c r="I659" i="71" l="1"/>
  <c r="H660" i="71"/>
  <c r="I660" i="71" l="1"/>
  <c r="H661" i="71"/>
  <c r="I661" i="71" l="1"/>
  <c r="H662" i="71"/>
  <c r="I662" i="71" l="1"/>
  <c r="H663" i="71"/>
  <c r="I663" i="71" l="1"/>
  <c r="H664" i="71"/>
  <c r="I664" i="71" l="1"/>
  <c r="H665" i="71"/>
  <c r="I665" i="71" l="1"/>
  <c r="H666" i="71"/>
  <c r="I666" i="71" l="1"/>
  <c r="H667" i="71"/>
  <c r="I667" i="71" l="1"/>
  <c r="H668" i="71"/>
  <c r="I668" i="71" l="1"/>
  <c r="H669" i="71"/>
  <c r="I669" i="71" l="1"/>
  <c r="H670" i="71"/>
  <c r="I670" i="71" l="1"/>
  <c r="H671" i="71"/>
  <c r="I671" i="71" l="1"/>
  <c r="H672" i="71"/>
  <c r="I672" i="71" l="1"/>
  <c r="H673" i="71"/>
  <c r="I673" i="71" l="1"/>
  <c r="H674" i="71"/>
  <c r="J674" i="71" l="1"/>
  <c r="I674" i="71"/>
  <c r="H675" i="71"/>
  <c r="J672" i="71"/>
  <c r="J666" i="71"/>
  <c r="J670" i="71"/>
  <c r="J668" i="71"/>
  <c r="J675" i="71" l="1"/>
  <c r="I675" i="71"/>
  <c r="J17" i="71"/>
  <c r="J18" i="71"/>
  <c r="J19" i="71"/>
  <c r="J20" i="71"/>
  <c r="J21" i="71"/>
  <c r="J23" i="71"/>
  <c r="J22" i="71"/>
  <c r="J27" i="71"/>
  <c r="J24" i="71"/>
  <c r="J25" i="71"/>
  <c r="J26" i="71"/>
  <c r="J28" i="71"/>
  <c r="J29" i="71"/>
  <c r="J30" i="71"/>
  <c r="J31" i="71"/>
  <c r="J32" i="71"/>
  <c r="J33" i="71"/>
  <c r="J34" i="71"/>
  <c r="J35" i="71"/>
  <c r="J36" i="71"/>
  <c r="J37" i="71"/>
  <c r="J38" i="71"/>
  <c r="J39" i="71"/>
  <c r="J40" i="71"/>
  <c r="J41" i="71"/>
  <c r="J42" i="71"/>
  <c r="J43" i="71"/>
  <c r="J44" i="71"/>
  <c r="J45" i="71"/>
  <c r="J46" i="71"/>
  <c r="J47" i="71"/>
  <c r="J48" i="71"/>
  <c r="J49" i="71"/>
  <c r="J50" i="71"/>
  <c r="J51" i="71"/>
  <c r="J52" i="71"/>
  <c r="J53" i="71"/>
  <c r="J54" i="71"/>
  <c r="J55" i="71"/>
  <c r="J56" i="71"/>
  <c r="J57" i="71"/>
  <c r="J58" i="71"/>
  <c r="J59" i="71"/>
  <c r="J60" i="71"/>
  <c r="J61" i="71"/>
  <c r="J62" i="71"/>
  <c r="J63" i="71"/>
  <c r="J64" i="71"/>
  <c r="J65" i="71"/>
  <c r="J66" i="71"/>
  <c r="J67" i="71"/>
  <c r="J68" i="71"/>
  <c r="J69" i="71"/>
  <c r="J70" i="71"/>
  <c r="J71" i="71"/>
  <c r="J72" i="71"/>
  <c r="J73" i="71"/>
  <c r="J74" i="71"/>
  <c r="J75" i="71"/>
  <c r="J76" i="71"/>
  <c r="J77" i="71"/>
  <c r="J78" i="71"/>
  <c r="J79" i="71"/>
  <c r="J80" i="71"/>
  <c r="J81" i="71"/>
  <c r="J82" i="71"/>
  <c r="J83" i="71"/>
  <c r="J84" i="71"/>
  <c r="J85" i="71"/>
  <c r="J86" i="71"/>
  <c r="J87" i="71"/>
  <c r="J88" i="71"/>
  <c r="J89" i="71"/>
  <c r="J90" i="71"/>
  <c r="J91" i="71"/>
  <c r="J92" i="71"/>
  <c r="J93" i="71"/>
  <c r="J94" i="71"/>
  <c r="J95" i="71"/>
  <c r="J96" i="71"/>
  <c r="J97" i="71"/>
  <c r="J98" i="71"/>
  <c r="J99" i="71"/>
  <c r="J100" i="71"/>
  <c r="J101" i="71"/>
  <c r="J102" i="71"/>
  <c r="J103" i="71"/>
  <c r="J104" i="71"/>
  <c r="J105" i="71"/>
  <c r="J106" i="71"/>
  <c r="J107" i="71"/>
  <c r="J108" i="71"/>
  <c r="J109" i="71"/>
  <c r="J110" i="71"/>
  <c r="J111" i="71"/>
  <c r="J112" i="71"/>
  <c r="J113" i="71"/>
  <c r="J114" i="71"/>
  <c r="J115" i="71"/>
  <c r="J116" i="71"/>
  <c r="J117" i="71"/>
  <c r="J118" i="71"/>
  <c r="J119" i="71"/>
  <c r="J120" i="71"/>
  <c r="J121" i="71"/>
  <c r="J122" i="71"/>
  <c r="J123" i="71"/>
  <c r="J124" i="71"/>
  <c r="J125" i="71"/>
  <c r="J126" i="71"/>
  <c r="J127" i="71"/>
  <c r="J128" i="71"/>
  <c r="J129" i="71"/>
  <c r="J130" i="71"/>
  <c r="J131" i="71"/>
  <c r="J132" i="71"/>
  <c r="J133" i="71"/>
  <c r="J134" i="71"/>
  <c r="J135" i="71"/>
  <c r="J136" i="71"/>
  <c r="J137" i="71"/>
  <c r="J138" i="71"/>
  <c r="J139" i="71"/>
  <c r="J140" i="71"/>
  <c r="J141" i="71"/>
  <c r="J142" i="71"/>
  <c r="J143" i="71"/>
  <c r="J144" i="71"/>
  <c r="J145" i="71"/>
  <c r="J146" i="71"/>
  <c r="J147" i="71"/>
  <c r="J148" i="71"/>
  <c r="J149" i="71"/>
  <c r="J150" i="71"/>
  <c r="J151" i="71"/>
  <c r="J152" i="71"/>
  <c r="J153" i="71"/>
  <c r="J154" i="71"/>
  <c r="J155" i="71"/>
  <c r="J156" i="71"/>
  <c r="J157" i="71"/>
  <c r="J158" i="71"/>
  <c r="J159" i="71"/>
  <c r="J160" i="71"/>
  <c r="J161" i="71"/>
  <c r="J162" i="71"/>
  <c r="J163" i="71"/>
  <c r="J164" i="71"/>
  <c r="J165" i="71"/>
  <c r="J166" i="71"/>
  <c r="J167" i="71"/>
  <c r="J168" i="71"/>
  <c r="J169" i="71"/>
  <c r="J170" i="71"/>
  <c r="J171" i="71"/>
  <c r="J172" i="71"/>
  <c r="J173" i="71"/>
  <c r="J174" i="71"/>
  <c r="J175" i="71"/>
  <c r="J176" i="71"/>
  <c r="J177" i="71"/>
  <c r="J178" i="71"/>
  <c r="J179" i="71"/>
  <c r="J180" i="71"/>
  <c r="J181" i="71"/>
  <c r="J182" i="71"/>
  <c r="J183" i="71"/>
  <c r="J184" i="71"/>
  <c r="J185" i="71"/>
  <c r="J186" i="71"/>
  <c r="J187" i="71"/>
  <c r="J188" i="71"/>
  <c r="J189" i="71"/>
  <c r="J190" i="71"/>
  <c r="J191" i="71"/>
  <c r="J192" i="71"/>
  <c r="J193" i="71"/>
  <c r="J194" i="71"/>
  <c r="J195" i="71"/>
  <c r="J196" i="71"/>
  <c r="J197" i="71"/>
  <c r="J198" i="71"/>
  <c r="J199" i="71"/>
  <c r="J200" i="71"/>
  <c r="J201" i="71"/>
  <c r="J202" i="71"/>
  <c r="J203" i="71"/>
  <c r="J204" i="71"/>
  <c r="J205" i="71"/>
  <c r="J206" i="71"/>
  <c r="J207" i="71"/>
  <c r="J208" i="71"/>
  <c r="J209" i="71"/>
  <c r="J210" i="71"/>
  <c r="J211" i="71"/>
  <c r="J212" i="71"/>
  <c r="J213" i="71"/>
  <c r="J214" i="71"/>
  <c r="J215" i="71"/>
  <c r="J216" i="71"/>
  <c r="J217" i="71"/>
  <c r="J218" i="71"/>
  <c r="J219" i="71"/>
  <c r="J220" i="71"/>
  <c r="J221" i="71"/>
  <c r="J222" i="71"/>
  <c r="J223" i="71"/>
  <c r="J224" i="71"/>
  <c r="J225" i="71"/>
  <c r="J226" i="71"/>
  <c r="J227" i="71"/>
  <c r="J228" i="71"/>
  <c r="J229" i="71"/>
  <c r="J230" i="71"/>
  <c r="J231" i="71"/>
  <c r="J232" i="71"/>
  <c r="J233" i="71"/>
  <c r="J234" i="71"/>
  <c r="J235" i="71"/>
  <c r="J236" i="71"/>
  <c r="J237" i="71"/>
  <c r="J238" i="71"/>
  <c r="J239" i="71"/>
  <c r="J240" i="71"/>
  <c r="J241" i="71"/>
  <c r="J242" i="71"/>
  <c r="J243" i="71"/>
  <c r="J244" i="71"/>
  <c r="J245" i="71"/>
  <c r="J246" i="71"/>
  <c r="J247" i="71"/>
  <c r="J248" i="71"/>
  <c r="J249" i="71"/>
  <c r="J250" i="71"/>
  <c r="J251" i="71"/>
  <c r="J252" i="71"/>
  <c r="J253" i="71"/>
  <c r="J254" i="71"/>
  <c r="J255" i="71"/>
  <c r="J256" i="71"/>
  <c r="J257" i="71"/>
  <c r="J258" i="71"/>
  <c r="J259" i="71"/>
  <c r="J260" i="71"/>
  <c r="J261" i="71"/>
  <c r="J262" i="71"/>
  <c r="J263" i="71"/>
  <c r="J264" i="71"/>
  <c r="J265" i="71"/>
  <c r="J266" i="71"/>
  <c r="J267" i="71"/>
  <c r="J268" i="71"/>
  <c r="J269" i="71"/>
  <c r="J270" i="71"/>
  <c r="J271" i="71"/>
  <c r="J272" i="71"/>
  <c r="J273" i="71"/>
  <c r="J274" i="71"/>
  <c r="J275" i="71"/>
  <c r="J276" i="71"/>
  <c r="J277" i="71"/>
  <c r="J278" i="71"/>
  <c r="J279" i="71"/>
  <c r="J280" i="71"/>
  <c r="J281" i="71"/>
  <c r="J282" i="71"/>
  <c r="J283" i="71"/>
  <c r="J284" i="71"/>
  <c r="J285" i="71"/>
  <c r="J286" i="71"/>
  <c r="J287" i="71"/>
  <c r="J288" i="71"/>
  <c r="J289" i="71"/>
  <c r="J290" i="71"/>
  <c r="J291" i="71"/>
  <c r="J292" i="71"/>
  <c r="J293" i="71"/>
  <c r="J294" i="71"/>
  <c r="J295" i="71"/>
  <c r="J296" i="71"/>
  <c r="J297" i="71"/>
  <c r="J298" i="71"/>
  <c r="J299" i="71"/>
  <c r="J300" i="71"/>
  <c r="J301" i="71"/>
  <c r="J302" i="71"/>
  <c r="J303" i="71"/>
  <c r="J304" i="71"/>
  <c r="J305" i="71"/>
  <c r="J306" i="71"/>
  <c r="J307" i="71"/>
  <c r="J308" i="71"/>
  <c r="J309" i="71"/>
  <c r="J310" i="71"/>
  <c r="J311" i="71"/>
  <c r="J312" i="71"/>
  <c r="J313" i="71"/>
  <c r="J314" i="71"/>
  <c r="J315" i="71"/>
  <c r="J316" i="71"/>
  <c r="J317" i="71"/>
  <c r="J318" i="71"/>
  <c r="J319" i="71"/>
  <c r="J320" i="71"/>
  <c r="J321" i="71"/>
  <c r="J322" i="71"/>
  <c r="J323" i="71"/>
  <c r="J324" i="71"/>
  <c r="J325" i="71"/>
  <c r="J326" i="71"/>
  <c r="J327" i="71"/>
  <c r="J328" i="71"/>
  <c r="J329" i="71"/>
  <c r="J330" i="71"/>
  <c r="J331" i="71"/>
  <c r="J332" i="71"/>
  <c r="J333" i="71"/>
  <c r="J334" i="71"/>
  <c r="J335" i="71"/>
  <c r="J336" i="71"/>
  <c r="J337" i="71"/>
  <c r="J338" i="71"/>
  <c r="J339" i="71"/>
  <c r="J340" i="71"/>
  <c r="J341" i="71"/>
  <c r="J342" i="71"/>
  <c r="J343" i="71"/>
  <c r="J344" i="71"/>
  <c r="J345" i="71"/>
  <c r="J346" i="71"/>
  <c r="J347" i="71"/>
  <c r="J348" i="71"/>
  <c r="J349" i="71"/>
  <c r="J350" i="71"/>
  <c r="J351" i="71"/>
  <c r="J352" i="71"/>
  <c r="J353" i="71"/>
  <c r="J354" i="71"/>
  <c r="J355" i="71"/>
  <c r="J356" i="71"/>
  <c r="J357" i="71"/>
  <c r="J358" i="71"/>
  <c r="J359" i="71"/>
  <c r="J360" i="71"/>
  <c r="J361" i="71"/>
  <c r="J362" i="71"/>
  <c r="J363" i="71"/>
  <c r="J364" i="71"/>
  <c r="J365" i="71"/>
  <c r="J366" i="71"/>
  <c r="J367" i="71"/>
  <c r="J368" i="71"/>
  <c r="J369" i="71"/>
  <c r="J370" i="71"/>
  <c r="J371" i="71"/>
  <c r="J372" i="71"/>
  <c r="J373" i="71"/>
  <c r="J374" i="71"/>
  <c r="J375" i="71"/>
  <c r="J376" i="71"/>
  <c r="J377" i="71"/>
  <c r="J378" i="71"/>
  <c r="J379" i="71"/>
  <c r="J380" i="71"/>
  <c r="J381" i="71"/>
  <c r="J382" i="71"/>
  <c r="J383" i="71"/>
  <c r="J384" i="71"/>
  <c r="J385" i="71"/>
  <c r="J386" i="71"/>
  <c r="J387" i="71"/>
  <c r="J388" i="71"/>
  <c r="J389" i="71"/>
  <c r="J390" i="71"/>
  <c r="J391" i="71"/>
  <c r="J392" i="71"/>
  <c r="J393" i="71"/>
  <c r="J394" i="71"/>
  <c r="J395" i="71"/>
  <c r="J396" i="71"/>
  <c r="J397" i="71"/>
  <c r="J398" i="71"/>
  <c r="J399" i="71"/>
  <c r="J400" i="71"/>
  <c r="J401" i="71"/>
  <c r="J402" i="71"/>
  <c r="J403" i="71"/>
  <c r="J404" i="71"/>
  <c r="J405" i="71"/>
  <c r="J406" i="71"/>
  <c r="J407" i="71"/>
  <c r="J408" i="71"/>
  <c r="J409" i="71"/>
  <c r="J410" i="71"/>
  <c r="J411" i="71"/>
  <c r="J412" i="71"/>
  <c r="J413" i="71"/>
  <c r="J414" i="71"/>
  <c r="J415" i="71"/>
  <c r="J416" i="71"/>
  <c r="J417" i="71"/>
  <c r="J418" i="71"/>
  <c r="J419" i="71"/>
  <c r="J420" i="71"/>
  <c r="J421" i="71"/>
  <c r="J422" i="71"/>
  <c r="J423" i="71"/>
  <c r="J424" i="71"/>
  <c r="J425" i="71"/>
  <c r="J426" i="71"/>
  <c r="J427" i="71"/>
  <c r="J428" i="71"/>
  <c r="J429" i="71"/>
  <c r="J430" i="71"/>
  <c r="J431" i="71"/>
  <c r="J432" i="71"/>
  <c r="J433" i="71"/>
  <c r="J434" i="71"/>
  <c r="J435" i="71"/>
  <c r="J436" i="71"/>
  <c r="J437" i="71"/>
  <c r="J438" i="71"/>
  <c r="J439" i="71"/>
  <c r="J440" i="71"/>
  <c r="J441" i="71"/>
  <c r="J442" i="71"/>
  <c r="J443" i="71"/>
  <c r="J444" i="71"/>
  <c r="J445" i="71"/>
  <c r="J446" i="71"/>
  <c r="J447" i="71"/>
  <c r="J448" i="71"/>
  <c r="J449" i="71"/>
  <c r="J450" i="71"/>
  <c r="J451" i="71"/>
  <c r="J452" i="71"/>
  <c r="J453" i="71"/>
  <c r="J454" i="71"/>
  <c r="J455" i="71"/>
  <c r="J456" i="71"/>
  <c r="J457" i="71"/>
  <c r="J458" i="71"/>
  <c r="J459" i="71"/>
  <c r="J460" i="71"/>
  <c r="J461" i="71"/>
  <c r="J462" i="71"/>
  <c r="J463" i="71"/>
  <c r="J464" i="71"/>
  <c r="J465" i="71"/>
  <c r="J466" i="71"/>
  <c r="J467" i="71"/>
  <c r="J468" i="71"/>
  <c r="J469" i="71"/>
  <c r="J470" i="71"/>
  <c r="J471" i="71"/>
  <c r="J472" i="71"/>
  <c r="J473" i="71"/>
  <c r="J474" i="71"/>
  <c r="J475" i="71"/>
  <c r="J476" i="71"/>
  <c r="J477" i="71"/>
  <c r="J478" i="71"/>
  <c r="J479" i="71"/>
  <c r="J480" i="71"/>
  <c r="J481" i="71"/>
  <c r="J482" i="71"/>
  <c r="J483" i="71"/>
  <c r="J484" i="71"/>
  <c r="J485" i="71"/>
  <c r="J486" i="71"/>
  <c r="J487" i="71"/>
  <c r="J488" i="71"/>
  <c r="J489" i="71"/>
  <c r="J490" i="71"/>
  <c r="J491" i="71"/>
  <c r="J492" i="71"/>
  <c r="J493" i="71"/>
  <c r="J494" i="71"/>
  <c r="J495" i="71"/>
  <c r="J496" i="71"/>
  <c r="J497" i="71"/>
  <c r="J498" i="71"/>
  <c r="J499" i="71"/>
  <c r="J500" i="71"/>
  <c r="J501" i="71"/>
  <c r="J502" i="71"/>
  <c r="J503" i="71"/>
  <c r="J504" i="71"/>
  <c r="J505" i="71"/>
  <c r="J506" i="71"/>
  <c r="J507" i="71"/>
  <c r="J508" i="71"/>
  <c r="J509" i="71"/>
  <c r="J510" i="71"/>
  <c r="J511" i="71"/>
  <c r="J512" i="71"/>
  <c r="J513" i="71"/>
  <c r="J514" i="71"/>
  <c r="J515" i="71"/>
  <c r="J516" i="71"/>
  <c r="J517" i="71"/>
  <c r="J518" i="71"/>
  <c r="J519" i="71"/>
  <c r="J520" i="71"/>
  <c r="J521" i="71"/>
  <c r="J522" i="71"/>
  <c r="J523" i="71"/>
  <c r="J524" i="71"/>
  <c r="J525" i="71"/>
  <c r="J526" i="71"/>
  <c r="J527" i="71"/>
  <c r="J528" i="71"/>
  <c r="J529" i="71"/>
  <c r="J530" i="71"/>
  <c r="J531" i="71"/>
  <c r="J532" i="71"/>
  <c r="J533" i="71"/>
  <c r="J534" i="71"/>
  <c r="J535" i="71"/>
  <c r="J536" i="71"/>
  <c r="J537" i="71"/>
  <c r="J538" i="71"/>
  <c r="J539" i="71"/>
  <c r="J540" i="71"/>
  <c r="J541" i="71"/>
  <c r="J542" i="71"/>
  <c r="J543" i="71"/>
  <c r="J544" i="71"/>
  <c r="J545" i="71"/>
  <c r="J546" i="71"/>
  <c r="J547" i="71"/>
  <c r="J548" i="71"/>
  <c r="J549" i="71"/>
  <c r="J550" i="71"/>
  <c r="J551" i="71"/>
  <c r="J552" i="71"/>
  <c r="J553" i="71"/>
  <c r="J554" i="71"/>
  <c r="J555" i="71"/>
  <c r="J556" i="71"/>
  <c r="J557" i="71"/>
  <c r="J558" i="71"/>
  <c r="J559" i="71"/>
  <c r="J560" i="71"/>
  <c r="J561" i="71"/>
  <c r="J562" i="71"/>
  <c r="J563" i="71"/>
  <c r="J564" i="71"/>
  <c r="J565" i="71"/>
  <c r="J566" i="71"/>
  <c r="J567" i="71"/>
  <c r="J568" i="71"/>
  <c r="J569" i="71"/>
  <c r="J570" i="71"/>
  <c r="J571" i="71"/>
  <c r="J572" i="71"/>
  <c r="J573" i="71"/>
  <c r="J574" i="71"/>
  <c r="J575" i="71"/>
  <c r="J576" i="71"/>
  <c r="J577" i="71"/>
  <c r="J578" i="71"/>
  <c r="J579" i="71"/>
  <c r="J580" i="71"/>
  <c r="J581" i="71"/>
  <c r="J582" i="71"/>
  <c r="J583" i="71"/>
  <c r="J584" i="71"/>
  <c r="J585" i="71"/>
  <c r="J586" i="71"/>
  <c r="J587" i="71"/>
  <c r="J588" i="71"/>
  <c r="J589" i="71"/>
  <c r="J590" i="71"/>
  <c r="J591" i="71"/>
  <c r="J592" i="71"/>
  <c r="J593" i="71"/>
  <c r="J594" i="71"/>
  <c r="J595" i="71"/>
  <c r="J596" i="71"/>
  <c r="J597" i="71"/>
  <c r="J598" i="71"/>
  <c r="J599" i="71"/>
  <c r="J600" i="71"/>
  <c r="J601" i="71"/>
  <c r="J602" i="71"/>
  <c r="J603" i="71"/>
  <c r="J604" i="71"/>
  <c r="J605" i="71"/>
  <c r="J606" i="71"/>
  <c r="J607" i="71"/>
  <c r="J608" i="71"/>
  <c r="J609" i="71"/>
  <c r="J610" i="71"/>
  <c r="J611" i="71"/>
  <c r="J612" i="71"/>
  <c r="J613" i="71"/>
  <c r="J614" i="71"/>
  <c r="J615" i="71"/>
  <c r="J616" i="71"/>
  <c r="J617" i="71"/>
  <c r="J618" i="71"/>
  <c r="J619" i="71"/>
  <c r="J620" i="71"/>
  <c r="J621" i="71"/>
  <c r="J622" i="71"/>
  <c r="J623" i="71"/>
  <c r="J624" i="71"/>
  <c r="J625" i="71"/>
  <c r="J626" i="71"/>
  <c r="J627" i="71"/>
  <c r="J628" i="71"/>
  <c r="J629" i="71"/>
  <c r="J630" i="71"/>
  <c r="J631" i="71"/>
  <c r="J632" i="71"/>
  <c r="J633" i="71"/>
  <c r="J634" i="71"/>
  <c r="J635" i="71"/>
  <c r="J636" i="71"/>
  <c r="J637" i="71"/>
  <c r="J638" i="71"/>
  <c r="J639" i="71"/>
  <c r="J640" i="71"/>
  <c r="J641" i="71"/>
  <c r="J642" i="71"/>
  <c r="J643" i="71"/>
  <c r="J644" i="71"/>
  <c r="J645" i="71"/>
  <c r="J646" i="71"/>
  <c r="J647" i="71"/>
  <c r="J648" i="71"/>
  <c r="J649" i="71"/>
  <c r="J650" i="71"/>
  <c r="J651" i="71"/>
  <c r="J652" i="71"/>
  <c r="J653" i="71"/>
  <c r="J654" i="71"/>
  <c r="J655" i="71"/>
  <c r="J656" i="71"/>
  <c r="J657" i="71"/>
  <c r="J658" i="71"/>
  <c r="J659" i="71"/>
  <c r="J660" i="71"/>
  <c r="J661" i="71"/>
  <c r="J662" i="71"/>
  <c r="J663" i="71"/>
  <c r="J664" i="71"/>
  <c r="J673" i="71"/>
  <c r="J667" i="71"/>
  <c r="J669" i="71"/>
  <c r="J671" i="71"/>
  <c r="J665" i="7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tc={69D6092B-5AD3-4BA5-8EC3-971B5270794C}</author>
    <author>tc={B811DD19-5DE6-4508-8B69-5E437616D3D4}</author>
  </authors>
  <commentList>
    <comment ref="Y21" authorId="0" shapeId="0" xr:uid="{69D6092B-5AD3-4BA5-8EC3-971B5270794C}">
      <text>
        <t>[Comentário encadeado]
Sua versão do Excel permite que você leia este comentário encadeado, no entanto, as edições serão removidas se o arquivo for aberto em uma versão mais recente do Excel. Saiba mais: https://go.microsoft.com/fwlink/?linkid=870924
Comentário:
    Excel's LINEST function calculates wrongly the ESS if the parameter CONSTANT is FALSE, but X still has a constant.
Responder:
    Controversy: http://web.ist.utl.pt/~ist11038/compute/errtheory/,regression/regrthroughorigin.pdf</t>
      </text>
    </comment>
    <comment ref="Y30" authorId="1" shapeId="0" xr:uid="{B811DD19-5DE6-4508-8B69-5E437616D3D4}">
      <text>
        <t>[Comentário encadeado]
Sua versão do Excel permite que você leia este comentário encadeado, no entanto, as edições serão removidas se o arquivo for aberto em uma versão mais recente do Excel. Saiba mais: https://go.microsoft.com/fwlink/?linkid=870924
Comentário:
    In case of regression without a constant, it returns "non-centered R2".</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0">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futureMetadata>
  <cellMetadata count="1">
    <bk>
      <rc t="1" v="0"/>
    </bk>
  </cellMetadata>
  <valueMetadata count="10">
    <bk>
      <rc t="2" v="0"/>
    </bk>
    <bk>
      <rc t="2" v="1"/>
    </bk>
    <bk>
      <rc t="2" v="2"/>
    </bk>
    <bk>
      <rc t="2" v="3"/>
    </bk>
    <bk>
      <rc t="2" v="4"/>
    </bk>
    <bk>
      <rc t="2" v="5"/>
    </bk>
    <bk>
      <rc t="2" v="6"/>
    </bk>
    <bk>
      <rc t="2" v="7"/>
    </bk>
    <bk>
      <rc t="2" v="8"/>
    </bk>
    <bk>
      <rc t="2" v="9"/>
    </bk>
  </valueMetadata>
</metadata>
</file>

<file path=xl/sharedStrings.xml><?xml version="1.0" encoding="utf-8"?>
<sst xmlns="http://schemas.openxmlformats.org/spreadsheetml/2006/main" count="2483" uniqueCount="955">
  <si>
    <t>Lambda functions for matrix calculation</t>
  </si>
  <si>
    <t>x</t>
  </si>
  <si>
    <t>y</t>
  </si>
  <si>
    <t>z</t>
  </si>
  <si>
    <t>Data</t>
  </si>
  <si>
    <t>SLICE (example 1)</t>
  </si>
  <si>
    <t>SLICE (example 2: unbounded)</t>
  </si>
  <si>
    <t>LAMBDA functions</t>
  </si>
  <si>
    <t>LAMBDA functions incorporated as new Excel functions</t>
  </si>
  <si>
    <t>x,y [1:3] ; x,y [10:12]</t>
  </si>
  <si>
    <t>x, y [1:6] , z [7:12]</t>
  </si>
  <si>
    <t>Developed by Eduardo G. C. Amaral</t>
  </si>
  <si>
    <t>Source: https://github.com/edugca/xlMATRIX</t>
  </si>
  <si>
    <t>w</t>
  </si>
  <si>
    <t>EYE</t>
  </si>
  <si>
    <t>Parameters</t>
  </si>
  <si>
    <t>Description</t>
  </si>
  <si>
    <t>Example</t>
  </si>
  <si>
    <t>Dimension of the identity matrix</t>
  </si>
  <si>
    <t>Returns an identity matrix</t>
  </si>
  <si>
    <t>DIAG</t>
  </si>
  <si>
    <t>Returns the diagonal of a matrix</t>
  </si>
  <si>
    <t>matrix</t>
  </si>
  <si>
    <t>ZEROS</t>
  </si>
  <si>
    <t>Returns a matrix of zeros</t>
  </si>
  <si>
    <t>The matrix whose diagonal one wants to extract. If a vector, function returns a matrix with that vector as diagonal.</t>
  </si>
  <si>
    <t>k</t>
  </si>
  <si>
    <t>k=0 (default) is the main diagonal; k&gt;0 is above the main diagonal; k&lt;0 is below the main diagonal</t>
  </si>
  <si>
    <t>The matrix whose lower triangular part one wants to extract.</t>
  </si>
  <si>
    <t>k=0 (default); k&gt; or k&lt;0 returns the elements on and below the kth diagonal of the matrix.</t>
  </si>
  <si>
    <t>TRIL</t>
  </si>
  <si>
    <t>TRIU</t>
  </si>
  <si>
    <t>ONES</t>
  </si>
  <si>
    <t>Returns a matrix of ones</t>
  </si>
  <si>
    <t>Dimension of the matrix of zeros to be returned</t>
  </si>
  <si>
    <t>Dimension of the matrix of ones to be returned</t>
  </si>
  <si>
    <t>n</t>
  </si>
  <si>
    <t>m</t>
  </si>
  <si>
    <t>[m]</t>
  </si>
  <si>
    <t>Trims or expands (with zeros) the matrix so as it has m columns</t>
  </si>
  <si>
    <t>If provided, it sets the number of columns of the matrix</t>
  </si>
  <si>
    <t>VEC</t>
  </si>
  <si>
    <t>The matrix that will be turned into a vector.</t>
  </si>
  <si>
    <t>The matrix whose upper triangular part one wants to extract.</t>
  </si>
  <si>
    <t>K</t>
  </si>
  <si>
    <t>FLIPLR</t>
  </si>
  <si>
    <t>The array/matrix that will be flipped.</t>
  </si>
  <si>
    <t>FLIPUD</t>
  </si>
  <si>
    <t>Flip array up to down</t>
  </si>
  <si>
    <t>SLICE</t>
  </si>
  <si>
    <t>REPMAT</t>
  </si>
  <si>
    <t>Repeat copies of array</t>
  </si>
  <si>
    <t>Flip array left to right</t>
  </si>
  <si>
    <t>Returns the upper triangular part of a matrix</t>
  </si>
  <si>
    <t>Returns the lower triangular part of a matrix</t>
  </si>
  <si>
    <t>Matrix to be copied</t>
  </si>
  <si>
    <t>[n]</t>
  </si>
  <si>
    <t>History</t>
  </si>
  <si>
    <t>v. 0.1</t>
  </si>
  <si>
    <t>v. 0.2</t>
  </si>
  <si>
    <t>Functions REVERSEROWS and REVERSECOLS were renamed to FLIPUD and FLIPLR for consistency with MatLab names.</t>
  </si>
  <si>
    <t>First release.</t>
  </si>
  <si>
    <t>[direction]</t>
  </si>
  <si>
    <t>direction</t>
  </si>
  <si>
    <t>last</t>
  </si>
  <si>
    <t>Find indices of nonzero elements</t>
  </si>
  <si>
    <t>Returning the values</t>
  </si>
  <si>
    <t>General functions</t>
  </si>
  <si>
    <t>SAMPLE</t>
  </si>
  <si>
    <t>BLKDIAG</t>
  </si>
  <si>
    <t>Create a block diagonal matrix from existing matrices</t>
  </si>
  <si>
    <t>matrixA</t>
  </si>
  <si>
    <t>matrixB</t>
  </si>
  <si>
    <t>Matrix on the upper-left of the diagonal</t>
  </si>
  <si>
    <t>Matrix on the lower-right of the diagonal</t>
  </si>
  <si>
    <t>VERTCAT</t>
  </si>
  <si>
    <t>HORZCAT</t>
  </si>
  <si>
    <t>MatLab equivalent</t>
  </si>
  <si>
    <t>FIND</t>
  </si>
  <si>
    <t>Known differences</t>
  </si>
  <si>
    <t>xlFunction allows matrices with different number of columns</t>
  </si>
  <si>
    <t>xlFunction allows matrices with different number of rows</t>
  </si>
  <si>
    <t>VEC (add-on)</t>
  </si>
  <si>
    <t>NOZERO</t>
  </si>
  <si>
    <t>NOZERO (MatLab's FIND)</t>
  </si>
  <si>
    <t>ALL</t>
  </si>
  <si>
    <t>[dim]</t>
  </si>
  <si>
    <t>matrix to be tested</t>
  </si>
  <si>
    <t>Determine if all array elements are nonzero or true</t>
  </si>
  <si>
    <t>tests whether all elements along dimension dim are nonzero or logical 1 (true); default is "all" (all dimensions)</t>
  </si>
  <si>
    <t/>
  </si>
  <si>
    <t>ANY</t>
  </si>
  <si>
    <t>Determine if any array elements are nonzero</t>
  </si>
  <si>
    <t>tests whether any element along dimension dim is nonzero or logical 1 (true); default is "all" (all dimensions)</t>
  </si>
  <si>
    <t>M (example 1)</t>
  </si>
  <si>
    <t>M (example 2: unbounded)</t>
  </si>
  <si>
    <t>M</t>
  </si>
  <si>
    <t>SPLIT</t>
  </si>
  <si>
    <t>Main functions</t>
  </si>
  <si>
    <t>Other matrix functions</t>
  </si>
  <si>
    <t>Econometric functions</t>
  </si>
  <si>
    <t>OLS_COEFF</t>
  </si>
  <si>
    <t>OLS_FITTED</t>
  </si>
  <si>
    <t>OLS_RESIDUALS</t>
  </si>
  <si>
    <t>TEXTTOCHAR</t>
  </si>
  <si>
    <t>LINSPACE</t>
  </si>
  <si>
    <t>Generate linearly spaced vector</t>
  </si>
  <si>
    <t>Lower bound of the vector</t>
  </si>
  <si>
    <t>Upper bound of the vector</t>
  </si>
  <si>
    <t>Number of points</t>
  </si>
  <si>
    <t>lb</t>
  </si>
  <si>
    <t>ub</t>
  </si>
  <si>
    <t>LENGTH</t>
  </si>
  <si>
    <t>Length of largest array dimension</t>
  </si>
  <si>
    <t>matrix used for calculation</t>
  </si>
  <si>
    <t>Number of array elements</t>
  </si>
  <si>
    <t>NUMEL</t>
  </si>
  <si>
    <t>NNZ</t>
  </si>
  <si>
    <t>matrix whose nonzero elements will be counted</t>
  </si>
  <si>
    <t>sd</t>
  </si>
  <si>
    <t>fs</t>
  </si>
  <si>
    <t>Number of nonzero (nor FALSE) matrix elements</t>
  </si>
  <si>
    <t>RESHAPE</t>
  </si>
  <si>
    <t>Reshape array</t>
  </si>
  <si>
    <t>Number of rows</t>
  </si>
  <si>
    <t>Number of columns</t>
  </si>
  <si>
    <t>The matrix that will be reshaped.</t>
  </si>
  <si>
    <t>[rowsToCols]</t>
  </si>
  <si>
    <t>Boolean that tells whether individual rows should be transposed before reshape. Default is FALSE.</t>
  </si>
  <si>
    <t>rowsToCols</t>
  </si>
  <si>
    <t>Turns an array into a vector by piling up column or row values</t>
  </si>
  <si>
    <t>xlFunction has an additional parameter for transposing individual rows before reshaping</t>
  </si>
  <si>
    <t>Split strings at delimiters</t>
  </si>
  <si>
    <t>Turn a string into a vector of single characters</t>
  </si>
  <si>
    <t>Regress a vector on a matrix and return ordinary least squares coefficients</t>
  </si>
  <si>
    <t>Regress a vector on a matrix and return ordinary least squares fitted values</t>
  </si>
  <si>
    <t>Regress a vector on a matrix and return ordinary least squares residuals</t>
  </si>
  <si>
    <t>RMMISSING</t>
  </si>
  <si>
    <t>dim</t>
  </si>
  <si>
    <t>Specifies the dimension of the matrix to operate along; default is 1.</t>
  </si>
  <si>
    <t>Remove rows or columns with missing entries</t>
  </si>
  <si>
    <t>The matrix whose rows or columns with missing entries will be removed. Missing entries are empty cells or Excel errors, including #N/A.</t>
  </si>
  <si>
    <t>OLS_COEFF_STDEV</t>
  </si>
  <si>
    <t>OLS_VARCOV</t>
  </si>
  <si>
    <t>Regress a vector on a matrix and return the variance-covariance matrix of ordinary least squares coefficients</t>
  </si>
  <si>
    <t>String functions</t>
  </si>
  <si>
    <t>const</t>
  </si>
  <si>
    <t>Excel's OLS</t>
  </si>
  <si>
    <t>OLS Functions</t>
  </si>
  <si>
    <t>Functions STACK and SHELVE were renamed to VERTCAT and HORZCAT for consistency with MatLab names.</t>
  </si>
  <si>
    <t>Added functions OLS_COEFF, OLS_COEFF_STDEV, OLS_VARCOV, OLS_FITTED, and OLS_RESIDUALS.</t>
  </si>
  <si>
    <t>Added functions M, SLICE, VEC, SAMPLE, NOZERO, EYE, ZEROS, ONES, DIAG, TRIL, TRIU, FLIPLR, FLIPUD, REPMAT, RESHAPE, BLKDIAG, ALL, ANY, NNZ, LINSPACE, LENGTH, NUMEL, and RMMISSING.</t>
  </si>
  <si>
    <t>Added functions SPLIT and TEXTTOCHAR.</t>
  </si>
  <si>
    <t>To use any of these functions in your own spreadsheet, follow instructions on cell I10.
Note that auxiliary functions will be automatically copied as well.
Alternatively, go in the ribbon to Formula / Name Manager and copy all lambda formulas available there.</t>
  </si>
  <si>
    <r>
      <t xml:space="preserve">Copy the formulas you need to your spreadsheet and then delete them at your spreadsheet </t>
    </r>
    <r>
      <rPr>
        <b/>
        <sz val="11"/>
        <color rgb="FFFF0000"/>
        <rFont val="Calibri"/>
        <family val="2"/>
        <scheme val="minor"/>
      </rPr>
      <t>(#VALUE! Is OK!)</t>
    </r>
  </si>
  <si>
    <t>SEASADJ</t>
  </si>
  <si>
    <t>IBGE SA</t>
  </si>
  <si>
    <t>IBGE seasonal adjustment is more sophisticated</t>
  </si>
  <si>
    <t>dates</t>
  </si>
  <si>
    <t>DUMMYVAR</t>
  </si>
  <si>
    <t>categories</t>
  </si>
  <si>
    <t>[exclude]</t>
  </si>
  <si>
    <t>vector with categorical values, i.e. months of a date vector.</t>
  </si>
  <si>
    <t>exclude</t>
  </si>
  <si>
    <t>Create alphabetically ordered dummy variables from categorical ones</t>
  </si>
  <si>
    <t>index of the excluded categorical value. If TRUE, excludes the first alphabetically ordered category.</t>
  </si>
  <si>
    <t>xlFunction has an additional parameter for excluding a specific column</t>
  </si>
  <si>
    <t>values</t>
  </si>
  <si>
    <t>Vector of dates</t>
  </si>
  <si>
    <t>Vector of values</t>
  </si>
  <si>
    <t>Seasonally adjust a (stationarized) time series with seasonal dummies</t>
  </si>
  <si>
    <t>ADDCONST</t>
  </si>
  <si>
    <t>Add a column of ones to a matrix</t>
  </si>
  <si>
    <t>position</t>
  </si>
  <si>
    <t>[position]</t>
  </si>
  <si>
    <t>ADDTREND</t>
  </si>
  <si>
    <t>Add a column with a deterministic trend to a matrix</t>
  </si>
  <si>
    <t>IBGE NSA</t>
  </si>
  <si>
    <t>Brazil IP MoM%</t>
  </si>
  <si>
    <t>Source: IBGE (Table 3653)</t>
  </si>
  <si>
    <t>Added functions ADDCONST, ADDTREND, DUMMYVAR, and SEASADJ.</t>
  </si>
  <si>
    <t>v. 0.3</t>
  </si>
  <si>
    <t>[nPower]</t>
  </si>
  <si>
    <t>v. 0.3.1</t>
  </si>
  <si>
    <t>Added parameter nPower to function ADDTREND.</t>
  </si>
  <si>
    <t>DETREND</t>
  </si>
  <si>
    <t>Detrend a time series</t>
  </si>
  <si>
    <t>nPower</t>
  </si>
  <si>
    <t>Power of the trend; if omitted equals 1</t>
  </si>
  <si>
    <t>SIZE</t>
  </si>
  <si>
    <t>dimension whose length is to be returned; if omitted, returns a row-vector with the length of each dimension in order</t>
  </si>
  <si>
    <t>v. 0.4</t>
  </si>
  <si>
    <t>HPFILTER</t>
  </si>
  <si>
    <t>Hodrick-Prescott filter for trend and cyclical components</t>
  </si>
  <si>
    <t>lambda</t>
  </si>
  <si>
    <t>smoothing</t>
  </si>
  <si>
    <t>Trend component smoothing parameter</t>
  </si>
  <si>
    <t>IBC-Br Seasonally Adjusted</t>
  </si>
  <si>
    <t>Source: BCB (SGS code = )</t>
  </si>
  <si>
    <t>trendCycle</t>
  </si>
  <si>
    <t>If "t" or omitted returns the trend. If "c" returns the cycle</t>
  </si>
  <si>
    <t>c</t>
  </si>
  <si>
    <t>t</t>
  </si>
  <si>
    <t>trend</t>
  </si>
  <si>
    <t>cycle</t>
  </si>
  <si>
    <t>Added functions DETREND, SIZE, and HPFILTER.</t>
  </si>
  <si>
    <t>ANOVA</t>
  </si>
  <si>
    <t>LAG</t>
  </si>
  <si>
    <t>Lag a vector</t>
  </si>
  <si>
    <t>[nLags]</t>
  </si>
  <si>
    <t>Lag shift. If omitted equals 1</t>
  </si>
  <si>
    <t>[fillWithNA]</t>
  </si>
  <si>
    <t>If omitted equals true</t>
  </si>
  <si>
    <t>nLags</t>
  </si>
  <si>
    <t>fillWithNA</t>
  </si>
  <si>
    <t>LEAD</t>
  </si>
  <si>
    <t>Lead a vector</t>
  </si>
  <si>
    <t>[nLeads]</t>
  </si>
  <si>
    <t>Lead shift. If omitted equals 1</t>
  </si>
  <si>
    <t>GRANGER</t>
  </si>
  <si>
    <t>Granger causality</t>
  </si>
  <si>
    <t>predicted</t>
  </si>
  <si>
    <t>predictors</t>
  </si>
  <si>
    <t>lags</t>
  </si>
  <si>
    <t>Source: BCB (SGS code = 24364)</t>
  </si>
  <si>
    <t>Industrial Production Seasonally Adjusted</t>
  </si>
  <si>
    <t>Source: IBGE via BCB (SGS code = 28503)</t>
  </si>
  <si>
    <t>Sales volume index in the retail sector - Hypermarkets and supermarkets - Brazil - Seasonally Adjusted</t>
  </si>
  <si>
    <t>Source: IBGE via BCB (28476)</t>
  </si>
  <si>
    <t>[allLags]</t>
  </si>
  <si>
    <t>allLags</t>
  </si>
  <si>
    <t>[allLeads]</t>
  </si>
  <si>
    <t>If TRUE returns a matrix with shifted leads from nLeads to 1; default is FALSE</t>
  </si>
  <si>
    <t>Date</t>
  </si>
  <si>
    <t>IBCBr</t>
  </si>
  <si>
    <t>Predicted</t>
  </si>
  <si>
    <t>Predictor</t>
  </si>
  <si>
    <t>IndProd</t>
  </si>
  <si>
    <t>Lags</t>
  </si>
  <si>
    <t>RetailSales</t>
  </si>
  <si>
    <t>Vector of predicted values</t>
  </si>
  <si>
    <t>Vector of predictor values</t>
  </si>
  <si>
    <t>Amount of lags to be tested</t>
  </si>
  <si>
    <t>If TRUE returns a matrix with shifted lags from 1 to nLAGS; default is FALSE</t>
  </si>
  <si>
    <t>[descending]</t>
  </si>
  <si>
    <t>descending</t>
  </si>
  <si>
    <t>returnPValue</t>
  </si>
  <si>
    <t>[returnPValue]</t>
  </si>
  <si>
    <t>A</t>
  </si>
  <si>
    <t>B</t>
  </si>
  <si>
    <t>C</t>
  </si>
  <si>
    <t>D</t>
  </si>
  <si>
    <t>E</t>
  </si>
  <si>
    <t>Lambda</t>
  </si>
  <si>
    <t>Named function</t>
  </si>
  <si>
    <t>groupNames</t>
  </si>
  <si>
    <t>groupVectors</t>
  </si>
  <si>
    <t>[significance]</t>
  </si>
  <si>
    <t>Vector of group names</t>
  </si>
  <si>
    <t>Matrix in which each column is a group vector</t>
  </si>
  <si>
    <t>Significance degree for the F Test. If omitted, equals 5%</t>
  </si>
  <si>
    <t>significance</t>
  </si>
  <si>
    <t>v. 0.5</t>
  </si>
  <si>
    <t>Added functions LAG, LEAD, GRANGER, and ANOVA.</t>
  </si>
  <si>
    <t>Analysis of variance (1 factor or one-way)</t>
  </si>
  <si>
    <t>Example taken from:</t>
  </si>
  <si>
    <t>https://consultglp.com/wp-content/uploads/2018/07/Using-Excel-functions-for-one-way-ANOVA.pdf</t>
  </si>
  <si>
    <t>If TRUE, reverses columns order; default is FALSE</t>
  </si>
  <si>
    <t>If TRUE (or omitted), returns the p-value. If FALSE, returns the F-statistic</t>
  </si>
  <si>
    <t>OLS_COEFF_TSTAT</t>
  </si>
  <si>
    <t>Regress a vector on a matrix and return the t-statistic of ordinary least squares coefficients</t>
  </si>
  <si>
    <t>Regress a vector on a matrix and return the standard deviation of ordinary least squares coefficients</t>
  </si>
  <si>
    <t>SLICE (example 3: patch)</t>
  </si>
  <si>
    <t>Function M now accepts references to negative positions (start counting from the last element) and also interprets "0" in the address as the first or the last element depending on whether it preceeds or not the ":".</t>
  </si>
  <si>
    <t>Extract or patch subarray using "[rLB:rUB,cLB:cUB]" notation</t>
  </si>
  <si>
    <t>COL1</t>
  </si>
  <si>
    <t>COL2</t>
  </si>
  <si>
    <t>COL3</t>
  </si>
  <si>
    <t>MULTIFILTER</t>
  </si>
  <si>
    <t>Function SPLIT now accepts delimeters with more than one character.</t>
  </si>
  <si>
    <t>array</t>
  </si>
  <si>
    <t>include</t>
  </si>
  <si>
    <t>[if_empty]</t>
  </si>
  <si>
    <t>Filter dataset based on (multiple) criteria passed as string</t>
  </si>
  <si>
    <t>The matrix whose rows will be filtered.</t>
  </si>
  <si>
    <t>[headers]</t>
  </si>
  <si>
    <t>The name of the columns of the array. If omitted, headers are set as the first row of [array] which is then excluded from the filtering rows.</t>
  </si>
  <si>
    <t>Value returned in case there are no filtered rows. If omitted, it returns #N/A.</t>
  </si>
  <si>
    <t>ab</t>
  </si>
  <si>
    <t>Criteria passed as string in the format [column name][operator][value], where [operator] is one of =, &lt;&gt;, &gt;, &gt;=, &lt;, or &lt;=. If [value] is a string, then it must be in-between double quotes, as "value" (it is not allowed to have double quotes in the middle of the string). Multiple criteria should be separated by ";".</t>
  </si>
  <si>
    <t>COL1="ab";COL2&gt;=200;COL3&lt;=2000</t>
  </si>
  <si>
    <t>No results!</t>
  </si>
  <si>
    <t>TEXTTOARRAY</t>
  </si>
  <si>
    <t>matrixText</t>
  </si>
  <si>
    <t>The text that represents a matrix.</t>
  </si>
  <si>
    <t>[lineChar]</t>
  </si>
  <si>
    <t>[colChar]</t>
  </si>
  <si>
    <t>The character that breaks the line of a matrix. If omitted, it is used Excel's locale character.</t>
  </si>
  <si>
    <t>The character that breaks the column of a matrix. If omitted, it is used Excel's locale character.</t>
  </si>
  <si>
    <t>;</t>
  </si>
  <si>
    <t>\</t>
  </si>
  <si>
    <t>v. 0.6</t>
  </si>
  <si>
    <t>Return n indices, default is all. If no indices are found, returns #N/A.</t>
  </si>
  <si>
    <t>OLS_COEFF_PVALUE</t>
  </si>
  <si>
    <t>Regress a vector on a matrix and return the p-value of ordinary least squares coefficients</t>
  </si>
  <si>
    <t>OLS_LOGLIKELIHOOD</t>
  </si>
  <si>
    <t>OLS_AIC</t>
  </si>
  <si>
    <t>OLS_BIC</t>
  </si>
  <si>
    <t>Regress a vector on a matrix and return the log-likelihood of the regression</t>
  </si>
  <si>
    <t>Regress a vector on a matrix and return the Akaike information criterion of the regression</t>
  </si>
  <si>
    <t>Regress a vector on a matrix and return the Bayesian (Schwartz) information criterion of the regression</t>
  </si>
  <si>
    <t>OLS_OPTIMAL_LAG</t>
  </si>
  <si>
    <t>Regress a vector on its lags and a matrix and return the amount of lags which minimizes an information criterion</t>
  </si>
  <si>
    <t>Example 2</t>
  </si>
  <si>
    <t>Example 1</t>
  </si>
  <si>
    <t>COMPLEMENT</t>
  </si>
  <si>
    <t>[minInteger]</t>
  </si>
  <si>
    <t>[maxInteger]</t>
  </si>
  <si>
    <t>the largest integer of the range. If omitted, it is the largest value of the matrix</t>
  </si>
  <si>
    <t>the largest integer of the range. If omitted, it is the smallest value of the matrix</t>
  </si>
  <si>
    <t>matrix used for comparison</t>
  </si>
  <si>
    <t>Observations</t>
  </si>
  <si>
    <t>If all the integers in the range belong to the matrix, then the function returns #N/A</t>
  </si>
  <si>
    <t>SLICE (example 4: remove)</t>
  </si>
  <si>
    <t>M (example 3: patch)</t>
  </si>
  <si>
    <t>Function SLICE has a new parameter. The parameter "remove", which is a boolean that changes the behavior of the function so that indicated lines and columns are actually removed from the original matrix.</t>
  </si>
  <si>
    <t>Return the elements in a continuous range of integers that do not belong to a matrix</t>
  </si>
  <si>
    <t>Function NOZERO returns #N/A when there are no filtered results. In MatLab, the equivalent function returns an empty array.</t>
  </si>
  <si>
    <t>Convert a text that represents a matrix into an array</t>
  </si>
  <si>
    <t>REPLACEALL</t>
  </si>
  <si>
    <t>Replace all occurrences of any specified texts or chars</t>
  </si>
  <si>
    <t>SPLITALL</t>
  </si>
  <si>
    <t>Split strings at (multiple) delimiters</t>
  </si>
  <si>
    <t>a</t>
  </si>
  <si>
    <t>b</t>
  </si>
  <si>
    <t>STATIONARIZE</t>
  </si>
  <si>
    <t>Stationarize a vector</t>
  </si>
  <si>
    <t>[constant]</t>
  </si>
  <si>
    <t>[trend]</t>
  </si>
  <si>
    <t>constant</t>
  </si>
  <si>
    <t>DFTABLE</t>
  </si>
  <si>
    <t>Critical values for the (Augmented) Dicky-Fuller test</t>
  </si>
  <si>
    <t>sampleSize</t>
  </si>
  <si>
    <t>Obs:</t>
  </si>
  <si>
    <t>Significance</t>
  </si>
  <si>
    <t>Includes a constant in the test equation</t>
  </si>
  <si>
    <t>Includes a linear trend in the test. If omitted equals false. If true, constant must be true</t>
  </si>
  <si>
    <t>Values are approximations.</t>
  </si>
  <si>
    <t>Fixed bug in function ADDTREND. When parameter nPower was missing, the function returned a vector of ones.</t>
  </si>
  <si>
    <t>Number of observations</t>
  </si>
  <si>
    <t>nObs</t>
  </si>
  <si>
    <t>maxDiffs</t>
  </si>
  <si>
    <t>Ex1</t>
  </si>
  <si>
    <t>Ex2</t>
  </si>
  <si>
    <t>Ex3</t>
  </si>
  <si>
    <t>DIFF</t>
  </si>
  <si>
    <t>Differences between adjacent elements</t>
  </si>
  <si>
    <t>Times the operator should be applied to the vector. If omitted, it is 1</t>
  </si>
  <si>
    <t>Dimension along the operator should be applied. If omitted, it is 1</t>
  </si>
  <si>
    <t>Is Stationary?</t>
  </si>
  <si>
    <t>SPLITTWO</t>
  </si>
  <si>
    <t>Functions HORZCAT and VERTCAT now return the non-omitted matrix in case either matrixA or matrixB is omitted. Besides, concatenation of matrices with different number of rows or columns is done by filling exceeding cells with #REF! or #N/A.</t>
  </si>
  <si>
    <t>Includes a linear trend in the test. If omitted equals false. If true, constant must be true, otherwise returns #VALUE!</t>
  </si>
  <si>
    <t>Tests whether a vector is stationary according to the Dickey-Fuller test</t>
  </si>
  <si>
    <t>[automatic]</t>
  </si>
  <si>
    <t>If FALSE, uses constant and trend parameters. If AIC or BIC picks the specification that minimizes that information criterion and ignores constant and trend parameters.</t>
  </si>
  <si>
    <t>automatic</t>
  </si>
  <si>
    <t>Obs: Specification with information criteria: https://static.sys.kth.se/itm/wp/cesis/cesiswp213.pdf</t>
  </si>
  <si>
    <t>Maximum number of lags for the Augmented Dickey-Fuller test</t>
  </si>
  <si>
    <t>Function ANOVA code was slightly adjusted to this version changes to HORZCAT.</t>
  </si>
  <si>
    <t>[returnRowAndCol]</t>
  </si>
  <si>
    <t>If TRUE, returns results in two columns, where the first column is the row index and the second column is the column index. Default value is FALSE.</t>
  </si>
  <si>
    <t>returnRowAndCol</t>
  </si>
  <si>
    <t>first</t>
  </si>
  <si>
    <t>Function NOZERO has na additional parameter returnRowAndCol, which is a boolean that when TRUE the function returns two columns: row and column index.</t>
  </si>
  <si>
    <t>SLICE (example 5: byValue (allows wildcard))</t>
  </si>
  <si>
    <t>M (example 4: by values (allows wildcard))</t>
  </si>
  <si>
    <t>ISEMPTY</t>
  </si>
  <si>
    <t>Test for empty values (cells or not)</t>
  </si>
  <si>
    <t>Functions SLICE and M have a new parameter. The parameter "patch", which receives a matrix, induces the function to return the original matrix patched by the "patch" matrix in the address specified.</t>
  </si>
  <si>
    <t>Functions SLICE and M now accept matching texts for the matrix coordinates. That is, if instead of a number for lines and columns the user provides a text, then the function will search for that text in the first row/column and set its position as the coordinate.</t>
  </si>
  <si>
    <t>[header]</t>
  </si>
  <si>
    <t>header</t>
  </si>
  <si>
    <t>col A</t>
  </si>
  <si>
    <t>col B</t>
  </si>
  <si>
    <t>Function ADDCONST has a new parameter. The parameter "header" allows for the user to provide a header name for the column with the constants.</t>
  </si>
  <si>
    <t>[headerFirstRow]</t>
  </si>
  <si>
    <t>If TRUE, ignores first row and adds headers to the lag columns in the format of a suffix "_LAG#" to the variable name; default is FALSE.</t>
  </si>
  <si>
    <t>headerFirstRow</t>
  </si>
  <si>
    <t>IP</t>
  </si>
  <si>
    <t>Functions LAG and LEAD have a new parameter. The parameter "headerFirstRow" is a boolean which tells the function to ignore first row values of the input and add a header row to the output matrix.</t>
  </si>
  <si>
    <t>Split strings at two different delimiters; may return each delimeter position</t>
  </si>
  <si>
    <t>SORTRANGE</t>
  </si>
  <si>
    <t>range</t>
  </si>
  <si>
    <t>[sortRows]</t>
  </si>
  <si>
    <t>[asc]</t>
  </si>
  <si>
    <t>If TRUE (default) sorts in ascending order. If FALSE, sorts in descending order.</t>
  </si>
  <si>
    <t>sortRows</t>
  </si>
  <si>
    <t>asc</t>
  </si>
  <si>
    <t>If TRUE (default), sort columns of each row. If FALSE, sort rows of each column.</t>
  </si>
  <si>
    <t>Adapted from: https://www.linkedin.com/pulse/excel-lambda-sort-range-rows-columns-sergei-baklan/</t>
  </si>
  <si>
    <t>Sort each column or row of a range independently. Range may contain text values.</t>
  </si>
  <si>
    <t>ISUNIQUE</t>
  </si>
  <si>
    <t>Checks whether a value is unique in a range</t>
  </si>
  <si>
    <t>value</t>
  </si>
  <si>
    <t>ABC</t>
  </si>
  <si>
    <t>DEF</t>
  </si>
  <si>
    <t>value to be checked uniqueness</t>
  </si>
  <si>
    <t>If value is not in matrix, returns FALSE.</t>
  </si>
  <si>
    <t>OLS_R2</t>
  </si>
  <si>
    <t>OLS_STDEV</t>
  </si>
  <si>
    <t>Regress a vector on a matrix with OLS and return the standard deviation of the residuals</t>
  </si>
  <si>
    <t>OLS_ESS</t>
  </si>
  <si>
    <t>OLS_RSS</t>
  </si>
  <si>
    <t>Regress a vector on a matrix with OLS and return the squared sum of explained variation</t>
  </si>
  <si>
    <t>Regress a vector on a matrix with OLS and return the squared sum of residual variation</t>
  </si>
  <si>
    <t>Regress a vector on a matrix with OLS and return the determination coefficient</t>
  </si>
  <si>
    <t>OLS_TSS</t>
  </si>
  <si>
    <t>Regress a vector on a matrix with OLS and return the squared sum of total variation</t>
  </si>
  <si>
    <t>OLS_R2_ADJUSTED</t>
  </si>
  <si>
    <t>Regress a vector on a matrix with OLS and return the adjusted determination coefficient</t>
  </si>
  <si>
    <t>OLS_VARCOV_HAC</t>
  </si>
  <si>
    <t>OLS_COEFF_STDEV_HAC</t>
  </si>
  <si>
    <t>Regress a vector on a matrix and return the HAC variance-covariance matrix of ordinary least squares coefficients</t>
  </si>
  <si>
    <t>Regress a vector on a matrix and return the HAC standard deviation of ordinary least squares coefficients</t>
  </si>
  <si>
    <t>OLS_COEFF_TSTAT_HAC</t>
  </si>
  <si>
    <t>OLS_COEFF_PVALUE_HAC</t>
  </si>
  <si>
    <t>Regress a vector on a matrix and return the HAC t-statistic of ordinary least squares coefficients</t>
  </si>
  <si>
    <t>Functions OLS_ that allow for coefficients to be provided by the user now accept that these coefficients are passed as a row or as a column vector.</t>
  </si>
  <si>
    <t>GET</t>
  </si>
  <si>
    <t>GET (example 1)</t>
  </si>
  <si>
    <t>GET (example 2: patch)</t>
  </si>
  <si>
    <t>Remove rows or columns with outliers</t>
  </si>
  <si>
    <t>RMOUTLIERS</t>
  </si>
  <si>
    <t>method</t>
  </si>
  <si>
    <t>MAD</t>
  </si>
  <si>
    <t>The matrix whose rows or columns with outliers will be removed.</t>
  </si>
  <si>
    <t>The method for identifying an outlier. Only available is "MAD" = median absolute deviation.</t>
  </si>
  <si>
    <t>Lower-bound parameter for the outlier detection method.</t>
  </si>
  <si>
    <t>Upper-bound parameter for the outlier detection method.</t>
  </si>
  <si>
    <t>ISOUTLIER</t>
  </si>
  <si>
    <t>Detect outliers in a matrix</t>
  </si>
  <si>
    <t>The matrix whose rows or columns with outliers should be detected.</t>
  </si>
  <si>
    <t>OLS_FSTAT</t>
  </si>
  <si>
    <t>Regress a vector on a matrix with OLS and return the F-statistic</t>
  </si>
  <si>
    <t>OLS_FSTAT_PVALUE</t>
  </si>
  <si>
    <t>Regress a vector on a matrix with OLS and return the p-value of the F-statistic</t>
  </si>
  <si>
    <t>Turn an array into a vector by piling up column or row values</t>
  </si>
  <si>
    <t>Matrix of values.</t>
  </si>
  <si>
    <t>"first" or "last", default is "first".</t>
  </si>
  <si>
    <t>Draw a sample of rows or columns, with or without replacement</t>
  </si>
  <si>
    <t>Function SAMPLE had a parameter ("replacement") with misleading behavior. It was fixed.</t>
  </si>
  <si>
    <t>Concatenate arrays vertically (a limited version of Excel's VSTACK)</t>
  </si>
  <si>
    <t>Concatenate arrays horizontally (a limited version of Excel's HSTACK)</t>
  </si>
  <si>
    <t>GET (example 3: remove)</t>
  </si>
  <si>
    <t>Extract, patch, or remove the nth element of a vector or matrix</t>
  </si>
  <si>
    <t>Extract, patch, or remove subarray using [rLB:rUB,cLB:cUB] parameters</t>
  </si>
  <si>
    <t>SAMPLE (rows without replacement)</t>
  </si>
  <si>
    <t>SAMPLE (cols with replacement)</t>
  </si>
  <si>
    <t>if not omitted, adds this argument to the first row of the ones column.</t>
  </si>
  <si>
    <t>position where the column vector of ones should be inserted; if omitted equals 1.</t>
  </si>
  <si>
    <t>matrix to be horizontally concatenated with a column vector of ones.</t>
  </si>
  <si>
    <t>returnIntegrationOrder</t>
  </si>
  <si>
    <t>d(values)</t>
  </si>
  <si>
    <t>DIM</t>
  </si>
  <si>
    <t>DIM (MatLab's SIZE)</t>
  </si>
  <si>
    <t>Array length at specified dimension</t>
  </si>
  <si>
    <t>Function SIZE was renamed to DIM due to the fact that SIZE is a reserved word in Excel when English is set as language.</t>
  </si>
  <si>
    <t>IORDER</t>
  </si>
  <si>
    <t>Returns the integration order of a vector</t>
  </si>
  <si>
    <t>Ex4</t>
  </si>
  <si>
    <t>Ex5</t>
  </si>
  <si>
    <t>Ex6</t>
  </si>
  <si>
    <t>GDP</t>
  </si>
  <si>
    <t>Consumption</t>
  </si>
  <si>
    <t>Residuals</t>
  </si>
  <si>
    <t>Selic</t>
  </si>
  <si>
    <t>SFN rate</t>
  </si>
  <si>
    <t>Test whether two vectors are cointegrated (Engle–Granger method)</t>
  </si>
  <si>
    <t>valuesA</t>
  </si>
  <si>
    <t>valuesB</t>
  </si>
  <si>
    <t>First vector of values</t>
  </si>
  <si>
    <t>Second vector of values</t>
  </si>
  <si>
    <t>Obs: vectors must be integrated at the same order.</t>
  </si>
  <si>
    <t>OLS_LEVERAGE</t>
  </si>
  <si>
    <t>OLS_COOKS_DISTANCE</t>
  </si>
  <si>
    <t>Regress a vector on a matrix with OLS and return the leverage of each dependent variable observation</t>
  </si>
  <si>
    <t>Regress a vector on a matrix with OLS and return the Cook's distance of each dependent variable observation</t>
  </si>
  <si>
    <t>OLS_CONF_INTERVAL</t>
  </si>
  <si>
    <t>OLS_RESIDUALS_STD</t>
  </si>
  <si>
    <t>OLS_PRED_INTERVAL</t>
  </si>
  <si>
    <t>OLS_RESIDUALS_PARTIAL</t>
  </si>
  <si>
    <t>Regress a vector on a matrix and return ordinary least squares standardized residuals</t>
  </si>
  <si>
    <t>Regress a vector on a matrix and return the matrix of ordinary least squares partial residuals</t>
  </si>
  <si>
    <t>Regress a vector on a matrix with OLS and return the confidence interval around a given set of independent variables</t>
  </si>
  <si>
    <t>Regress a vector on a matrix with OLS and return the prediction interval around a given set of independent variables</t>
  </si>
  <si>
    <t>TSOPER</t>
  </si>
  <si>
    <t>Time series operation</t>
  </si>
  <si>
    <t>operation</t>
  </si>
  <si>
    <t>Graph name</t>
  </si>
  <si>
    <t>Other websites with inspiring material:
https://exceluser.com/
https://www.real-statistics.com/
https://www.youtube.com/c/NEDLeducation</t>
  </si>
  <si>
    <t>OLS functions</t>
  </si>
  <si>
    <t>ISSTATIONARY</t>
  </si>
  <si>
    <t>ISCOINTEGRATED</t>
  </si>
  <si>
    <t>Added functions GET, ISOUTLIER, RMOUTLIERS, ISEMPTY, MULTIFILTER, TEXTTOARRAY, REPLACEALL, SPLITTWO, SPLITALL, COMPLEMENT, DIFF, DFTABLE, ISSTATIONARY, STATIONARIZE, IORDER, ISCOINTEGRATED, TSOPER, OLS_COEFF_TSTAT, OLS_COEFF_TSTAT_HAC, OLS_COEFF_PVALUE, OLS_COEFF_PVALUE_HAC, OLS_STDEV, OLS_STDEV_HAC, OLS_ESS, OLS_RSS, OLS_TSS, OLS_FSTAT, OLS_FSTAT_PVALUE, OLS_R2, OLS_R2_ADJUSTED, OLS_LOGLIKELIHOOD, OLS_AIC, OLS_BIC, OLS_OPTIMAL_LAG, OLS_LEVERAGE, OLS_COOKS_DISTANCE, OLS_RESIDUALS_STD, OLS_RESIDUALS_PARTIAL, OLS_CONF_INTERVAL, and OLS_PRED_INTERVAL.</t>
  </si>
  <si>
    <t>Vector of dates. Frequency must be lower or equal to monthly and greater or equal to yearly.</t>
  </si>
  <si>
    <t>Vector of values.</t>
  </si>
  <si>
    <t>v. 0.7</t>
  </si>
  <si>
    <t>Function SEASADJ's description was updated.</t>
  </si>
  <si>
    <t>APPLYCOLS</t>
  </si>
  <si>
    <t>Apply lambda function to each column</t>
  </si>
  <si>
    <t>func</t>
  </si>
  <si>
    <t>paramArrayPos</t>
  </si>
  <si>
    <t>[param1]</t>
  </si>
  <si>
    <t>[param2]</t>
  </si>
  <si>
    <t>[param3]</t>
  </si>
  <si>
    <t>SEASFACTOR</t>
  </si>
  <si>
    <t>Trend of a time series</t>
  </si>
  <si>
    <t>TSTREND</t>
  </si>
  <si>
    <t>Seasonal factors of a stationarized time series</t>
  </si>
  <si>
    <t>Power of the trend; if omitted equals 1. Use "LOG" for log-detrending.</t>
  </si>
  <si>
    <t>LOG</t>
  </si>
  <si>
    <t>type</t>
  </si>
  <si>
    <t>Function DETREND now allows for log-detrending. Parameter "nPower" was renamed to "type".</t>
  </si>
  <si>
    <t>MOVAVG</t>
  </si>
  <si>
    <t>Moving average of a matrix</t>
  </si>
  <si>
    <t>Window of the operator. If omitted, it is 1</t>
  </si>
  <si>
    <t>[type]</t>
  </si>
  <si>
    <t>SIMPLE</t>
  </si>
  <si>
    <t>If TRUE or omitted, fills initial points with NA. If FALSE, does not include initial points.</t>
  </si>
  <si>
    <t>If omitted, it is "SIMPLE". Only "SIMPLE" is available.</t>
  </si>
  <si>
    <t>MOVSUM</t>
  </si>
  <si>
    <t>MOVPROD</t>
  </si>
  <si>
    <t>Moving product of a matrix</t>
  </si>
  <si>
    <t>Moving sum of a matrix</t>
  </si>
  <si>
    <t>STARTSWITH</t>
  </si>
  <si>
    <t>Checks whether a string starts with a certain sequence of characters</t>
  </si>
  <si>
    <t>text</t>
  </si>
  <si>
    <t>sequence</t>
  </si>
  <si>
    <t>The text whose first characters shall be checked</t>
  </si>
  <si>
    <t>The sequence to be compared with the first characters of the text argument</t>
  </si>
  <si>
    <t>Hello world</t>
  </si>
  <si>
    <t>Hello</t>
  </si>
  <si>
    <t>ENDSWITH</t>
  </si>
  <si>
    <t>Checks whether a string ends with a certain sequence of characters</t>
  </si>
  <si>
    <t>The sequence to be compared with the last characters of the text argument</t>
  </si>
  <si>
    <t>world</t>
  </si>
  <si>
    <t>CONTAINS</t>
  </si>
  <si>
    <t>Checks whether a string contains a certain sequence of characters</t>
  </si>
  <si>
    <t>The text whose content shall be checked</t>
  </si>
  <si>
    <t>The sequence to be found in the text argument</t>
  </si>
  <si>
    <t>start_num</t>
  </si>
  <si>
    <t>The first character position from which the text shall be checked for the presence of the sequece. If ommitted, it is 1 (first character).</t>
  </si>
  <si>
    <t>llo wO</t>
  </si>
  <si>
    <t>case_sensitive</t>
  </si>
  <si>
    <t>[start_num]</t>
  </si>
  <si>
    <t>[case_sensitive]</t>
  </si>
  <si>
    <t>Boolean that indicates whether comparison shall be case sensitive. If ommitted, it is FALSE.</t>
  </si>
  <si>
    <t>The first character position, counting from the last character, from which the text shall be checked for the presence of the sequece. If ommitted, it is 1 (first character).</t>
  </si>
  <si>
    <t>ISMEMBER</t>
  </si>
  <si>
    <t>Checks whether a matrix contains a certain element</t>
  </si>
  <si>
    <t>element</t>
  </si>
  <si>
    <t>[start_pos]</t>
  </si>
  <si>
    <t>The first matrix position from which the element shall be searched. If ommitted, it is 1.</t>
  </si>
  <si>
    <t>Boolean that indicates whether comparison shall be case sensitive in case of string values. If ommitted, it is FALSE.</t>
  </si>
  <si>
    <t>d</t>
  </si>
  <si>
    <t>e</t>
  </si>
  <si>
    <t>AGGREGBYDATE</t>
  </si>
  <si>
    <t>a vector of dates</t>
  </si>
  <si>
    <t>a vector of values</t>
  </si>
  <si>
    <t>highFreq</t>
  </si>
  <si>
    <t>the frequency of the dates vector</t>
  </si>
  <si>
    <t>lowFreq</t>
  </si>
  <si>
    <t>the frequency to which to aggregate the series</t>
  </si>
  <si>
    <t>[method]</t>
  </si>
  <si>
    <t>one of the aggregation types allowed: "avg" (default), "sum" or "eop" (end of period)</t>
  </si>
  <si>
    <t>[onlyValues]</t>
  </si>
  <si>
    <t>a boolean, default is FALSE (return dates and values)</t>
  </si>
  <si>
    <t>High frequency</t>
  </si>
  <si>
    <t>Low frequency</t>
  </si>
  <si>
    <t>Aggregation method</t>
  </si>
  <si>
    <t>avg</t>
  </si>
  <si>
    <t>Dates</t>
  </si>
  <si>
    <t>Values</t>
  </si>
  <si>
    <t>Step</t>
  </si>
  <si>
    <t>Annual fraction</t>
  </si>
  <si>
    <t>Result</t>
  </si>
  <si>
    <t>Aggregate a time series to a lower time frequency</t>
  </si>
  <si>
    <t>EIGENVALUES</t>
  </si>
  <si>
    <t>eigenMin</t>
  </si>
  <si>
    <t>eigenMax</t>
  </si>
  <si>
    <t>eigenStep</t>
  </si>
  <si>
    <t>EIGENVECTORS</t>
  </si>
  <si>
    <t>If not all eigenvalues are found in the the range of candidates to eigenvalues, the function returns all eigenvalues found.</t>
  </si>
  <si>
    <t>squared matrix for which real eigenvalues will be numerically calculated</t>
  </si>
  <si>
    <t>MNORM</t>
  </si>
  <si>
    <t>Returns a matrix p-norm</t>
  </si>
  <si>
    <t>norm</t>
  </si>
  <si>
    <t>[norm]</t>
  </si>
  <si>
    <t>[eigenMin]</t>
  </si>
  <si>
    <t>[eigenMax]</t>
  </si>
  <si>
    <t>[eigenStep]</t>
  </si>
  <si>
    <t>Order of the p-norm. Default is 1.</t>
  </si>
  <si>
    <t>Candidate</t>
  </si>
  <si>
    <t>FZERO</t>
  </si>
  <si>
    <t>[xMin]</t>
  </si>
  <si>
    <t>[xMax]</t>
  </si>
  <si>
    <t>[xStep]</t>
  </si>
  <si>
    <t>expression</t>
  </si>
  <si>
    <t>xMin</t>
  </si>
  <si>
    <t>xMax</t>
  </si>
  <si>
    <t>xStep</t>
  </si>
  <si>
    <t>x^2 - 2</t>
  </si>
  <si>
    <t>EVALS</t>
  </si>
  <si>
    <t>formula to be avaluated</t>
  </si>
  <si>
    <t>1+1</t>
  </si>
  <si>
    <t>=LAMBDA(expression, EVALUATE(expression))($F$7)</t>
  </si>
  <si>
    <t>* Most recent versions of Excel do not accept the EVALUATE function when called from a cell, only from a defined name</t>
  </si>
  <si>
    <t>Expression evaluated</t>
  </si>
  <si>
    <t>function expression in terms of variable x</t>
  </si>
  <si>
    <t>minimum number candidate to expression root. Default is -1.</t>
  </si>
  <si>
    <t>maximum number candidate to expression root. Default is 1.</t>
  </si>
  <si>
    <t>size of the sweeping step between xMin and xMax (precision). Default is 1/500.</t>
  </si>
  <si>
    <t>x^3 - 2*x - 1</t>
  </si>
  <si>
    <t>If not all solutions are found in the the range of candidates, the function returns all solutions found.
This function requires the intermediate function EVALS, which depends on the Excel 4.0 function EVALUATE. In reason of this, FZERO can only be used in workbooks with the .xlsm extension.</t>
  </si>
  <si>
    <t>This function depends on the Excel 4.0 function EVALUATE. In reason of this, EVALS can only be used in workbooks with the .xlsm extension.</t>
  </si>
  <si>
    <t>[normalized]</t>
  </si>
  <si>
    <t>normalized</t>
  </si>
  <si>
    <t>boolean that indicates eigenvectors should be normalized. Default is false</t>
  </si>
  <si>
    <t>integer that indicates whether eigenvectors are combined in ascending (1), descending (-1), absolute ascending (2), or absolute descending (-2) order of eigenvalues. Default is 1</t>
  </si>
  <si>
    <t>order</t>
  </si>
  <si>
    <t>[order]</t>
  </si>
  <si>
    <t>integer that indicates whether eigenvalues are listed in ascending (1), descending (-1), absolute ascending (2), or absolute descending (-2) order. Default is 1</t>
  </si>
  <si>
    <t>Added functiond MOVAVG, MOVSUM, MOVPROD, SEASFACTOR, TSTREND, STARTSWITH, ENDSWITH, CONTAINS, ISMEMBER, AGGREGBYDATE, EIGENVALUES, EIGENVECTORS, MNORM, EVALS, FZERO.</t>
  </si>
  <si>
    <t>minimum number candidate to eigenvalue. Default is -ROWS(matrix)*MAX(ABS(matrix)).</t>
  </si>
  <si>
    <t>maximum number candidate to eigenvalue. Default is ROWS(matrix)*MAX(ABS(matrix)).</t>
  </si>
  <si>
    <t>size of the sweeping step between eigenMin and eigenMax (precision). Default is ROWS(matrix)*MAX(ABS(matrix))/500.</t>
  </si>
  <si>
    <t>Functions that depend on MACRO 4.0 functions (Workbooks will have to be saved with the .xlsm extension)</t>
  </si>
  <si>
    <t>* FZERO depends on EVALUATE function. Most recent versions of Excel do not accept the EVALUATE function when called from a cell, only from a defined name</t>
  </si>
  <si>
    <t>Find the roots of a function (workbook file will have to be saved with the .xlsm extension)</t>
  </si>
  <si>
    <t>Evaluates a formula expression (workbook file will have to be saved with the .xlsm extension)</t>
  </si>
  <si>
    <t>String with the operation to be applied to the time series. Operations available are: V%(n), VA(n), MA(n), LAG(n), LEAD(n), IDX(refDate), B100(refDate), CR(n), V%ACC(refDate), and VAACC(refDate). Successive operations are separated by ";".</t>
  </si>
  <si>
    <t>Stock index</t>
  </si>
  <si>
    <t>Bond index</t>
  </si>
  <si>
    <t>Stock return</t>
  </si>
  <si>
    <t>Bond return</t>
  </si>
  <si>
    <t>Fry-McKibbin and Hsiao (2018):</t>
  </si>
  <si>
    <t>H0: no contagion from market i to market j</t>
  </si>
  <si>
    <t>H1: there is contagion from market i to market j</t>
  </si>
  <si>
    <t>Forbes and Rigobon (2002)</t>
  </si>
  <si>
    <t>Fry, Martin, and Tang (2010):</t>
  </si>
  <si>
    <t>sampleNonCrisis1</t>
  </si>
  <si>
    <t>sampleNonCrisis2</t>
  </si>
  <si>
    <t>sampleCrisis1</t>
  </si>
  <si>
    <t>sampleCrisis2</t>
  </si>
  <si>
    <t>First sample of returns during non-crisis period</t>
  </si>
  <si>
    <t>Second sample of returns during non-crisis period</t>
  </si>
  <si>
    <t>First sample of returns during crisis period</t>
  </si>
  <si>
    <t>Second sample of returns during crisis period</t>
  </si>
  <si>
    <t>CONTAGION_COVOLATILITY</t>
  </si>
  <si>
    <t>Source: inspired on the walkthrough of NEDL: https://www.youtube.com/watch?v=ayEPoK8aJTw</t>
  </si>
  <si>
    <t>LAMBDA</t>
  </si>
  <si>
    <t>FUNCTION</t>
  </si>
  <si>
    <t>More details are available on the workbook "xlMATRIX - Contagion Tests.xlsx"</t>
  </si>
  <si>
    <t>CONTAGION_FORBESRIGOBON</t>
  </si>
  <si>
    <t>Test for contagion using the Forbes and Rigobon test.</t>
  </si>
  <si>
    <t>Source: inspired on the walkthrough of NEDL: https://www.youtube.com/watch?v=1gdCiPb1_9w</t>
  </si>
  <si>
    <t>returnInverse</t>
  </si>
  <si>
    <t>CONTAGION_COKURTOSIS</t>
  </si>
  <si>
    <t>Test for contagion using the Cokurtosis test.</t>
  </si>
  <si>
    <t>Source: inspired on the walkthrough of NEDL: https://www.youtube.com/watch?v=c54srM7fYLw</t>
  </si>
  <si>
    <t>CONTAGION_COSKEWNESS</t>
  </si>
  <si>
    <t>Test for contagion using the Coskewness test.</t>
  </si>
  <si>
    <t>Source: inspired on the walkthrough of NEDL: https://www.youtube.com/watch?v=9KalE2EeWMo</t>
  </si>
  <si>
    <t>xlMATRIX v. 0.8</t>
  </si>
  <si>
    <t>v. 0.8</t>
  </si>
  <si>
    <t>Test for contagion using the Covolatility test.</t>
  </si>
  <si>
    <t>squared matrix for which real eigenvectos will be numerically calculated</t>
  </si>
  <si>
    <t>Country</t>
  </si>
  <si>
    <t>GDP per capita growth</t>
  </si>
  <si>
    <t>Log GDP per capita</t>
  </si>
  <si>
    <t>Gross capital formation</t>
  </si>
  <si>
    <t>FDI</t>
  </si>
  <si>
    <t>Inflation</t>
  </si>
  <si>
    <t>Government spending</t>
  </si>
  <si>
    <t>Algeria</t>
  </si>
  <si>
    <t>Armenia</t>
  </si>
  <si>
    <t>Australia</t>
  </si>
  <si>
    <t>Austria</t>
  </si>
  <si>
    <t>Azerbaijan</t>
  </si>
  <si>
    <t>Bahamas, The</t>
  </si>
  <si>
    <t>Bangladesh</t>
  </si>
  <si>
    <t>Barbados</t>
  </si>
  <si>
    <t>Belarus</t>
  </si>
  <si>
    <t>Belgium</t>
  </si>
  <si>
    <t>Benin</t>
  </si>
  <si>
    <t>Bhutan</t>
  </si>
  <si>
    <t>Bolivia</t>
  </si>
  <si>
    <t>Bosnia and Herzegovina</t>
  </si>
  <si>
    <t>Botswana</t>
  </si>
  <si>
    <t>Brazil</t>
  </si>
  <si>
    <t>Brunei Darussalam</t>
  </si>
  <si>
    <t>Bulgaria</t>
  </si>
  <si>
    <t>Burkina Faso</t>
  </si>
  <si>
    <t>Burundi</t>
  </si>
  <si>
    <t>Cabo Verde</t>
  </si>
  <si>
    <t>Cameroon</t>
  </si>
  <si>
    <t>Canada</t>
  </si>
  <si>
    <t>Chad</t>
  </si>
  <si>
    <t>Chile</t>
  </si>
  <si>
    <t>China</t>
  </si>
  <si>
    <t>Colombia</t>
  </si>
  <si>
    <t>Congo, Rep.</t>
  </si>
  <si>
    <t>Costa Rica</t>
  </si>
  <si>
    <t>Cote d'Ivoire</t>
  </si>
  <si>
    <t>Croatia</t>
  </si>
  <si>
    <t>Cyprus</t>
  </si>
  <si>
    <t>Czech Republic</t>
  </si>
  <si>
    <t>Denmark</t>
  </si>
  <si>
    <t>Dominican Republic</t>
  </si>
  <si>
    <t>Ecuador</t>
  </si>
  <si>
    <t>El Salvador</t>
  </si>
  <si>
    <t>Equatorial Guinea</t>
  </si>
  <si>
    <t>Estonia</t>
  </si>
  <si>
    <t>Eswatini</t>
  </si>
  <si>
    <t>Ethiopia</t>
  </si>
  <si>
    <t>Finland</t>
  </si>
  <si>
    <t>France</t>
  </si>
  <si>
    <t>Gabon</t>
  </si>
  <si>
    <t>Gambia, The</t>
  </si>
  <si>
    <t>Georgia</t>
  </si>
  <si>
    <t>Germany</t>
  </si>
  <si>
    <t>Ghana</t>
  </si>
  <si>
    <t>Greece</t>
  </si>
  <si>
    <t>Guatemala</t>
  </si>
  <si>
    <t>Guinea</t>
  </si>
  <si>
    <t>Haiti</t>
  </si>
  <si>
    <t>Honduras</t>
  </si>
  <si>
    <t>Hong Kong SAR, China</t>
  </si>
  <si>
    <t>Hungary</t>
  </si>
  <si>
    <t>Iceland</t>
  </si>
  <si>
    <t>India</t>
  </si>
  <si>
    <t>Indonesia</t>
  </si>
  <si>
    <t>Ireland</t>
  </si>
  <si>
    <t>Israel</t>
  </si>
  <si>
    <t>Italy</t>
  </si>
  <si>
    <t>Jamaica</t>
  </si>
  <si>
    <t>Jordan</t>
  </si>
  <si>
    <t>Korea, Rep.</t>
  </si>
  <si>
    <t>Kosovo</t>
  </si>
  <si>
    <t>Kyrgyz Republic</t>
  </si>
  <si>
    <t>Latvia</t>
  </si>
  <si>
    <t>Lebanon</t>
  </si>
  <si>
    <t>Lesotho</t>
  </si>
  <si>
    <t>Lithuania</t>
  </si>
  <si>
    <t>Luxembourg</t>
  </si>
  <si>
    <t>Madagascar</t>
  </si>
  <si>
    <t>Malawi</t>
  </si>
  <si>
    <t>Malaysia</t>
  </si>
  <si>
    <t>Mali</t>
  </si>
  <si>
    <t>Malta</t>
  </si>
  <si>
    <t>Mauritania</t>
  </si>
  <si>
    <t>Mauritius</t>
  </si>
  <si>
    <t>Mexico</t>
  </si>
  <si>
    <t>Moldova</t>
  </si>
  <si>
    <t>Mongolia</t>
  </si>
  <si>
    <t>Montenegro</t>
  </si>
  <si>
    <t>Morocco</t>
  </si>
  <si>
    <t>Mozambique</t>
  </si>
  <si>
    <t>Namibia</t>
  </si>
  <si>
    <t>Nepal</t>
  </si>
  <si>
    <t>Netherlands</t>
  </si>
  <si>
    <t>Nicaragua</t>
  </si>
  <si>
    <t>Niger</t>
  </si>
  <si>
    <t>Nigeria</t>
  </si>
  <si>
    <t>North Macedonia</t>
  </si>
  <si>
    <t>Norway</t>
  </si>
  <si>
    <t>Oman</t>
  </si>
  <si>
    <t>Pakistan</t>
  </si>
  <si>
    <t>Panama</t>
  </si>
  <si>
    <t>Paraguay</t>
  </si>
  <si>
    <t>Peru</t>
  </si>
  <si>
    <t>Philippines</t>
  </si>
  <si>
    <t>Poland</t>
  </si>
  <si>
    <t>Portugal</t>
  </si>
  <si>
    <t>Qatar</t>
  </si>
  <si>
    <t>Romania</t>
  </si>
  <si>
    <t>Russian Federation</t>
  </si>
  <si>
    <t>Rwanda</t>
  </si>
  <si>
    <t>Saudi Arabia</t>
  </si>
  <si>
    <t>Senegal</t>
  </si>
  <si>
    <t>Serbia</t>
  </si>
  <si>
    <t>Seychelles</t>
  </si>
  <si>
    <t>Sierra Leone</t>
  </si>
  <si>
    <t>Singapore</t>
  </si>
  <si>
    <t>Slovak Republic</t>
  </si>
  <si>
    <t>Slovenia</t>
  </si>
  <si>
    <t>South Africa</t>
  </si>
  <si>
    <t>Spain</t>
  </si>
  <si>
    <t>Sri Lanka</t>
  </si>
  <si>
    <t>Sudan</t>
  </si>
  <si>
    <t>Sweden</t>
  </si>
  <si>
    <t>Switzerland</t>
  </si>
  <si>
    <t>Thailand</t>
  </si>
  <si>
    <t>Timor-Leste</t>
  </si>
  <si>
    <t>Togo</t>
  </si>
  <si>
    <t>Tunisia</t>
  </si>
  <si>
    <t>Turkey</t>
  </si>
  <si>
    <t>Uganda</t>
  </si>
  <si>
    <t>Ukraine</t>
  </si>
  <si>
    <t>United Arab Emirates</t>
  </si>
  <si>
    <t>United Kingdom</t>
  </si>
  <si>
    <t>United States</t>
  </si>
  <si>
    <t>Uruguay</t>
  </si>
  <si>
    <t>Vietnam</t>
  </si>
  <si>
    <t>Zambia</t>
  </si>
  <si>
    <t>CORRCOEF</t>
  </si>
  <si>
    <t>Correlation coefficients</t>
  </si>
  <si>
    <t>matrix for which correlation coefficients will be calculated</t>
  </si>
  <si>
    <t>[dimension]</t>
  </si>
  <si>
    <t>dimension</t>
  </si>
  <si>
    <t>Function</t>
  </si>
  <si>
    <t>If 2 or omitted it considers each column as a variable. If 1, it considers each row as a variable.</t>
  </si>
  <si>
    <t>Boolean. FALSE or omitted, runs the test from sample 1 to sample 2. TRUE, returns the test from sample 2 to sample 1.</t>
  </si>
  <si>
    <t>Boolean. TRUE or omitted, returns the p-value of the test. FALSE, returns its F-statistic.</t>
  </si>
  <si>
    <t>minEigenvalueCondition</t>
  </si>
  <si>
    <t>maxConditionIndex</t>
  </si>
  <si>
    <t>[minEigenvalueCondition]</t>
  </si>
  <si>
    <t>[maxConditionIndex]</t>
  </si>
  <si>
    <t>Double. Default is 0.01.</t>
  </si>
  <si>
    <t>Double. Default is 50.</t>
  </si>
  <si>
    <t>ISMULTICOLLINEAR</t>
  </si>
  <si>
    <t>Source: inspired on the walkthrough of NEDL: https://www.youtube.com/watch?v=uFt0M3TnQ-Q</t>
  </si>
  <si>
    <t>X</t>
  </si>
  <si>
    <t>VARINFLATIONFACTOR</t>
  </si>
  <si>
    <t>Calculates the variance inflation factor of a linear regression</t>
  </si>
  <si>
    <t>[returnAllFactors]</t>
  </si>
  <si>
    <t>Explained variable.</t>
  </si>
  <si>
    <t>Explanatory variables.</t>
  </si>
  <si>
    <t>Boolean. If FALSE or omitted, returns a single variance inflation factor. If TRUE, returns the variance inflation factor of all possible regressions among y and X variables in columns order [y X].</t>
  </si>
  <si>
    <t>[returnTest]</t>
  </si>
  <si>
    <t>[maxInflationVarFactor]</t>
  </si>
  <si>
    <t>Double. Default is 5.</t>
  </si>
  <si>
    <t>maxInflationVarFactor</t>
  </si>
  <si>
    <t>returnTest</t>
  </si>
  <si>
    <t>Test for multicollinearity using either the variance inflation factor test, the eigenvalues test or the condition index test</t>
  </si>
  <si>
    <t>Source: inspired on the walkthrough of NEDL: https://www.youtube.com/watch?v=WAttgmejKhY  and   https://www.youtube.com/watch?v=uFt0M3TnQ-Q</t>
  </si>
  <si>
    <t>matrix in which each column is a variable</t>
  </si>
  <si>
    <t>If 0 or omitted returns returns the result of the variance inflation factor test. If 1, returns the result of the minimum eigenvalues test. If 2, returns the result of the condition index test.</t>
  </si>
  <si>
    <t>matrix for which the norm will be calculated</t>
  </si>
  <si>
    <t>Description of functions EIGENVECTORS and MNORM were updated.</t>
  </si>
  <si>
    <t>[lastCol]</t>
  </si>
  <si>
    <t>[normalize]</t>
  </si>
  <si>
    <t>[originalMatrix]</t>
  </si>
  <si>
    <t>internal parameter for recursion (you do not need to specify it)</t>
  </si>
  <si>
    <t>Source: inspired on</t>
  </si>
  <si>
    <t>2) https://en.wikipedia.org/wiki/QR_decomposition</t>
  </si>
  <si>
    <t>1) https://python.quantecon.org/qr_decomp.html</t>
  </si>
  <si>
    <t>[numIter]</t>
  </si>
  <si>
    <t>numer of iterations until stop the algorithm. If omitted, it is 20.</t>
  </si>
  <si>
    <t>matrix which will be decomposed</t>
  </si>
  <si>
    <t>QR</t>
  </si>
  <si>
    <t>LINSOLVE</t>
  </si>
  <si>
    <t>matrix with the coefficients of the linear system</t>
  </si>
  <si>
    <t>result vector</t>
  </si>
  <si>
    <t>Source: inspired on https://en.wikipedia.org/wiki/QR_decomposition</t>
  </si>
  <si>
    <t>Solve linear system of equations (AX = B) using QR decomposition. Only determined systems.</t>
  </si>
  <si>
    <t>SUBS</t>
  </si>
  <si>
    <t>Evaluates a formula expression after replacing variables with numbers (workbook file will have to be saved with the .xlsm extension)</t>
  </si>
  <si>
    <t>s</t>
  </si>
  <si>
    <t>old</t>
  </si>
  <si>
    <t>new</t>
  </si>
  <si>
    <t>This function depends on the Excel 4.0 function EVALUATE. In reason of this, SUBS can only be used in workbooks with the .xlsm extension.</t>
  </si>
  <si>
    <t>Q</t>
  </si>
  <si>
    <t>Q+2</t>
  </si>
  <si>
    <t>[nSize]</t>
  </si>
  <si>
    <t>Size of the group of columns that should be sorted from left to right. If omitted, it is 1.</t>
  </si>
  <si>
    <t>Size of the group of rows that should be sorted from up to down. If omitted, it is 1.</t>
  </si>
  <si>
    <t>Functions FLIPLR and FLIPUD have a new algorithm and a new optional parameter [nSize].</t>
  </si>
  <si>
    <t>xlFunction has an additional parameter for grouping columns before flipping</t>
  </si>
  <si>
    <t>xlFunction has an additional parameter for grouping rows before flipping</t>
  </si>
  <si>
    <t>Matrix of column-vectors</t>
  </si>
  <si>
    <t>Functions LAG and LEAD contained reference to function REVERSECOLS, old name of function FLIPLR. Now, they accept a matrix of column-vectors as input.</t>
  </si>
  <si>
    <t>OLS_SUMMARY</t>
  </si>
  <si>
    <t>OLS_HQC</t>
  </si>
  <si>
    <t>Regress a vector on a matrix and return the Hannan-Quinn information criterion of the regression</t>
  </si>
  <si>
    <t>OLS_RESIDUALS_AR</t>
  </si>
  <si>
    <t>Regress a vector on a matrix and return a summary of the ordinary least squares regression</t>
  </si>
  <si>
    <t>Regress a vector on a matrix and return the autorregressive coeficient of the ordinary least squares residuals</t>
  </si>
  <si>
    <t>OLS_DURBINWATSON</t>
  </si>
  <si>
    <t>Function OLS_LOGLIKELIHOOD has a new formula to match statistical packages. This change also impacts results of OLS_AIC and OLS_BIC.</t>
  </si>
  <si>
    <t>if not omitted, adds this argument to the first row of the trend column.</t>
  </si>
  <si>
    <t>matrix to be horizontally concatenated with a column vector with a deterministic trend.</t>
  </si>
  <si>
    <t>position where the column vector with the deterministic trend should be inserted; if omitted equals 1.</t>
  </si>
  <si>
    <t>power of the deterministic trend; if omitted equals 1.</t>
  </si>
  <si>
    <t>[power]</t>
  </si>
  <si>
    <t>colA</t>
  </si>
  <si>
    <t>colB</t>
  </si>
  <si>
    <t>Function ADDTREND now has a parameter for header's specification.</t>
  </si>
  <si>
    <t>Function ADDCONST has a new algorithm, but should keep the same functionality.</t>
  </si>
  <si>
    <t>[expandFromWithin]</t>
  </si>
  <si>
    <t>Boolean. If omitted, it is FALSE. If TRUE, the array is expanded by consecutively repeating each element in the [n] and [m] directions.</t>
  </si>
  <si>
    <t>Copies the matrix so as it has n rows of copies. If omitted, it is 1.</t>
  </si>
  <si>
    <t>Copies the matrix so as it has m columns of copies. If omitted, it is 1.</t>
  </si>
  <si>
    <t>Function REPMAT now has a parameter, [expandFromWithin], for expanding arrays by repeating each element on the directions requested.</t>
  </si>
  <si>
    <t>xlFunction has an additional parameter for expanding arrays by repeating each element in the directions requested</t>
  </si>
  <si>
    <t>Real eigenvalues of a squared matrix calculated using QR decomposition</t>
  </si>
  <si>
    <t>Real eigenvectors of a squared matrix calculated using QR decomposition</t>
  </si>
  <si>
    <t>Functions EIGENVALUES and EIGENVECTORS now are calculated through QR decomposition (much faster than previous algorithm based on finding roots of a polynomial).</t>
  </si>
  <si>
    <t>Factorizes a matrix into its QR decomposition (Q is orthogonal and R is upper-triangular) using the Gram-Schmidt algorithm.</t>
  </si>
  <si>
    <t>HASCONST</t>
  </si>
  <si>
    <t>Checks whether a matrix has a constant column or row</t>
  </si>
  <si>
    <t>[hasHeader]</t>
  </si>
  <si>
    <t>boolean. If omitted, it is FALSE.</t>
  </si>
  <si>
    <t>It is 1 or 2. If omitted, it is 1 (sweeps row-wise searching for constant columns)</t>
  </si>
  <si>
    <t>Functions OLS_ESS, OLS_RSS, OLS_FSTAT, and OLS_FSTAT_PVALUE had their algorithms mended for regressions without an intercept.</t>
  </si>
  <si>
    <t>Functions ALL and ANY had their algorithm changed to accept arrays as input instead of only arrays of cells.</t>
  </si>
  <si>
    <t>x,y [1:3] ; 1</t>
  </si>
  <si>
    <t>x, y [1:6] ; 1</t>
  </si>
  <si>
    <t>VERTCAT_EX</t>
  </si>
  <si>
    <t>HORZCAT_EX</t>
  </si>
  <si>
    <t>Concatenate arrays vertically but ignore if it is a certain value</t>
  </si>
  <si>
    <t>Concatenate arrays horizontally but ignore if it is a certain value</t>
  </si>
  <si>
    <t>FACTORIZE_QR</t>
  </si>
  <si>
    <t>FACTORIZE_CHOL</t>
  </si>
  <si>
    <t>1) https://algowiki-project.org/en/Cholesky_decomposition</t>
  </si>
  <si>
    <t>positive-definite matrix which will be decomposed</t>
  </si>
  <si>
    <t>[returnObject]</t>
  </si>
  <si>
    <t>If "L" or omitted, returns the lower-triangular matrix. If "U", returns the upper-triangular matrix. If "LU", returns [L | U].</t>
  </si>
  <si>
    <t>Factorizes a positive-definite matrix into a lower-triangular matrix (L) and an upper-triangular matrix (U).</t>
  </si>
  <si>
    <t>L</t>
  </si>
  <si>
    <t>If "QR" or omitted, returns [Q|R]. If "Q", returns [Q]. If "R", returns [R].</t>
  </si>
  <si>
    <t>As other algorithms may generate Q and R matrices with sign differences that cancel out, we require that Q has positive diagonal entries. We do this by adjusting the signs of the columns in and the rows in appropriately. In case of rectangular matrices mxn such that m&gt;n, Q matrix is represented as [Q1 | Q2] where Q1 and Q2 both have orthogonal columns, but Q2 is generally not unique.</t>
  </si>
  <si>
    <t>CHOL</t>
  </si>
  <si>
    <t>nboot</t>
  </si>
  <si>
    <t>bootfun</t>
  </si>
  <si>
    <t>data</t>
  </si>
  <si>
    <t>BOOTSTRP</t>
  </si>
  <si>
    <t>Bootstrap sampling</t>
  </si>
  <si>
    <t>Computes statistics on each sample using bootfun</t>
  </si>
  <si>
    <t>Data which will be sampled</t>
  </si>
  <si>
    <t>LAMBDA(x; MÉDIA(x))</t>
  </si>
  <si>
    <t>RANKRANGE</t>
  </si>
  <si>
    <t>Rank each column or row of a range independently. Range may contain text values.</t>
  </si>
  <si>
    <t>[rankRows]</t>
  </si>
  <si>
    <t>If TRUE (default), rank columns of each row. If FALSE, rank rows of each column.</t>
  </si>
  <si>
    <t>If TRUE (default) ranks in ascending order. If FALSE, ranks in descending order.</t>
  </si>
  <si>
    <t>rankRows</t>
  </si>
  <si>
    <t>[uniqueRanksOnly]</t>
  </si>
  <si>
    <t>uniqueRanksOnly</t>
  </si>
  <si>
    <t>If FALSE (default) repeated values have the same rank. If FALSE, each repeated value has a unique rank in ascending order as it appears from left to right (sorted rows) or from up to down (sorted columns).</t>
  </si>
  <si>
    <t>Added functions CORRCOEF, VARINFLATIONFACTOR, ISMULTICOLLINEAR, CONTAGION_FORBESRIGOBON, CONTAGION_COVOLATILITY, CONTAGION_COKURTOSIS, CONTAGION_COSKEWNESS, FACTORIZE_QR, FACTORIZE_CHOL, LINSOLVE, SUBS, OLS_HQC, OLS_SUMMARY, OLS_RESIDUALS_AR, HASCONST, VERTCAT_EX, HORZCAT_EX, BOOTSTRP, RANKRANGE.</t>
  </si>
  <si>
    <t>Date: October 15th, 2023</t>
  </si>
  <si>
    <t>Function SAMPLE had its parameter "replacement" renamed to "withoutReplacement" to avoid confusion.</t>
  </si>
  <si>
    <t>Draws nboot bootstrap data samples from data with replacement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</si>
</sst>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0.0"/>
    <numFmt numFmtId="165" formatCode="0.000"/>
    <numFmt numFmtId="166" formatCode="[$-416]mmm\-yy;@"/>
    <numFmt numFmtId="167" formatCode="0.0000"/>
    <numFmt numFmtId="168" formatCode="0.0000000"/>
    <numFmt numFmtId="169" formatCode="0.000000"/>
    <numFmt numFmtId="170" formatCode="0.0%"/>
    <numFmt numFmtId="171" formatCode="0.00000E+00"/>
    <numFmt numFmtId="172" formatCode="0.0000000%"/>
    <numFmt numFmtId="173" formatCode="dd/mm/yy;@"/>
  </numFmts>
  <fonts count="24" x14ac:knownFonts="1">
    <font>
      <sz val="11"/>
      <color theme="1"/>
      <name val="Calibri"/>
      <family val="2"/>
      <scheme val="minor"/>
    </font>
    <font>
      <sz val="10"/>
      <color theme="1"/>
      <name val="Arial"/>
      <family val="2"/>
    </font>
    <font>
      <sz val="12"/>
      <color theme="1"/>
      <name val="Calibri"/>
      <family val="2"/>
      <scheme val="minor"/>
    </font>
    <font>
      <b/>
      <sz val="11"/>
      <color theme="1"/>
      <name val="Calibri"/>
      <family val="2"/>
      <scheme val="minor"/>
    </font>
    <font>
      <b/>
      <sz val="12"/>
      <color theme="1"/>
      <name val="Calibri"/>
      <family val="2"/>
      <scheme val="minor"/>
    </font>
    <font>
      <b/>
      <sz val="16"/>
      <color theme="1"/>
      <name val="Calibri"/>
      <family val="2"/>
      <scheme val="minor"/>
    </font>
    <font>
      <b/>
      <sz val="18"/>
      <color theme="1"/>
      <name val="Calibri"/>
      <family val="2"/>
      <scheme val="minor"/>
    </font>
    <font>
      <sz val="12"/>
      <color theme="1"/>
      <name val="Calibri"/>
      <family val="2"/>
      <scheme val="minor"/>
    </font>
    <font>
      <sz val="11"/>
      <color rgb="FF3F3F76"/>
      <name val="Calibri"/>
      <family val="2"/>
      <scheme val="minor"/>
    </font>
    <font>
      <b/>
      <sz val="11"/>
      <color rgb="FF3F3F3F"/>
      <name val="Calibri"/>
      <family val="2"/>
      <scheme val="minor"/>
    </font>
    <font>
      <b/>
      <sz val="14"/>
      <color theme="1"/>
      <name val="Calibri"/>
      <family val="2"/>
      <scheme val="minor"/>
    </font>
    <font>
      <sz val="14"/>
      <color theme="1"/>
      <name val="Calibri"/>
      <family val="2"/>
      <scheme val="minor"/>
    </font>
    <font>
      <b/>
      <sz val="11"/>
      <name val="Calibri"/>
      <family val="2"/>
      <scheme val="minor"/>
    </font>
    <font>
      <b/>
      <sz val="11"/>
      <color rgb="FFFF0000"/>
      <name val="Calibri"/>
      <family val="2"/>
      <scheme val="minor"/>
    </font>
    <font>
      <b/>
      <sz val="11"/>
      <color rgb="FFFA7D00"/>
      <name val="Calibri"/>
      <family val="2"/>
      <scheme val="minor"/>
    </font>
    <font>
      <u/>
      <sz val="11"/>
      <color theme="10"/>
      <name val="Calibri"/>
      <family val="2"/>
      <scheme val="minor"/>
    </font>
    <font>
      <sz val="11"/>
      <color rgb="FFFF0000"/>
      <name val="Calibri"/>
      <family val="2"/>
      <scheme val="minor"/>
    </font>
    <font>
      <sz val="11"/>
      <color theme="1"/>
      <name val="Calibri"/>
      <family val="2"/>
      <scheme val="minor"/>
    </font>
    <font>
      <i/>
      <sz val="11"/>
      <color theme="1"/>
      <name val="Calibri"/>
      <family val="2"/>
      <scheme val="minor"/>
    </font>
    <font>
      <b/>
      <sz val="14"/>
      <name val="Calibri"/>
      <family val="2"/>
      <scheme val="minor"/>
    </font>
    <font>
      <sz val="14"/>
      <name val="Calibri"/>
      <family val="2"/>
      <scheme val="minor"/>
    </font>
    <font>
      <sz val="11"/>
      <color rgb="FF333333"/>
      <name val="Times New Roman"/>
      <family val="1"/>
    </font>
    <font>
      <sz val="11"/>
      <color theme="1"/>
      <name val="Calibri"/>
      <family val="2"/>
      <charset val="204"/>
      <scheme val="minor"/>
    </font>
    <font>
      <sz val="8"/>
      <name val="Calibri"/>
      <family val="2"/>
      <scheme val="minor"/>
    </font>
  </fonts>
  <fills count="12">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rgb="FFFFCC99"/>
      </patternFill>
    </fill>
    <fill>
      <patternFill patternType="solid">
        <fgColor rgb="FFF2F2F2"/>
      </patternFill>
    </fill>
    <fill>
      <patternFill patternType="solid">
        <fgColor theme="0" tint="-0.149998474074526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theme="0" tint="-0.249977111117893"/>
        <bgColor indexed="64"/>
      </patternFill>
    </fill>
  </fills>
  <borders count="16">
    <border>
      <left/>
      <right/>
      <top/>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3F3F3F"/>
      </left>
      <right/>
      <top style="thin">
        <color rgb="FF3F3F3F"/>
      </top>
      <bottom style="thin">
        <color rgb="FF3F3F3F"/>
      </bottom>
      <diagonal/>
    </border>
    <border>
      <left/>
      <right style="thin">
        <color rgb="FF3F3F3F"/>
      </right>
      <top style="thin">
        <color rgb="FF3F3F3F"/>
      </top>
      <bottom style="thin">
        <color rgb="FF3F3F3F"/>
      </bottom>
      <diagonal/>
    </border>
    <border>
      <left/>
      <right/>
      <top style="medium">
        <color auto="1"/>
      </top>
      <bottom style="thin">
        <color auto="1"/>
      </bottom>
      <diagonal/>
    </border>
    <border>
      <left/>
      <right/>
      <top/>
      <bottom style="medium">
        <color auto="1"/>
      </bottom>
      <diagonal/>
    </border>
    <border>
      <left style="thin">
        <color rgb="FF3F3F3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0">
    <xf numFmtId="0" fontId="0" fillId="0" borderId="0"/>
    <xf numFmtId="0" fontId="8" fillId="4" borderId="2" applyNumberFormat="0" applyAlignment="0" applyProtection="0"/>
    <xf numFmtId="0" fontId="9" fillId="5" borderId="3" applyNumberFormat="0" applyAlignment="0" applyProtection="0"/>
    <xf numFmtId="0" fontId="2" fillId="0" borderId="0"/>
    <xf numFmtId="0" fontId="14" fillId="5" borderId="2" applyNumberFormat="0" applyAlignment="0" applyProtection="0"/>
    <xf numFmtId="0" fontId="15" fillId="0" borderId="0" applyNumberFormat="0" applyFill="0" applyBorder="0" applyAlignment="0" applyProtection="0"/>
    <xf numFmtId="9" fontId="17" fillId="0" borderId="0" applyFont="0" applyFill="0" applyBorder="0" applyAlignment="0" applyProtection="0"/>
    <xf numFmtId="0" fontId="1" fillId="0" borderId="0"/>
    <xf numFmtId="0" fontId="22" fillId="0" borderId="0"/>
    <xf numFmtId="9" fontId="22" fillId="0" borderId="0" applyFont="0" applyFill="0" applyBorder="0" applyAlignment="0" applyProtection="0"/>
  </cellStyleXfs>
  <cellXfs count="147">
    <xf numFmtId="0" fontId="0" fillId="0" borderId="0" xfId="0"/>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0" fillId="2" borderId="0" xfId="0" applyFill="1"/>
    <xf numFmtId="0" fontId="3" fillId="2" borderId="0" xfId="0" applyFont="1" applyFill="1"/>
    <xf numFmtId="0" fontId="3" fillId="0" borderId="1" xfId="0" applyFont="1" applyBorder="1" applyAlignment="1">
      <alignment horizontal="left"/>
    </xf>
    <xf numFmtId="0" fontId="7" fillId="0" borderId="0" xfId="0" applyFont="1"/>
    <xf numFmtId="0" fontId="0" fillId="3" borderId="0" xfId="0" applyFill="1"/>
    <xf numFmtId="164" fontId="0" fillId="3" borderId="0" xfId="0" applyNumberFormat="1" applyFill="1"/>
    <xf numFmtId="0" fontId="8" fillId="4" borderId="2" xfId="1"/>
    <xf numFmtId="0" fontId="9" fillId="5" borderId="3" xfId="2"/>
    <xf numFmtId="0" fontId="0" fillId="6" borderId="0" xfId="0" applyFill="1" applyAlignment="1">
      <alignment horizontal="center"/>
    </xf>
    <xf numFmtId="0" fontId="0" fillId="3" borderId="0" xfId="0" applyFill="1" applyAlignment="1">
      <alignment horizontal="center"/>
    </xf>
    <xf numFmtId="0" fontId="10" fillId="0" borderId="0" xfId="0" applyFont="1"/>
    <xf numFmtId="0" fontId="11" fillId="0" borderId="0" xfId="0" applyFont="1"/>
    <xf numFmtId="0" fontId="7" fillId="0" borderId="0" xfId="0" applyFont="1" applyAlignment="1">
      <alignment wrapText="1"/>
    </xf>
    <xf numFmtId="0" fontId="7" fillId="0" borderId="0" xfId="0" applyFont="1" applyAlignment="1">
      <alignment vertical="top"/>
    </xf>
    <xf numFmtId="0" fontId="7" fillId="0" borderId="0" xfId="0" applyFont="1" applyAlignment="1">
      <alignment vertical="top" wrapText="1"/>
    </xf>
    <xf numFmtId="0" fontId="0" fillId="0" borderId="0" xfId="0" applyAlignment="1">
      <alignment horizontal="center"/>
    </xf>
    <xf numFmtId="0" fontId="8" fillId="4" borderId="2" xfId="1" applyAlignment="1">
      <alignment horizontal="right"/>
    </xf>
    <xf numFmtId="0" fontId="2" fillId="0" borderId="0" xfId="0" applyFont="1" applyAlignment="1">
      <alignment vertical="top"/>
    </xf>
    <xf numFmtId="0" fontId="2" fillId="0" borderId="0" xfId="0" applyFont="1" applyAlignment="1">
      <alignment wrapText="1"/>
    </xf>
    <xf numFmtId="0" fontId="0" fillId="0" borderId="0" xfId="0" quotePrefix="1"/>
    <xf numFmtId="0" fontId="2" fillId="0" borderId="0" xfId="0" applyFont="1" applyAlignment="1">
      <alignment vertical="top" wrapText="1"/>
    </xf>
    <xf numFmtId="2" fontId="0" fillId="3" borderId="0" xfId="0" applyNumberFormat="1" applyFill="1" applyAlignment="1">
      <alignment horizontal="center"/>
    </xf>
    <xf numFmtId="1" fontId="0" fillId="3" borderId="0" xfId="0" applyNumberFormat="1" applyFill="1" applyAlignment="1">
      <alignment horizontal="center"/>
    </xf>
    <xf numFmtId="0" fontId="0" fillId="8" borderId="0" xfId="0" applyFill="1" applyAlignment="1">
      <alignment vertical="top" wrapText="1"/>
    </xf>
    <xf numFmtId="0" fontId="0" fillId="7" borderId="0" xfId="0" applyFill="1" applyAlignment="1">
      <alignment vertical="top" wrapText="1"/>
    </xf>
    <xf numFmtId="0" fontId="0" fillId="0" borderId="0" xfId="0" applyAlignment="1">
      <alignment vertical="top"/>
    </xf>
    <xf numFmtId="0" fontId="0" fillId="3" borderId="0" xfId="0" applyFill="1" applyAlignment="1">
      <alignment vertical="top"/>
    </xf>
    <xf numFmtId="0" fontId="12" fillId="2" borderId="0" xfId="0" applyFont="1" applyFill="1" applyAlignment="1">
      <alignment wrapText="1"/>
    </xf>
    <xf numFmtId="0" fontId="12" fillId="0" borderId="0" xfId="0" applyFont="1" applyAlignment="1">
      <alignment wrapText="1"/>
    </xf>
    <xf numFmtId="0" fontId="0" fillId="7" borderId="0" xfId="0" applyFill="1"/>
    <xf numFmtId="165" fontId="0" fillId="7" borderId="0" xfId="0" applyNumberFormat="1" applyFill="1"/>
    <xf numFmtId="164" fontId="0" fillId="7" borderId="0" xfId="0" applyNumberFormat="1" applyFill="1"/>
    <xf numFmtId="164" fontId="0" fillId="0" borderId="0" xfId="0" applyNumberFormat="1"/>
    <xf numFmtId="164" fontId="0" fillId="9" borderId="0" xfId="0" applyNumberFormat="1" applyFill="1"/>
    <xf numFmtId="11" fontId="0" fillId="9" borderId="0" xfId="0" applyNumberFormat="1" applyFill="1"/>
    <xf numFmtId="0" fontId="3" fillId="0" borderId="0" xfId="0" applyFont="1" applyAlignment="1">
      <alignment horizontal="left"/>
    </xf>
    <xf numFmtId="165" fontId="0" fillId="9" borderId="0" xfId="0" applyNumberFormat="1" applyFill="1"/>
    <xf numFmtId="165" fontId="0" fillId="0" borderId="0" xfId="0" applyNumberFormat="1"/>
    <xf numFmtId="0" fontId="2" fillId="0" borderId="0" xfId="0" applyFont="1"/>
    <xf numFmtId="166" fontId="8" fillId="4" borderId="2" xfId="1" applyNumberFormat="1"/>
    <xf numFmtId="0" fontId="14" fillId="5" borderId="2" xfId="4"/>
    <xf numFmtId="0" fontId="0" fillId="0" borderId="0" xfId="0" applyAlignment="1">
      <alignment vertical="top" wrapText="1"/>
    </xf>
    <xf numFmtId="0" fontId="8" fillId="4" borderId="2" xfId="1" applyNumberFormat="1"/>
    <xf numFmtId="0" fontId="9" fillId="5" borderId="3" xfId="2" applyAlignment="1">
      <alignment horizontal="center"/>
    </xf>
    <xf numFmtId="166" fontId="14" fillId="5" borderId="2" xfId="4" applyNumberFormat="1"/>
    <xf numFmtId="0" fontId="0" fillId="3" borderId="0" xfId="0" applyFill="1" applyAlignment="1">
      <alignment horizontal="left"/>
    </xf>
    <xf numFmtId="0" fontId="0" fillId="6" borderId="0" xfId="0" applyFill="1" applyAlignment="1">
      <alignment horizontal="left"/>
    </xf>
    <xf numFmtId="164" fontId="8" fillId="4" borderId="2" xfId="1" applyNumberFormat="1"/>
    <xf numFmtId="164" fontId="0" fillId="3" borderId="0" xfId="0" applyNumberFormat="1" applyFill="1" applyAlignment="1">
      <alignment horizontal="center"/>
    </xf>
    <xf numFmtId="1" fontId="8" fillId="4" borderId="2" xfId="1" applyNumberFormat="1"/>
    <xf numFmtId="0" fontId="15" fillId="0" borderId="0" xfId="5" applyAlignment="1">
      <alignment horizontal="left" vertical="top" wrapText="1"/>
    </xf>
    <xf numFmtId="0" fontId="16" fillId="0" borderId="0" xfId="0" applyFont="1"/>
    <xf numFmtId="0" fontId="16" fillId="6" borderId="0" xfId="0" applyFont="1" applyFill="1" applyAlignment="1">
      <alignment horizontal="center"/>
    </xf>
    <xf numFmtId="167" fontId="0" fillId="3" borderId="0" xfId="0" applyNumberFormat="1" applyFill="1" applyAlignment="1">
      <alignment horizontal="center"/>
    </xf>
    <xf numFmtId="168" fontId="0" fillId="3" borderId="0" xfId="0" applyNumberFormat="1" applyFill="1" applyAlignment="1">
      <alignment horizontal="center"/>
    </xf>
    <xf numFmtId="0" fontId="3" fillId="3" borderId="0" xfId="0" applyFont="1" applyFill="1" applyAlignment="1">
      <alignment horizontal="center"/>
    </xf>
    <xf numFmtId="164" fontId="0" fillId="0" borderId="0" xfId="0" applyNumberFormat="1" applyAlignment="1">
      <alignment horizontal="center"/>
    </xf>
    <xf numFmtId="165" fontId="0" fillId="3" borderId="0" xfId="0" applyNumberFormat="1" applyFill="1" applyAlignment="1">
      <alignment horizontal="center"/>
    </xf>
    <xf numFmtId="165" fontId="0" fillId="3" borderId="0" xfId="0" applyNumberFormat="1" applyFill="1"/>
    <xf numFmtId="1" fontId="0" fillId="3" borderId="0" xfId="0" applyNumberFormat="1" applyFill="1"/>
    <xf numFmtId="164" fontId="0" fillId="3" borderId="7" xfId="0" applyNumberFormat="1" applyFill="1" applyBorder="1"/>
    <xf numFmtId="0" fontId="0" fillId="3" borderId="7" xfId="0" applyFill="1" applyBorder="1"/>
    <xf numFmtId="0" fontId="0" fillId="3" borderId="7" xfId="0" applyFill="1" applyBorder="1" applyAlignment="1">
      <alignment horizontal="center"/>
    </xf>
    <xf numFmtId="165" fontId="0" fillId="3" borderId="7" xfId="0" applyNumberFormat="1" applyFill="1" applyBorder="1" applyAlignment="1">
      <alignment horizontal="center"/>
    </xf>
    <xf numFmtId="164" fontId="18" fillId="3" borderId="0" xfId="0" applyNumberFormat="1" applyFont="1" applyFill="1" applyAlignment="1">
      <alignment horizontal="center"/>
    </xf>
    <xf numFmtId="165" fontId="18" fillId="3" borderId="0" xfId="0" applyNumberFormat="1" applyFont="1" applyFill="1" applyAlignment="1">
      <alignment horizontal="center"/>
    </xf>
    <xf numFmtId="0" fontId="18" fillId="3" borderId="0" xfId="0" applyFont="1" applyFill="1" applyAlignment="1">
      <alignment horizontal="center"/>
    </xf>
    <xf numFmtId="164" fontId="18" fillId="3" borderId="6" xfId="0" applyNumberFormat="1" applyFont="1" applyFill="1" applyBorder="1" applyAlignment="1">
      <alignment horizontal="center"/>
    </xf>
    <xf numFmtId="1" fontId="18" fillId="3" borderId="6" xfId="0" applyNumberFormat="1" applyFont="1" applyFill="1" applyBorder="1" applyAlignment="1">
      <alignment horizontal="center"/>
    </xf>
    <xf numFmtId="169" fontId="18" fillId="3" borderId="6" xfId="0" applyNumberFormat="1" applyFont="1" applyFill="1" applyBorder="1" applyAlignment="1">
      <alignment horizontal="center"/>
    </xf>
    <xf numFmtId="0" fontId="18" fillId="3" borderId="6" xfId="0" applyFont="1" applyFill="1" applyBorder="1" applyAlignment="1">
      <alignment horizontal="center"/>
    </xf>
    <xf numFmtId="164" fontId="0" fillId="3" borderId="0" xfId="0" applyNumberFormat="1" applyFill="1" applyAlignment="1">
      <alignment horizontal="left"/>
    </xf>
    <xf numFmtId="164" fontId="0" fillId="3" borderId="7" xfId="0" applyNumberFormat="1" applyFill="1" applyBorder="1" applyAlignment="1">
      <alignment horizontal="left"/>
    </xf>
    <xf numFmtId="1" fontId="0" fillId="3" borderId="7" xfId="0" applyNumberFormat="1" applyFill="1" applyBorder="1"/>
    <xf numFmtId="0" fontId="8" fillId="4" borderId="2" xfId="1" applyAlignment="1">
      <alignment horizontal="center"/>
    </xf>
    <xf numFmtId="164" fontId="8" fillId="4" borderId="2" xfId="1" applyNumberFormat="1" applyAlignment="1">
      <alignment horizontal="center"/>
    </xf>
    <xf numFmtId="9" fontId="8" fillId="4" borderId="2" xfId="1" applyNumberFormat="1" applyAlignment="1">
      <alignment horizontal="center"/>
    </xf>
    <xf numFmtId="0" fontId="3" fillId="0" borderId="0" xfId="0" applyFont="1" applyAlignment="1">
      <alignment horizontal="right"/>
    </xf>
    <xf numFmtId="0" fontId="19" fillId="0" borderId="0" xfId="0" applyFont="1"/>
    <xf numFmtId="0" fontId="20" fillId="0" borderId="0" xfId="0" applyFont="1"/>
    <xf numFmtId="0" fontId="15" fillId="0" borderId="0" xfId="5"/>
    <xf numFmtId="169" fontId="0" fillId="3" borderId="0" xfId="0" applyNumberFormat="1" applyFill="1" applyAlignment="1">
      <alignment horizontal="center"/>
    </xf>
    <xf numFmtId="169" fontId="0" fillId="3" borderId="7" xfId="0" applyNumberFormat="1" applyFill="1" applyBorder="1" applyAlignment="1">
      <alignment horizontal="center"/>
    </xf>
    <xf numFmtId="165" fontId="0" fillId="3" borderId="7" xfId="0" applyNumberFormat="1" applyFill="1" applyBorder="1"/>
    <xf numFmtId="0" fontId="3" fillId="3" borderId="0" xfId="0" applyFont="1" applyFill="1" applyAlignment="1">
      <alignment horizontal="left"/>
    </xf>
    <xf numFmtId="170" fontId="0" fillId="0" borderId="0" xfId="6" applyNumberFormat="1" applyFont="1" applyFill="1" applyAlignment="1">
      <alignment horizontal="center"/>
    </xf>
    <xf numFmtId="0" fontId="0" fillId="0" borderId="0" xfId="0" quotePrefix="1" applyAlignment="1">
      <alignment wrapText="1"/>
    </xf>
    <xf numFmtId="2" fontId="8" fillId="4" borderId="2" xfId="1" applyNumberFormat="1"/>
    <xf numFmtId="0" fontId="4" fillId="0" borderId="0" xfId="0" applyFont="1" applyAlignment="1">
      <alignment vertical="top"/>
    </xf>
    <xf numFmtId="1" fontId="14" fillId="5" borderId="2" xfId="4" applyNumberFormat="1"/>
    <xf numFmtId="2" fontId="0" fillId="0" borderId="0" xfId="0" applyNumberFormat="1"/>
    <xf numFmtId="0" fontId="11" fillId="0" borderId="0" xfId="0" applyFont="1" applyAlignment="1">
      <alignment wrapText="1"/>
    </xf>
    <xf numFmtId="0" fontId="0" fillId="0" borderId="1" xfId="0" applyBorder="1"/>
    <xf numFmtId="171" fontId="0" fillId="9" borderId="0" xfId="0" applyNumberFormat="1" applyFill="1"/>
    <xf numFmtId="172" fontId="0" fillId="7" borderId="0" xfId="6" applyNumberFormat="1" applyFont="1" applyFill="1"/>
    <xf numFmtId="164" fontId="8" fillId="10" borderId="2" xfId="1" applyNumberFormat="1" applyFill="1"/>
    <xf numFmtId="164" fontId="8" fillId="6" borderId="2" xfId="1" applyNumberFormat="1" applyFill="1"/>
    <xf numFmtId="1" fontId="8" fillId="6" borderId="2" xfId="1" applyNumberFormat="1" applyFill="1"/>
    <xf numFmtId="14" fontId="14" fillId="5" borderId="2" xfId="4" applyNumberFormat="1"/>
    <xf numFmtId="0" fontId="0" fillId="3" borderId="0" xfId="0" quotePrefix="1" applyFill="1" applyAlignment="1">
      <alignment horizontal="center"/>
    </xf>
    <xf numFmtId="172" fontId="0" fillId="0" borderId="0" xfId="6" applyNumberFormat="1" applyFont="1"/>
    <xf numFmtId="170" fontId="0" fillId="3" borderId="0" xfId="6" applyNumberFormat="1" applyFont="1" applyFill="1" applyAlignment="1">
      <alignment horizontal="center"/>
    </xf>
    <xf numFmtId="0" fontId="3" fillId="3" borderId="0" xfId="0" applyFont="1" applyFill="1" applyAlignment="1">
      <alignment horizontal="right"/>
    </xf>
    <xf numFmtId="0" fontId="3" fillId="2" borderId="0" xfId="0" applyFont="1" applyFill="1" applyAlignment="1">
      <alignment horizontal="right"/>
    </xf>
    <xf numFmtId="0" fontId="0" fillId="6" borderId="0" xfId="0" applyFill="1"/>
    <xf numFmtId="0" fontId="9" fillId="5" borderId="4" xfId="2" applyBorder="1" applyAlignment="1">
      <alignment horizontal="center"/>
    </xf>
    <xf numFmtId="0" fontId="8" fillId="4" borderId="2" xfId="1" applyAlignment="1">
      <alignment horizontal="left"/>
    </xf>
    <xf numFmtId="0" fontId="21" fillId="0" borderId="0" xfId="0" applyFont="1" applyAlignment="1">
      <alignment vertical="center" wrapText="1"/>
    </xf>
    <xf numFmtId="0" fontId="0" fillId="11" borderId="0" xfId="0" applyFill="1"/>
    <xf numFmtId="14" fontId="8" fillId="4" borderId="2" xfId="1" applyNumberFormat="1"/>
    <xf numFmtId="14" fontId="0" fillId="0" borderId="0" xfId="0" applyNumberFormat="1"/>
    <xf numFmtId="1" fontId="0" fillId="3" borderId="0" xfId="0" quotePrefix="1" applyNumberFormat="1" applyFill="1" applyAlignment="1">
      <alignment horizontal="left"/>
    </xf>
    <xf numFmtId="165" fontId="0" fillId="6" borderId="0" xfId="0" applyNumberFormat="1" applyFill="1" applyAlignment="1">
      <alignment horizontal="center"/>
    </xf>
    <xf numFmtId="0" fontId="13" fillId="3" borderId="0" xfId="0" applyFont="1" applyFill="1" applyAlignment="1">
      <alignment horizontal="left"/>
    </xf>
    <xf numFmtId="0" fontId="22" fillId="0" borderId="0" xfId="8" applyAlignment="1">
      <alignment horizontal="left" vertical="center"/>
    </xf>
    <xf numFmtId="173" fontId="14" fillId="5" borderId="2" xfId="4" applyNumberFormat="1"/>
    <xf numFmtId="10" fontId="8" fillId="4" borderId="2" xfId="6" applyNumberFormat="1" applyFont="1" applyFill="1" applyBorder="1"/>
    <xf numFmtId="2" fontId="0" fillId="3" borderId="0" xfId="6" applyNumberFormat="1" applyFont="1" applyFill="1" applyAlignment="1">
      <alignment horizontal="center"/>
    </xf>
    <xf numFmtId="0" fontId="9" fillId="5" borderId="12" xfId="2" applyBorder="1" applyAlignment="1">
      <alignment horizontal="center"/>
    </xf>
    <xf numFmtId="0" fontId="9" fillId="5" borderId="3" xfId="2" applyAlignment="1">
      <alignment wrapText="1"/>
    </xf>
    <xf numFmtId="165" fontId="3" fillId="3" borderId="0" xfId="0" applyNumberFormat="1" applyFont="1" applyFill="1" applyAlignment="1">
      <alignment horizontal="center"/>
    </xf>
    <xf numFmtId="2" fontId="9" fillId="5" borderId="3" xfId="2" applyNumberFormat="1"/>
    <xf numFmtId="0" fontId="11" fillId="0" borderId="0" xfId="0" applyFont="1" applyAlignment="1">
      <alignment horizontal="left" vertical="top" wrapText="1"/>
    </xf>
    <xf numFmtId="1" fontId="0" fillId="3" borderId="0" xfId="0" applyNumberFormat="1" applyFill="1" applyAlignment="1">
      <alignment horizontal="left"/>
    </xf>
    <xf numFmtId="0" fontId="2" fillId="0" borderId="0" xfId="0" applyFont="1" applyAlignment="1">
      <alignment horizontal="left" vertical="top" wrapText="1"/>
    </xf>
    <xf numFmtId="0" fontId="4" fillId="0" borderId="0" xfId="0" applyFont="1" applyAlignment="1">
      <alignment horizontal="left" vertical="top" wrapText="1"/>
    </xf>
    <xf numFmtId="0" fontId="9" fillId="5" borderId="4" xfId="2" applyBorder="1" applyAlignment="1">
      <alignment horizontal="center"/>
    </xf>
    <xf numFmtId="0" fontId="9" fillId="5" borderId="5" xfId="2" applyBorder="1" applyAlignment="1">
      <alignment horizontal="center"/>
    </xf>
    <xf numFmtId="0" fontId="15" fillId="0" borderId="0" xfId="5" applyAlignment="1">
      <alignment horizontal="left" vertical="top" wrapText="1"/>
    </xf>
    <xf numFmtId="0" fontId="9" fillId="5" borderId="11" xfId="2" applyBorder="1" applyAlignment="1">
      <alignment horizontal="center"/>
    </xf>
    <xf numFmtId="0" fontId="8" fillId="4" borderId="8" xfId="1" applyBorder="1" applyAlignment="1">
      <alignment horizontal="center"/>
    </xf>
    <xf numFmtId="0" fontId="8" fillId="4" borderId="9" xfId="1" applyBorder="1" applyAlignment="1">
      <alignment horizontal="center"/>
    </xf>
    <xf numFmtId="0" fontId="8" fillId="4" borderId="10" xfId="1" applyBorder="1" applyAlignment="1">
      <alignment horizontal="center"/>
    </xf>
    <xf numFmtId="0" fontId="8" fillId="4" borderId="2" xfId="1" applyAlignment="1">
      <alignment horizontal="center"/>
    </xf>
    <xf numFmtId="0" fontId="0" fillId="0" borderId="0" xfId="0" applyAlignment="1">
      <alignment horizontal="center"/>
    </xf>
    <xf numFmtId="0" fontId="11" fillId="0" borderId="0" xfId="0" applyFont="1" applyAlignment="1">
      <alignment horizontal="left" wrapText="1"/>
    </xf>
    <xf numFmtId="0" fontId="9" fillId="5" borderId="12" xfId="2" applyBorder="1" applyAlignment="1">
      <alignment horizontal="center"/>
    </xf>
    <xf numFmtId="0" fontId="9" fillId="5" borderId="13" xfId="2" applyBorder="1" applyAlignment="1">
      <alignment horizontal="center"/>
    </xf>
    <xf numFmtId="0" fontId="9" fillId="5" borderId="14" xfId="2" applyBorder="1" applyAlignment="1">
      <alignment horizontal="center"/>
    </xf>
    <xf numFmtId="0" fontId="9" fillId="5" borderId="15" xfId="2" applyBorder="1" applyAlignment="1">
      <alignment horizontal="center"/>
    </xf>
    <xf numFmtId="0" fontId="11" fillId="0" borderId="0" xfId="0" applyFont="1" applyAlignment="1">
      <alignment horizontal="left" vertical="top" wrapText="1"/>
    </xf>
  </cellXfs>
  <cellStyles count="10">
    <cellStyle name="Cálculo" xfId="4" builtinId="22"/>
    <cellStyle name="Entrada" xfId="1" builtinId="20"/>
    <cellStyle name="Hiperlink" xfId="5" builtinId="8"/>
    <cellStyle name="Normal" xfId="0" builtinId="0"/>
    <cellStyle name="Normal 2" xfId="3" xr:uid="{2D409E80-94B7-4113-BD19-F4D0B37EE06E}"/>
    <cellStyle name="Normal 3" xfId="7" xr:uid="{7FBC1235-5E2A-4381-9C8B-3DA0318A7E35}"/>
    <cellStyle name="Normal 3 2" xfId="8" xr:uid="{4CEA5090-5BB4-4E93-B5A6-2C39883C638C}"/>
    <cellStyle name="Porcentagem" xfId="6" builtinId="5"/>
    <cellStyle name="Porcentagem 2" xfId="9" xr:uid="{C7F467D0-4A16-4B64-93D6-113506DB39D3}"/>
    <cellStyle name="Saída" xfId="2" builtinId="21"/>
  </cellStyles>
  <dxfs count="1">
    <dxf>
      <fill>
        <patternFill>
          <bgColor theme="9" tint="0.59996337778862885"/>
        </patternFill>
      </fill>
    </dxf>
  </dxfs>
  <tableStyles count="1" defaultTableStyle="TableStyleMedium2" defaultPivotStyle="PivotStyleLight16">
    <tableStyle name="Invisible" pivot="0" table="0" count="0" xr9:uid="{EAB1178B-3905-417C-9B4C-68A3774C072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microsoft.com/office/2017/06/relationships/rdRichValueStructure" Target="richData/rdrichvaluestructure.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theme" Target="theme/theme1.xml"/><Relationship Id="rId5" Type="http://schemas.openxmlformats.org/officeDocument/2006/relationships/worksheet" Target="worksheets/sheet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styles" Target="styles.xml"/><Relationship Id="rId85"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microsoft.com/office/2017/06/relationships/rdRichValue" Target="richData/rdrichvalue.xml"/><Relationship Id="rId88"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sharedStrings" Target="sharedStrings.xml"/><Relationship Id="rId86"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calcChain" Target="calcChain.xml"/><Relationship Id="rId61" Type="http://schemas.openxmlformats.org/officeDocument/2006/relationships/worksheet" Target="worksheets/sheet61.xml"/><Relationship Id="rId8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Original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Series1</c:v>
          </c:tx>
          <c:spPr>
            <a:ln w="12700" cap="rnd">
              <a:solidFill>
                <a:schemeClr val="accent1"/>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STATIONARIZE!$F$14:$F$34</c:f>
              <c:numCache>
                <c:formatCode>0.0</c:formatCode>
                <c:ptCount val="21"/>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numCache>
            </c:numRef>
          </c:val>
          <c:smooth val="0"/>
          <c:extLst>
            <c:ext xmlns:c16="http://schemas.microsoft.com/office/drawing/2014/chart" uri="{C3380CC4-5D6E-409C-BE32-E72D297353CC}">
              <c16:uniqueId val="{00000000-2B80-4FB9-BDCF-E4E72684429F}"/>
            </c:ext>
          </c:extLst>
        </c:ser>
        <c:ser>
          <c:idx val="1"/>
          <c:order val="1"/>
          <c:tx>
            <c:v>Series2</c:v>
          </c:tx>
          <c:spPr>
            <a:ln w="28575" cap="rnd">
              <a:solidFill>
                <a:schemeClr val="accent2"/>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STATIONARIZE!$G$14:$G$34</c:f>
              <c:numCache>
                <c:formatCode>0.0</c:formatCode>
                <c:ptCount val="21"/>
                <c:pt idx="0">
                  <c:v>72.400000000000006</c:v>
                </c:pt>
                <c:pt idx="1">
                  <c:v>72.664707558285698</c:v>
                </c:pt>
                <c:pt idx="2">
                  <c:v>73.187809811138379</c:v>
                </c:pt>
                <c:pt idx="3">
                  <c:v>74.425144252887847</c:v>
                </c:pt>
                <c:pt idx="4">
                  <c:v>75.66349800150536</c:v>
                </c:pt>
                <c:pt idx="5">
                  <c:v>76.84433743789036</c:v>
                </c:pt>
                <c:pt idx="6">
                  <c:v>77.942750874853147</c:v>
                </c:pt>
                <c:pt idx="7">
                  <c:v>79.080586052051743</c:v>
                </c:pt>
                <c:pt idx="8">
                  <c:v>80.615484402641044</c:v>
                </c:pt>
                <c:pt idx="9">
                  <c:v>81.79706859365686</c:v>
                </c:pt>
                <c:pt idx="10">
                  <c:v>82.815968182787913</c:v>
                </c:pt>
                <c:pt idx="11">
                  <c:v>84.854362902107667</c:v>
                </c:pt>
                <c:pt idx="12">
                  <c:v>86.332095321080672</c:v>
                </c:pt>
                <c:pt idx="13">
                  <c:v>88.420760101394237</c:v>
                </c:pt>
                <c:pt idx="14">
                  <c:v>89.887183071794396</c:v>
                </c:pt>
                <c:pt idx="15">
                  <c:v>92.060187045964199</c:v>
                </c:pt>
                <c:pt idx="16">
                  <c:v>94.345800264610688</c:v>
                </c:pt>
                <c:pt idx="17">
                  <c:v>97.02430865758042</c:v>
                </c:pt>
                <c:pt idx="18">
                  <c:v>99.351060349901942</c:v>
                </c:pt>
                <c:pt idx="19">
                  <c:v>101.36791696411855</c:v>
                </c:pt>
                <c:pt idx="20">
                  <c:v>103.79804955452634</c:v>
                </c:pt>
              </c:numCache>
            </c:numRef>
          </c:val>
          <c:smooth val="0"/>
          <c:extLst>
            <c:ext xmlns:c16="http://schemas.microsoft.com/office/drawing/2014/chart" uri="{C3380CC4-5D6E-409C-BE32-E72D297353CC}">
              <c16:uniqueId val="{00000001-2B80-4FB9-BDCF-E4E72684429F}"/>
            </c:ext>
          </c:extLst>
        </c:ser>
        <c:ser>
          <c:idx val="2"/>
          <c:order val="2"/>
          <c:tx>
            <c:v>Series3</c:v>
          </c:tx>
          <c:spPr>
            <a:ln w="28575" cap="rnd">
              <a:solidFill>
                <a:schemeClr val="accent3"/>
              </a:solidFill>
              <a:round/>
            </a:ln>
            <a:effectLst/>
          </c:spPr>
          <c:marker>
            <c:symbol val="none"/>
          </c:marker>
          <c:val>
            <c:numRef>
              <c:f>STATIONARIZE!$H$14:$H$34</c:f>
              <c:numCache>
                <c:formatCode>0.0</c:formatCode>
                <c:ptCount val="21"/>
                <c:pt idx="0">
                  <c:v>72.400000000000006</c:v>
                </c:pt>
                <c:pt idx="1">
                  <c:v>73.148465437328468</c:v>
                </c:pt>
                <c:pt idx="2">
                  <c:v>73.218001417436682</c:v>
                </c:pt>
                <c:pt idx="3">
                  <c:v>73.687344623910249</c:v>
                </c:pt>
                <c:pt idx="4">
                  <c:v>74.127531529290579</c:v>
                </c:pt>
                <c:pt idx="5">
                  <c:v>75.308987452543391</c:v>
                </c:pt>
                <c:pt idx="6">
                  <c:v>75.682993729837932</c:v>
                </c:pt>
                <c:pt idx="7">
                  <c:v>76.92665184859959</c:v>
                </c:pt>
                <c:pt idx="8">
                  <c:v>78.027810011846213</c:v>
                </c:pt>
                <c:pt idx="9">
                  <c:v>79.513147112754851</c:v>
                </c:pt>
                <c:pt idx="10">
                  <c:v>81.080740266297894</c:v>
                </c:pt>
                <c:pt idx="11">
                  <c:v>82.587966894685948</c:v>
                </c:pt>
                <c:pt idx="12">
                  <c:v>84.690286806318937</c:v>
                </c:pt>
                <c:pt idx="13">
                  <c:v>86.948279398813483</c:v>
                </c:pt>
                <c:pt idx="14">
                  <c:v>89.752357113510456</c:v>
                </c:pt>
                <c:pt idx="15">
                  <c:v>92.602223620321695</c:v>
                </c:pt>
                <c:pt idx="16">
                  <c:v>95.407499654503013</c:v>
                </c:pt>
                <c:pt idx="17">
                  <c:v>98.793510152682444</c:v>
                </c:pt>
                <c:pt idx="18">
                  <c:v>102.07989231797038</c:v>
                </c:pt>
                <c:pt idx="19">
                  <c:v>106.403255967616</c:v>
                </c:pt>
                <c:pt idx="20">
                  <c:v>110.45766179411709</c:v>
                </c:pt>
              </c:numCache>
            </c:numRef>
          </c:val>
          <c:smooth val="0"/>
          <c:extLst>
            <c:ext xmlns:c16="http://schemas.microsoft.com/office/drawing/2014/chart" uri="{C3380CC4-5D6E-409C-BE32-E72D297353CC}">
              <c16:uniqueId val="{00000000-81AD-4A9D-8836-383DA0629345}"/>
            </c:ext>
          </c:extLst>
        </c:ser>
        <c:dLbls>
          <c:showLegendKey val="0"/>
          <c:showVal val="0"/>
          <c:showCatName val="0"/>
          <c:showSerName val="0"/>
          <c:showPercent val="0"/>
          <c:showBubbleSize val="0"/>
        </c:dLbls>
        <c:smooth val="0"/>
        <c:axId val="2040515792"/>
        <c:axId val="2040519952"/>
      </c:lineChart>
      <c:catAx>
        <c:axId val="204051579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Stationarized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spPr>
            <a:ln w="28575" cap="rnd">
              <a:solidFill>
                <a:schemeClr val="accent2"/>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STATIONARIZE!$U$14:$U$34</c:f>
              <c:numCache>
                <c:formatCode>0.0</c:formatCode>
                <c:ptCount val="21"/>
                <c:pt idx="0">
                  <c:v>-2.7000000000000028</c:v>
                </c:pt>
                <c:pt idx="1">
                  <c:v>7.7000000000000028</c:v>
                </c:pt>
                <c:pt idx="2">
                  <c:v>2.1999999999999886</c:v>
                </c:pt>
                <c:pt idx="3">
                  <c:v>0.80000000000001137</c:v>
                </c:pt>
                <c:pt idx="4">
                  <c:v>-2.9000000000000057</c:v>
                </c:pt>
                <c:pt idx="5">
                  <c:v>5.7999999999999972</c:v>
                </c:pt>
                <c:pt idx="6">
                  <c:v>0.29999999999999716</c:v>
                </c:pt>
                <c:pt idx="7">
                  <c:v>-1.5</c:v>
                </c:pt>
                <c:pt idx="8">
                  <c:v>7.1000000000000085</c:v>
                </c:pt>
                <c:pt idx="9">
                  <c:v>-5.2999999999999972</c:v>
                </c:pt>
                <c:pt idx="10">
                  <c:v>-9.3000000000000114</c:v>
                </c:pt>
                <c:pt idx="11">
                  <c:v>-0.59999999999999432</c:v>
                </c:pt>
                <c:pt idx="12">
                  <c:v>-2.2000000000000028</c:v>
                </c:pt>
                <c:pt idx="13">
                  <c:v>5.6000000000000085</c:v>
                </c:pt>
                <c:pt idx="14">
                  <c:v>-0.90000000000000568</c:v>
                </c:pt>
                <c:pt idx="15">
                  <c:v>3.2000000000000028</c:v>
                </c:pt>
                <c:pt idx="16">
                  <c:v>-3.4000000000000057</c:v>
                </c:pt>
                <c:pt idx="17">
                  <c:v>5</c:v>
                </c:pt>
                <c:pt idx="18">
                  <c:v>0.29999999999999716</c:v>
                </c:pt>
                <c:pt idx="19">
                  <c:v>4.1000000000000085</c:v>
                </c:pt>
                <c:pt idx="20">
                  <c:v>#N/A</c:v>
                </c:pt>
              </c:numCache>
            </c:numRef>
          </c:val>
          <c:smooth val="0"/>
          <c:extLst>
            <c:ext xmlns:c16="http://schemas.microsoft.com/office/drawing/2014/chart" uri="{C3380CC4-5D6E-409C-BE32-E72D297353CC}">
              <c16:uniqueId val="{00000001-B883-404E-AD08-932430E9CFAE}"/>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1"/>
          <c:spPr>
            <a:ln w="28575" cap="rnd">
              <a:solidFill>
                <a:schemeClr val="accent2"/>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STATIONARIZE!$V$14:$V$34</c:f>
              <c:numCache>
                <c:formatCode>0.00</c:formatCode>
                <c:ptCount val="21"/>
                <c:pt idx="0" formatCode="0.0">
                  <c:v>0.26470755828569281</c:v>
                </c:pt>
                <c:pt idx="1">
                  <c:v>0.52310225285268075</c:v>
                </c:pt>
                <c:pt idx="2">
                  <c:v>1.2373344417494678</c:v>
                </c:pt>
                <c:pt idx="3">
                  <c:v>1.2383537486175129</c:v>
                </c:pt>
                <c:pt idx="4">
                  <c:v>1.1808394363849999</c:v>
                </c:pt>
                <c:pt idx="5">
                  <c:v>1.0984134369627867</c:v>
                </c:pt>
                <c:pt idx="6">
                  <c:v>1.1378351771985962</c:v>
                </c:pt>
                <c:pt idx="7">
                  <c:v>1.5348983505893017</c:v>
                </c:pt>
                <c:pt idx="8">
                  <c:v>1.1815841910158156</c:v>
                </c:pt>
                <c:pt idx="9">
                  <c:v>1.0188995891310526</c:v>
                </c:pt>
                <c:pt idx="10">
                  <c:v>2.0383947193197542</c:v>
                </c:pt>
                <c:pt idx="11">
                  <c:v>1.4777324189730052</c:v>
                </c:pt>
                <c:pt idx="12">
                  <c:v>2.0886647803135645</c:v>
                </c:pt>
                <c:pt idx="13">
                  <c:v>1.4664229704001599</c:v>
                </c:pt>
                <c:pt idx="14">
                  <c:v>2.1730039741698022</c:v>
                </c:pt>
                <c:pt idx="15">
                  <c:v>2.285613218646489</c:v>
                </c:pt>
                <c:pt idx="16">
                  <c:v>2.6785083929697322</c:v>
                </c:pt>
                <c:pt idx="17">
                  <c:v>2.3267516923215226</c:v>
                </c:pt>
                <c:pt idx="18">
                  <c:v>2.0168566142166071</c:v>
                </c:pt>
                <c:pt idx="19">
                  <c:v>2.4301325904077942</c:v>
                </c:pt>
                <c:pt idx="20">
                  <c:v>#N/A</c:v>
                </c:pt>
              </c:numCache>
            </c:numRef>
          </c:val>
          <c:smooth val="0"/>
          <c:extLst>
            <c:ext xmlns:c16="http://schemas.microsoft.com/office/drawing/2014/chart" uri="{C3380CC4-5D6E-409C-BE32-E72D297353CC}">
              <c16:uniqueId val="{00000002-B883-404E-AD08-932430E9CFAE}"/>
            </c:ext>
          </c:extLst>
        </c:ser>
        <c:ser>
          <c:idx val="0"/>
          <c:order val="2"/>
          <c:spPr>
            <a:ln w="28575" cap="rnd">
              <a:solidFill>
                <a:schemeClr val="accent3"/>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STATIONARIZE!$W$14:$W$34</c:f>
              <c:numCache>
                <c:formatCode>0.00</c:formatCode>
                <c:ptCount val="21"/>
                <c:pt idx="0" formatCode="0.0">
                  <c:v>0.74846543732846271</c:v>
                </c:pt>
                <c:pt idx="1">
                  <c:v>6.953598010821338E-2</c:v>
                </c:pt>
                <c:pt idx="2">
                  <c:v>0.46934320647356742</c:v>
                </c:pt>
                <c:pt idx="3">
                  <c:v>0.44018690538032956</c:v>
                </c:pt>
                <c:pt idx="4">
                  <c:v>1.1814559232528126</c:v>
                </c:pt>
                <c:pt idx="5">
                  <c:v>0.37400627729454072</c:v>
                </c:pt>
                <c:pt idx="6">
                  <c:v>1.2436581187616582</c:v>
                </c:pt>
                <c:pt idx="7">
                  <c:v>1.1011581632466232</c:v>
                </c:pt>
                <c:pt idx="8">
                  <c:v>1.4853371009086374</c:v>
                </c:pt>
                <c:pt idx="9">
                  <c:v>1.5675931535430436</c:v>
                </c:pt>
                <c:pt idx="10">
                  <c:v>1.5072266283880538</c:v>
                </c:pt>
                <c:pt idx="11">
                  <c:v>2.1023199116329891</c:v>
                </c:pt>
                <c:pt idx="12">
                  <c:v>2.2579925924945456</c:v>
                </c:pt>
                <c:pt idx="13">
                  <c:v>2.8040777146969731</c:v>
                </c:pt>
                <c:pt idx="14">
                  <c:v>2.8498665068112388</c:v>
                </c:pt>
                <c:pt idx="15">
                  <c:v>2.8052760341813183</c:v>
                </c:pt>
                <c:pt idx="16">
                  <c:v>3.3860104981794308</c:v>
                </c:pt>
                <c:pt idx="17">
                  <c:v>3.2863821652879324</c:v>
                </c:pt>
                <c:pt idx="18">
                  <c:v>4.3233636496456285</c:v>
                </c:pt>
                <c:pt idx="19">
                  <c:v>4.0544058265010818</c:v>
                </c:pt>
                <c:pt idx="20">
                  <c:v>#N/A</c:v>
                </c:pt>
              </c:numCache>
            </c:numRef>
          </c:val>
          <c:smooth val="0"/>
          <c:extLst>
            <c:ext xmlns:c16="http://schemas.microsoft.com/office/drawing/2014/chart" uri="{C3380CC4-5D6E-409C-BE32-E72D297353CC}">
              <c16:uniqueId val="{00000000-0448-4E21-B92F-FE335DA8542D}"/>
            </c:ext>
          </c:extLst>
        </c:ser>
        <c:dLbls>
          <c:showLegendKey val="0"/>
          <c:showVal val="0"/>
          <c:showCatName val="0"/>
          <c:showSerName val="0"/>
          <c:showPercent val="0"/>
          <c:showBubbleSize val="0"/>
        </c:dLbls>
        <c:marker val="1"/>
        <c:smooth val="0"/>
        <c:axId val="1404022895"/>
        <c:axId val="1404033711"/>
      </c:lineChart>
      <c:catAx>
        <c:axId val="204051579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404033711"/>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4022895"/>
        <c:crosses val="max"/>
        <c:crossBetween val="between"/>
      </c:valAx>
      <c:catAx>
        <c:axId val="1404022895"/>
        <c:scaling>
          <c:orientation val="minMax"/>
        </c:scaling>
        <c:delete val="1"/>
        <c:axPos val="b"/>
        <c:numFmt formatCode="0" sourceLinked="1"/>
        <c:majorTickMark val="out"/>
        <c:minorTickMark val="none"/>
        <c:tickLblPos val="nextTo"/>
        <c:crossAx val="1404033711"/>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ISSTATIONARY!$G$14</c:f>
              <c:strCache>
                <c:ptCount val="1"/>
                <c:pt idx="0">
                  <c:v>values</c:v>
                </c:pt>
              </c:strCache>
            </c:strRef>
          </c:tx>
          <c:spPr>
            <a:ln w="28575" cap="rnd">
              <a:solidFill>
                <a:schemeClr val="accent1"/>
              </a:solidFill>
              <a:round/>
            </a:ln>
            <a:effectLst/>
          </c:spPr>
          <c:marker>
            <c:symbol val="none"/>
          </c:marker>
          <c:val>
            <c:numRef>
              <c:f>ISSTATIONARY!$G$15:$G$254</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c:v>83.3</c:v>
                </c:pt>
                <c:pt idx="228">
                  <c:v>81.900000000000006</c:v>
                </c:pt>
                <c:pt idx="229">
                  <c:v>79.099999999999994</c:v>
                </c:pt>
                <c:pt idx="230">
                  <c:v>86.1</c:v>
                </c:pt>
                <c:pt idx="231">
                  <c:v>81.3</c:v>
                </c:pt>
                <c:pt idx="232">
                  <c:v>88.4</c:v>
                </c:pt>
                <c:pt idx="233">
                  <c:v>87.9</c:v>
                </c:pt>
                <c:pt idx="234">
                  <c:v>92.2</c:v>
                </c:pt>
                <c:pt idx="235">
                  <c:v>93.4</c:v>
                </c:pt>
                <c:pt idx="236">
                  <c:v>91.5</c:v>
                </c:pt>
                <c:pt idx="237">
                  <c:v>89.7</c:v>
                </c:pt>
                <c:pt idx="238">
                  <c:v>86.3</c:v>
                </c:pt>
                <c:pt idx="239">
                  <c:v>79.2</c:v>
                </c:pt>
              </c:numCache>
            </c:numRef>
          </c:val>
          <c:smooth val="0"/>
          <c:extLst>
            <c:ext xmlns:c16="http://schemas.microsoft.com/office/drawing/2014/chart" uri="{C3380CC4-5D6E-409C-BE32-E72D297353CC}">
              <c16:uniqueId val="{00000000-AF83-4283-9C80-C1B8E8FC64B9}"/>
            </c:ext>
          </c:extLst>
        </c:ser>
        <c:ser>
          <c:idx val="1"/>
          <c:order val="1"/>
          <c:tx>
            <c:strRef>
              <c:f>ISSTATIONARY!$H$14</c:f>
              <c:strCache>
                <c:ptCount val="1"/>
                <c:pt idx="0">
                  <c:v>d(values)</c:v>
                </c:pt>
              </c:strCache>
            </c:strRef>
          </c:tx>
          <c:spPr>
            <a:ln w="28575" cap="rnd">
              <a:solidFill>
                <a:schemeClr val="accent2"/>
              </a:solidFill>
              <a:round/>
            </a:ln>
            <a:effectLst/>
          </c:spPr>
          <c:marker>
            <c:symbol val="none"/>
          </c:marker>
          <c:val>
            <c:numRef>
              <c:f>ISSTATIONARY!$H$15:$H$254</c:f>
              <c:numCache>
                <c:formatCode>0.0</c:formatCode>
                <c:ptCount val="240"/>
                <c:pt idx="1">
                  <c:v>-2.7000000000000028</c:v>
                </c:pt>
                <c:pt idx="2">
                  <c:v>7.7000000000000028</c:v>
                </c:pt>
                <c:pt idx="3">
                  <c:v>2.1999999999999886</c:v>
                </c:pt>
                <c:pt idx="4">
                  <c:v>0.80000000000001137</c:v>
                </c:pt>
                <c:pt idx="5">
                  <c:v>-2.9000000000000057</c:v>
                </c:pt>
                <c:pt idx="6">
                  <c:v>5.7999999999999972</c:v>
                </c:pt>
                <c:pt idx="7">
                  <c:v>0.29999999999999716</c:v>
                </c:pt>
                <c:pt idx="8">
                  <c:v>-1.5</c:v>
                </c:pt>
                <c:pt idx="9">
                  <c:v>7.1000000000000085</c:v>
                </c:pt>
                <c:pt idx="10">
                  <c:v>-5.2999999999999972</c:v>
                </c:pt>
                <c:pt idx="11">
                  <c:v>-9.3000000000000114</c:v>
                </c:pt>
                <c:pt idx="12">
                  <c:v>-0.59999999999999432</c:v>
                </c:pt>
                <c:pt idx="13">
                  <c:v>-2.2000000000000028</c:v>
                </c:pt>
                <c:pt idx="14">
                  <c:v>5.6000000000000085</c:v>
                </c:pt>
                <c:pt idx="15">
                  <c:v>-0.90000000000000568</c:v>
                </c:pt>
                <c:pt idx="16">
                  <c:v>3.2000000000000028</c:v>
                </c:pt>
                <c:pt idx="17">
                  <c:v>-3.4000000000000057</c:v>
                </c:pt>
                <c:pt idx="18">
                  <c:v>5</c:v>
                </c:pt>
                <c:pt idx="19">
                  <c:v>0.29999999999999716</c:v>
                </c:pt>
                <c:pt idx="20">
                  <c:v>4.1000000000000085</c:v>
                </c:pt>
                <c:pt idx="21">
                  <c:v>4.2999999999999972</c:v>
                </c:pt>
                <c:pt idx="22">
                  <c:v>-5.4000000000000057</c:v>
                </c:pt>
                <c:pt idx="23">
                  <c:v>-6.6999999999999886</c:v>
                </c:pt>
                <c:pt idx="24">
                  <c:v>-1.1000000000000085</c:v>
                </c:pt>
                <c:pt idx="25">
                  <c:v>-2.7999999999999972</c:v>
                </c:pt>
                <c:pt idx="26">
                  <c:v>12.900000000000006</c:v>
                </c:pt>
                <c:pt idx="27">
                  <c:v>-4.7000000000000028</c:v>
                </c:pt>
                <c:pt idx="28">
                  <c:v>4.0999999999999943</c:v>
                </c:pt>
                <c:pt idx="29">
                  <c:v>-0.20000000000000284</c:v>
                </c:pt>
                <c:pt idx="30">
                  <c:v>4</c:v>
                </c:pt>
                <c:pt idx="31">
                  <c:v>2</c:v>
                </c:pt>
                <c:pt idx="32">
                  <c:v>0</c:v>
                </c:pt>
                <c:pt idx="33">
                  <c:v>1.4000000000000057</c:v>
                </c:pt>
                <c:pt idx="34">
                  <c:v>-1.7000000000000028</c:v>
                </c:pt>
                <c:pt idx="35">
                  <c:v>-7.0999999999999943</c:v>
                </c:pt>
                <c:pt idx="36">
                  <c:v>-3.7000000000000028</c:v>
                </c:pt>
                <c:pt idx="37">
                  <c:v>-4.5999999999999943</c:v>
                </c:pt>
                <c:pt idx="38">
                  <c:v>11.599999999999994</c:v>
                </c:pt>
                <c:pt idx="39">
                  <c:v>-1</c:v>
                </c:pt>
                <c:pt idx="40">
                  <c:v>4.0999999999999943</c:v>
                </c:pt>
                <c:pt idx="41">
                  <c:v>0.30000000000001137</c:v>
                </c:pt>
                <c:pt idx="42">
                  <c:v>-0.90000000000000568</c:v>
                </c:pt>
                <c:pt idx="43">
                  <c:v>5.0999999999999943</c:v>
                </c:pt>
                <c:pt idx="44">
                  <c:v>-3.5999999999999943</c:v>
                </c:pt>
                <c:pt idx="45">
                  <c:v>1.7000000000000028</c:v>
                </c:pt>
                <c:pt idx="46">
                  <c:v>-1.2999999999999972</c:v>
                </c:pt>
                <c:pt idx="47">
                  <c:v>-5.8000000000000114</c:v>
                </c:pt>
                <c:pt idx="48">
                  <c:v>-2.8999999999999915</c:v>
                </c:pt>
                <c:pt idx="49">
                  <c:v>-3.5</c:v>
                </c:pt>
                <c:pt idx="50">
                  <c:v>12.200000000000003</c:v>
                </c:pt>
                <c:pt idx="51">
                  <c:v>-6.7000000000000028</c:v>
                </c:pt>
                <c:pt idx="52">
                  <c:v>9.7000000000000028</c:v>
                </c:pt>
                <c:pt idx="53">
                  <c:v>-4.3000000000000114</c:v>
                </c:pt>
                <c:pt idx="54">
                  <c:v>2.7000000000000028</c:v>
                </c:pt>
                <c:pt idx="55">
                  <c:v>4.7999999999999972</c:v>
                </c:pt>
                <c:pt idx="56">
                  <c:v>-5.3999999999999915</c:v>
                </c:pt>
                <c:pt idx="57">
                  <c:v>4.2999999999999972</c:v>
                </c:pt>
                <c:pt idx="58">
                  <c:v>-1.5999999999999943</c:v>
                </c:pt>
                <c:pt idx="59">
                  <c:v>-8.9000000000000057</c:v>
                </c:pt>
                <c:pt idx="60">
                  <c:v>0</c:v>
                </c:pt>
                <c:pt idx="61">
                  <c:v>-4.4000000000000057</c:v>
                </c:pt>
                <c:pt idx="62">
                  <c:v>13.800000000000011</c:v>
                </c:pt>
                <c:pt idx="63">
                  <c:v>-5.8000000000000114</c:v>
                </c:pt>
                <c:pt idx="64">
                  <c:v>9.3000000000000114</c:v>
                </c:pt>
                <c:pt idx="65">
                  <c:v>-3</c:v>
                </c:pt>
                <c:pt idx="66">
                  <c:v>2.8999999999999915</c:v>
                </c:pt>
                <c:pt idx="67">
                  <c:v>5.1000000000000085</c:v>
                </c:pt>
                <c:pt idx="68">
                  <c:v>-6.5</c:v>
                </c:pt>
                <c:pt idx="69">
                  <c:v>9.3999999999999915</c:v>
                </c:pt>
                <c:pt idx="70">
                  <c:v>-5.3999999999999915</c:v>
                </c:pt>
                <c:pt idx="71">
                  <c:v>-9.8000000000000114</c:v>
                </c:pt>
                <c:pt idx="72">
                  <c:v>2.2000000000000028</c:v>
                </c:pt>
                <c:pt idx="73">
                  <c:v>-3.7000000000000028</c:v>
                </c:pt>
                <c:pt idx="74">
                  <c:v>6.6000000000000085</c:v>
                </c:pt>
                <c:pt idx="75">
                  <c:v>1.5</c:v>
                </c:pt>
                <c:pt idx="76">
                  <c:v>3.2999999999999972</c:v>
                </c:pt>
                <c:pt idx="77">
                  <c:v>0.79999999999999716</c:v>
                </c:pt>
                <c:pt idx="78">
                  <c:v>5.2000000000000028</c:v>
                </c:pt>
                <c:pt idx="79">
                  <c:v>-1.5999999999999943</c:v>
                </c:pt>
                <c:pt idx="80">
                  <c:v>0.39999999999999147</c:v>
                </c:pt>
                <c:pt idx="81">
                  <c:v>1.1000000000000085</c:v>
                </c:pt>
                <c:pt idx="82">
                  <c:v>-12.200000000000003</c:v>
                </c:pt>
                <c:pt idx="83">
                  <c:v>-17.100000000000009</c:v>
                </c:pt>
                <c:pt idx="84">
                  <c:v>-0.39999999999999147</c:v>
                </c:pt>
                <c:pt idx="85">
                  <c:v>-2.6000000000000085</c:v>
                </c:pt>
                <c:pt idx="86">
                  <c:v>12.5</c:v>
                </c:pt>
                <c:pt idx="87">
                  <c:v>-3.3999999999999915</c:v>
                </c:pt>
                <c:pt idx="88">
                  <c:v>6.0999999999999943</c:v>
                </c:pt>
                <c:pt idx="89">
                  <c:v>0.90000000000000568</c:v>
                </c:pt>
                <c:pt idx="90">
                  <c:v>5.5</c:v>
                </c:pt>
                <c:pt idx="91">
                  <c:v>1.8999999999999915</c:v>
                </c:pt>
                <c:pt idx="92">
                  <c:v>-0.19999999999998863</c:v>
                </c:pt>
                <c:pt idx="93">
                  <c:v>6.1999999999999886</c:v>
                </c:pt>
                <c:pt idx="94">
                  <c:v>-4.1999999999999886</c:v>
                </c:pt>
                <c:pt idx="95">
                  <c:v>-7.3000000000000114</c:v>
                </c:pt>
                <c:pt idx="96">
                  <c:v>-2.8999999999999915</c:v>
                </c:pt>
                <c:pt idx="97">
                  <c:v>-2.2000000000000028</c:v>
                </c:pt>
                <c:pt idx="98">
                  <c:v>16.099999999999994</c:v>
                </c:pt>
                <c:pt idx="99">
                  <c:v>-5.7999999999999972</c:v>
                </c:pt>
                <c:pt idx="100">
                  <c:v>5</c:v>
                </c:pt>
                <c:pt idx="101">
                  <c:v>-1.7999999999999972</c:v>
                </c:pt>
                <c:pt idx="102">
                  <c:v>4.4000000000000057</c:v>
                </c:pt>
                <c:pt idx="103">
                  <c:v>1.1999999999999886</c:v>
                </c:pt>
                <c:pt idx="104">
                  <c:v>-2.2999999999999972</c:v>
                </c:pt>
                <c:pt idx="105">
                  <c:v>1.9000000000000057</c:v>
                </c:pt>
                <c:pt idx="106">
                  <c:v>-0.90000000000000568</c:v>
                </c:pt>
                <c:pt idx="107">
                  <c:v>-10.200000000000003</c:v>
                </c:pt>
                <c:pt idx="108">
                  <c:v>-3.3999999999999915</c:v>
                </c:pt>
                <c:pt idx="109">
                  <c:v>2.2000000000000028</c:v>
                </c:pt>
                <c:pt idx="110">
                  <c:v>9</c:v>
                </c:pt>
                <c:pt idx="111">
                  <c:v>-6.9000000000000057</c:v>
                </c:pt>
                <c:pt idx="112">
                  <c:v>9.5999999999999943</c:v>
                </c:pt>
                <c:pt idx="113">
                  <c:v>-4.2999999999999972</c:v>
                </c:pt>
                <c:pt idx="114">
                  <c:v>3.2999999999999972</c:v>
                </c:pt>
                <c:pt idx="115">
                  <c:v>4.7000000000000028</c:v>
                </c:pt>
                <c:pt idx="116">
                  <c:v>-6</c:v>
                </c:pt>
                <c:pt idx="117">
                  <c:v>1.5</c:v>
                </c:pt>
                <c:pt idx="118">
                  <c:v>-2.0999999999999943</c:v>
                </c:pt>
                <c:pt idx="119">
                  <c:v>-8.5</c:v>
                </c:pt>
                <c:pt idx="120">
                  <c:v>-7</c:v>
                </c:pt>
                <c:pt idx="121">
                  <c:v>1.0999999999999943</c:v>
                </c:pt>
                <c:pt idx="122">
                  <c:v>9.9000000000000057</c:v>
                </c:pt>
                <c:pt idx="123">
                  <c:v>-6.9000000000000057</c:v>
                </c:pt>
                <c:pt idx="124">
                  <c:v>9.7000000000000028</c:v>
                </c:pt>
                <c:pt idx="125">
                  <c:v>-4.2000000000000028</c:v>
                </c:pt>
                <c:pt idx="126">
                  <c:v>6.2000000000000028</c:v>
                </c:pt>
                <c:pt idx="127">
                  <c:v>7</c:v>
                </c:pt>
                <c:pt idx="128">
                  <c:v>-8.0999999999999943</c:v>
                </c:pt>
                <c:pt idx="129">
                  <c:v>8.3999999999999915</c:v>
                </c:pt>
                <c:pt idx="130">
                  <c:v>-7</c:v>
                </c:pt>
                <c:pt idx="131">
                  <c:v>-12.599999999999994</c:v>
                </c:pt>
                <c:pt idx="132">
                  <c:v>2.2999999999999972</c:v>
                </c:pt>
                <c:pt idx="133">
                  <c:v>-6.4000000000000057</c:v>
                </c:pt>
                <c:pt idx="134">
                  <c:v>9.6000000000000085</c:v>
                </c:pt>
                <c:pt idx="135">
                  <c:v>4.0999999999999943</c:v>
                </c:pt>
                <c:pt idx="136">
                  <c:v>3.2000000000000028</c:v>
                </c:pt>
                <c:pt idx="137">
                  <c:v>-3.2999999999999972</c:v>
                </c:pt>
                <c:pt idx="138">
                  <c:v>6.2999999999999972</c:v>
                </c:pt>
                <c:pt idx="139">
                  <c:v>4</c:v>
                </c:pt>
                <c:pt idx="140">
                  <c:v>-4.7000000000000028</c:v>
                </c:pt>
                <c:pt idx="141">
                  <c:v>5.2999999999999972</c:v>
                </c:pt>
                <c:pt idx="142">
                  <c:v>-6.5</c:v>
                </c:pt>
                <c:pt idx="143">
                  <c:v>-16</c:v>
                </c:pt>
                <c:pt idx="144">
                  <c:v>2.5</c:v>
                </c:pt>
                <c:pt idx="145">
                  <c:v>-0.29999999999999716</c:v>
                </c:pt>
                <c:pt idx="146">
                  <c:v>5</c:v>
                </c:pt>
                <c:pt idx="147">
                  <c:v>-1.2999999999999972</c:v>
                </c:pt>
                <c:pt idx="148">
                  <c:v>5.7000000000000028</c:v>
                </c:pt>
                <c:pt idx="149">
                  <c:v>-6.7999999999999972</c:v>
                </c:pt>
                <c:pt idx="150">
                  <c:v>9.5</c:v>
                </c:pt>
                <c:pt idx="151">
                  <c:v>1.8999999999999915</c:v>
                </c:pt>
                <c:pt idx="152">
                  <c:v>-0.70000000000000284</c:v>
                </c:pt>
                <c:pt idx="153">
                  <c:v>3.7000000000000028</c:v>
                </c:pt>
                <c:pt idx="154">
                  <c:v>-9.5</c:v>
                </c:pt>
                <c:pt idx="155">
                  <c:v>-12.099999999999994</c:v>
                </c:pt>
                <c:pt idx="156">
                  <c:v>0.39999999999999147</c:v>
                </c:pt>
                <c:pt idx="157">
                  <c:v>-4.3999999999999915</c:v>
                </c:pt>
                <c:pt idx="158">
                  <c:v>10.599999999999994</c:v>
                </c:pt>
                <c:pt idx="159">
                  <c:v>-5.5</c:v>
                </c:pt>
                <c:pt idx="160">
                  <c:v>4.2999999999999972</c:v>
                </c:pt>
                <c:pt idx="161">
                  <c:v>-0.59999999999999432</c:v>
                </c:pt>
                <c:pt idx="162">
                  <c:v>3</c:v>
                </c:pt>
                <c:pt idx="163">
                  <c:v>2.0999999999999943</c:v>
                </c:pt>
                <c:pt idx="164">
                  <c:v>-3.2999999999999972</c:v>
                </c:pt>
                <c:pt idx="165">
                  <c:v>2.9000000000000057</c:v>
                </c:pt>
                <c:pt idx="166">
                  <c:v>-9.6000000000000085</c:v>
                </c:pt>
                <c:pt idx="167">
                  <c:v>-10.399999999999991</c:v>
                </c:pt>
                <c:pt idx="168">
                  <c:v>-0.90000000000000568</c:v>
                </c:pt>
                <c:pt idx="169">
                  <c:v>-0.5</c:v>
                </c:pt>
                <c:pt idx="170">
                  <c:v>7.9000000000000057</c:v>
                </c:pt>
                <c:pt idx="171">
                  <c:v>-0.70000000000000284</c:v>
                </c:pt>
                <c:pt idx="172">
                  <c:v>3.2999999999999972</c:v>
                </c:pt>
                <c:pt idx="173">
                  <c:v>1.4000000000000057</c:v>
                </c:pt>
                <c:pt idx="174">
                  <c:v>1.8999999999999915</c:v>
                </c:pt>
                <c:pt idx="175">
                  <c:v>3.4000000000000057</c:v>
                </c:pt>
                <c:pt idx="176">
                  <c:v>-2.2999999999999972</c:v>
                </c:pt>
                <c:pt idx="177">
                  <c:v>-0.5</c:v>
                </c:pt>
                <c:pt idx="178">
                  <c:v>-3.7000000000000028</c:v>
                </c:pt>
                <c:pt idx="179">
                  <c:v>-9.2999999999999972</c:v>
                </c:pt>
                <c:pt idx="180">
                  <c:v>0.70000000000000284</c:v>
                </c:pt>
                <c:pt idx="181">
                  <c:v>-2</c:v>
                </c:pt>
                <c:pt idx="182">
                  <c:v>9.5</c:v>
                </c:pt>
                <c:pt idx="183">
                  <c:v>-6.1000000000000085</c:v>
                </c:pt>
                <c:pt idx="184">
                  <c:v>10.799999999999997</c:v>
                </c:pt>
                <c:pt idx="185">
                  <c:v>-1.6999999999999886</c:v>
                </c:pt>
                <c:pt idx="186">
                  <c:v>3.6999999999999886</c:v>
                </c:pt>
                <c:pt idx="187">
                  <c:v>4.6000000000000085</c:v>
                </c:pt>
                <c:pt idx="188">
                  <c:v>-3.7000000000000028</c:v>
                </c:pt>
                <c:pt idx="189">
                  <c:v>2.0999999999999943</c:v>
                </c:pt>
                <c:pt idx="190">
                  <c:v>-4.5</c:v>
                </c:pt>
                <c:pt idx="191">
                  <c:v>-9.5999999999999943</c:v>
                </c:pt>
                <c:pt idx="192">
                  <c:v>1.2999999999999972</c:v>
                </c:pt>
                <c:pt idx="193">
                  <c:v>-5</c:v>
                </c:pt>
                <c:pt idx="194">
                  <c:v>8.9000000000000057</c:v>
                </c:pt>
                <c:pt idx="195">
                  <c:v>0.29999999999999716</c:v>
                </c:pt>
                <c:pt idx="196">
                  <c:v>-2.0999999999999943</c:v>
                </c:pt>
                <c:pt idx="197">
                  <c:v>6.6999999999999886</c:v>
                </c:pt>
                <c:pt idx="198">
                  <c:v>4.7000000000000028</c:v>
                </c:pt>
                <c:pt idx="199">
                  <c:v>2.4000000000000057</c:v>
                </c:pt>
                <c:pt idx="200">
                  <c:v>-7.5</c:v>
                </c:pt>
                <c:pt idx="201">
                  <c:v>5.0999999999999943</c:v>
                </c:pt>
                <c:pt idx="202">
                  <c:v>-6.2999999999999972</c:v>
                </c:pt>
                <c:pt idx="203">
                  <c:v>-11.5</c:v>
                </c:pt>
                <c:pt idx="204">
                  <c:v>2.7000000000000028</c:v>
                </c:pt>
                <c:pt idx="205">
                  <c:v>-1.6000000000000085</c:v>
                </c:pt>
                <c:pt idx="206">
                  <c:v>1.9000000000000057</c:v>
                </c:pt>
                <c:pt idx="207">
                  <c:v>2.2999999999999972</c:v>
                </c:pt>
                <c:pt idx="208">
                  <c:v>7.7000000000000028</c:v>
                </c:pt>
                <c:pt idx="209">
                  <c:v>-5.2000000000000028</c:v>
                </c:pt>
                <c:pt idx="210">
                  <c:v>7.6000000000000085</c:v>
                </c:pt>
                <c:pt idx="211">
                  <c:v>2.7999999999999972</c:v>
                </c:pt>
                <c:pt idx="212">
                  <c:v>-4.4000000000000057</c:v>
                </c:pt>
                <c:pt idx="213">
                  <c:v>5.2000000000000028</c:v>
                </c:pt>
                <c:pt idx="214">
                  <c:v>-9</c:v>
                </c:pt>
                <c:pt idx="215">
                  <c:v>-11.099999999999994</c:v>
                </c:pt>
                <c:pt idx="216">
                  <c:v>3.0999999999999943</c:v>
                </c:pt>
                <c:pt idx="217">
                  <c:v>-1.0999999999999943</c:v>
                </c:pt>
                <c:pt idx="218">
                  <c:v>-1</c:v>
                </c:pt>
                <c:pt idx="219">
                  <c:v>-17.600000000000009</c:v>
                </c:pt>
                <c:pt idx="220">
                  <c:v>10.900000000000006</c:v>
                </c:pt>
                <c:pt idx="221">
                  <c:v>7.2000000000000028</c:v>
                </c:pt>
                <c:pt idx="222">
                  <c:v>12.599999999999994</c:v>
                </c:pt>
                <c:pt idx="223">
                  <c:v>2.9000000000000057</c:v>
                </c:pt>
                <c:pt idx="224">
                  <c:v>1.5</c:v>
                </c:pt>
                <c:pt idx="225">
                  <c:v>1.8999999999999915</c:v>
                </c:pt>
                <c:pt idx="226">
                  <c:v>-7.0999999999999943</c:v>
                </c:pt>
                <c:pt idx="227">
                  <c:v>-6.9000000000000057</c:v>
                </c:pt>
                <c:pt idx="228">
                  <c:v>-1.3999999999999915</c:v>
                </c:pt>
                <c:pt idx="229">
                  <c:v>-2.8000000000000114</c:v>
                </c:pt>
                <c:pt idx="230">
                  <c:v>7</c:v>
                </c:pt>
                <c:pt idx="231">
                  <c:v>-4.7999999999999972</c:v>
                </c:pt>
                <c:pt idx="232">
                  <c:v>7.1000000000000085</c:v>
                </c:pt>
                <c:pt idx="233">
                  <c:v>-0.5</c:v>
                </c:pt>
                <c:pt idx="234">
                  <c:v>4.2999999999999972</c:v>
                </c:pt>
                <c:pt idx="235">
                  <c:v>1.2000000000000028</c:v>
                </c:pt>
                <c:pt idx="236">
                  <c:v>-1.9000000000000057</c:v>
                </c:pt>
                <c:pt idx="237">
                  <c:v>-1.7999999999999972</c:v>
                </c:pt>
                <c:pt idx="238">
                  <c:v>-3.4000000000000057</c:v>
                </c:pt>
                <c:pt idx="239">
                  <c:v>-7.0999999999999943</c:v>
                </c:pt>
              </c:numCache>
            </c:numRef>
          </c:val>
          <c:smooth val="0"/>
          <c:extLst>
            <c:ext xmlns:c16="http://schemas.microsoft.com/office/drawing/2014/chart" uri="{C3380CC4-5D6E-409C-BE32-E72D297353CC}">
              <c16:uniqueId val="{00000001-AF83-4283-9C80-C1B8E8FC64B9}"/>
            </c:ext>
          </c:extLst>
        </c:ser>
        <c:dLbls>
          <c:showLegendKey val="0"/>
          <c:showVal val="0"/>
          <c:showCatName val="0"/>
          <c:showSerName val="0"/>
          <c:showPercent val="0"/>
          <c:showBubbleSize val="0"/>
        </c:dLbls>
        <c:smooth val="0"/>
        <c:axId val="1123039919"/>
        <c:axId val="1123044079"/>
      </c:lineChart>
      <c:catAx>
        <c:axId val="112303991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23044079"/>
        <c:crosses val="autoZero"/>
        <c:auto val="1"/>
        <c:lblAlgn val="ctr"/>
        <c:lblOffset val="100"/>
        <c:noMultiLvlLbl val="0"/>
      </c:catAx>
      <c:valAx>
        <c:axId val="112304407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2303991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Original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Series1</c:v>
          </c:tx>
          <c:spPr>
            <a:ln w="12700" cap="rnd">
              <a:solidFill>
                <a:schemeClr val="accent1"/>
              </a:solidFill>
              <a:round/>
            </a:ln>
            <a:effectLst/>
          </c:spPr>
          <c:marker>
            <c:symbol val="none"/>
          </c:marker>
          <c:cat>
            <c:numRef>
              <c:f>IORDER!$E$14:$E$34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IORDER!$F$14:$F$34</c:f>
              <c:numCache>
                <c:formatCode>0.0</c:formatCode>
                <c:ptCount val="21"/>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numCache>
            </c:numRef>
          </c:val>
          <c:smooth val="0"/>
          <c:extLst>
            <c:ext xmlns:c16="http://schemas.microsoft.com/office/drawing/2014/chart" uri="{C3380CC4-5D6E-409C-BE32-E72D297353CC}">
              <c16:uniqueId val="{00000000-DE69-4C67-AF75-96A3D40EDD99}"/>
            </c:ext>
          </c:extLst>
        </c:ser>
        <c:ser>
          <c:idx val="1"/>
          <c:order val="1"/>
          <c:tx>
            <c:v>Series2</c:v>
          </c:tx>
          <c:spPr>
            <a:ln w="28575" cap="rnd">
              <a:solidFill>
                <a:schemeClr val="accent2"/>
              </a:solidFill>
              <a:round/>
            </a:ln>
            <a:effectLst/>
          </c:spPr>
          <c:marker>
            <c:symbol val="none"/>
          </c:marker>
          <c:cat>
            <c:numRef>
              <c:f>IORDER!$E$14:$E$34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IORDER!$G$14:$G$34</c:f>
              <c:numCache>
                <c:formatCode>0.0</c:formatCode>
                <c:ptCount val="21"/>
                <c:pt idx="1">
                  <c:v>-2.7000000000000028</c:v>
                </c:pt>
                <c:pt idx="2">
                  <c:v>7.7000000000000028</c:v>
                </c:pt>
                <c:pt idx="3">
                  <c:v>2.1999999999999886</c:v>
                </c:pt>
                <c:pt idx="4">
                  <c:v>0.80000000000001137</c:v>
                </c:pt>
                <c:pt idx="5">
                  <c:v>-2.9000000000000057</c:v>
                </c:pt>
                <c:pt idx="6">
                  <c:v>5.7999999999999972</c:v>
                </c:pt>
                <c:pt idx="7">
                  <c:v>0.29999999999999716</c:v>
                </c:pt>
                <c:pt idx="8">
                  <c:v>-1.5</c:v>
                </c:pt>
                <c:pt idx="9">
                  <c:v>7.1000000000000085</c:v>
                </c:pt>
                <c:pt idx="10">
                  <c:v>-5.2999999999999972</c:v>
                </c:pt>
                <c:pt idx="11">
                  <c:v>-9.3000000000000114</c:v>
                </c:pt>
                <c:pt idx="12">
                  <c:v>-0.59999999999999432</c:v>
                </c:pt>
                <c:pt idx="13">
                  <c:v>-2.2000000000000028</c:v>
                </c:pt>
                <c:pt idx="14">
                  <c:v>5.6000000000000085</c:v>
                </c:pt>
                <c:pt idx="15">
                  <c:v>-0.90000000000000568</c:v>
                </c:pt>
                <c:pt idx="16">
                  <c:v>3.2000000000000028</c:v>
                </c:pt>
                <c:pt idx="17">
                  <c:v>-3.4000000000000057</c:v>
                </c:pt>
                <c:pt idx="18">
                  <c:v>5</c:v>
                </c:pt>
                <c:pt idx="19">
                  <c:v>0.29999999999999716</c:v>
                </c:pt>
                <c:pt idx="20">
                  <c:v>4.1000000000000085</c:v>
                </c:pt>
              </c:numCache>
            </c:numRef>
          </c:val>
          <c:smooth val="0"/>
          <c:extLst>
            <c:ext xmlns:c16="http://schemas.microsoft.com/office/drawing/2014/chart" uri="{C3380CC4-5D6E-409C-BE32-E72D297353CC}">
              <c16:uniqueId val="{00000001-DE69-4C67-AF75-96A3D40EDD99}"/>
            </c:ext>
          </c:extLst>
        </c:ser>
        <c:ser>
          <c:idx val="2"/>
          <c:order val="2"/>
          <c:tx>
            <c:v>Series3</c:v>
          </c:tx>
          <c:spPr>
            <a:ln w="28575" cap="rnd">
              <a:solidFill>
                <a:schemeClr val="accent3"/>
              </a:solidFill>
              <a:round/>
            </a:ln>
            <a:effectLst/>
          </c:spPr>
          <c:marker>
            <c:symbol val="none"/>
          </c:marker>
          <c:val>
            <c:numRef>
              <c:f>IORDER!$H$14:$H$34</c:f>
              <c:numCache>
                <c:formatCode>0.0</c:formatCode>
                <c:ptCount val="21"/>
                <c:pt idx="0">
                  <c:v>73.400000000000006</c:v>
                </c:pt>
                <c:pt idx="1">
                  <c:v>77.7</c:v>
                </c:pt>
                <c:pt idx="2">
                  <c:v>104.4</c:v>
                </c:pt>
                <c:pt idx="3">
                  <c:v>143.6</c:v>
                </c:pt>
                <c:pt idx="4">
                  <c:v>205.4</c:v>
                </c:pt>
                <c:pt idx="5">
                  <c:v>293.5</c:v>
                </c:pt>
                <c:pt idx="6">
                  <c:v>426.3</c:v>
                </c:pt>
                <c:pt idx="7">
                  <c:v>595.6</c:v>
                </c:pt>
                <c:pt idx="8">
                  <c:v>811.1</c:v>
                </c:pt>
                <c:pt idx="9">
                  <c:v>1089.2</c:v>
                </c:pt>
                <c:pt idx="10">
                  <c:v>1414.9</c:v>
                </c:pt>
                <c:pt idx="11">
                  <c:v>1802.6</c:v>
                </c:pt>
                <c:pt idx="12">
                  <c:v>2271</c:v>
                </c:pt>
                <c:pt idx="13">
                  <c:v>2815.8</c:v>
                </c:pt>
                <c:pt idx="14">
                  <c:v>3452.4</c:v>
                </c:pt>
                <c:pt idx="15">
                  <c:v>4172.5</c:v>
                </c:pt>
                <c:pt idx="16">
                  <c:v>4992.7</c:v>
                </c:pt>
                <c:pt idx="17">
                  <c:v>5908.3</c:v>
                </c:pt>
                <c:pt idx="18">
                  <c:v>6940.3</c:v>
                </c:pt>
                <c:pt idx="19">
                  <c:v>8081.6</c:v>
                </c:pt>
                <c:pt idx="20">
                  <c:v>9346.7000000000007</c:v>
                </c:pt>
              </c:numCache>
            </c:numRef>
          </c:val>
          <c:smooth val="0"/>
          <c:extLst>
            <c:ext xmlns:c16="http://schemas.microsoft.com/office/drawing/2014/chart" uri="{C3380CC4-5D6E-409C-BE32-E72D297353CC}">
              <c16:uniqueId val="{00000002-DE69-4C67-AF75-96A3D40EDD99}"/>
            </c:ext>
          </c:extLst>
        </c:ser>
        <c:dLbls>
          <c:showLegendKey val="0"/>
          <c:showVal val="0"/>
          <c:showCatName val="0"/>
          <c:showSerName val="0"/>
          <c:showPercent val="0"/>
          <c:showBubbleSize val="0"/>
        </c:dLbls>
        <c:smooth val="0"/>
        <c:axId val="2040515792"/>
        <c:axId val="2040519952"/>
      </c:lineChart>
      <c:catAx>
        <c:axId val="204051579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Stationarized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spPr>
            <a:ln w="28575" cap="rnd">
              <a:solidFill>
                <a:schemeClr val="accent2"/>
              </a:solidFill>
              <a:round/>
            </a:ln>
            <a:effectLst/>
          </c:spPr>
          <c:marker>
            <c:symbol val="none"/>
          </c:marker>
          <c:cat>
            <c:numRef>
              <c:f>IORDER!$E$14:$E$34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IORDER!$X$14:$X$34</c:f>
              <c:numCache>
                <c:formatCode>0.0</c:formatCode>
                <c:ptCount val="21"/>
                <c:pt idx="0" formatCode="0">
                  <c:v>1</c:v>
                </c:pt>
              </c:numCache>
            </c:numRef>
          </c:val>
          <c:smooth val="0"/>
          <c:extLst>
            <c:ext xmlns:c16="http://schemas.microsoft.com/office/drawing/2014/chart" uri="{C3380CC4-5D6E-409C-BE32-E72D297353CC}">
              <c16:uniqueId val="{00000000-3539-4D66-B026-716D602CF1C5}"/>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1"/>
          <c:spPr>
            <a:ln w="28575" cap="rnd">
              <a:solidFill>
                <a:schemeClr val="accent2"/>
              </a:solidFill>
              <a:round/>
            </a:ln>
            <a:effectLst/>
          </c:spPr>
          <c:marker>
            <c:symbol val="none"/>
          </c:marker>
          <c:cat>
            <c:numRef>
              <c:f>IORDER!$E$14:$E$34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IORDER!$Y$14:$Y$34</c:f>
              <c:numCache>
                <c:formatCode>0.00</c:formatCode>
                <c:ptCount val="21"/>
                <c:pt idx="0" formatCode="0">
                  <c:v>0</c:v>
                </c:pt>
              </c:numCache>
            </c:numRef>
          </c:val>
          <c:smooth val="0"/>
          <c:extLst>
            <c:ext xmlns:c16="http://schemas.microsoft.com/office/drawing/2014/chart" uri="{C3380CC4-5D6E-409C-BE32-E72D297353CC}">
              <c16:uniqueId val="{00000001-3539-4D66-B026-716D602CF1C5}"/>
            </c:ext>
          </c:extLst>
        </c:ser>
        <c:ser>
          <c:idx val="0"/>
          <c:order val="2"/>
          <c:spPr>
            <a:ln w="28575" cap="rnd">
              <a:solidFill>
                <a:schemeClr val="accent3"/>
              </a:solidFill>
              <a:round/>
            </a:ln>
            <a:effectLst/>
          </c:spPr>
          <c:marker>
            <c:symbol val="none"/>
          </c:marker>
          <c:cat>
            <c:numRef>
              <c:f>IORDER!$E$14:$E$34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IORDER!$Z$14:$Z$34</c:f>
              <c:numCache>
                <c:formatCode>0.00</c:formatCode>
                <c:ptCount val="21"/>
                <c:pt idx="0" formatCode="0">
                  <c:v>3</c:v>
                </c:pt>
              </c:numCache>
            </c:numRef>
          </c:val>
          <c:smooth val="0"/>
          <c:extLst>
            <c:ext xmlns:c16="http://schemas.microsoft.com/office/drawing/2014/chart" uri="{C3380CC4-5D6E-409C-BE32-E72D297353CC}">
              <c16:uniqueId val="{00000002-3539-4D66-B026-716D602CF1C5}"/>
            </c:ext>
          </c:extLst>
        </c:ser>
        <c:dLbls>
          <c:showLegendKey val="0"/>
          <c:showVal val="0"/>
          <c:showCatName val="0"/>
          <c:showSerName val="0"/>
          <c:showPercent val="0"/>
          <c:showBubbleSize val="0"/>
        </c:dLbls>
        <c:marker val="1"/>
        <c:smooth val="0"/>
        <c:axId val="1404022895"/>
        <c:axId val="1404033711"/>
      </c:lineChart>
      <c:catAx>
        <c:axId val="204051579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404033711"/>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4022895"/>
        <c:crosses val="max"/>
        <c:crossBetween val="between"/>
      </c:valAx>
      <c:catAx>
        <c:axId val="1404022895"/>
        <c:scaling>
          <c:orientation val="minMax"/>
        </c:scaling>
        <c:delete val="1"/>
        <c:axPos val="b"/>
        <c:numFmt formatCode="0" sourceLinked="1"/>
        <c:majorTickMark val="out"/>
        <c:minorTickMark val="none"/>
        <c:tickLblPos val="nextTo"/>
        <c:crossAx val="1404033711"/>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Original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ISCOINTEGRATED!$F$15</c:f>
              <c:strCache>
                <c:ptCount val="1"/>
                <c:pt idx="0">
                  <c:v>GDP</c:v>
                </c:pt>
              </c:strCache>
            </c:strRef>
          </c:tx>
          <c:spPr>
            <a:ln w="12700" cap="rnd">
              <a:solidFill>
                <a:schemeClr val="accent1"/>
              </a:solidFill>
              <a:round/>
            </a:ln>
            <a:effectLst/>
          </c:spPr>
          <c:marker>
            <c:symbol val="none"/>
          </c:marker>
          <c:cat>
            <c:numRef>
              <c:f>ISCOINTEGRATED!$E$16:$E$121</c:f>
              <c:numCache>
                <c:formatCode>m/d/yyyy</c:formatCode>
                <c:ptCount val="106"/>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pt idx="103">
                  <c:v>44470</c:v>
                </c:pt>
                <c:pt idx="104">
                  <c:v>44562</c:v>
                </c:pt>
                <c:pt idx="105">
                  <c:v>44652</c:v>
                </c:pt>
              </c:numCache>
            </c:numRef>
          </c:cat>
          <c:val>
            <c:numRef>
              <c:f>ISCOINTEGRATED!$F$16:$F$121</c:f>
              <c:numCache>
                <c:formatCode>0.0</c:formatCode>
                <c:ptCount val="106"/>
                <c:pt idx="0">
                  <c:v>175528</c:v>
                </c:pt>
                <c:pt idx="1">
                  <c:v>177502</c:v>
                </c:pt>
                <c:pt idx="2">
                  <c:v>184128</c:v>
                </c:pt>
                <c:pt idx="3">
                  <c:v>182357</c:v>
                </c:pt>
                <c:pt idx="4">
                  <c:v>184248</c:v>
                </c:pt>
                <c:pt idx="5">
                  <c:v>185273</c:v>
                </c:pt>
                <c:pt idx="6">
                  <c:v>187587</c:v>
                </c:pt>
                <c:pt idx="7">
                  <c:v>189150</c:v>
                </c:pt>
                <c:pt idx="8">
                  <c:v>185427</c:v>
                </c:pt>
                <c:pt idx="9">
                  <c:v>188539</c:v>
                </c:pt>
                <c:pt idx="10">
                  <c:v>188547</c:v>
                </c:pt>
                <c:pt idx="11">
                  <c:v>186374</c:v>
                </c:pt>
                <c:pt idx="12">
                  <c:v>186713</c:v>
                </c:pt>
                <c:pt idx="13">
                  <c:v>187665</c:v>
                </c:pt>
                <c:pt idx="14">
                  <c:v>187707</c:v>
                </c:pt>
                <c:pt idx="15">
                  <c:v>190360</c:v>
                </c:pt>
                <c:pt idx="16">
                  <c:v>192374</c:v>
                </c:pt>
                <c:pt idx="17">
                  <c:v>195058</c:v>
                </c:pt>
                <c:pt idx="18">
                  <c:v>197337</c:v>
                </c:pt>
                <c:pt idx="19">
                  <c:v>199746</c:v>
                </c:pt>
                <c:pt idx="20">
                  <c:v>200577</c:v>
                </c:pt>
                <c:pt idx="21">
                  <c:v>199542</c:v>
                </c:pt>
                <c:pt idx="22">
                  <c:v>198477</c:v>
                </c:pt>
                <c:pt idx="23">
                  <c:v>197956</c:v>
                </c:pt>
                <c:pt idx="24">
                  <c:v>202731</c:v>
                </c:pt>
                <c:pt idx="25">
                  <c:v>203437</c:v>
                </c:pt>
                <c:pt idx="26">
                  <c:v>206179</c:v>
                </c:pt>
                <c:pt idx="27">
                  <c:v>208262</c:v>
                </c:pt>
                <c:pt idx="28">
                  <c:v>207329</c:v>
                </c:pt>
                <c:pt idx="29">
                  <c:v>205607</c:v>
                </c:pt>
                <c:pt idx="30">
                  <c:v>207530</c:v>
                </c:pt>
                <c:pt idx="31">
                  <c:v>209685</c:v>
                </c:pt>
                <c:pt idx="32">
                  <c:v>212590</c:v>
                </c:pt>
                <c:pt idx="33">
                  <c:v>218480</c:v>
                </c:pt>
                <c:pt idx="34">
                  <c:v>221209</c:v>
                </c:pt>
                <c:pt idx="35">
                  <c:v>222910</c:v>
                </c:pt>
                <c:pt idx="36">
                  <c:v>224747</c:v>
                </c:pt>
                <c:pt idx="37">
                  <c:v>227413</c:v>
                </c:pt>
                <c:pt idx="38">
                  <c:v>225926</c:v>
                </c:pt>
                <c:pt idx="39">
                  <c:v>228736</c:v>
                </c:pt>
                <c:pt idx="40">
                  <c:v>232628</c:v>
                </c:pt>
                <c:pt idx="41">
                  <c:v>233263</c:v>
                </c:pt>
                <c:pt idx="42">
                  <c:v>237002</c:v>
                </c:pt>
                <c:pt idx="43">
                  <c:v>239834</c:v>
                </c:pt>
                <c:pt idx="44">
                  <c:v>244548</c:v>
                </c:pt>
                <c:pt idx="45">
                  <c:v>248523</c:v>
                </c:pt>
                <c:pt idx="46">
                  <c:v>250953</c:v>
                </c:pt>
                <c:pt idx="47">
                  <c:v>254918</c:v>
                </c:pt>
                <c:pt idx="48">
                  <c:v>258056</c:v>
                </c:pt>
                <c:pt idx="49">
                  <c:v>263463</c:v>
                </c:pt>
                <c:pt idx="50">
                  <c:v>267615</c:v>
                </c:pt>
                <c:pt idx="51">
                  <c:v>257534</c:v>
                </c:pt>
                <c:pt idx="52">
                  <c:v>253940</c:v>
                </c:pt>
                <c:pt idx="53">
                  <c:v>258488</c:v>
                </c:pt>
                <c:pt idx="54">
                  <c:v>264566</c:v>
                </c:pt>
                <c:pt idx="55">
                  <c:v>271334</c:v>
                </c:pt>
                <c:pt idx="56">
                  <c:v>277127</c:v>
                </c:pt>
                <c:pt idx="57">
                  <c:v>280479</c:v>
                </c:pt>
                <c:pt idx="58">
                  <c:v>283006</c:v>
                </c:pt>
                <c:pt idx="59">
                  <c:v>286939</c:v>
                </c:pt>
                <c:pt idx="60">
                  <c:v>291050</c:v>
                </c:pt>
                <c:pt idx="61">
                  <c:v>293790</c:v>
                </c:pt>
                <c:pt idx="62">
                  <c:v>293200</c:v>
                </c:pt>
                <c:pt idx="63">
                  <c:v>295631</c:v>
                </c:pt>
                <c:pt idx="64">
                  <c:v>291791</c:v>
                </c:pt>
                <c:pt idx="65">
                  <c:v>296859</c:v>
                </c:pt>
                <c:pt idx="66">
                  <c:v>301930</c:v>
                </c:pt>
                <c:pt idx="67">
                  <c:v>301992</c:v>
                </c:pt>
                <c:pt idx="68">
                  <c:v>303650</c:v>
                </c:pt>
                <c:pt idx="69">
                  <c:v>308049</c:v>
                </c:pt>
                <c:pt idx="70">
                  <c:v>309415</c:v>
                </c:pt>
                <c:pt idx="71">
                  <c:v>309812</c:v>
                </c:pt>
                <c:pt idx="72">
                  <c:v>312525</c:v>
                </c:pt>
                <c:pt idx="73">
                  <c:v>307822</c:v>
                </c:pt>
                <c:pt idx="74">
                  <c:v>307733</c:v>
                </c:pt>
                <c:pt idx="75">
                  <c:v>309305</c:v>
                </c:pt>
                <c:pt idx="76">
                  <c:v>306840</c:v>
                </c:pt>
                <c:pt idx="77">
                  <c:v>299543</c:v>
                </c:pt>
                <c:pt idx="78">
                  <c:v>294788</c:v>
                </c:pt>
                <c:pt idx="79">
                  <c:v>292448</c:v>
                </c:pt>
                <c:pt idx="80">
                  <c:v>288021</c:v>
                </c:pt>
                <c:pt idx="81">
                  <c:v>289087</c:v>
                </c:pt>
                <c:pt idx="82">
                  <c:v>287640</c:v>
                </c:pt>
                <c:pt idx="83">
                  <c:v>287013</c:v>
                </c:pt>
                <c:pt idx="84">
                  <c:v>290171</c:v>
                </c:pt>
                <c:pt idx="85">
                  <c:v>292416</c:v>
                </c:pt>
                <c:pt idx="86">
                  <c:v>293328</c:v>
                </c:pt>
                <c:pt idx="87">
                  <c:v>294518</c:v>
                </c:pt>
                <c:pt idx="88">
                  <c:v>296385</c:v>
                </c:pt>
                <c:pt idx="89">
                  <c:v>296231</c:v>
                </c:pt>
                <c:pt idx="90">
                  <c:v>299292</c:v>
                </c:pt>
                <c:pt idx="91">
                  <c:v>298262</c:v>
                </c:pt>
                <c:pt idx="92">
                  <c:v>299482</c:v>
                </c:pt>
                <c:pt idx="93">
                  <c:v>301159</c:v>
                </c:pt>
                <c:pt idx="94">
                  <c:v>301480</c:v>
                </c:pt>
                <c:pt idx="95">
                  <c:v>302539</c:v>
                </c:pt>
                <c:pt idx="96">
                  <c:v>295396</c:v>
                </c:pt>
                <c:pt idx="97">
                  <c:v>268915</c:v>
                </c:pt>
                <c:pt idx="98">
                  <c:v>290404</c:v>
                </c:pt>
                <c:pt idx="99">
                  <c:v>299623</c:v>
                </c:pt>
                <c:pt idx="100">
                  <c:v>302823</c:v>
                </c:pt>
                <c:pt idx="101">
                  <c:v>301977</c:v>
                </c:pt>
                <c:pt idx="102">
                  <c:v>302157</c:v>
                </c:pt>
                <c:pt idx="103">
                  <c:v>304498</c:v>
                </c:pt>
                <c:pt idx="104">
                  <c:v>307915</c:v>
                </c:pt>
                <c:pt idx="105">
                  <c:v>311711</c:v>
                </c:pt>
              </c:numCache>
            </c:numRef>
          </c:val>
          <c:smooth val="0"/>
          <c:extLst>
            <c:ext xmlns:c16="http://schemas.microsoft.com/office/drawing/2014/chart" uri="{C3380CC4-5D6E-409C-BE32-E72D297353CC}">
              <c16:uniqueId val="{00000000-5C44-4BC4-B9A2-E07E8B826D6D}"/>
            </c:ext>
          </c:extLst>
        </c:ser>
        <c:ser>
          <c:idx val="1"/>
          <c:order val="1"/>
          <c:tx>
            <c:strRef>
              <c:f>ISCOINTEGRATED!$G$15</c:f>
              <c:strCache>
                <c:ptCount val="1"/>
                <c:pt idx="0">
                  <c:v>Consumption</c:v>
                </c:pt>
              </c:strCache>
            </c:strRef>
          </c:tx>
          <c:spPr>
            <a:ln w="28575" cap="rnd">
              <a:solidFill>
                <a:schemeClr val="accent2"/>
              </a:solidFill>
              <a:round/>
            </a:ln>
            <a:effectLst/>
          </c:spPr>
          <c:marker>
            <c:symbol val="none"/>
          </c:marker>
          <c:cat>
            <c:numRef>
              <c:f>ISCOINTEGRATED!$E$16:$E$121</c:f>
              <c:numCache>
                <c:formatCode>m/d/yyyy</c:formatCode>
                <c:ptCount val="106"/>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pt idx="103">
                  <c:v>44470</c:v>
                </c:pt>
                <c:pt idx="104">
                  <c:v>44562</c:v>
                </c:pt>
                <c:pt idx="105">
                  <c:v>44652</c:v>
                </c:pt>
              </c:numCache>
            </c:numRef>
          </c:cat>
          <c:val>
            <c:numRef>
              <c:f>ISCOINTEGRATED!$G$16:$G$121</c:f>
              <c:numCache>
                <c:formatCode>0.0</c:formatCode>
                <c:ptCount val="106"/>
                <c:pt idx="0">
                  <c:v>110899</c:v>
                </c:pt>
                <c:pt idx="1">
                  <c:v>113427</c:v>
                </c:pt>
                <c:pt idx="2">
                  <c:v>116861</c:v>
                </c:pt>
                <c:pt idx="3">
                  <c:v>122759</c:v>
                </c:pt>
                <c:pt idx="4">
                  <c:v>119659</c:v>
                </c:pt>
                <c:pt idx="5">
                  <c:v>120224</c:v>
                </c:pt>
                <c:pt idx="6">
                  <c:v>119282</c:v>
                </c:pt>
                <c:pt idx="7">
                  <c:v>119244</c:v>
                </c:pt>
                <c:pt idx="8">
                  <c:v>119078</c:v>
                </c:pt>
                <c:pt idx="9">
                  <c:v>118897</c:v>
                </c:pt>
                <c:pt idx="10">
                  <c:v>119368</c:v>
                </c:pt>
                <c:pt idx="11">
                  <c:v>117666</c:v>
                </c:pt>
                <c:pt idx="12">
                  <c:v>117950</c:v>
                </c:pt>
                <c:pt idx="13">
                  <c:v>118127</c:v>
                </c:pt>
                <c:pt idx="14">
                  <c:v>119301</c:v>
                </c:pt>
                <c:pt idx="15">
                  <c:v>121311</c:v>
                </c:pt>
                <c:pt idx="16">
                  <c:v>121439</c:v>
                </c:pt>
                <c:pt idx="17">
                  <c:v>123093</c:v>
                </c:pt>
                <c:pt idx="18">
                  <c:v>125087</c:v>
                </c:pt>
                <c:pt idx="19">
                  <c:v>126257</c:v>
                </c:pt>
                <c:pt idx="20">
                  <c:v>126235</c:v>
                </c:pt>
                <c:pt idx="21">
                  <c:v>126890</c:v>
                </c:pt>
                <c:pt idx="22">
                  <c:v>122915</c:v>
                </c:pt>
                <c:pt idx="23">
                  <c:v>123882</c:v>
                </c:pt>
                <c:pt idx="24">
                  <c:v>126457</c:v>
                </c:pt>
                <c:pt idx="25">
                  <c:v>127792</c:v>
                </c:pt>
                <c:pt idx="26">
                  <c:v>126346</c:v>
                </c:pt>
                <c:pt idx="27">
                  <c:v>125845</c:v>
                </c:pt>
                <c:pt idx="28">
                  <c:v>126385</c:v>
                </c:pt>
                <c:pt idx="29">
                  <c:v>125199</c:v>
                </c:pt>
                <c:pt idx="30">
                  <c:v>125492</c:v>
                </c:pt>
                <c:pt idx="31">
                  <c:v>126554</c:v>
                </c:pt>
                <c:pt idx="32">
                  <c:v>127481</c:v>
                </c:pt>
                <c:pt idx="33">
                  <c:v>129113</c:v>
                </c:pt>
                <c:pt idx="34">
                  <c:v>131668</c:v>
                </c:pt>
                <c:pt idx="35">
                  <c:v>134910</c:v>
                </c:pt>
                <c:pt idx="36">
                  <c:v>134255</c:v>
                </c:pt>
                <c:pt idx="37">
                  <c:v>135298</c:v>
                </c:pt>
                <c:pt idx="38">
                  <c:v>137416</c:v>
                </c:pt>
                <c:pt idx="39">
                  <c:v>139408</c:v>
                </c:pt>
                <c:pt idx="40">
                  <c:v>140918</c:v>
                </c:pt>
                <c:pt idx="41">
                  <c:v>143104</c:v>
                </c:pt>
                <c:pt idx="42">
                  <c:v>144584</c:v>
                </c:pt>
                <c:pt idx="43">
                  <c:v>146671</c:v>
                </c:pt>
                <c:pt idx="44">
                  <c:v>149916</c:v>
                </c:pt>
                <c:pt idx="45">
                  <c:v>151883</c:v>
                </c:pt>
                <c:pt idx="46">
                  <c:v>152842</c:v>
                </c:pt>
                <c:pt idx="47">
                  <c:v>157284</c:v>
                </c:pt>
                <c:pt idx="48">
                  <c:v>160679</c:v>
                </c:pt>
                <c:pt idx="49">
                  <c:v>162514</c:v>
                </c:pt>
                <c:pt idx="50">
                  <c:v>165550</c:v>
                </c:pt>
                <c:pt idx="51">
                  <c:v>162886</c:v>
                </c:pt>
                <c:pt idx="52">
                  <c:v>164299</c:v>
                </c:pt>
                <c:pt idx="53">
                  <c:v>169014</c:v>
                </c:pt>
                <c:pt idx="54">
                  <c:v>172926</c:v>
                </c:pt>
                <c:pt idx="55">
                  <c:v>174170</c:v>
                </c:pt>
                <c:pt idx="56">
                  <c:v>176537</c:v>
                </c:pt>
                <c:pt idx="57">
                  <c:v>178218</c:v>
                </c:pt>
                <c:pt idx="58">
                  <c:v>182109</c:v>
                </c:pt>
                <c:pt idx="59">
                  <c:v>185966</c:v>
                </c:pt>
                <c:pt idx="60">
                  <c:v>187699</c:v>
                </c:pt>
                <c:pt idx="61">
                  <c:v>190212</c:v>
                </c:pt>
                <c:pt idx="62">
                  <c:v>189488</c:v>
                </c:pt>
                <c:pt idx="63">
                  <c:v>190477</c:v>
                </c:pt>
                <c:pt idx="64">
                  <c:v>193125</c:v>
                </c:pt>
                <c:pt idx="65">
                  <c:v>194617</c:v>
                </c:pt>
                <c:pt idx="66">
                  <c:v>197195</c:v>
                </c:pt>
                <c:pt idx="67">
                  <c:v>199345</c:v>
                </c:pt>
                <c:pt idx="68">
                  <c:v>200312</c:v>
                </c:pt>
                <c:pt idx="69">
                  <c:v>202908</c:v>
                </c:pt>
                <c:pt idx="70">
                  <c:v>204254</c:v>
                </c:pt>
                <c:pt idx="71">
                  <c:v>204060</c:v>
                </c:pt>
                <c:pt idx="72">
                  <c:v>207390</c:v>
                </c:pt>
                <c:pt idx="73">
                  <c:v>206268</c:v>
                </c:pt>
                <c:pt idx="74">
                  <c:v>206575</c:v>
                </c:pt>
                <c:pt idx="75">
                  <c:v>209584</c:v>
                </c:pt>
                <c:pt idx="76">
                  <c:v>206003</c:v>
                </c:pt>
                <c:pt idx="77">
                  <c:v>202079</c:v>
                </c:pt>
                <c:pt idx="78">
                  <c:v>198448</c:v>
                </c:pt>
                <c:pt idx="79">
                  <c:v>196912</c:v>
                </c:pt>
                <c:pt idx="80">
                  <c:v>194431</c:v>
                </c:pt>
                <c:pt idx="81">
                  <c:v>193295</c:v>
                </c:pt>
                <c:pt idx="82">
                  <c:v>192681</c:v>
                </c:pt>
                <c:pt idx="83">
                  <c:v>191993</c:v>
                </c:pt>
                <c:pt idx="84">
                  <c:v>193424</c:v>
                </c:pt>
                <c:pt idx="85">
                  <c:v>196608</c:v>
                </c:pt>
                <c:pt idx="86">
                  <c:v>198577</c:v>
                </c:pt>
                <c:pt idx="87">
                  <c:v>198797</c:v>
                </c:pt>
                <c:pt idx="88">
                  <c:v>200553</c:v>
                </c:pt>
                <c:pt idx="89">
                  <c:v>201053</c:v>
                </c:pt>
                <c:pt idx="90">
                  <c:v>202323</c:v>
                </c:pt>
                <c:pt idx="91">
                  <c:v>202195</c:v>
                </c:pt>
                <c:pt idx="92">
                  <c:v>205674</c:v>
                </c:pt>
                <c:pt idx="93">
                  <c:v>206556</c:v>
                </c:pt>
                <c:pt idx="94">
                  <c:v>207474</c:v>
                </c:pt>
                <c:pt idx="95">
                  <c:v>207375</c:v>
                </c:pt>
                <c:pt idx="96">
                  <c:v>204776</c:v>
                </c:pt>
                <c:pt idx="97">
                  <c:v>181601</c:v>
                </c:pt>
                <c:pt idx="98">
                  <c:v>194704</c:v>
                </c:pt>
                <c:pt idx="99">
                  <c:v>200720</c:v>
                </c:pt>
                <c:pt idx="100">
                  <c:v>201441</c:v>
                </c:pt>
                <c:pt idx="101">
                  <c:v>200796</c:v>
                </c:pt>
                <c:pt idx="102">
                  <c:v>202890</c:v>
                </c:pt>
                <c:pt idx="103">
                  <c:v>204883</c:v>
                </c:pt>
                <c:pt idx="104">
                  <c:v>205962</c:v>
                </c:pt>
                <c:pt idx="105">
                  <c:v>211400</c:v>
                </c:pt>
              </c:numCache>
            </c:numRef>
          </c:val>
          <c:smooth val="0"/>
          <c:extLst>
            <c:ext xmlns:c16="http://schemas.microsoft.com/office/drawing/2014/chart" uri="{C3380CC4-5D6E-409C-BE32-E72D297353CC}">
              <c16:uniqueId val="{00000001-5C44-4BC4-B9A2-E07E8B826D6D}"/>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Residuals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spPr>
            <a:ln w="28575" cap="rnd">
              <a:solidFill>
                <a:schemeClr val="accent2"/>
              </a:solidFill>
              <a:round/>
            </a:ln>
            <a:effectLst/>
          </c:spPr>
          <c:marker>
            <c:symbol val="none"/>
          </c:marker>
          <c:cat>
            <c:strRef>
              <c:f>ISCOINTEGRATED!$E$15:$E$121</c:f>
              <c:strCache>
                <c:ptCount val="107"/>
                <c:pt idx="0">
                  <c:v>t</c:v>
                </c:pt>
                <c:pt idx="1">
                  <c:v>01/01/1996</c:v>
                </c:pt>
                <c:pt idx="2">
                  <c:v>01/04/1996</c:v>
                </c:pt>
                <c:pt idx="3">
                  <c:v>01/07/1996</c:v>
                </c:pt>
                <c:pt idx="4">
                  <c:v>01/10/1996</c:v>
                </c:pt>
                <c:pt idx="5">
                  <c:v>01/01/1997</c:v>
                </c:pt>
                <c:pt idx="6">
                  <c:v>01/04/1997</c:v>
                </c:pt>
                <c:pt idx="7">
                  <c:v>01/07/1997</c:v>
                </c:pt>
                <c:pt idx="8">
                  <c:v>01/10/1997</c:v>
                </c:pt>
                <c:pt idx="9">
                  <c:v>01/01/1998</c:v>
                </c:pt>
                <c:pt idx="10">
                  <c:v>01/04/1998</c:v>
                </c:pt>
                <c:pt idx="11">
                  <c:v>01/07/1998</c:v>
                </c:pt>
                <c:pt idx="12">
                  <c:v>01/10/1998</c:v>
                </c:pt>
                <c:pt idx="13">
                  <c:v>01/01/1999</c:v>
                </c:pt>
                <c:pt idx="14">
                  <c:v>01/04/1999</c:v>
                </c:pt>
                <c:pt idx="15">
                  <c:v>01/07/1999</c:v>
                </c:pt>
                <c:pt idx="16">
                  <c:v>01/10/1999</c:v>
                </c:pt>
                <c:pt idx="17">
                  <c:v>01/01/2000</c:v>
                </c:pt>
                <c:pt idx="18">
                  <c:v>01/04/2000</c:v>
                </c:pt>
                <c:pt idx="19">
                  <c:v>01/07/2000</c:v>
                </c:pt>
                <c:pt idx="20">
                  <c:v>01/10/2000</c:v>
                </c:pt>
                <c:pt idx="21">
                  <c:v>01/01/2001</c:v>
                </c:pt>
                <c:pt idx="22">
                  <c:v>01/04/2001</c:v>
                </c:pt>
                <c:pt idx="23">
                  <c:v>01/07/2001</c:v>
                </c:pt>
                <c:pt idx="24">
                  <c:v>01/10/2001</c:v>
                </c:pt>
                <c:pt idx="25">
                  <c:v>01/01/2002</c:v>
                </c:pt>
                <c:pt idx="26">
                  <c:v>01/04/2002</c:v>
                </c:pt>
                <c:pt idx="27">
                  <c:v>01/07/2002</c:v>
                </c:pt>
                <c:pt idx="28">
                  <c:v>01/10/2002</c:v>
                </c:pt>
                <c:pt idx="29">
                  <c:v>01/01/2003</c:v>
                </c:pt>
                <c:pt idx="30">
                  <c:v>01/04/2003</c:v>
                </c:pt>
                <c:pt idx="31">
                  <c:v>01/07/2003</c:v>
                </c:pt>
                <c:pt idx="32">
                  <c:v>01/10/2003</c:v>
                </c:pt>
                <c:pt idx="33">
                  <c:v>01/01/2004</c:v>
                </c:pt>
                <c:pt idx="34">
                  <c:v>01/04/2004</c:v>
                </c:pt>
                <c:pt idx="35">
                  <c:v>01/07/2004</c:v>
                </c:pt>
                <c:pt idx="36">
                  <c:v>01/10/2004</c:v>
                </c:pt>
                <c:pt idx="37">
                  <c:v>01/01/2005</c:v>
                </c:pt>
                <c:pt idx="38">
                  <c:v>01/04/2005</c:v>
                </c:pt>
                <c:pt idx="39">
                  <c:v>01/07/2005</c:v>
                </c:pt>
                <c:pt idx="40">
                  <c:v>01/10/2005</c:v>
                </c:pt>
                <c:pt idx="41">
                  <c:v>01/01/2006</c:v>
                </c:pt>
                <c:pt idx="42">
                  <c:v>01/04/2006</c:v>
                </c:pt>
                <c:pt idx="43">
                  <c:v>01/07/2006</c:v>
                </c:pt>
                <c:pt idx="44">
                  <c:v>01/10/2006</c:v>
                </c:pt>
                <c:pt idx="45">
                  <c:v>01/01/2007</c:v>
                </c:pt>
                <c:pt idx="46">
                  <c:v>01/04/2007</c:v>
                </c:pt>
                <c:pt idx="47">
                  <c:v>01/07/2007</c:v>
                </c:pt>
                <c:pt idx="48">
                  <c:v>01/10/2007</c:v>
                </c:pt>
                <c:pt idx="49">
                  <c:v>01/01/2008</c:v>
                </c:pt>
                <c:pt idx="50">
                  <c:v>01/04/2008</c:v>
                </c:pt>
                <c:pt idx="51">
                  <c:v>01/07/2008</c:v>
                </c:pt>
                <c:pt idx="52">
                  <c:v>01/10/2008</c:v>
                </c:pt>
                <c:pt idx="53">
                  <c:v>01/01/2009</c:v>
                </c:pt>
                <c:pt idx="54">
                  <c:v>01/04/2009</c:v>
                </c:pt>
                <c:pt idx="55">
                  <c:v>01/07/2009</c:v>
                </c:pt>
                <c:pt idx="56">
                  <c:v>01/10/2009</c:v>
                </c:pt>
                <c:pt idx="57">
                  <c:v>01/01/2010</c:v>
                </c:pt>
                <c:pt idx="58">
                  <c:v>01/04/2010</c:v>
                </c:pt>
                <c:pt idx="59">
                  <c:v>01/07/2010</c:v>
                </c:pt>
                <c:pt idx="60">
                  <c:v>01/10/2010</c:v>
                </c:pt>
                <c:pt idx="61">
                  <c:v>01/01/2011</c:v>
                </c:pt>
                <c:pt idx="62">
                  <c:v>01/04/2011</c:v>
                </c:pt>
                <c:pt idx="63">
                  <c:v>01/07/2011</c:v>
                </c:pt>
                <c:pt idx="64">
                  <c:v>01/10/2011</c:v>
                </c:pt>
                <c:pt idx="65">
                  <c:v>01/01/2012</c:v>
                </c:pt>
                <c:pt idx="66">
                  <c:v>01/04/2012</c:v>
                </c:pt>
                <c:pt idx="67">
                  <c:v>01/07/2012</c:v>
                </c:pt>
                <c:pt idx="68">
                  <c:v>01/10/2012</c:v>
                </c:pt>
                <c:pt idx="69">
                  <c:v>01/01/2013</c:v>
                </c:pt>
                <c:pt idx="70">
                  <c:v>01/04/2013</c:v>
                </c:pt>
                <c:pt idx="71">
                  <c:v>01/07/2013</c:v>
                </c:pt>
                <c:pt idx="72">
                  <c:v>01/10/2013</c:v>
                </c:pt>
                <c:pt idx="73">
                  <c:v>01/01/2014</c:v>
                </c:pt>
                <c:pt idx="74">
                  <c:v>01/04/2014</c:v>
                </c:pt>
                <c:pt idx="75">
                  <c:v>01/07/2014</c:v>
                </c:pt>
                <c:pt idx="76">
                  <c:v>01/10/2014</c:v>
                </c:pt>
                <c:pt idx="77">
                  <c:v>01/01/2015</c:v>
                </c:pt>
                <c:pt idx="78">
                  <c:v>01/04/2015</c:v>
                </c:pt>
                <c:pt idx="79">
                  <c:v>01/07/2015</c:v>
                </c:pt>
                <c:pt idx="80">
                  <c:v>01/10/2015</c:v>
                </c:pt>
                <c:pt idx="81">
                  <c:v>01/01/2016</c:v>
                </c:pt>
                <c:pt idx="82">
                  <c:v>01/04/2016</c:v>
                </c:pt>
                <c:pt idx="83">
                  <c:v>01/07/2016</c:v>
                </c:pt>
                <c:pt idx="84">
                  <c:v>01/10/2016</c:v>
                </c:pt>
                <c:pt idx="85">
                  <c:v>01/01/2017</c:v>
                </c:pt>
                <c:pt idx="86">
                  <c:v>01/04/2017</c:v>
                </c:pt>
                <c:pt idx="87">
                  <c:v>01/07/2017</c:v>
                </c:pt>
                <c:pt idx="88">
                  <c:v>01/10/2017</c:v>
                </c:pt>
                <c:pt idx="89">
                  <c:v>01/01/2018</c:v>
                </c:pt>
                <c:pt idx="90">
                  <c:v>01/04/2018</c:v>
                </c:pt>
                <c:pt idx="91">
                  <c:v>01/07/2018</c:v>
                </c:pt>
                <c:pt idx="92">
                  <c:v>01/10/2018</c:v>
                </c:pt>
                <c:pt idx="93">
                  <c:v>01/01/2019</c:v>
                </c:pt>
                <c:pt idx="94">
                  <c:v>01/04/2019</c:v>
                </c:pt>
                <c:pt idx="95">
                  <c:v>01/07/2019</c:v>
                </c:pt>
                <c:pt idx="96">
                  <c:v>01/10/2019</c:v>
                </c:pt>
                <c:pt idx="97">
                  <c:v>01/01/2020</c:v>
                </c:pt>
                <c:pt idx="98">
                  <c:v>01/04/2020</c:v>
                </c:pt>
                <c:pt idx="99">
                  <c:v>01/07/2020</c:v>
                </c:pt>
                <c:pt idx="100">
                  <c:v>01/10/2020</c:v>
                </c:pt>
                <c:pt idx="101">
                  <c:v>01/01/2021</c:v>
                </c:pt>
                <c:pt idx="102">
                  <c:v>01/04/2021</c:v>
                </c:pt>
                <c:pt idx="103">
                  <c:v>01/07/2021</c:v>
                </c:pt>
                <c:pt idx="104">
                  <c:v>01/10/2021</c:v>
                </c:pt>
                <c:pt idx="105">
                  <c:v>01/01/2022</c:v>
                </c:pt>
                <c:pt idx="106">
                  <c:v>01/04/2022</c:v>
                </c:pt>
              </c:strCache>
            </c:strRef>
          </c:cat>
          <c:val>
            <c:numRef>
              <c:f>ISCOINTEGRATED!$H$15:$H$121</c:f>
              <c:numCache>
                <c:formatCode>0</c:formatCode>
                <c:ptCount val="107"/>
                <c:pt idx="0" formatCode="General">
                  <c:v>0</c:v>
                </c:pt>
                <c:pt idx="1">
                  <c:v>-8161.4722316855041</c:v>
                </c:pt>
                <c:pt idx="2">
                  <c:v>-9503.2918967638107</c:v>
                </c:pt>
                <c:pt idx="3">
                  <c:v>-7381.4551601652638</c:v>
                </c:pt>
                <c:pt idx="4">
                  <c:v>-16888.493286997429</c:v>
                </c:pt>
                <c:pt idx="5">
                  <c:v>-10931.41695719416</c:v>
                </c:pt>
                <c:pt idx="6">
                  <c:v>-10647.492159238929</c:v>
                </c:pt>
                <c:pt idx="7">
                  <c:v>-7097.9296099890489</c:v>
                </c:pt>
                <c:pt idx="8">
                  <c:v>-5485.0873840108106</c:v>
                </c:pt>
                <c:pt idx="9">
                  <c:v>-8990.3555547374708</c:v>
                </c:pt>
                <c:pt idx="10">
                  <c:v>-5640.9491625779774</c:v>
                </c:pt>
                <c:pt idx="11">
                  <c:v>-6250.7304372029321</c:v>
                </c:pt>
                <c:pt idx="12">
                  <c:v>-6191.3233683883736</c:v>
                </c:pt>
                <c:pt idx="13">
                  <c:v>-6224.8284256993793</c:v>
                </c:pt>
                <c:pt idx="14">
                  <c:v>-5504.9882677558926</c:v>
                </c:pt>
                <c:pt idx="15">
                  <c:v>-7002.8507229781535</c:v>
                </c:pt>
                <c:pt idx="16">
                  <c:v>-6986.2421497215691</c:v>
                </c:pt>
                <c:pt idx="17">
                  <c:v>-5140.1317530166707</c:v>
                </c:pt>
                <c:pt idx="18">
                  <c:v>-4625.5802205955843</c:v>
                </c:pt>
                <c:pt idx="19">
                  <c:v>-4961.9854469271377</c:v>
                </c:pt>
                <c:pt idx="20">
                  <c:v>-4087.6013520464185</c:v>
                </c:pt>
                <c:pt idx="21">
                  <c:v>-3227.7453264800715</c:v>
                </c:pt>
                <c:pt idx="22">
                  <c:v>-5121.867905841762</c:v>
                </c:pt>
                <c:pt idx="23">
                  <c:v>-973.1087410133332</c:v>
                </c:pt>
                <c:pt idx="24">
                  <c:v>-2762.4622284068319</c:v>
                </c:pt>
                <c:pt idx="25">
                  <c:v>-1364.9288571950165</c:v>
                </c:pt>
                <c:pt idx="26">
                  <c:v>-2409.9649540619284</c:v>
                </c:pt>
                <c:pt idx="27">
                  <c:v>2228.662908162456</c:v>
                </c:pt>
                <c:pt idx="28">
                  <c:v>4968.7933085596887</c:v>
                </c:pt>
                <c:pt idx="29">
                  <c:v>3327.5090446584509</c:v>
                </c:pt>
                <c:pt idx="30">
                  <c:v>3161.1111501896521</c:v>
                </c:pt>
                <c:pt idx="31">
                  <c:v>4699.8013551469485</c:v>
                </c:pt>
                <c:pt idx="32">
                  <c:v>5461.8423028078978</c:v>
                </c:pt>
                <c:pt idx="33">
                  <c:v>7150.954316444142</c:v>
                </c:pt>
                <c:pt idx="34">
                  <c:v>10900.361874431575</c:v>
                </c:pt>
                <c:pt idx="35">
                  <c:v>10278.127996158233</c:v>
                </c:pt>
                <c:pt idx="36">
                  <c:v>7726.7991376994178</c:v>
                </c:pt>
                <c:pt idx="37">
                  <c:v>10422.921717061108</c:v>
                </c:pt>
                <c:pt idx="38">
                  <c:v>11720.883777711162</c:v>
                </c:pt>
                <c:pt idx="39">
                  <c:v>7455.8354981874872</c:v>
                </c:pt>
                <c:pt idx="40">
                  <c:v>7653.0535469074384</c:v>
                </c:pt>
                <c:pt idx="41">
                  <c:v>9564.4808830355178</c:v>
                </c:pt>
                <c:pt idx="42">
                  <c:v>7332.2412517613266</c:v>
                </c:pt>
                <c:pt idx="43">
                  <c:v>9130.017713661684</c:v>
                </c:pt>
                <c:pt idx="44">
                  <c:v>9224.630197436054</c:v>
                </c:pt>
                <c:pt idx="45">
                  <c:v>9682.3664264000545</c:v>
                </c:pt>
                <c:pt idx="46">
                  <c:v>11077.375413263566</c:v>
                </c:pt>
                <c:pt idx="47">
                  <c:v>12249.515026076057</c:v>
                </c:pt>
                <c:pt idx="48">
                  <c:v>10388.221136725653</c:v>
                </c:pt>
                <c:pt idx="49">
                  <c:v>9073.2117368282052</c:v>
                </c:pt>
                <c:pt idx="50">
                  <c:v>12073.356877089798</c:v>
                </c:pt>
                <c:pt idx="51">
                  <c:v>12243.225348934066</c:v>
                </c:pt>
                <c:pt idx="52">
                  <c:v>5656.4277175134048</c:v>
                </c:pt>
                <c:pt idx="53">
                  <c:v>209.08389363854076</c:v>
                </c:pt>
                <c:pt idx="54">
                  <c:v>-1427.2870402396657</c:v>
                </c:pt>
                <c:pt idx="55">
                  <c:v>-480.41304094623774</c:v>
                </c:pt>
                <c:pt idx="56">
                  <c:v>4655.9098770294804</c:v>
                </c:pt>
                <c:pt idx="57">
                  <c:v>7344.2638535957667</c:v>
                </c:pt>
                <c:pt idx="58">
                  <c:v>8491.4011728217592</c:v>
                </c:pt>
                <c:pt idx="59">
                  <c:v>5914.8195601557964</c:v>
                </c:pt>
                <c:pt idx="60">
                  <c:v>4788.8336233650334</c:v>
                </c:pt>
                <c:pt idx="61">
                  <c:v>6626.7657912524883</c:v>
                </c:pt>
                <c:pt idx="62">
                  <c:v>6070.6206890603062</c:v>
                </c:pt>
                <c:pt idx="63">
                  <c:v>6430.2462576982798</c:v>
                </c:pt>
                <c:pt idx="64">
                  <c:v>7564.0367447384633</c:v>
                </c:pt>
                <c:pt idx="65">
                  <c:v>250.8205765709863</c:v>
                </c:pt>
                <c:pt idx="66">
                  <c:v>3361.8573881624034</c:v>
                </c:pt>
                <c:pt idx="67">
                  <c:v>5051.4558467969764</c:v>
                </c:pt>
                <c:pt idx="68">
                  <c:v>2293.4351664495189</c:v>
                </c:pt>
                <c:pt idx="69">
                  <c:v>2683.0816790560493</c:v>
                </c:pt>
                <c:pt idx="70">
                  <c:v>3677.0706622272264</c:v>
                </c:pt>
                <c:pt idx="71">
                  <c:v>3277.6065525771701</c:v>
                </c:pt>
                <c:pt idx="72">
                  <c:v>3929.0642325713416</c:v>
                </c:pt>
                <c:pt idx="73">
                  <c:v>2274.3112718471675</c:v>
                </c:pt>
                <c:pt idx="74">
                  <c:v>-957.03142426919658</c:v>
                </c:pt>
                <c:pt idx="75">
                  <c:v>-1448.704144672316</c:v>
                </c:pt>
                <c:pt idx="76">
                  <c:v>-3823.4214596329839</c:v>
                </c:pt>
                <c:pt idx="77">
                  <c:v>-1591.4474799472955</c:v>
                </c:pt>
                <c:pt idx="78">
                  <c:v>-3741.5818289318122</c:v>
                </c:pt>
                <c:pt idx="79">
                  <c:v>-3734.0259729590034</c:v>
                </c:pt>
                <c:pt idx="80">
                  <c:v>-4059.3507334177848</c:v>
                </c:pt>
                <c:pt idx="81">
                  <c:v>-5232.1780320493854</c:v>
                </c:pt>
                <c:pt idx="82">
                  <c:v>-2676.1578028053045</c:v>
                </c:pt>
                <c:pt idx="83">
                  <c:v>-3317.8123619991238</c:v>
                </c:pt>
                <c:pt idx="84">
                  <c:v>-3042.4057442879421</c:v>
                </c:pt>
                <c:pt idx="85">
                  <c:v>-1761.3590436261729</c:v>
                </c:pt>
                <c:pt idx="86">
                  <c:v>-3692.6129255918786</c:v>
                </c:pt>
                <c:pt idx="87">
                  <c:v>-5363.2272137798136</c:v>
                </c:pt>
                <c:pt idx="88">
                  <c:v>-4461.787469443283</c:v>
                </c:pt>
                <c:pt idx="89">
                  <c:v>-4898.0229646479711</c:v>
                </c:pt>
                <c:pt idx="90">
                  <c:v>-5707.8417275194661</c:v>
                </c:pt>
                <c:pt idx="91">
                  <c:v>-4312.6213852131041</c:v>
                </c:pt>
                <c:pt idx="92">
                  <c:v>-5174.7317819179734</c:v>
                </c:pt>
                <c:pt idx="93">
                  <c:v>-8517.9187339778873</c:v>
                </c:pt>
                <c:pt idx="94">
                  <c:v>-7997.7830316831823</c:v>
                </c:pt>
                <c:pt idx="95">
                  <c:v>-8880.8662803152693</c:v>
                </c:pt>
                <c:pt idx="96">
                  <c:v>-7692.014165266708</c:v>
                </c:pt>
                <c:pt idx="97">
                  <c:v>-11426.068235860672</c:v>
                </c:pt>
                <c:pt idx="98">
                  <c:v>-7509.8685767667484</c:v>
                </c:pt>
                <c:pt idx="99">
                  <c:v>-3207.2550765771884</c:v>
                </c:pt>
                <c:pt idx="100">
                  <c:v>-1879.0664314470487</c:v>
                </c:pt>
                <c:pt idx="101">
                  <c:v>375.24291249224916</c:v>
                </c:pt>
                <c:pt idx="102">
                  <c:v>375.24911659647478</c:v>
                </c:pt>
                <c:pt idx="103">
                  <c:v>-2191.3198623093776</c:v>
                </c:pt>
                <c:pt idx="104">
                  <c:v>-2464.4134511151351</c:v>
                </c:pt>
                <c:pt idx="105">
                  <c:v>-462.67034139187308</c:v>
                </c:pt>
                <c:pt idx="106">
                  <c:v>-3799.3552063822863</c:v>
                </c:pt>
              </c:numCache>
            </c:numRef>
          </c:val>
          <c:smooth val="0"/>
          <c:extLst>
            <c:ext xmlns:c16="http://schemas.microsoft.com/office/drawing/2014/chart" uri="{C3380CC4-5D6E-409C-BE32-E72D297353CC}">
              <c16:uniqueId val="{00000000-E60E-4434-9639-70E3DC7A460F}"/>
            </c:ext>
          </c:extLst>
        </c:ser>
        <c:dLbls>
          <c:showLegendKey val="0"/>
          <c:showVal val="0"/>
          <c:showCatName val="0"/>
          <c:showSerName val="0"/>
          <c:showPercent val="0"/>
          <c:showBubbleSize val="0"/>
        </c:dLbls>
        <c:smooth val="0"/>
        <c:axId val="2040515792"/>
        <c:axId val="2040519952"/>
      </c:lineChart>
      <c:catAx>
        <c:axId val="2040515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Original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ISCOINTEGRATED!$J$15</c:f>
              <c:strCache>
                <c:ptCount val="1"/>
                <c:pt idx="0">
                  <c:v>Selic</c:v>
                </c:pt>
              </c:strCache>
            </c:strRef>
          </c:tx>
          <c:spPr>
            <a:ln w="28575" cap="rnd">
              <a:solidFill>
                <a:schemeClr val="accent1"/>
              </a:solidFill>
              <a:round/>
            </a:ln>
            <a:effectLst/>
          </c:spPr>
          <c:marker>
            <c:symbol val="none"/>
          </c:marker>
          <c:cat>
            <c:numRef>
              <c:f>ISCOINTEGRATED!$E$16:$E$151</c:f>
              <c:numCache>
                <c:formatCode>m/d/yyyy</c:formatCode>
                <c:ptCount val="136"/>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pt idx="103">
                  <c:v>44470</c:v>
                </c:pt>
                <c:pt idx="104">
                  <c:v>44562</c:v>
                </c:pt>
                <c:pt idx="105">
                  <c:v>44652</c:v>
                </c:pt>
              </c:numCache>
            </c:numRef>
          </c:cat>
          <c:val>
            <c:numRef>
              <c:f>ISCOINTEGRATED!$J$16:$J$151</c:f>
              <c:numCache>
                <c:formatCode>0.0</c:formatCode>
                <c:ptCount val="136"/>
                <c:pt idx="0">
                  <c:v>11.62</c:v>
                </c:pt>
                <c:pt idx="1">
                  <c:v>11.74</c:v>
                </c:pt>
                <c:pt idx="2">
                  <c:v>11.92</c:v>
                </c:pt>
                <c:pt idx="3">
                  <c:v>12.1</c:v>
                </c:pt>
                <c:pt idx="4">
                  <c:v>12.25</c:v>
                </c:pt>
                <c:pt idx="5">
                  <c:v>12.42</c:v>
                </c:pt>
                <c:pt idx="6">
                  <c:v>11.91</c:v>
                </c:pt>
                <c:pt idx="7">
                  <c:v>11.7</c:v>
                </c:pt>
                <c:pt idx="8">
                  <c:v>11.4</c:v>
                </c:pt>
                <c:pt idx="9">
                  <c:v>10.9</c:v>
                </c:pt>
                <c:pt idx="10">
                  <c:v>10.7</c:v>
                </c:pt>
                <c:pt idx="11">
                  <c:v>10.4</c:v>
                </c:pt>
                <c:pt idx="12">
                  <c:v>9.82</c:v>
                </c:pt>
                <c:pt idx="13">
                  <c:v>9.35</c:v>
                </c:pt>
                <c:pt idx="14">
                  <c:v>8.8699999999999992</c:v>
                </c:pt>
                <c:pt idx="15">
                  <c:v>8.39</c:v>
                </c:pt>
                <c:pt idx="16">
                  <c:v>8.07</c:v>
                </c:pt>
                <c:pt idx="17">
                  <c:v>7.85</c:v>
                </c:pt>
                <c:pt idx="18">
                  <c:v>7.39</c:v>
                </c:pt>
                <c:pt idx="19">
                  <c:v>7.23</c:v>
                </c:pt>
                <c:pt idx="20">
                  <c:v>7.14</c:v>
                </c:pt>
                <c:pt idx="21">
                  <c:v>7.16</c:v>
                </c:pt>
                <c:pt idx="22">
                  <c:v>7.11</c:v>
                </c:pt>
                <c:pt idx="23">
                  <c:v>7.12</c:v>
                </c:pt>
                <c:pt idx="24">
                  <c:v>7.15</c:v>
                </c:pt>
                <c:pt idx="25">
                  <c:v>7.26</c:v>
                </c:pt>
                <c:pt idx="26">
                  <c:v>7.42</c:v>
                </c:pt>
                <c:pt idx="27">
                  <c:v>7.9</c:v>
                </c:pt>
                <c:pt idx="28">
                  <c:v>8.23</c:v>
                </c:pt>
                <c:pt idx="29">
                  <c:v>8.4499999999999993</c:v>
                </c:pt>
                <c:pt idx="30">
                  <c:v>8.9</c:v>
                </c:pt>
                <c:pt idx="31">
                  <c:v>9.25</c:v>
                </c:pt>
                <c:pt idx="32">
                  <c:v>9.4499999999999993</c:v>
                </c:pt>
                <c:pt idx="33">
                  <c:v>9.9</c:v>
                </c:pt>
                <c:pt idx="34">
                  <c:v>10.17</c:v>
                </c:pt>
                <c:pt idx="35">
                  <c:v>10.43</c:v>
                </c:pt>
                <c:pt idx="36">
                  <c:v>10.65</c:v>
                </c:pt>
                <c:pt idx="37">
                  <c:v>10.87</c:v>
                </c:pt>
                <c:pt idx="38">
                  <c:v>10.9</c:v>
                </c:pt>
                <c:pt idx="39">
                  <c:v>10.9</c:v>
                </c:pt>
                <c:pt idx="40">
                  <c:v>10.9</c:v>
                </c:pt>
                <c:pt idx="41">
                  <c:v>10.9</c:v>
                </c:pt>
                <c:pt idx="42">
                  <c:v>10.9</c:v>
                </c:pt>
                <c:pt idx="43">
                  <c:v>10.92</c:v>
                </c:pt>
                <c:pt idx="44">
                  <c:v>11.15</c:v>
                </c:pt>
                <c:pt idx="45">
                  <c:v>11.58</c:v>
                </c:pt>
                <c:pt idx="46">
                  <c:v>11.82</c:v>
                </c:pt>
                <c:pt idx="47">
                  <c:v>12.15</c:v>
                </c:pt>
                <c:pt idx="48">
                  <c:v>12.58</c:v>
                </c:pt>
                <c:pt idx="49">
                  <c:v>12.68</c:v>
                </c:pt>
                <c:pt idx="50">
                  <c:v>13.15</c:v>
                </c:pt>
                <c:pt idx="51">
                  <c:v>13.58</c:v>
                </c:pt>
                <c:pt idx="52">
                  <c:v>13.69</c:v>
                </c:pt>
                <c:pt idx="53">
                  <c:v>14.15</c:v>
                </c:pt>
                <c:pt idx="54">
                  <c:v>14.15</c:v>
                </c:pt>
                <c:pt idx="55">
                  <c:v>14.15</c:v>
                </c:pt>
                <c:pt idx="56">
                  <c:v>14.15</c:v>
                </c:pt>
                <c:pt idx="57">
                  <c:v>14.15</c:v>
                </c:pt>
                <c:pt idx="58">
                  <c:v>14.15</c:v>
                </c:pt>
                <c:pt idx="59">
                  <c:v>14.15</c:v>
                </c:pt>
                <c:pt idx="60">
                  <c:v>14.15</c:v>
                </c:pt>
                <c:pt idx="61">
                  <c:v>14.15</c:v>
                </c:pt>
                <c:pt idx="62">
                  <c:v>14.15</c:v>
                </c:pt>
                <c:pt idx="63">
                  <c:v>14.15</c:v>
                </c:pt>
                <c:pt idx="64">
                  <c:v>14.15</c:v>
                </c:pt>
                <c:pt idx="65">
                  <c:v>14.15</c:v>
                </c:pt>
                <c:pt idx="66">
                  <c:v>14.15</c:v>
                </c:pt>
                <c:pt idx="67">
                  <c:v>14.05</c:v>
                </c:pt>
                <c:pt idx="68">
                  <c:v>13.9</c:v>
                </c:pt>
                <c:pt idx="69">
                  <c:v>13.65</c:v>
                </c:pt>
                <c:pt idx="70">
                  <c:v>13.17</c:v>
                </c:pt>
                <c:pt idx="71">
                  <c:v>12.82</c:v>
                </c:pt>
                <c:pt idx="72">
                  <c:v>12.15</c:v>
                </c:pt>
                <c:pt idx="73">
                  <c:v>11.59</c:v>
                </c:pt>
                <c:pt idx="74">
                  <c:v>11.15</c:v>
                </c:pt>
                <c:pt idx="75">
                  <c:v>10.15</c:v>
                </c:pt>
                <c:pt idx="76">
                  <c:v>10.01</c:v>
                </c:pt>
                <c:pt idx="77">
                  <c:v>9.15</c:v>
                </c:pt>
                <c:pt idx="78">
                  <c:v>8.35</c:v>
                </c:pt>
                <c:pt idx="79">
                  <c:v>8.01</c:v>
                </c:pt>
                <c:pt idx="80">
                  <c:v>7.4</c:v>
                </c:pt>
                <c:pt idx="81">
                  <c:v>7</c:v>
                </c:pt>
                <c:pt idx="82">
                  <c:v>6.9</c:v>
                </c:pt>
                <c:pt idx="83">
                  <c:v>6.72</c:v>
                </c:pt>
                <c:pt idx="84">
                  <c:v>6.58</c:v>
                </c:pt>
                <c:pt idx="85">
                  <c:v>6.4</c:v>
                </c:pt>
                <c:pt idx="86">
                  <c:v>6.4</c:v>
                </c:pt>
                <c:pt idx="87">
                  <c:v>6.4</c:v>
                </c:pt>
                <c:pt idx="88">
                  <c:v>6.4</c:v>
                </c:pt>
                <c:pt idx="89">
                  <c:v>6.4</c:v>
                </c:pt>
                <c:pt idx="90">
                  <c:v>6.4</c:v>
                </c:pt>
                <c:pt idx="91">
                  <c:v>6.4</c:v>
                </c:pt>
                <c:pt idx="92">
                  <c:v>6.4</c:v>
                </c:pt>
                <c:pt idx="93">
                  <c:v>6.4</c:v>
                </c:pt>
                <c:pt idx="94">
                  <c:v>6.4</c:v>
                </c:pt>
                <c:pt idx="95">
                  <c:v>6.4</c:v>
                </c:pt>
                <c:pt idx="96">
                  <c:v>6.4</c:v>
                </c:pt>
                <c:pt idx="97">
                  <c:v>6.4</c:v>
                </c:pt>
                <c:pt idx="98">
                  <c:v>6.4</c:v>
                </c:pt>
                <c:pt idx="99">
                  <c:v>6.4</c:v>
                </c:pt>
                <c:pt idx="100">
                  <c:v>6.4</c:v>
                </c:pt>
                <c:pt idx="101">
                  <c:v>5.9</c:v>
                </c:pt>
                <c:pt idx="102">
                  <c:v>5.71</c:v>
                </c:pt>
                <c:pt idx="103">
                  <c:v>5.38</c:v>
                </c:pt>
                <c:pt idx="104">
                  <c:v>4.9000000000000004</c:v>
                </c:pt>
                <c:pt idx="105">
                  <c:v>4.59</c:v>
                </c:pt>
                <c:pt idx="106">
                  <c:v>4.4000000000000004</c:v>
                </c:pt>
                <c:pt idx="107">
                  <c:v>4.1900000000000004</c:v>
                </c:pt>
                <c:pt idx="108">
                  <c:v>3.95</c:v>
                </c:pt>
                <c:pt idx="109">
                  <c:v>3.65</c:v>
                </c:pt>
                <c:pt idx="110">
                  <c:v>3.01</c:v>
                </c:pt>
                <c:pt idx="111">
                  <c:v>2.58</c:v>
                </c:pt>
                <c:pt idx="112">
                  <c:v>2.15</c:v>
                </c:pt>
                <c:pt idx="113">
                  <c:v>1.94</c:v>
                </c:pt>
                <c:pt idx="114">
                  <c:v>1.9</c:v>
                </c:pt>
                <c:pt idx="115">
                  <c:v>1.9</c:v>
                </c:pt>
                <c:pt idx="116">
                  <c:v>1.9</c:v>
                </c:pt>
                <c:pt idx="117">
                  <c:v>1.9</c:v>
                </c:pt>
                <c:pt idx="118">
                  <c:v>1.9</c:v>
                </c:pt>
                <c:pt idx="119">
                  <c:v>1.9</c:v>
                </c:pt>
                <c:pt idx="120">
                  <c:v>2.23</c:v>
                </c:pt>
                <c:pt idx="121">
                  <c:v>2.65</c:v>
                </c:pt>
                <c:pt idx="122">
                  <c:v>3.29</c:v>
                </c:pt>
                <c:pt idx="123">
                  <c:v>3.76</c:v>
                </c:pt>
                <c:pt idx="124">
                  <c:v>4.1500000000000004</c:v>
                </c:pt>
                <c:pt idx="125">
                  <c:v>5.01</c:v>
                </c:pt>
                <c:pt idx="126">
                  <c:v>5.43</c:v>
                </c:pt>
                <c:pt idx="127">
                  <c:v>6.3</c:v>
                </c:pt>
                <c:pt idx="128">
                  <c:v>7.65</c:v>
                </c:pt>
                <c:pt idx="129">
                  <c:v>8.76</c:v>
                </c:pt>
                <c:pt idx="130">
                  <c:v>9.15</c:v>
                </c:pt>
                <c:pt idx="131">
                  <c:v>10.49</c:v>
                </c:pt>
                <c:pt idx="132">
                  <c:v>11.15</c:v>
                </c:pt>
                <c:pt idx="133">
                  <c:v>11.65</c:v>
                </c:pt>
                <c:pt idx="134">
                  <c:v>12.51</c:v>
                </c:pt>
                <c:pt idx="135">
                  <c:v>12.89</c:v>
                </c:pt>
              </c:numCache>
            </c:numRef>
          </c:val>
          <c:smooth val="0"/>
          <c:extLst>
            <c:ext xmlns:c16="http://schemas.microsoft.com/office/drawing/2014/chart" uri="{C3380CC4-5D6E-409C-BE32-E72D297353CC}">
              <c16:uniqueId val="{00000000-3FC9-4998-AD6B-EF3AE8F6EF0D}"/>
            </c:ext>
          </c:extLst>
        </c:ser>
        <c:ser>
          <c:idx val="1"/>
          <c:order val="1"/>
          <c:tx>
            <c:strRef>
              <c:f>ISCOINTEGRATED!$K$15</c:f>
              <c:strCache>
                <c:ptCount val="1"/>
                <c:pt idx="0">
                  <c:v>SFN rate</c:v>
                </c:pt>
              </c:strCache>
            </c:strRef>
          </c:tx>
          <c:spPr>
            <a:ln w="28575" cap="rnd">
              <a:solidFill>
                <a:schemeClr val="accent2"/>
              </a:solidFill>
              <a:round/>
            </a:ln>
            <a:effectLst/>
          </c:spPr>
          <c:marker>
            <c:symbol val="none"/>
          </c:marker>
          <c:cat>
            <c:numRef>
              <c:f>ISCOINTEGRATED!$E$16:$E$151</c:f>
              <c:numCache>
                <c:formatCode>m/d/yyyy</c:formatCode>
                <c:ptCount val="136"/>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pt idx="103">
                  <c:v>44470</c:v>
                </c:pt>
                <c:pt idx="104">
                  <c:v>44562</c:v>
                </c:pt>
                <c:pt idx="105">
                  <c:v>44652</c:v>
                </c:pt>
              </c:numCache>
            </c:numRef>
          </c:cat>
          <c:val>
            <c:numRef>
              <c:f>ISCOINTEGRATED!$K$16:$K$151</c:f>
              <c:numCache>
                <c:formatCode>0.0</c:formatCode>
                <c:ptCount val="136"/>
                <c:pt idx="0">
                  <c:v>27.35</c:v>
                </c:pt>
                <c:pt idx="1">
                  <c:v>27.94</c:v>
                </c:pt>
                <c:pt idx="2">
                  <c:v>27.86</c:v>
                </c:pt>
                <c:pt idx="3">
                  <c:v>27.62</c:v>
                </c:pt>
                <c:pt idx="4">
                  <c:v>27.81</c:v>
                </c:pt>
                <c:pt idx="5">
                  <c:v>27.23</c:v>
                </c:pt>
                <c:pt idx="6">
                  <c:v>27.2</c:v>
                </c:pt>
                <c:pt idx="7">
                  <c:v>27.45</c:v>
                </c:pt>
                <c:pt idx="8">
                  <c:v>26.66</c:v>
                </c:pt>
                <c:pt idx="9">
                  <c:v>25.82</c:v>
                </c:pt>
                <c:pt idx="10">
                  <c:v>26.8</c:v>
                </c:pt>
                <c:pt idx="11">
                  <c:v>26.86</c:v>
                </c:pt>
                <c:pt idx="12">
                  <c:v>26.54</c:v>
                </c:pt>
                <c:pt idx="13">
                  <c:v>25.96</c:v>
                </c:pt>
                <c:pt idx="14">
                  <c:v>24.36</c:v>
                </c:pt>
                <c:pt idx="15">
                  <c:v>23.62</c:v>
                </c:pt>
                <c:pt idx="16">
                  <c:v>23.03</c:v>
                </c:pt>
                <c:pt idx="17">
                  <c:v>22.54</c:v>
                </c:pt>
                <c:pt idx="18">
                  <c:v>22.3</c:v>
                </c:pt>
                <c:pt idx="19">
                  <c:v>21.72</c:v>
                </c:pt>
                <c:pt idx="20">
                  <c:v>21.47</c:v>
                </c:pt>
                <c:pt idx="21">
                  <c:v>20.39</c:v>
                </c:pt>
                <c:pt idx="22">
                  <c:v>20.84</c:v>
                </c:pt>
                <c:pt idx="23">
                  <c:v>21.18</c:v>
                </c:pt>
                <c:pt idx="24">
                  <c:v>20.93</c:v>
                </c:pt>
                <c:pt idx="25">
                  <c:v>20.83</c:v>
                </c:pt>
                <c:pt idx="26">
                  <c:v>20.57</c:v>
                </c:pt>
                <c:pt idx="27">
                  <c:v>20.85</c:v>
                </c:pt>
                <c:pt idx="28">
                  <c:v>21.28</c:v>
                </c:pt>
                <c:pt idx="29">
                  <c:v>21.46</c:v>
                </c:pt>
                <c:pt idx="30">
                  <c:v>21.61</c:v>
                </c:pt>
                <c:pt idx="31">
                  <c:v>21.98</c:v>
                </c:pt>
                <c:pt idx="32">
                  <c:v>22.21</c:v>
                </c:pt>
                <c:pt idx="33">
                  <c:v>21.87</c:v>
                </c:pt>
                <c:pt idx="34">
                  <c:v>22.84</c:v>
                </c:pt>
                <c:pt idx="35">
                  <c:v>23.38</c:v>
                </c:pt>
                <c:pt idx="36">
                  <c:v>23.53</c:v>
                </c:pt>
                <c:pt idx="37">
                  <c:v>23.41</c:v>
                </c:pt>
                <c:pt idx="38">
                  <c:v>23.59</c:v>
                </c:pt>
                <c:pt idx="39">
                  <c:v>23.46</c:v>
                </c:pt>
                <c:pt idx="40">
                  <c:v>23.7</c:v>
                </c:pt>
                <c:pt idx="41">
                  <c:v>23.61</c:v>
                </c:pt>
                <c:pt idx="42">
                  <c:v>23.26</c:v>
                </c:pt>
                <c:pt idx="43">
                  <c:v>23.79</c:v>
                </c:pt>
                <c:pt idx="44">
                  <c:v>23.87</c:v>
                </c:pt>
                <c:pt idx="45">
                  <c:v>23.39</c:v>
                </c:pt>
                <c:pt idx="46">
                  <c:v>24.6</c:v>
                </c:pt>
                <c:pt idx="47">
                  <c:v>25.32</c:v>
                </c:pt>
                <c:pt idx="48">
                  <c:v>25.51</c:v>
                </c:pt>
                <c:pt idx="49">
                  <c:v>26.13</c:v>
                </c:pt>
                <c:pt idx="50">
                  <c:v>26.73</c:v>
                </c:pt>
                <c:pt idx="51">
                  <c:v>27.25</c:v>
                </c:pt>
                <c:pt idx="52">
                  <c:v>28.05</c:v>
                </c:pt>
                <c:pt idx="53">
                  <c:v>28.55</c:v>
                </c:pt>
                <c:pt idx="54">
                  <c:v>29.06</c:v>
                </c:pt>
                <c:pt idx="55">
                  <c:v>29.85</c:v>
                </c:pt>
                <c:pt idx="56">
                  <c:v>30.13</c:v>
                </c:pt>
                <c:pt idx="57">
                  <c:v>29.38</c:v>
                </c:pt>
                <c:pt idx="58">
                  <c:v>31.03</c:v>
                </c:pt>
                <c:pt idx="59">
                  <c:v>31.52</c:v>
                </c:pt>
                <c:pt idx="60">
                  <c:v>31.71</c:v>
                </c:pt>
                <c:pt idx="61">
                  <c:v>32.130000000000003</c:v>
                </c:pt>
                <c:pt idx="62">
                  <c:v>32.229999999999997</c:v>
                </c:pt>
                <c:pt idx="63">
                  <c:v>32.08</c:v>
                </c:pt>
                <c:pt idx="64">
                  <c:v>32.54</c:v>
                </c:pt>
                <c:pt idx="65">
                  <c:v>32.69</c:v>
                </c:pt>
                <c:pt idx="66">
                  <c:v>32.71</c:v>
                </c:pt>
                <c:pt idx="67">
                  <c:v>32.99</c:v>
                </c:pt>
                <c:pt idx="68">
                  <c:v>32.799999999999997</c:v>
                </c:pt>
                <c:pt idx="69">
                  <c:v>31.81</c:v>
                </c:pt>
                <c:pt idx="70">
                  <c:v>32.54</c:v>
                </c:pt>
                <c:pt idx="71">
                  <c:v>31.78</c:v>
                </c:pt>
                <c:pt idx="72">
                  <c:v>31.72</c:v>
                </c:pt>
                <c:pt idx="73">
                  <c:v>29.82</c:v>
                </c:pt>
                <c:pt idx="74">
                  <c:v>28.74</c:v>
                </c:pt>
                <c:pt idx="75">
                  <c:v>28.52</c:v>
                </c:pt>
                <c:pt idx="76">
                  <c:v>28.95</c:v>
                </c:pt>
                <c:pt idx="77">
                  <c:v>28.47</c:v>
                </c:pt>
                <c:pt idx="78">
                  <c:v>26.85</c:v>
                </c:pt>
                <c:pt idx="79">
                  <c:v>27.36</c:v>
                </c:pt>
                <c:pt idx="80">
                  <c:v>26.82</c:v>
                </c:pt>
                <c:pt idx="81">
                  <c:v>25.49</c:v>
                </c:pt>
                <c:pt idx="82">
                  <c:v>25.98</c:v>
                </c:pt>
                <c:pt idx="83">
                  <c:v>26.56</c:v>
                </c:pt>
                <c:pt idx="84">
                  <c:v>25.88</c:v>
                </c:pt>
                <c:pt idx="85">
                  <c:v>25.61</c:v>
                </c:pt>
                <c:pt idx="86">
                  <c:v>24.64</c:v>
                </c:pt>
                <c:pt idx="87">
                  <c:v>24.31</c:v>
                </c:pt>
                <c:pt idx="88">
                  <c:v>24.14</c:v>
                </c:pt>
                <c:pt idx="89">
                  <c:v>24.1</c:v>
                </c:pt>
                <c:pt idx="90">
                  <c:v>23.96</c:v>
                </c:pt>
                <c:pt idx="91">
                  <c:v>24.25</c:v>
                </c:pt>
                <c:pt idx="92">
                  <c:v>24.24</c:v>
                </c:pt>
                <c:pt idx="93">
                  <c:v>22.93</c:v>
                </c:pt>
                <c:pt idx="94">
                  <c:v>24.33</c:v>
                </c:pt>
                <c:pt idx="95">
                  <c:v>24.65</c:v>
                </c:pt>
                <c:pt idx="96">
                  <c:v>24.92</c:v>
                </c:pt>
                <c:pt idx="97">
                  <c:v>24.99</c:v>
                </c:pt>
                <c:pt idx="98">
                  <c:v>24.83</c:v>
                </c:pt>
                <c:pt idx="99">
                  <c:v>24.72</c:v>
                </c:pt>
                <c:pt idx="100">
                  <c:v>24.61</c:v>
                </c:pt>
                <c:pt idx="101">
                  <c:v>24.7</c:v>
                </c:pt>
                <c:pt idx="102">
                  <c:v>23.91</c:v>
                </c:pt>
                <c:pt idx="103">
                  <c:v>23.42</c:v>
                </c:pt>
                <c:pt idx="104">
                  <c:v>23.51</c:v>
                </c:pt>
                <c:pt idx="105">
                  <c:v>22.51</c:v>
                </c:pt>
                <c:pt idx="106">
                  <c:v>23.02</c:v>
                </c:pt>
                <c:pt idx="107">
                  <c:v>22.98</c:v>
                </c:pt>
                <c:pt idx="108">
                  <c:v>22.61</c:v>
                </c:pt>
                <c:pt idx="109">
                  <c:v>21.45</c:v>
                </c:pt>
                <c:pt idx="110">
                  <c:v>20.58</c:v>
                </c:pt>
                <c:pt idx="111">
                  <c:v>19.25</c:v>
                </c:pt>
                <c:pt idx="112">
                  <c:v>19.02</c:v>
                </c:pt>
                <c:pt idx="113">
                  <c:v>18.57</c:v>
                </c:pt>
                <c:pt idx="114">
                  <c:v>18.02</c:v>
                </c:pt>
                <c:pt idx="115">
                  <c:v>18.59</c:v>
                </c:pt>
                <c:pt idx="116">
                  <c:v>18.46</c:v>
                </c:pt>
                <c:pt idx="117">
                  <c:v>18.309999999999999</c:v>
                </c:pt>
                <c:pt idx="118">
                  <c:v>20.05</c:v>
                </c:pt>
                <c:pt idx="119">
                  <c:v>19.760000000000002</c:v>
                </c:pt>
                <c:pt idx="120">
                  <c:v>19.920000000000002</c:v>
                </c:pt>
                <c:pt idx="121">
                  <c:v>20.41</c:v>
                </c:pt>
                <c:pt idx="122">
                  <c:v>19.91</c:v>
                </c:pt>
                <c:pt idx="123">
                  <c:v>20.03</c:v>
                </c:pt>
                <c:pt idx="124">
                  <c:v>20.41</c:v>
                </c:pt>
                <c:pt idx="125">
                  <c:v>21.08</c:v>
                </c:pt>
                <c:pt idx="126">
                  <c:v>21.57</c:v>
                </c:pt>
                <c:pt idx="127">
                  <c:v>23.01</c:v>
                </c:pt>
                <c:pt idx="128">
                  <c:v>24.01</c:v>
                </c:pt>
                <c:pt idx="129">
                  <c:v>24.31</c:v>
                </c:pt>
                <c:pt idx="130">
                  <c:v>25.32</c:v>
                </c:pt>
                <c:pt idx="131">
                  <c:v>25.73</c:v>
                </c:pt>
                <c:pt idx="132">
                  <c:v>26.67</c:v>
                </c:pt>
                <c:pt idx="133">
                  <c:v>27.57</c:v>
                </c:pt>
                <c:pt idx="134">
                  <c:v>27.59</c:v>
                </c:pt>
                <c:pt idx="135">
                  <c:v>28.13</c:v>
                </c:pt>
              </c:numCache>
            </c:numRef>
          </c:val>
          <c:smooth val="0"/>
          <c:extLst>
            <c:ext xmlns:c16="http://schemas.microsoft.com/office/drawing/2014/chart" uri="{C3380CC4-5D6E-409C-BE32-E72D297353CC}">
              <c16:uniqueId val="{00000001-3FC9-4998-AD6B-EF3AE8F6EF0D}"/>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Residuals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ISCOINTEGRATED!$L$15</c:f>
              <c:strCache>
                <c:ptCount val="1"/>
                <c:pt idx="0">
                  <c:v>Residuals</c:v>
                </c:pt>
              </c:strCache>
            </c:strRef>
          </c:tx>
          <c:spPr>
            <a:ln w="28575" cap="rnd">
              <a:solidFill>
                <a:schemeClr val="accent2"/>
              </a:solidFill>
              <a:round/>
            </a:ln>
            <a:effectLst/>
          </c:spPr>
          <c:marker>
            <c:symbol val="none"/>
          </c:marker>
          <c:cat>
            <c:numRef>
              <c:f>ISCOINTEGRATED!$I$16:$I$151</c:f>
              <c:numCache>
                <c:formatCode>m/d/yyyy</c:formatCode>
                <c:ptCount val="136"/>
                <c:pt idx="0">
                  <c:v>40603</c:v>
                </c:pt>
                <c:pt idx="1">
                  <c:v>40634</c:v>
                </c:pt>
                <c:pt idx="2">
                  <c:v>40664</c:v>
                </c:pt>
                <c:pt idx="3">
                  <c:v>40695</c:v>
                </c:pt>
                <c:pt idx="4">
                  <c:v>40725</c:v>
                </c:pt>
                <c:pt idx="5">
                  <c:v>40756</c:v>
                </c:pt>
                <c:pt idx="6">
                  <c:v>40787</c:v>
                </c:pt>
                <c:pt idx="7">
                  <c:v>40817</c:v>
                </c:pt>
                <c:pt idx="8">
                  <c:v>40848</c:v>
                </c:pt>
                <c:pt idx="9">
                  <c:v>40878</c:v>
                </c:pt>
                <c:pt idx="10">
                  <c:v>40909</c:v>
                </c:pt>
                <c:pt idx="11">
                  <c:v>40940</c:v>
                </c:pt>
                <c:pt idx="12">
                  <c:v>40969</c:v>
                </c:pt>
                <c:pt idx="13">
                  <c:v>41000</c:v>
                </c:pt>
                <c:pt idx="14">
                  <c:v>41030</c:v>
                </c:pt>
                <c:pt idx="15">
                  <c:v>41061</c:v>
                </c:pt>
                <c:pt idx="16">
                  <c:v>41091</c:v>
                </c:pt>
                <c:pt idx="17">
                  <c:v>41122</c:v>
                </c:pt>
                <c:pt idx="18">
                  <c:v>41153</c:v>
                </c:pt>
                <c:pt idx="19">
                  <c:v>41183</c:v>
                </c:pt>
                <c:pt idx="20">
                  <c:v>41214</c:v>
                </c:pt>
                <c:pt idx="21">
                  <c:v>41244</c:v>
                </c:pt>
                <c:pt idx="22">
                  <c:v>41275</c:v>
                </c:pt>
                <c:pt idx="23">
                  <c:v>41306</c:v>
                </c:pt>
                <c:pt idx="24">
                  <c:v>41334</c:v>
                </c:pt>
                <c:pt idx="25">
                  <c:v>41365</c:v>
                </c:pt>
                <c:pt idx="26">
                  <c:v>41395</c:v>
                </c:pt>
                <c:pt idx="27">
                  <c:v>41426</c:v>
                </c:pt>
                <c:pt idx="28">
                  <c:v>41456</c:v>
                </c:pt>
                <c:pt idx="29">
                  <c:v>41487</c:v>
                </c:pt>
                <c:pt idx="30">
                  <c:v>41518</c:v>
                </c:pt>
                <c:pt idx="31">
                  <c:v>41548</c:v>
                </c:pt>
                <c:pt idx="32">
                  <c:v>41579</c:v>
                </c:pt>
                <c:pt idx="33">
                  <c:v>41609</c:v>
                </c:pt>
                <c:pt idx="34">
                  <c:v>41640</c:v>
                </c:pt>
                <c:pt idx="35">
                  <c:v>41671</c:v>
                </c:pt>
                <c:pt idx="36">
                  <c:v>41699</c:v>
                </c:pt>
                <c:pt idx="37">
                  <c:v>41730</c:v>
                </c:pt>
                <c:pt idx="38">
                  <c:v>41760</c:v>
                </c:pt>
                <c:pt idx="39">
                  <c:v>41791</c:v>
                </c:pt>
                <c:pt idx="40">
                  <c:v>41821</c:v>
                </c:pt>
                <c:pt idx="41">
                  <c:v>41852</c:v>
                </c:pt>
                <c:pt idx="42">
                  <c:v>41883</c:v>
                </c:pt>
                <c:pt idx="43">
                  <c:v>41913</c:v>
                </c:pt>
                <c:pt idx="44">
                  <c:v>41944</c:v>
                </c:pt>
                <c:pt idx="45">
                  <c:v>41974</c:v>
                </c:pt>
                <c:pt idx="46">
                  <c:v>42005</c:v>
                </c:pt>
                <c:pt idx="47">
                  <c:v>42036</c:v>
                </c:pt>
                <c:pt idx="48">
                  <c:v>42064</c:v>
                </c:pt>
                <c:pt idx="49">
                  <c:v>42095</c:v>
                </c:pt>
                <c:pt idx="50">
                  <c:v>42125</c:v>
                </c:pt>
                <c:pt idx="51">
                  <c:v>42156</c:v>
                </c:pt>
                <c:pt idx="52">
                  <c:v>42186</c:v>
                </c:pt>
                <c:pt idx="53">
                  <c:v>42217</c:v>
                </c:pt>
                <c:pt idx="54">
                  <c:v>42248</c:v>
                </c:pt>
                <c:pt idx="55">
                  <c:v>42278</c:v>
                </c:pt>
                <c:pt idx="56">
                  <c:v>42309</c:v>
                </c:pt>
                <c:pt idx="57">
                  <c:v>42339</c:v>
                </c:pt>
                <c:pt idx="58">
                  <c:v>42370</c:v>
                </c:pt>
                <c:pt idx="59">
                  <c:v>42401</c:v>
                </c:pt>
                <c:pt idx="60">
                  <c:v>42430</c:v>
                </c:pt>
                <c:pt idx="61">
                  <c:v>42461</c:v>
                </c:pt>
                <c:pt idx="62">
                  <c:v>42491</c:v>
                </c:pt>
                <c:pt idx="63">
                  <c:v>42522</c:v>
                </c:pt>
                <c:pt idx="64">
                  <c:v>42552</c:v>
                </c:pt>
                <c:pt idx="65">
                  <c:v>42583</c:v>
                </c:pt>
                <c:pt idx="66">
                  <c:v>42614</c:v>
                </c:pt>
                <c:pt idx="67">
                  <c:v>42644</c:v>
                </c:pt>
                <c:pt idx="68">
                  <c:v>42675</c:v>
                </c:pt>
                <c:pt idx="69">
                  <c:v>42705</c:v>
                </c:pt>
                <c:pt idx="70">
                  <c:v>42736</c:v>
                </c:pt>
                <c:pt idx="71">
                  <c:v>42767</c:v>
                </c:pt>
                <c:pt idx="72">
                  <c:v>42795</c:v>
                </c:pt>
                <c:pt idx="73">
                  <c:v>42826</c:v>
                </c:pt>
                <c:pt idx="74">
                  <c:v>42856</c:v>
                </c:pt>
                <c:pt idx="75">
                  <c:v>42887</c:v>
                </c:pt>
                <c:pt idx="76">
                  <c:v>42917</c:v>
                </c:pt>
                <c:pt idx="77">
                  <c:v>42948</c:v>
                </c:pt>
                <c:pt idx="78">
                  <c:v>42979</c:v>
                </c:pt>
                <c:pt idx="79">
                  <c:v>43009</c:v>
                </c:pt>
                <c:pt idx="80">
                  <c:v>43040</c:v>
                </c:pt>
                <c:pt idx="81">
                  <c:v>43070</c:v>
                </c:pt>
                <c:pt idx="82">
                  <c:v>43101</c:v>
                </c:pt>
                <c:pt idx="83">
                  <c:v>43132</c:v>
                </c:pt>
                <c:pt idx="84">
                  <c:v>43160</c:v>
                </c:pt>
                <c:pt idx="85">
                  <c:v>43191</c:v>
                </c:pt>
                <c:pt idx="86">
                  <c:v>43221</c:v>
                </c:pt>
                <c:pt idx="87">
                  <c:v>43252</c:v>
                </c:pt>
                <c:pt idx="88">
                  <c:v>43282</c:v>
                </c:pt>
                <c:pt idx="89">
                  <c:v>43313</c:v>
                </c:pt>
                <c:pt idx="90">
                  <c:v>43344</c:v>
                </c:pt>
                <c:pt idx="91">
                  <c:v>43374</c:v>
                </c:pt>
                <c:pt idx="92">
                  <c:v>43405</c:v>
                </c:pt>
                <c:pt idx="93">
                  <c:v>43435</c:v>
                </c:pt>
                <c:pt idx="94">
                  <c:v>43466</c:v>
                </c:pt>
                <c:pt idx="95">
                  <c:v>43497</c:v>
                </c:pt>
                <c:pt idx="96">
                  <c:v>43525</c:v>
                </c:pt>
                <c:pt idx="97">
                  <c:v>43556</c:v>
                </c:pt>
                <c:pt idx="98">
                  <c:v>43586</c:v>
                </c:pt>
                <c:pt idx="99">
                  <c:v>43617</c:v>
                </c:pt>
                <c:pt idx="100">
                  <c:v>43647</c:v>
                </c:pt>
                <c:pt idx="101">
                  <c:v>43678</c:v>
                </c:pt>
                <c:pt idx="102">
                  <c:v>43709</c:v>
                </c:pt>
                <c:pt idx="103">
                  <c:v>43739</c:v>
                </c:pt>
                <c:pt idx="104">
                  <c:v>43770</c:v>
                </c:pt>
                <c:pt idx="105">
                  <c:v>43800</c:v>
                </c:pt>
                <c:pt idx="106">
                  <c:v>43831</c:v>
                </c:pt>
                <c:pt idx="107">
                  <c:v>43862</c:v>
                </c:pt>
                <c:pt idx="108">
                  <c:v>43891</c:v>
                </c:pt>
                <c:pt idx="109">
                  <c:v>43922</c:v>
                </c:pt>
                <c:pt idx="110">
                  <c:v>43952</c:v>
                </c:pt>
                <c:pt idx="111">
                  <c:v>43983</c:v>
                </c:pt>
                <c:pt idx="112">
                  <c:v>44013</c:v>
                </c:pt>
                <c:pt idx="113">
                  <c:v>44044</c:v>
                </c:pt>
                <c:pt idx="114">
                  <c:v>44075</c:v>
                </c:pt>
                <c:pt idx="115">
                  <c:v>44105</c:v>
                </c:pt>
                <c:pt idx="116">
                  <c:v>44136</c:v>
                </c:pt>
                <c:pt idx="117">
                  <c:v>44166</c:v>
                </c:pt>
                <c:pt idx="118">
                  <c:v>44197</c:v>
                </c:pt>
                <c:pt idx="119">
                  <c:v>44228</c:v>
                </c:pt>
                <c:pt idx="120">
                  <c:v>44256</c:v>
                </c:pt>
                <c:pt idx="121">
                  <c:v>44287</c:v>
                </c:pt>
                <c:pt idx="122">
                  <c:v>44317</c:v>
                </c:pt>
                <c:pt idx="123">
                  <c:v>44348</c:v>
                </c:pt>
                <c:pt idx="124">
                  <c:v>44378</c:v>
                </c:pt>
                <c:pt idx="125">
                  <c:v>44409</c:v>
                </c:pt>
                <c:pt idx="126">
                  <c:v>44440</c:v>
                </c:pt>
                <c:pt idx="127">
                  <c:v>44470</c:v>
                </c:pt>
                <c:pt idx="128">
                  <c:v>44501</c:v>
                </c:pt>
                <c:pt idx="129">
                  <c:v>44531</c:v>
                </c:pt>
                <c:pt idx="130">
                  <c:v>44562</c:v>
                </c:pt>
                <c:pt idx="131">
                  <c:v>44593</c:v>
                </c:pt>
                <c:pt idx="132">
                  <c:v>44621</c:v>
                </c:pt>
                <c:pt idx="133">
                  <c:v>44652</c:v>
                </c:pt>
                <c:pt idx="134">
                  <c:v>44682</c:v>
                </c:pt>
                <c:pt idx="135">
                  <c:v>44713</c:v>
                </c:pt>
              </c:numCache>
            </c:numRef>
          </c:cat>
          <c:val>
            <c:numRef>
              <c:f>ISCOINTEGRATED!$L$16:$L$151</c:f>
              <c:numCache>
                <c:formatCode>0.0</c:formatCode>
                <c:ptCount val="136"/>
                <c:pt idx="0">
                  <c:v>0.9223026636246221</c:v>
                </c:pt>
                <c:pt idx="1">
                  <c:v>0.57059635041156831</c:v>
                </c:pt>
                <c:pt idx="2">
                  <c:v>0.81455652847435722</c:v>
                </c:pt>
                <c:pt idx="3">
                  <c:v>1.1864370626627174</c:v>
                </c:pt>
                <c:pt idx="4">
                  <c:v>1.1845316397635983</c:v>
                </c:pt>
                <c:pt idx="5">
                  <c:v>1.8182429307188048</c:v>
                </c:pt>
                <c:pt idx="6">
                  <c:v>1.3322279974923532</c:v>
                </c:pt>
                <c:pt idx="7">
                  <c:v>0.92235244104614011</c:v>
                </c:pt>
                <c:pt idx="8">
                  <c:v>1.2539591994161636</c:v>
                </c:pt>
                <c:pt idx="9">
                  <c:v>1.4255410690754307</c:v>
                </c:pt>
                <c:pt idx="10">
                  <c:v>0.44202888780628413</c:v>
                </c:pt>
                <c:pt idx="11">
                  <c:v>9.4058754259195965E-2</c:v>
                </c:pt>
                <c:pt idx="12">
                  <c:v>-0.23010053348965442</c:v>
                </c:pt>
                <c:pt idx="13">
                  <c:v>-0.23638924253444848</c:v>
                </c:pt>
                <c:pt idx="14">
                  <c:v>0.56281431872129595</c:v>
                </c:pt>
                <c:pt idx="15">
                  <c:v>0.67444596580207872</c:v>
                </c:pt>
                <c:pt idx="16">
                  <c:v>0.82615227901513322</c:v>
                </c:pt>
                <c:pt idx="17">
                  <c:v>0.99790836964970531</c:v>
                </c:pt>
                <c:pt idx="18">
                  <c:v>0.72978890383806583</c:v>
                </c:pt>
                <c:pt idx="19">
                  <c:v>1.0335001947932767</c:v>
                </c:pt>
                <c:pt idx="20">
                  <c:v>1.1433757512394847</c:v>
                </c:pt>
                <c:pt idx="21">
                  <c:v>2.0268381550871126</c:v>
                </c:pt>
                <c:pt idx="22">
                  <c:v>1.6170621534839329</c:v>
                </c:pt>
                <c:pt idx="23">
                  <c:v>1.3552313967170901</c:v>
                </c:pt>
                <c:pt idx="24">
                  <c:v>1.5851069531632991</c:v>
                </c:pt>
                <c:pt idx="25">
                  <c:v>1.7750571757417841</c:v>
                </c:pt>
                <c:pt idx="26">
                  <c:v>2.1429277544458412</c:v>
                </c:pt>
                <c:pt idx="27">
                  <c:v>2.3990671312260847</c:v>
                </c:pt>
                <c:pt idx="28">
                  <c:v>2.3852811741386049</c:v>
                </c:pt>
                <c:pt idx="29">
                  <c:v>2.4613707734973325</c:v>
                </c:pt>
                <c:pt idx="30">
                  <c:v>2.7914454396296069</c:v>
                </c:pt>
                <c:pt idx="31">
                  <c:v>2.8456296160892158</c:v>
                </c:pt>
                <c:pt idx="32">
                  <c:v>2.8617441041587028</c:v>
                </c:pt>
                <c:pt idx="33">
                  <c:v>3.5835748609255464</c:v>
                </c:pt>
                <c:pt idx="34">
                  <c:v>3.0780577019142523</c:v>
                </c:pt>
                <c:pt idx="35">
                  <c:v>2.9063264999904419</c:v>
                </c:pt>
                <c:pt idx="36">
                  <c:v>3.0064011661227124</c:v>
                </c:pt>
                <c:pt idx="37">
                  <c:v>3.3223414332168932</c:v>
                </c:pt>
                <c:pt idx="38">
                  <c:v>3.2084310325756231</c:v>
                </c:pt>
                <c:pt idx="39">
                  <c:v>3.3123663219276533</c:v>
                </c:pt>
                <c:pt idx="40">
                  <c:v>3.1204857877392929</c:v>
                </c:pt>
                <c:pt idx="41">
                  <c:v>3.1924409880599267</c:v>
                </c:pt>
                <c:pt idx="42">
                  <c:v>3.472266767084621</c:v>
                </c:pt>
                <c:pt idx="43">
                  <c:v>3.068530587418655</c:v>
                </c:pt>
                <c:pt idx="44">
                  <c:v>3.2345704093558663</c:v>
                </c:pt>
                <c:pt idx="45">
                  <c:v>4.0483314777325905</c:v>
                </c:pt>
                <c:pt idx="46">
                  <c:v>3.320933784532933</c:v>
                </c:pt>
                <c:pt idx="47">
                  <c:v>3.0752921819678516</c:v>
                </c:pt>
                <c:pt idx="48">
                  <c:v>3.3533867590687283</c:v>
                </c:pt>
                <c:pt idx="49">
                  <c:v>2.9576953790821321</c:v>
                </c:pt>
                <c:pt idx="50">
                  <c:v>2.9479940436112262</c:v>
                </c:pt>
                <c:pt idx="51">
                  <c:v>2.9622528862031086</c:v>
                </c:pt>
                <c:pt idx="52">
                  <c:v>2.4326511055752373</c:v>
                </c:pt>
                <c:pt idx="53">
                  <c:v>2.4928999926828173</c:v>
                </c:pt>
                <c:pt idx="54">
                  <c:v>2.0851538575325481</c:v>
                </c:pt>
                <c:pt idx="55">
                  <c:v>1.4535470991625257</c:v>
                </c:pt>
                <c:pt idx="56">
                  <c:v>1.2296864759427724</c:v>
                </c:pt>
                <c:pt idx="57">
                  <c:v>1.829313145281402</c:v>
                </c:pt>
                <c:pt idx="58">
                  <c:v>0.51013447273641255</c:v>
                </c:pt>
                <c:pt idx="59">
                  <c:v>0.11837838210184337</c:v>
                </c:pt>
                <c:pt idx="60">
                  <c:v>-3.3527040797279639E-2</c:v>
                </c:pt>
                <c:pt idx="61">
                  <c:v>-0.36931797562691138</c:v>
                </c:pt>
                <c:pt idx="62">
                  <c:v>-0.44926819820539343</c:v>
                </c:pt>
                <c:pt idx="63">
                  <c:v>-0.3293428643376668</c:v>
                </c:pt>
                <c:pt idx="64">
                  <c:v>-0.69711388819869491</c:v>
                </c:pt>
                <c:pt idx="65">
                  <c:v>-0.81703922206641799</c:v>
                </c:pt>
                <c:pt idx="66">
                  <c:v>-0.83302926658211796</c:v>
                </c:pt>
                <c:pt idx="67">
                  <c:v>-1.1568898898018745</c:v>
                </c:pt>
                <c:pt idx="68">
                  <c:v>-1.1549844669027518</c:v>
                </c:pt>
                <c:pt idx="69">
                  <c:v>-0.61347726337576169</c:v>
                </c:pt>
                <c:pt idx="70">
                  <c:v>-1.6771138881986953</c:v>
                </c:pt>
                <c:pt idx="71">
                  <c:v>-1.4194921966022171</c:v>
                </c:pt>
                <c:pt idx="72">
                  <c:v>-2.0415220630551243</c:v>
                </c:pt>
                <c:pt idx="73">
                  <c:v>-1.0824678340639302</c:v>
                </c:pt>
                <c:pt idx="74">
                  <c:v>-0.6590054302163022</c:v>
                </c:pt>
                <c:pt idx="75">
                  <c:v>-1.4831149405436381</c:v>
                </c:pt>
                <c:pt idx="76">
                  <c:v>-1.9669008976311186</c:v>
                </c:pt>
                <c:pt idx="77">
                  <c:v>-2.4431398292543935</c:v>
                </c:pt>
                <c:pt idx="78">
                  <c:v>-1.9479462234829565</c:v>
                </c:pt>
                <c:pt idx="79">
                  <c:v>-2.695692358633222</c:v>
                </c:pt>
                <c:pt idx="80">
                  <c:v>-2.8739611567094112</c:v>
                </c:pt>
                <c:pt idx="81">
                  <c:v>-2.2106231964155718</c:v>
                </c:pt>
                <c:pt idx="82">
                  <c:v>-2.7023792870501442</c:v>
                </c:pt>
                <c:pt idx="83">
                  <c:v>-3.3460905780053514</c:v>
                </c:pt>
                <c:pt idx="84">
                  <c:v>-2.9424290644716589</c:v>
                </c:pt>
                <c:pt idx="85">
                  <c:v>-2.9065634635097535</c:v>
                </c:pt>
                <c:pt idx="86">
                  <c:v>-2.1310463044984598</c:v>
                </c:pt>
                <c:pt idx="87">
                  <c:v>-1.8672105699894583</c:v>
                </c:pt>
                <c:pt idx="88">
                  <c:v>-1.7312951916060388</c:v>
                </c:pt>
                <c:pt idx="89">
                  <c:v>-1.699315102574646</c:v>
                </c:pt>
                <c:pt idx="90">
                  <c:v>-1.5873847909647676</c:v>
                </c:pt>
                <c:pt idx="91">
                  <c:v>-1.8192404364423691</c:v>
                </c:pt>
                <c:pt idx="92">
                  <c:v>-1.8112454141845209</c:v>
                </c:pt>
                <c:pt idx="93">
                  <c:v>-0.7638974984063811</c:v>
                </c:pt>
                <c:pt idx="94">
                  <c:v>-1.8832006145051547</c:v>
                </c:pt>
                <c:pt idx="95">
                  <c:v>-2.1390413267563044</c:v>
                </c:pt>
                <c:pt idx="96">
                  <c:v>-2.3549069277182131</c:v>
                </c:pt>
                <c:pt idx="97">
                  <c:v>-2.4108720835231505</c:v>
                </c:pt>
                <c:pt idx="98">
                  <c:v>-2.2829517273975757</c:v>
                </c:pt>
                <c:pt idx="99">
                  <c:v>-2.1950064825612454</c:v>
                </c:pt>
                <c:pt idx="100">
                  <c:v>-2.1070612377249116</c:v>
                </c:pt>
                <c:pt idx="101">
                  <c:v>-2.679016438045549</c:v>
                </c:pt>
                <c:pt idx="102">
                  <c:v>-2.237409679675527</c:v>
                </c:pt>
                <c:pt idx="103">
                  <c:v>-2.1756535890409543</c:v>
                </c:pt>
                <c:pt idx="104">
                  <c:v>-2.7276087893615912</c:v>
                </c:pt>
                <c:pt idx="105">
                  <c:v>-2.2381065635767499</c:v>
                </c:pt>
                <c:pt idx="106">
                  <c:v>-2.8358526987270185</c:v>
                </c:pt>
                <c:pt idx="107">
                  <c:v>-3.0138726096956221</c:v>
                </c:pt>
                <c:pt idx="108">
                  <c:v>-2.9580567861552316</c:v>
                </c:pt>
                <c:pt idx="109">
                  <c:v>-2.3306342042448187</c:v>
                </c:pt>
                <c:pt idx="110">
                  <c:v>-2.2750672678120072</c:v>
                </c:pt>
                <c:pt idx="111">
                  <c:v>-1.6417293075181707</c:v>
                </c:pt>
                <c:pt idx="112">
                  <c:v>-1.8878437955876568</c:v>
                </c:pt>
                <c:pt idx="113">
                  <c:v>-1.7380677939844786</c:v>
                </c:pt>
                <c:pt idx="114">
                  <c:v>-1.3383415698028167</c:v>
                </c:pt>
                <c:pt idx="115">
                  <c:v>-1.7940578385001751</c:v>
                </c:pt>
                <c:pt idx="116">
                  <c:v>-1.6901225491481466</c:v>
                </c:pt>
                <c:pt idx="117">
                  <c:v>-1.57019721528042</c:v>
                </c:pt>
                <c:pt idx="118">
                  <c:v>-2.9613310881460415</c:v>
                </c:pt>
                <c:pt idx="119">
                  <c:v>-2.72947544266844</c:v>
                </c:pt>
                <c:pt idx="120">
                  <c:v>-2.5273957987940148</c:v>
                </c:pt>
                <c:pt idx="121">
                  <c:v>-2.499151889428584</c:v>
                </c:pt>
                <c:pt idx="122">
                  <c:v>-1.4594007765361647</c:v>
                </c:pt>
                <c:pt idx="123">
                  <c:v>-1.0853410436303452</c:v>
                </c:pt>
                <c:pt idx="124">
                  <c:v>-0.99915188942858357</c:v>
                </c:pt>
                <c:pt idx="125">
                  <c:v>-0.67481838070442812</c:v>
                </c:pt>
                <c:pt idx="126">
                  <c:v>-0.64657447133900092</c:v>
                </c:pt>
                <c:pt idx="127">
                  <c:v>-0.92785767646917083</c:v>
                </c:pt>
                <c:pt idx="128">
                  <c:v>-0.37735990225400862</c:v>
                </c:pt>
                <c:pt idx="129">
                  <c:v>0.4927894300105411</c:v>
                </c:pt>
                <c:pt idx="130">
                  <c:v>7.529218196785159E-2</c:v>
                </c:pt>
                <c:pt idx="131">
                  <c:v>1.0874962693960644</c:v>
                </c:pt>
                <c:pt idx="132">
                  <c:v>0.99596417715831542</c:v>
                </c:pt>
                <c:pt idx="133">
                  <c:v>0.77641217395195916</c:v>
                </c:pt>
                <c:pt idx="134">
                  <c:v>1.6204221294362622</c:v>
                </c:pt>
                <c:pt idx="135">
                  <c:v>1.5686909275124528</c:v>
                </c:pt>
              </c:numCache>
            </c:numRef>
          </c:val>
          <c:smooth val="0"/>
          <c:extLst>
            <c:ext xmlns:c16="http://schemas.microsoft.com/office/drawing/2014/chart" uri="{C3380CC4-5D6E-409C-BE32-E72D297353CC}">
              <c16:uniqueId val="{00000000-CE11-471D-8E80-D533B133672B}"/>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Economic Indicators SA (%MoM)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GRANGER!$G$9</c:f>
              <c:strCache>
                <c:ptCount val="1"/>
                <c:pt idx="0">
                  <c:v>IBCBr</c:v>
                </c:pt>
              </c:strCache>
            </c:strRef>
          </c:tx>
          <c:spPr>
            <a:ln w="28575" cap="rnd">
              <a:solidFill>
                <a:schemeClr val="accent1"/>
              </a:solidFill>
              <a:round/>
            </a:ln>
            <a:effectLst/>
          </c:spPr>
          <c:marker>
            <c:symbol val="none"/>
          </c:marker>
          <c:cat>
            <c:numRef>
              <c:f>GRANGER!$F$10:$F$239</c:f>
              <c:numCache>
                <c:formatCode>[$-416]mmm\-yy;@</c:formatCode>
                <c:ptCount val="23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GRANGER!$G$10:$G$239</c:f>
              <c:numCache>
                <c:formatCode>0.0</c:formatCode>
                <c:ptCount val="230"/>
                <c:pt idx="0">
                  <c:v>#N/A</c:v>
                </c:pt>
                <c:pt idx="1">
                  <c:v>1.4932802389248383</c:v>
                </c:pt>
                <c:pt idx="2">
                  <c:v>7.8469838155957122E-2</c:v>
                </c:pt>
                <c:pt idx="3">
                  <c:v>-1.087915319023816</c:v>
                </c:pt>
                <c:pt idx="4">
                  <c:v>-1.0206103844629422</c:v>
                </c:pt>
                <c:pt idx="5">
                  <c:v>0.39042947241966219</c:v>
                </c:pt>
                <c:pt idx="6">
                  <c:v>-1.2066214599122538</c:v>
                </c:pt>
                <c:pt idx="7">
                  <c:v>0.66619561925912074</c:v>
                </c:pt>
                <c:pt idx="8">
                  <c:v>1.9853604732778398</c:v>
                </c:pt>
                <c:pt idx="9">
                  <c:v>0.16714187395536498</c:v>
                </c:pt>
                <c:pt idx="10">
                  <c:v>8.8339222614844337E-2</c:v>
                </c:pt>
                <c:pt idx="11">
                  <c:v>-0.38246543100912089</c:v>
                </c:pt>
                <c:pt idx="12">
                  <c:v>1.9590470565071814</c:v>
                </c:pt>
                <c:pt idx="13">
                  <c:v>0.88828811431881993</c:v>
                </c:pt>
                <c:pt idx="14">
                  <c:v>1.4259737773949748</c:v>
                </c:pt>
                <c:pt idx="15">
                  <c:v>0.40573693149650175</c:v>
                </c:pt>
                <c:pt idx="16">
                  <c:v>2.8192839018890269E-2</c:v>
                </c:pt>
                <c:pt idx="17">
                  <c:v>0.73280721533258286</c:v>
                </c:pt>
                <c:pt idx="18">
                  <c:v>0.55959709009512615</c:v>
                </c:pt>
                <c:pt idx="19">
                  <c:v>0.34316453348173304</c:v>
                </c:pt>
                <c:pt idx="20">
                  <c:v>1.1738608004436604</c:v>
                </c:pt>
                <c:pt idx="21">
                  <c:v>-0.66691028686277165</c:v>
                </c:pt>
                <c:pt idx="22">
                  <c:v>0.81854134093626474</c:v>
                </c:pt>
                <c:pt idx="23">
                  <c:v>-0.75716110198868658</c:v>
                </c:pt>
                <c:pt idx="24">
                  <c:v>0.76293777001562491</c:v>
                </c:pt>
                <c:pt idx="25">
                  <c:v>0.47436599160736725</c:v>
                </c:pt>
                <c:pt idx="26">
                  <c:v>0.26330125295079559</c:v>
                </c:pt>
                <c:pt idx="27">
                  <c:v>0.47088653445621304</c:v>
                </c:pt>
                <c:pt idx="28">
                  <c:v>3.6052275799902694E-2</c:v>
                </c:pt>
                <c:pt idx="29">
                  <c:v>-0.32435354536444677</c:v>
                </c:pt>
                <c:pt idx="30">
                  <c:v>0</c:v>
                </c:pt>
                <c:pt idx="31">
                  <c:v>0.59658320527886721</c:v>
                </c:pt>
                <c:pt idx="32">
                  <c:v>-0.38637793153024241</c:v>
                </c:pt>
                <c:pt idx="33">
                  <c:v>0.17138733537795212</c:v>
                </c:pt>
                <c:pt idx="34">
                  <c:v>0.68437640702386771</c:v>
                </c:pt>
                <c:pt idx="35">
                  <c:v>0.4561309364099731</c:v>
                </c:pt>
                <c:pt idx="36">
                  <c:v>0.94373219373219586</c:v>
                </c:pt>
                <c:pt idx="37">
                  <c:v>0.20285764685130003</c:v>
                </c:pt>
                <c:pt idx="38">
                  <c:v>-5.281225244256868E-2</c:v>
                </c:pt>
                <c:pt idx="39">
                  <c:v>0.59885512989872902</c:v>
                </c:pt>
                <c:pt idx="40">
                  <c:v>1.2518602818874136</c:v>
                </c:pt>
                <c:pt idx="41">
                  <c:v>-0.81272695832612629</c:v>
                </c:pt>
                <c:pt idx="42">
                  <c:v>1.9351464435146435</c:v>
                </c:pt>
                <c:pt idx="43">
                  <c:v>-0.27364460407045765</c:v>
                </c:pt>
                <c:pt idx="44">
                  <c:v>0.17149717029668035</c:v>
                </c:pt>
                <c:pt idx="45">
                  <c:v>1.0700222564629345</c:v>
                </c:pt>
                <c:pt idx="46">
                  <c:v>0.67756415685611193</c:v>
                </c:pt>
                <c:pt idx="47">
                  <c:v>0.84125515268781026</c:v>
                </c:pt>
                <c:pt idx="48">
                  <c:v>-0.17518978893802281</c:v>
                </c:pt>
                <c:pt idx="49">
                  <c:v>0.42620758816647591</c:v>
                </c:pt>
                <c:pt idx="50">
                  <c:v>-0.64075892485645003</c:v>
                </c:pt>
                <c:pt idx="51">
                  <c:v>1.490787269681743</c:v>
                </c:pt>
                <c:pt idx="52">
                  <c:v>0.99026241954116889</c:v>
                </c:pt>
                <c:pt idx="53">
                  <c:v>0.84164079097891908</c:v>
                </c:pt>
                <c:pt idx="54">
                  <c:v>0.66445182724253093</c:v>
                </c:pt>
                <c:pt idx="55">
                  <c:v>8.854543990984419E-2</c:v>
                </c:pt>
                <c:pt idx="56">
                  <c:v>0.81228888531445309</c:v>
                </c:pt>
                <c:pt idx="57">
                  <c:v>0.77383326685281129</c:v>
                </c:pt>
                <c:pt idx="58">
                  <c:v>-0.11874604179859997</c:v>
                </c:pt>
                <c:pt idx="59">
                  <c:v>0.62613933581674885</c:v>
                </c:pt>
                <c:pt idx="60">
                  <c:v>0.20478890989288367</c:v>
                </c:pt>
                <c:pt idx="61">
                  <c:v>-0.30655557302311004</c:v>
                </c:pt>
                <c:pt idx="62">
                  <c:v>-0.30749822597177368</c:v>
                </c:pt>
                <c:pt idx="63">
                  <c:v>0.99652008857956753</c:v>
                </c:pt>
                <c:pt idx="64">
                  <c:v>1.3312451057165253</c:v>
                </c:pt>
                <c:pt idx="65">
                  <c:v>1.3833075734157589</c:v>
                </c:pt>
                <c:pt idx="66">
                  <c:v>-0.1981858373351558</c:v>
                </c:pt>
                <c:pt idx="67">
                  <c:v>4.5826013900559286E-2</c:v>
                </c:pt>
                <c:pt idx="68">
                  <c:v>-4.5805023284221903E-2</c:v>
                </c:pt>
                <c:pt idx="69">
                  <c:v>-2.0927213014588015</c:v>
                </c:pt>
                <c:pt idx="70">
                  <c:v>-2.5274982447928815</c:v>
                </c:pt>
                <c:pt idx="71">
                  <c:v>-3.2172869147659031</c:v>
                </c:pt>
                <c:pt idx="72">
                  <c:v>-9.0961713387921639E-2</c:v>
                </c:pt>
                <c:pt idx="73">
                  <c:v>1.1339182254593647</c:v>
                </c:pt>
                <c:pt idx="74">
                  <c:v>0.63835011048367385</c:v>
                </c:pt>
                <c:pt idx="75">
                  <c:v>0.5448483369927638</c:v>
                </c:pt>
                <c:pt idx="76">
                  <c:v>0.9948236816564251</c:v>
                </c:pt>
                <c:pt idx="77">
                  <c:v>0.84888283815167964</c:v>
                </c:pt>
                <c:pt idx="78">
                  <c:v>0.28587310410545491</c:v>
                </c:pt>
                <c:pt idx="79">
                  <c:v>1.4252909969118672</c:v>
                </c:pt>
                <c:pt idx="80">
                  <c:v>0.80412210164728015</c:v>
                </c:pt>
                <c:pt idx="81">
                  <c:v>0.51889714993803238</c:v>
                </c:pt>
                <c:pt idx="82">
                  <c:v>0.17720933816165976</c:v>
                </c:pt>
                <c:pt idx="83">
                  <c:v>0.98446392862636589</c:v>
                </c:pt>
                <c:pt idx="84">
                  <c:v>1.6527037319116429</c:v>
                </c:pt>
                <c:pt idx="85">
                  <c:v>1.2736944631752369</c:v>
                </c:pt>
                <c:pt idx="86">
                  <c:v>1.0505289635274218</c:v>
                </c:pt>
                <c:pt idx="87">
                  <c:v>0.33677428801523385</c:v>
                </c:pt>
                <c:pt idx="88">
                  <c:v>-0.40860999635169809</c:v>
                </c:pt>
                <c:pt idx="89">
                  <c:v>-0.19049014579824111</c:v>
                </c:pt>
                <c:pt idx="90">
                  <c:v>0.51383689348896511</c:v>
                </c:pt>
                <c:pt idx="91">
                  <c:v>0.54042211348862979</c:v>
                </c:pt>
                <c:pt idx="92">
                  <c:v>1.2638919154499959</c:v>
                </c:pt>
                <c:pt idx="93">
                  <c:v>-0.49494297396169407</c:v>
                </c:pt>
                <c:pt idx="94">
                  <c:v>0.98760092272203326</c:v>
                </c:pt>
                <c:pt idx="95">
                  <c:v>-1.2848882861017996</c:v>
                </c:pt>
                <c:pt idx="96">
                  <c:v>1.3377684575891202</c:v>
                </c:pt>
                <c:pt idx="97">
                  <c:v>0.41387184244328001</c:v>
                </c:pt>
                <c:pt idx="98">
                  <c:v>0.27003979533825717</c:v>
                </c:pt>
                <c:pt idx="99">
                  <c:v>-0.18426647767540105</c:v>
                </c:pt>
                <c:pt idx="100">
                  <c:v>0.30531099119568789</c:v>
                </c:pt>
                <c:pt idx="101">
                  <c:v>0.67247115452678463</c:v>
                </c:pt>
                <c:pt idx="102">
                  <c:v>2.1094079594994472E-2</c:v>
                </c:pt>
                <c:pt idx="103">
                  <c:v>-0.20386643233742852</c:v>
                </c:pt>
                <c:pt idx="104">
                  <c:v>-0.11975204282897711</c:v>
                </c:pt>
                <c:pt idx="105">
                  <c:v>-0.14810635446786061</c:v>
                </c:pt>
                <c:pt idx="106">
                  <c:v>0.47323068229975102</c:v>
                </c:pt>
                <c:pt idx="107">
                  <c:v>-1.2653778558875299</c:v>
                </c:pt>
                <c:pt idx="108">
                  <c:v>-1.1249555001779881</c:v>
                </c:pt>
                <c:pt idx="109">
                  <c:v>1.1665586519766722</c:v>
                </c:pt>
                <c:pt idx="110">
                  <c:v>-0.30607160652004184</c:v>
                </c:pt>
                <c:pt idx="111">
                  <c:v>0.69970012851634289</c:v>
                </c:pt>
                <c:pt idx="112">
                  <c:v>1.1557005104934739</c:v>
                </c:pt>
                <c:pt idx="113">
                  <c:v>0.62381720053270828</c:v>
                </c:pt>
                <c:pt idx="114">
                  <c:v>0.32738924491501731</c:v>
                </c:pt>
                <c:pt idx="115">
                  <c:v>0.22217593556897397</c:v>
                </c:pt>
                <c:pt idx="116">
                  <c:v>-0.44336681676479833</c:v>
                </c:pt>
                <c:pt idx="117">
                  <c:v>0.80022267065618657</c:v>
                </c:pt>
                <c:pt idx="118">
                  <c:v>-0.19329007317409991</c:v>
                </c:pt>
                <c:pt idx="119">
                  <c:v>-0.29049661087288414</c:v>
                </c:pt>
                <c:pt idx="120">
                  <c:v>0.57574916759157369</c:v>
                </c:pt>
                <c:pt idx="121">
                  <c:v>-0.84143734050624097</c:v>
                </c:pt>
                <c:pt idx="122">
                  <c:v>0.82075537316545744</c:v>
                </c:pt>
                <c:pt idx="123">
                  <c:v>0.88996205588135258</c:v>
                </c:pt>
                <c:pt idx="124">
                  <c:v>0.40344638949672007</c:v>
                </c:pt>
                <c:pt idx="125">
                  <c:v>-0.32690866989036171</c:v>
                </c:pt>
                <c:pt idx="126">
                  <c:v>0.57396651861974957</c:v>
                </c:pt>
                <c:pt idx="127">
                  <c:v>-5.4351518445535763E-2</c:v>
                </c:pt>
                <c:pt idx="128">
                  <c:v>0.70015634559171547</c:v>
                </c:pt>
                <c:pt idx="129">
                  <c:v>-0.10125556905628277</c:v>
                </c:pt>
                <c:pt idx="130">
                  <c:v>0.23650246638285988</c:v>
                </c:pt>
                <c:pt idx="131">
                  <c:v>0.1820142914925241</c:v>
                </c:pt>
                <c:pt idx="132">
                  <c:v>-0.22878675728416889</c:v>
                </c:pt>
                <c:pt idx="133">
                  <c:v>-0.28326701288191536</c:v>
                </c:pt>
                <c:pt idx="134">
                  <c:v>2.7054447074732528E-2</c:v>
                </c:pt>
                <c:pt idx="135">
                  <c:v>-0.68294002299005407</c:v>
                </c:pt>
                <c:pt idx="136">
                  <c:v>-0.39488017429192818</c:v>
                </c:pt>
                <c:pt idx="137">
                  <c:v>-1.8386876281613107</c:v>
                </c:pt>
                <c:pt idx="138">
                  <c:v>0.83559640693544224</c:v>
                </c:pt>
                <c:pt idx="139">
                  <c:v>0.53173123403080602</c:v>
                </c:pt>
                <c:pt idx="140">
                  <c:v>0.45335897788157475</c:v>
                </c:pt>
                <c:pt idx="141">
                  <c:v>-0.56072210065646988</c:v>
                </c:pt>
                <c:pt idx="142">
                  <c:v>9.6272864805401454E-2</c:v>
                </c:pt>
                <c:pt idx="143">
                  <c:v>0.44655125034350485</c:v>
                </c:pt>
                <c:pt idx="144">
                  <c:v>-0.85493468299021946</c:v>
                </c:pt>
                <c:pt idx="145">
                  <c:v>-0.6760485651214253</c:v>
                </c:pt>
                <c:pt idx="146">
                  <c:v>-0.17363522711487708</c:v>
                </c:pt>
                <c:pt idx="147">
                  <c:v>-0.93926111458985206</c:v>
                </c:pt>
                <c:pt idx="148">
                  <c:v>-0.91304958561594529</c:v>
                </c:pt>
                <c:pt idx="149">
                  <c:v>-1.0632265381343917</c:v>
                </c:pt>
                <c:pt idx="150">
                  <c:v>-0.65195586760282631</c:v>
                </c:pt>
                <c:pt idx="151">
                  <c:v>0.18749549289681933</c:v>
                </c:pt>
                <c:pt idx="152">
                  <c:v>-0.97891024256820969</c:v>
                </c:pt>
                <c:pt idx="153">
                  <c:v>0.68328850766882154</c:v>
                </c:pt>
                <c:pt idx="154">
                  <c:v>-1.3212042451808419</c:v>
                </c:pt>
                <c:pt idx="155">
                  <c:v>-0.27070529704419416</c:v>
                </c:pt>
                <c:pt idx="156">
                  <c:v>-0.57956129410901036</c:v>
                </c:pt>
                <c:pt idx="157">
                  <c:v>-7.3789846517261851E-3</c:v>
                </c:pt>
                <c:pt idx="158">
                  <c:v>-0.66415762674339707</c:v>
                </c:pt>
                <c:pt idx="159">
                  <c:v>8.9146422999759389E-2</c:v>
                </c:pt>
                <c:pt idx="160">
                  <c:v>-0.32657908409411252</c:v>
                </c:pt>
                <c:pt idx="161">
                  <c:v>0.40956139697670069</c:v>
                </c:pt>
                <c:pt idx="162">
                  <c:v>-0.1705725304064</c:v>
                </c:pt>
                <c:pt idx="163">
                  <c:v>-0.45316098358221046</c:v>
                </c:pt>
                <c:pt idx="164">
                  <c:v>-0.18656716417910446</c:v>
                </c:pt>
                <c:pt idx="165">
                  <c:v>-0.33644859813083261</c:v>
                </c:pt>
                <c:pt idx="166">
                  <c:v>-0.21005251312828291</c:v>
                </c:pt>
                <c:pt idx="167">
                  <c:v>-0.49616599007667755</c:v>
                </c:pt>
                <c:pt idx="168">
                  <c:v>0.76307041402235631</c:v>
                </c:pt>
                <c:pt idx="169">
                  <c:v>1.5220814276074088</c:v>
                </c:pt>
                <c:pt idx="170">
                  <c:v>0.18463810930576069</c:v>
                </c:pt>
                <c:pt idx="171">
                  <c:v>8.8462956137120935E-2</c:v>
                </c:pt>
                <c:pt idx="172">
                  <c:v>-0.44192384179128136</c:v>
                </c:pt>
                <c:pt idx="173">
                  <c:v>0.6436339424428531</c:v>
                </c:pt>
                <c:pt idx="174">
                  <c:v>0.33078506321671353</c:v>
                </c:pt>
                <c:pt idx="175">
                  <c:v>-0.49820499670306012</c:v>
                </c:pt>
                <c:pt idx="176">
                  <c:v>-0.23562329725351092</c:v>
                </c:pt>
                <c:pt idx="177">
                  <c:v>0.20665731788323946</c:v>
                </c:pt>
                <c:pt idx="178">
                  <c:v>-0.14730794726376742</c:v>
                </c:pt>
                <c:pt idx="179">
                  <c:v>1.3719849524231127</c:v>
                </c:pt>
                <c:pt idx="180">
                  <c:v>-0.42203303499964523</c:v>
                </c:pt>
                <c:pt idx="181">
                  <c:v>-0.15345268542200072</c:v>
                </c:pt>
                <c:pt idx="182">
                  <c:v>0.45374707259953501</c:v>
                </c:pt>
                <c:pt idx="183">
                  <c:v>0.80139880518725248</c:v>
                </c:pt>
                <c:pt idx="184">
                  <c:v>-3.592078635443789</c:v>
                </c:pt>
                <c:pt idx="185">
                  <c:v>3.0362096109153698</c:v>
                </c:pt>
                <c:pt idx="186">
                  <c:v>0.43655413271245225</c:v>
                </c:pt>
                <c:pt idx="187">
                  <c:v>0.92726745870762195</c:v>
                </c:pt>
                <c:pt idx="188">
                  <c:v>-0.95463680734997425</c:v>
                </c:pt>
                <c:pt idx="189">
                  <c:v>5.0728313645911426E-2</c:v>
                </c:pt>
                <c:pt idx="190">
                  <c:v>-0.14486455164420442</c:v>
                </c:pt>
                <c:pt idx="191">
                  <c:v>0.48600029014941781</c:v>
                </c:pt>
                <c:pt idx="192">
                  <c:v>-3.6093264996759813E-2</c:v>
                </c:pt>
                <c:pt idx="193">
                  <c:v>-0.79433853264008847</c:v>
                </c:pt>
                <c:pt idx="194">
                  <c:v>0.75702431212694132</c:v>
                </c:pt>
                <c:pt idx="195">
                  <c:v>-0.23840485478975876</c:v>
                </c:pt>
                <c:pt idx="196">
                  <c:v>0.63002389745818277</c:v>
                </c:pt>
                <c:pt idx="197">
                  <c:v>2.1588946459413599E-2</c:v>
                </c:pt>
                <c:pt idx="198">
                  <c:v>-0.30937477516368572</c:v>
                </c:pt>
                <c:pt idx="199">
                  <c:v>2.1651270207853013E-2</c:v>
                </c:pt>
                <c:pt idx="200">
                  <c:v>0.36077639079298651</c:v>
                </c:pt>
                <c:pt idx="201">
                  <c:v>0.6254942842763711</c:v>
                </c:pt>
                <c:pt idx="202">
                  <c:v>-0.83595312946557288</c:v>
                </c:pt>
                <c:pt idx="203">
                  <c:v>-0.50435910368181325</c:v>
                </c:pt>
                <c:pt idx="204">
                  <c:v>0.53588239553914774</c:v>
                </c:pt>
                <c:pt idx="205">
                  <c:v>0.38176186703162218</c:v>
                </c:pt>
                <c:pt idx="206">
                  <c:v>-5.1880022962112635</c:v>
                </c:pt>
                <c:pt idx="207">
                  <c:v>-9.9523196851585496</c:v>
                </c:pt>
                <c:pt idx="208">
                  <c:v>2.0927887039838584</c:v>
                </c:pt>
                <c:pt idx="209">
                  <c:v>5.0629785132131433</c:v>
                </c:pt>
                <c:pt idx="210">
                  <c:v>3.2440056417489318</c:v>
                </c:pt>
                <c:pt idx="211">
                  <c:v>2.0795385549483982</c:v>
                </c:pt>
                <c:pt idx="212">
                  <c:v>1.442379182156132</c:v>
                </c:pt>
                <c:pt idx="213">
                  <c:v>1.4072119613016827</c:v>
                </c:pt>
                <c:pt idx="214">
                  <c:v>-0.33246603064470071</c:v>
                </c:pt>
                <c:pt idx="215">
                  <c:v>0.21029731689629588</c:v>
                </c:pt>
                <c:pt idx="216">
                  <c:v>0.59338591793906448</c:v>
                </c:pt>
                <c:pt idx="217">
                  <c:v>1.5034889576289501</c:v>
                </c:pt>
                <c:pt idx="218">
                  <c:v>-1.5946137491141037</c:v>
                </c:pt>
                <c:pt idx="219">
                  <c:v>0.27367662945624449</c:v>
                </c:pt>
                <c:pt idx="220">
                  <c:v>3.5911800617691135E-2</c:v>
                </c:pt>
                <c:pt idx="221">
                  <c:v>0.17949454336588169</c:v>
                </c:pt>
                <c:pt idx="222">
                  <c:v>-0.12183759764924208</c:v>
                </c:pt>
                <c:pt idx="223">
                  <c:v>0.10045924225027722</c:v>
                </c:pt>
                <c:pt idx="224">
                  <c:v>-0.57347670250896876</c:v>
                </c:pt>
                <c:pt idx="225">
                  <c:v>5.0468637346807219E-2</c:v>
                </c:pt>
                <c:pt idx="226">
                  <c:v>0.45398861425379794</c:v>
                </c:pt>
                <c:pt idx="227">
                  <c:v>0.32281205164992011</c:v>
                </c:pt>
                <c:pt idx="228">
                  <c:v>-0.72935287808364813</c:v>
                </c:pt>
                <c:pt idx="229">
                  <c:v>0.33854354246200308</c:v>
                </c:pt>
              </c:numCache>
            </c:numRef>
          </c:val>
          <c:smooth val="0"/>
          <c:extLst>
            <c:ext xmlns:c16="http://schemas.microsoft.com/office/drawing/2014/chart" uri="{C3380CC4-5D6E-409C-BE32-E72D297353CC}">
              <c16:uniqueId val="{00000000-27D6-4B93-B8B4-5D3D28D9E8E2}"/>
            </c:ext>
          </c:extLst>
        </c:ser>
        <c:ser>
          <c:idx val="1"/>
          <c:order val="1"/>
          <c:tx>
            <c:strRef>
              <c:f>GRANGER!$H$9</c:f>
              <c:strCache>
                <c:ptCount val="1"/>
                <c:pt idx="0">
                  <c:v>IndProd</c:v>
                </c:pt>
              </c:strCache>
            </c:strRef>
          </c:tx>
          <c:spPr>
            <a:ln w="28575" cap="rnd">
              <a:solidFill>
                <a:schemeClr val="accent2"/>
              </a:solidFill>
              <a:round/>
            </a:ln>
            <a:effectLst/>
          </c:spPr>
          <c:marker>
            <c:symbol val="none"/>
          </c:marker>
          <c:cat>
            <c:numRef>
              <c:f>GRANGER!$F$10:$F$239</c:f>
              <c:numCache>
                <c:formatCode>[$-416]mmm\-yy;@</c:formatCode>
                <c:ptCount val="23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GRANGER!$H$10:$H$239</c:f>
              <c:numCache>
                <c:formatCode>0.0</c:formatCode>
                <c:ptCount val="230"/>
                <c:pt idx="0">
                  <c:v>0.12547051442910201</c:v>
                </c:pt>
                <c:pt idx="1">
                  <c:v>-0.37593984962405663</c:v>
                </c:pt>
                <c:pt idx="2">
                  <c:v>-0.12578616352200545</c:v>
                </c:pt>
                <c:pt idx="3">
                  <c:v>-0.12594458438288228</c:v>
                </c:pt>
                <c:pt idx="4">
                  <c:v>-1.5132408575031562</c:v>
                </c:pt>
                <c:pt idx="5">
                  <c:v>0.38412291933420156</c:v>
                </c:pt>
                <c:pt idx="6">
                  <c:v>-0.89285714285714646</c:v>
                </c:pt>
                <c:pt idx="7">
                  <c:v>1.544401544401548</c:v>
                </c:pt>
                <c:pt idx="8">
                  <c:v>2.9150823827629875</c:v>
                </c:pt>
                <c:pt idx="9">
                  <c:v>0.2463054187192153</c:v>
                </c:pt>
                <c:pt idx="10">
                  <c:v>1.3513513513513442</c:v>
                </c:pt>
                <c:pt idx="11">
                  <c:v>-1.5757575757575724</c:v>
                </c:pt>
                <c:pt idx="12">
                  <c:v>1.8472906403940885</c:v>
                </c:pt>
                <c:pt idx="13">
                  <c:v>1.5719467956469131</c:v>
                </c:pt>
                <c:pt idx="14">
                  <c:v>0.47619047619048299</c:v>
                </c:pt>
                <c:pt idx="15">
                  <c:v>0.82938388625591075</c:v>
                </c:pt>
                <c:pt idx="16">
                  <c:v>1.0575793184488904</c:v>
                </c:pt>
                <c:pt idx="17">
                  <c:v>0.23255813953488702</c:v>
                </c:pt>
                <c:pt idx="18">
                  <c:v>0.69605568445474975</c:v>
                </c:pt>
                <c:pt idx="19">
                  <c:v>1.0368663594470111</c:v>
                </c:pt>
                <c:pt idx="20">
                  <c:v>0.5701254275940707</c:v>
                </c:pt>
                <c:pt idx="21">
                  <c:v>-0.68027210884354705</c:v>
                </c:pt>
                <c:pt idx="22">
                  <c:v>0</c:v>
                </c:pt>
                <c:pt idx="23">
                  <c:v>0.57077625570776258</c:v>
                </c:pt>
                <c:pt idx="24">
                  <c:v>0.56753688989784346</c:v>
                </c:pt>
                <c:pt idx="25">
                  <c:v>-1.3544018058690619</c:v>
                </c:pt>
                <c:pt idx="26">
                  <c:v>0.91533180778031709</c:v>
                </c:pt>
                <c:pt idx="27">
                  <c:v>0.11337868480724977</c:v>
                </c:pt>
                <c:pt idx="28">
                  <c:v>3.171007927519816</c:v>
                </c:pt>
                <c:pt idx="29">
                  <c:v>-1.7563117453347907</c:v>
                </c:pt>
                <c:pt idx="30">
                  <c:v>-0.6703910614525076</c:v>
                </c:pt>
                <c:pt idx="31">
                  <c:v>0.11248593925758639</c:v>
                </c:pt>
                <c:pt idx="32">
                  <c:v>-0.5617977528089888</c:v>
                </c:pt>
                <c:pt idx="33">
                  <c:v>-0.67796610169490878</c:v>
                </c:pt>
                <c:pt idx="34">
                  <c:v>1.0238907849829255</c:v>
                </c:pt>
                <c:pt idx="35">
                  <c:v>1.6891891891891893</c:v>
                </c:pt>
                <c:pt idx="36">
                  <c:v>0.33222591362125931</c:v>
                </c:pt>
                <c:pt idx="37">
                  <c:v>0.88300220750553138</c:v>
                </c:pt>
                <c:pt idx="38">
                  <c:v>-0.65645514223195678</c:v>
                </c:pt>
                <c:pt idx="39">
                  <c:v>0.55066079295154191</c:v>
                </c:pt>
                <c:pt idx="40">
                  <c:v>0.65717415115006417</c:v>
                </c:pt>
                <c:pt idx="41">
                  <c:v>-1.4145810663765084</c:v>
                </c:pt>
                <c:pt idx="42">
                  <c:v>0.88300220750553138</c:v>
                </c:pt>
                <c:pt idx="43">
                  <c:v>-0.10940919037200057</c:v>
                </c:pt>
                <c:pt idx="44">
                  <c:v>-0.76670317634173368</c:v>
                </c:pt>
                <c:pt idx="45">
                  <c:v>0.44150110375276569</c:v>
                </c:pt>
                <c:pt idx="46">
                  <c:v>1.3186813186813218</c:v>
                </c:pt>
                <c:pt idx="47">
                  <c:v>0.86767895878524637</c:v>
                </c:pt>
                <c:pt idx="48">
                  <c:v>-0.32258064516128726</c:v>
                </c:pt>
                <c:pt idx="49">
                  <c:v>1.2944983818770257</c:v>
                </c:pt>
                <c:pt idx="50">
                  <c:v>1.2779552715654829</c:v>
                </c:pt>
                <c:pt idx="51">
                  <c:v>0.94637223974764018</c:v>
                </c:pt>
                <c:pt idx="52">
                  <c:v>0.312499999999997</c:v>
                </c:pt>
                <c:pt idx="53">
                  <c:v>0.62305295950156647</c:v>
                </c:pt>
                <c:pt idx="54">
                  <c:v>-0.41279669762642485</c:v>
                </c:pt>
                <c:pt idx="55">
                  <c:v>1.3471502590673545</c:v>
                </c:pt>
                <c:pt idx="56">
                  <c:v>-0.5112474437627812</c:v>
                </c:pt>
                <c:pt idx="57">
                  <c:v>2.2610483042137748</c:v>
                </c:pt>
                <c:pt idx="58">
                  <c:v>-0.90452261306533233</c:v>
                </c:pt>
                <c:pt idx="59">
                  <c:v>0.30425963488844965</c:v>
                </c:pt>
                <c:pt idx="60">
                  <c:v>1.6177957532861418</c:v>
                </c:pt>
                <c:pt idx="61">
                  <c:v>-0.29850746268656436</c:v>
                </c:pt>
                <c:pt idx="62">
                  <c:v>0.39920159680637868</c:v>
                </c:pt>
                <c:pt idx="63">
                  <c:v>0</c:v>
                </c:pt>
                <c:pt idx="64">
                  <c:v>0.59642147117297073</c:v>
                </c:pt>
                <c:pt idx="65">
                  <c:v>1.5810276679841841</c:v>
                </c:pt>
                <c:pt idx="66">
                  <c:v>0.29182879377431631</c:v>
                </c:pt>
                <c:pt idx="67">
                  <c:v>-1.0669253152279286</c:v>
                </c:pt>
                <c:pt idx="68">
                  <c:v>1.2745098039215659</c:v>
                </c:pt>
                <c:pt idx="69">
                  <c:v>-3.0977734753146207</c:v>
                </c:pt>
                <c:pt idx="70">
                  <c:v>-5.6943056943056831</c:v>
                </c:pt>
                <c:pt idx="71">
                  <c:v>-11.228813559322044</c:v>
                </c:pt>
                <c:pt idx="72">
                  <c:v>2.0286396181384285</c:v>
                </c:pt>
                <c:pt idx="73">
                  <c:v>2.4561403508771864</c:v>
                </c:pt>
                <c:pt idx="74">
                  <c:v>0.45662100456621652</c:v>
                </c:pt>
                <c:pt idx="75">
                  <c:v>1.2499999999999936</c:v>
                </c:pt>
                <c:pt idx="76">
                  <c:v>1.4590347923681386</c:v>
                </c:pt>
                <c:pt idx="77">
                  <c:v>1.1061946902654867</c:v>
                </c:pt>
                <c:pt idx="78">
                  <c:v>1.3129102844638825</c:v>
                </c:pt>
                <c:pt idx="79">
                  <c:v>1.6198704103671708</c:v>
                </c:pt>
                <c:pt idx="80">
                  <c:v>1.5940488841657812</c:v>
                </c:pt>
                <c:pt idx="81">
                  <c:v>1.8828451882845307</c:v>
                </c:pt>
                <c:pt idx="82">
                  <c:v>1.4373716632443443</c:v>
                </c:pt>
                <c:pt idx="83">
                  <c:v>0.30364372469635342</c:v>
                </c:pt>
                <c:pt idx="84">
                  <c:v>1.6145307769929451</c:v>
                </c:pt>
                <c:pt idx="85">
                  <c:v>-0.19860973187686479</c:v>
                </c:pt>
                <c:pt idx="86">
                  <c:v>2.1890547263681621</c:v>
                </c:pt>
                <c:pt idx="87">
                  <c:v>0.38948393378772295</c:v>
                </c:pt>
                <c:pt idx="88">
                  <c:v>-0.19398642095052246</c:v>
                </c:pt>
                <c:pt idx="89">
                  <c:v>-0.48590864917395532</c:v>
                </c:pt>
                <c:pt idx="90">
                  <c:v>-0.58593750000000833</c:v>
                </c:pt>
                <c:pt idx="91">
                  <c:v>-0.29469548133595008</c:v>
                </c:pt>
                <c:pt idx="92">
                  <c:v>0.19704433497537227</c:v>
                </c:pt>
                <c:pt idx="93">
                  <c:v>-0.1966568338249782</c:v>
                </c:pt>
                <c:pt idx="94">
                  <c:v>0.59113300492610277</c:v>
                </c:pt>
                <c:pt idx="95">
                  <c:v>0.48971596474045059</c:v>
                </c:pt>
                <c:pt idx="96">
                  <c:v>0.38986354775829019</c:v>
                </c:pt>
                <c:pt idx="97">
                  <c:v>1.0679611650485381</c:v>
                </c:pt>
                <c:pt idx="98">
                  <c:v>0.48030739673390976</c:v>
                </c:pt>
                <c:pt idx="99">
                  <c:v>-2.4856596558317348</c:v>
                </c:pt>
                <c:pt idx="100">
                  <c:v>2.9411764705882351</c:v>
                </c:pt>
                <c:pt idx="101">
                  <c:v>-1.9047619047619049</c:v>
                </c:pt>
                <c:pt idx="102">
                  <c:v>0</c:v>
                </c:pt>
                <c:pt idx="103">
                  <c:v>-1.0679611650485381</c:v>
                </c:pt>
                <c:pt idx="104">
                  <c:v>-1.4720314033366044</c:v>
                </c:pt>
                <c:pt idx="105">
                  <c:v>-0.99601593625498008</c:v>
                </c:pt>
                <c:pt idx="106">
                  <c:v>0.50301810865191143</c:v>
                </c:pt>
                <c:pt idx="107">
                  <c:v>2.5025025025025025</c:v>
                </c:pt>
                <c:pt idx="108">
                  <c:v>-4.1992187500000107</c:v>
                </c:pt>
                <c:pt idx="109">
                  <c:v>0.81549439347605657</c:v>
                </c:pt>
                <c:pt idx="110">
                  <c:v>-0.60667340748231402</c:v>
                </c:pt>
                <c:pt idx="111">
                  <c:v>0.10172939979654987</c:v>
                </c:pt>
                <c:pt idx="112">
                  <c:v>0.50813008130081294</c:v>
                </c:pt>
                <c:pt idx="113">
                  <c:v>0.20222446916075693</c:v>
                </c:pt>
                <c:pt idx="114">
                  <c:v>1.3118062563067725</c:v>
                </c:pt>
                <c:pt idx="115">
                  <c:v>1.8924302788844536</c:v>
                </c:pt>
                <c:pt idx="116">
                  <c:v>-1.5640273704789778</c:v>
                </c:pt>
                <c:pt idx="117">
                  <c:v>1.2909632571995999</c:v>
                </c:pt>
                <c:pt idx="118">
                  <c:v>-1.3725490196078487</c:v>
                </c:pt>
                <c:pt idx="119">
                  <c:v>0.69582504970179215</c:v>
                </c:pt>
                <c:pt idx="120">
                  <c:v>0.98716683119447179</c:v>
                </c:pt>
                <c:pt idx="121">
                  <c:v>-2.737047898338218</c:v>
                </c:pt>
                <c:pt idx="122">
                  <c:v>1.9095477386934729</c:v>
                </c:pt>
                <c:pt idx="123">
                  <c:v>1.5779092702169568</c:v>
                </c:pt>
                <c:pt idx="124">
                  <c:v>-0.2912621359223273</c:v>
                </c:pt>
                <c:pt idx="125">
                  <c:v>0.5842259006815913</c:v>
                </c:pt>
                <c:pt idx="126">
                  <c:v>-0.67763794772507535</c:v>
                </c:pt>
                <c:pt idx="127">
                  <c:v>9.7465886939579471E-2</c:v>
                </c:pt>
                <c:pt idx="128">
                  <c:v>0.5842259006815913</c:v>
                </c:pt>
                <c:pt idx="129">
                  <c:v>-1.0648596321393942</c:v>
                </c:pt>
                <c:pt idx="130">
                  <c:v>0.58708414872797876</c:v>
                </c:pt>
                <c:pt idx="131">
                  <c:v>-3.5992217898832717</c:v>
                </c:pt>
                <c:pt idx="132">
                  <c:v>1.7154389505549978</c:v>
                </c:pt>
                <c:pt idx="133">
                  <c:v>0.49603174603174599</c:v>
                </c:pt>
                <c:pt idx="134">
                  <c:v>-0.29615004935833872</c:v>
                </c:pt>
                <c:pt idx="135">
                  <c:v>-0.79207920792078934</c:v>
                </c:pt>
                <c:pt idx="136">
                  <c:v>-1.0978043912175734</c:v>
                </c:pt>
                <c:pt idx="137">
                  <c:v>-2.9263370332996885</c:v>
                </c:pt>
                <c:pt idx="138">
                  <c:v>2.5987525987525983</c:v>
                </c:pt>
                <c:pt idx="139">
                  <c:v>0.40526849037486473</c:v>
                </c:pt>
                <c:pt idx="140">
                  <c:v>0.10090817356206713</c:v>
                </c:pt>
                <c:pt idx="141">
                  <c:v>0.1008064516128975</c:v>
                </c:pt>
                <c:pt idx="142">
                  <c:v>-0.80563947633433763</c:v>
                </c:pt>
                <c:pt idx="143">
                  <c:v>-2.9441624365482291</c:v>
                </c:pt>
                <c:pt idx="144">
                  <c:v>0.62761506276151524</c:v>
                </c:pt>
                <c:pt idx="145">
                  <c:v>-0.72765072765073058</c:v>
                </c:pt>
                <c:pt idx="146">
                  <c:v>-0.62827225130889452</c:v>
                </c:pt>
                <c:pt idx="147">
                  <c:v>-1.8967334035827306</c:v>
                </c:pt>
                <c:pt idx="148">
                  <c:v>-0.96670247046185998</c:v>
                </c:pt>
                <c:pt idx="149">
                  <c:v>-0.97613882863341173</c:v>
                </c:pt>
                <c:pt idx="150">
                  <c:v>-1.7524644030668064</c:v>
                </c:pt>
                <c:pt idx="151">
                  <c:v>0.55741360089186176</c:v>
                </c:pt>
                <c:pt idx="152">
                  <c:v>-2.3281596452328253</c:v>
                </c:pt>
                <c:pt idx="153">
                  <c:v>-0.22701475595912446</c:v>
                </c:pt>
                <c:pt idx="154">
                  <c:v>-1.7064846416382253</c:v>
                </c:pt>
                <c:pt idx="155">
                  <c:v>-1.5046296296296426</c:v>
                </c:pt>
                <c:pt idx="156">
                  <c:v>1.0575793184488904</c:v>
                </c:pt>
                <c:pt idx="157">
                  <c:v>-1.2790697674418539</c:v>
                </c:pt>
                <c:pt idx="158">
                  <c:v>0.58892815076560656</c:v>
                </c:pt>
                <c:pt idx="159">
                  <c:v>0.11709601873535634</c:v>
                </c:pt>
                <c:pt idx="160">
                  <c:v>0.23391812865497411</c:v>
                </c:pt>
                <c:pt idx="161">
                  <c:v>-1.1668611435239207</c:v>
                </c:pt>
                <c:pt idx="162">
                  <c:v>0.70838252656433798</c:v>
                </c:pt>
                <c:pt idx="163">
                  <c:v>-1.9929660023446694</c:v>
                </c:pt>
                <c:pt idx="164">
                  <c:v>1.0765550239234518</c:v>
                </c:pt>
                <c:pt idx="165">
                  <c:v>-1.3017751479289872</c:v>
                </c:pt>
                <c:pt idx="166">
                  <c:v>0.95923261390886938</c:v>
                </c:pt>
                <c:pt idx="167">
                  <c:v>1.543942992874106</c:v>
                </c:pt>
                <c:pt idx="168">
                  <c:v>0.81871345029240106</c:v>
                </c:pt>
                <c:pt idx="169">
                  <c:v>1.3921113689095159</c:v>
                </c:pt>
                <c:pt idx="170">
                  <c:v>-1.9450800915331838</c:v>
                </c:pt>
                <c:pt idx="171">
                  <c:v>0.23337222870478744</c:v>
                </c:pt>
                <c:pt idx="172">
                  <c:v>0.23282887077996348</c:v>
                </c:pt>
                <c:pt idx="173">
                  <c:v>0.81300813008130424</c:v>
                </c:pt>
                <c:pt idx="174">
                  <c:v>0.34562211981566493</c:v>
                </c:pt>
                <c:pt idx="175">
                  <c:v>0</c:v>
                </c:pt>
                <c:pt idx="176">
                  <c:v>0.45924225028703292</c:v>
                </c:pt>
                <c:pt idx="177">
                  <c:v>0.80000000000000326</c:v>
                </c:pt>
                <c:pt idx="178">
                  <c:v>0.45351473922901525</c:v>
                </c:pt>
                <c:pt idx="179">
                  <c:v>2.934537246049671</c:v>
                </c:pt>
                <c:pt idx="180">
                  <c:v>-2.5219298245614001</c:v>
                </c:pt>
                <c:pt idx="181">
                  <c:v>-0.33745781777279116</c:v>
                </c:pt>
                <c:pt idx="182">
                  <c:v>1.241534988713328</c:v>
                </c:pt>
                <c:pt idx="183">
                  <c:v>0.33444816053511389</c:v>
                </c:pt>
                <c:pt idx="184">
                  <c:v>-10.888888888888886</c:v>
                </c:pt>
                <c:pt idx="185">
                  <c:v>12.344139650872807</c:v>
                </c:pt>
                <c:pt idx="186">
                  <c:v>-0.22197558268589193</c:v>
                </c:pt>
                <c:pt idx="187">
                  <c:v>-1.0011123470522865</c:v>
                </c:pt>
                <c:pt idx="188">
                  <c:v>-2.6966292134831522</c:v>
                </c:pt>
                <c:pt idx="189">
                  <c:v>1.1547344110854503</c:v>
                </c:pt>
                <c:pt idx="190">
                  <c:v>-0.11415525114154602</c:v>
                </c:pt>
                <c:pt idx="191">
                  <c:v>0.22857142857143184</c:v>
                </c:pt>
                <c:pt idx="192">
                  <c:v>-0.68415051311289454</c:v>
                </c:pt>
                <c:pt idx="193">
                  <c:v>0.22962112514351646</c:v>
                </c:pt>
                <c:pt idx="194">
                  <c:v>-0.22909507445590246</c:v>
                </c:pt>
                <c:pt idx="195">
                  <c:v>0.34443168771528287</c:v>
                </c:pt>
                <c:pt idx="196">
                  <c:v>0</c:v>
                </c:pt>
                <c:pt idx="197">
                  <c:v>-0.91533180778033341</c:v>
                </c:pt>
                <c:pt idx="198">
                  <c:v>-0.57736720554272514</c:v>
                </c:pt>
                <c:pt idx="199">
                  <c:v>0.92915214866435702</c:v>
                </c:pt>
                <c:pt idx="200">
                  <c:v>-0.11507479861911221</c:v>
                </c:pt>
                <c:pt idx="201">
                  <c:v>2.1889400921659052</c:v>
                </c:pt>
                <c:pt idx="202">
                  <c:v>-2.254791431792559</c:v>
                </c:pt>
                <c:pt idx="203">
                  <c:v>-0.80738177623991092</c:v>
                </c:pt>
                <c:pt idx="204">
                  <c:v>0.93023255813953154</c:v>
                </c:pt>
                <c:pt idx="205">
                  <c:v>0.69124423963134629</c:v>
                </c:pt>
                <c:pt idx="206">
                  <c:v>-7.8947368421052699</c:v>
                </c:pt>
                <c:pt idx="207">
                  <c:v>-19.378881987577632</c:v>
                </c:pt>
                <c:pt idx="208">
                  <c:v>8.0123266563944355</c:v>
                </c:pt>
                <c:pt idx="209">
                  <c:v>9.5577746077032852</c:v>
                </c:pt>
                <c:pt idx="210">
                  <c:v>9.2447916666666785</c:v>
                </c:pt>
                <c:pt idx="211">
                  <c:v>2.7413587604290788</c:v>
                </c:pt>
                <c:pt idx="212">
                  <c:v>2.668213457076563</c:v>
                </c:pt>
                <c:pt idx="213">
                  <c:v>1.3559322033898338</c:v>
                </c:pt>
                <c:pt idx="214">
                  <c:v>0.44593088071347986</c:v>
                </c:pt>
                <c:pt idx="215">
                  <c:v>0.22197558268590772</c:v>
                </c:pt>
                <c:pt idx="216">
                  <c:v>0.55370985603543743</c:v>
                </c:pt>
                <c:pt idx="217">
                  <c:v>-1.5418502202643078</c:v>
                </c:pt>
                <c:pt idx="218">
                  <c:v>-2.2371364653243844</c:v>
                </c:pt>
                <c:pt idx="219">
                  <c:v>-1.4874141876430336</c:v>
                </c:pt>
                <c:pt idx="220">
                  <c:v>1.2775842044134826</c:v>
                </c:pt>
                <c:pt idx="221">
                  <c:v>-0.57339449541284393</c:v>
                </c:pt>
                <c:pt idx="222">
                  <c:v>-1.3840830449827022</c:v>
                </c:pt>
                <c:pt idx="223">
                  <c:v>-0.58479532163742687</c:v>
                </c:pt>
                <c:pt idx="224">
                  <c:v>-0.47058823529412436</c:v>
                </c:pt>
                <c:pt idx="225">
                  <c:v>-0.59101654846335705</c:v>
                </c:pt>
                <c:pt idx="226">
                  <c:v>0.11890606420928482</c:v>
                </c:pt>
                <c:pt idx="227">
                  <c:v>2.6128266033254191</c:v>
                </c:pt>
                <c:pt idx="228">
                  <c:v>-2.1990740740740802</c:v>
                </c:pt>
                <c:pt idx="229">
                  <c:v>0.71005917159762644</c:v>
                </c:pt>
              </c:numCache>
            </c:numRef>
          </c:val>
          <c:smooth val="0"/>
          <c:extLst>
            <c:ext xmlns:c16="http://schemas.microsoft.com/office/drawing/2014/chart" uri="{C3380CC4-5D6E-409C-BE32-E72D297353CC}">
              <c16:uniqueId val="{00000001-27D6-4B93-B8B4-5D3D28D9E8E2}"/>
            </c:ext>
          </c:extLst>
        </c:ser>
        <c:ser>
          <c:idx val="2"/>
          <c:order val="2"/>
          <c:tx>
            <c:strRef>
              <c:f>GRANGER!$I$9</c:f>
              <c:strCache>
                <c:ptCount val="1"/>
                <c:pt idx="0">
                  <c:v>RetailSales</c:v>
                </c:pt>
              </c:strCache>
            </c:strRef>
          </c:tx>
          <c:spPr>
            <a:ln w="28575" cap="rnd">
              <a:solidFill>
                <a:schemeClr val="accent3"/>
              </a:solidFill>
              <a:round/>
            </a:ln>
            <a:effectLst/>
          </c:spPr>
          <c:marker>
            <c:symbol val="none"/>
          </c:marker>
          <c:cat>
            <c:numRef>
              <c:f>GRANGER!$F$10:$F$239</c:f>
              <c:numCache>
                <c:formatCode>[$-416]mmm\-yy;@</c:formatCode>
                <c:ptCount val="23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GRANGER!$I$10:$I$239</c:f>
              <c:numCache>
                <c:formatCode>0.0</c:formatCode>
                <c:ptCount val="230"/>
                <c:pt idx="0">
                  <c:v>0.27312454479242276</c:v>
                </c:pt>
                <c:pt idx="1">
                  <c:v>1.0532050118031564</c:v>
                </c:pt>
                <c:pt idx="2">
                  <c:v>-2.3539982030547981</c:v>
                </c:pt>
                <c:pt idx="3">
                  <c:v>9.2013249907981515E-2</c:v>
                </c:pt>
                <c:pt idx="4">
                  <c:v>0.29417172274314501</c:v>
                </c:pt>
                <c:pt idx="5">
                  <c:v>-0.87992667277726289</c:v>
                </c:pt>
                <c:pt idx="6">
                  <c:v>0.42537451451821134</c:v>
                </c:pt>
                <c:pt idx="7">
                  <c:v>0.88397790055249359</c:v>
                </c:pt>
                <c:pt idx="8">
                  <c:v>-0.18254837531946225</c:v>
                </c:pt>
                <c:pt idx="9">
                  <c:v>0</c:v>
                </c:pt>
                <c:pt idx="10">
                  <c:v>1.1521580102414093</c:v>
                </c:pt>
                <c:pt idx="11">
                  <c:v>0.6327969625745693</c:v>
                </c:pt>
                <c:pt idx="12">
                  <c:v>0.233560905497669</c:v>
                </c:pt>
                <c:pt idx="13">
                  <c:v>1.7565872020075355</c:v>
                </c:pt>
                <c:pt idx="14">
                  <c:v>1.144970935353177</c:v>
                </c:pt>
                <c:pt idx="15">
                  <c:v>0.62695924764890187</c:v>
                </c:pt>
                <c:pt idx="16">
                  <c:v>0.65766701280719186</c:v>
                </c:pt>
                <c:pt idx="17">
                  <c:v>0.75653370013755994</c:v>
                </c:pt>
                <c:pt idx="18">
                  <c:v>0.40955631399317743</c:v>
                </c:pt>
                <c:pt idx="19">
                  <c:v>3.3990482664847076E-2</c:v>
                </c:pt>
                <c:pt idx="20">
                  <c:v>0.50968399592252323</c:v>
                </c:pt>
                <c:pt idx="21">
                  <c:v>1.622718052738338</c:v>
                </c:pt>
                <c:pt idx="22">
                  <c:v>0.58216899534265043</c:v>
                </c:pt>
                <c:pt idx="23">
                  <c:v>2.3317347445014116</c:v>
                </c:pt>
                <c:pt idx="24">
                  <c:v>-2.4886877828054281</c:v>
                </c:pt>
                <c:pt idx="25">
                  <c:v>-3.9111700364600703</c:v>
                </c:pt>
                <c:pt idx="26">
                  <c:v>1.586754053121769</c:v>
                </c:pt>
                <c:pt idx="27">
                  <c:v>-0.33955857385398258</c:v>
                </c:pt>
                <c:pt idx="28">
                  <c:v>1.5332197614991459</c:v>
                </c:pt>
                <c:pt idx="29">
                  <c:v>0.13422818791946023</c:v>
                </c:pt>
                <c:pt idx="30">
                  <c:v>1.508042895442357</c:v>
                </c:pt>
                <c:pt idx="31">
                  <c:v>8.2535490260819189E-2</c:v>
                </c:pt>
                <c:pt idx="32">
                  <c:v>-0.19792182088075957</c:v>
                </c:pt>
                <c:pt idx="33">
                  <c:v>0.77673111882333312</c:v>
                </c:pt>
                <c:pt idx="34">
                  <c:v>-0.11479173499508082</c:v>
                </c:pt>
                <c:pt idx="35">
                  <c:v>1.0343129207026802</c:v>
                </c:pt>
                <c:pt idx="36">
                  <c:v>3.8836529086772842</c:v>
                </c:pt>
                <c:pt idx="37">
                  <c:v>-2.3776005005474787</c:v>
                </c:pt>
                <c:pt idx="38">
                  <c:v>0.94536132030123932</c:v>
                </c:pt>
                <c:pt idx="39">
                  <c:v>1.6507936507936607</c:v>
                </c:pt>
                <c:pt idx="40">
                  <c:v>-0.46845721424110592</c:v>
                </c:pt>
                <c:pt idx="41">
                  <c:v>1.7100721681832385</c:v>
                </c:pt>
                <c:pt idx="42">
                  <c:v>-0.38562393953416629</c:v>
                </c:pt>
                <c:pt idx="43">
                  <c:v>0.68132548776710711</c:v>
                </c:pt>
                <c:pt idx="44">
                  <c:v>1.8455859735466054</c:v>
                </c:pt>
                <c:pt idx="45">
                  <c:v>0.39263062518877245</c:v>
                </c:pt>
                <c:pt idx="46">
                  <c:v>0.10529482551142175</c:v>
                </c:pt>
                <c:pt idx="47">
                  <c:v>-0.16528925619834625</c:v>
                </c:pt>
                <c:pt idx="48">
                  <c:v>0.49668874172185173</c:v>
                </c:pt>
                <c:pt idx="49">
                  <c:v>1.3628875243372935</c:v>
                </c:pt>
                <c:pt idx="50">
                  <c:v>1.0933806146572027</c:v>
                </c:pt>
                <c:pt idx="51">
                  <c:v>0.70154925460392281</c:v>
                </c:pt>
                <c:pt idx="52">
                  <c:v>-0.13062409288824878</c:v>
                </c:pt>
                <c:pt idx="53">
                  <c:v>0.49411422758320506</c:v>
                </c:pt>
                <c:pt idx="54">
                  <c:v>0.49168474331162565</c:v>
                </c:pt>
                <c:pt idx="55">
                  <c:v>-1.3671031803136979</c:v>
                </c:pt>
                <c:pt idx="56">
                  <c:v>3.7058651882112512</c:v>
                </c:pt>
                <c:pt idx="57">
                  <c:v>-1.9555430500844129</c:v>
                </c:pt>
                <c:pt idx="58">
                  <c:v>1.3918783182666077</c:v>
                </c:pt>
                <c:pt idx="59">
                  <c:v>1.1746391168978183</c:v>
                </c:pt>
                <c:pt idx="60">
                  <c:v>0.71338648762065349</c:v>
                </c:pt>
                <c:pt idx="61">
                  <c:v>-2.0694444444444371</c:v>
                </c:pt>
                <c:pt idx="62">
                  <c:v>1.3615090058147692</c:v>
                </c:pt>
                <c:pt idx="63">
                  <c:v>0.5176997341541969</c:v>
                </c:pt>
                <c:pt idx="64">
                  <c:v>1.1275055679287336</c:v>
                </c:pt>
                <c:pt idx="65">
                  <c:v>-0.5092911218169367</c:v>
                </c:pt>
                <c:pt idx="66">
                  <c:v>-0.12451577199779111</c:v>
                </c:pt>
                <c:pt idx="67">
                  <c:v>0.81728771297964187</c:v>
                </c:pt>
                <c:pt idx="68">
                  <c:v>0.83814234679857025</c:v>
                </c:pt>
                <c:pt idx="69">
                  <c:v>0.21801335331788607</c:v>
                </c:pt>
                <c:pt idx="70">
                  <c:v>0.67980965329707677</c:v>
                </c:pt>
                <c:pt idx="71">
                  <c:v>1.5124915597569273</c:v>
                </c:pt>
                <c:pt idx="72">
                  <c:v>-0.30597312757749634</c:v>
                </c:pt>
                <c:pt idx="73">
                  <c:v>2.8823058446757361</c:v>
                </c:pt>
                <c:pt idx="74">
                  <c:v>-0.79118028534370877</c:v>
                </c:pt>
                <c:pt idx="75">
                  <c:v>1.0458883514185011</c:v>
                </c:pt>
                <c:pt idx="76">
                  <c:v>0.75042049424246116</c:v>
                </c:pt>
                <c:pt idx="77">
                  <c:v>0.34673173237446514</c:v>
                </c:pt>
                <c:pt idx="78">
                  <c:v>0.78065011517788507</c:v>
                </c:pt>
                <c:pt idx="79">
                  <c:v>1.0920634920634913</c:v>
                </c:pt>
                <c:pt idx="80">
                  <c:v>2.5122472051244845E-2</c:v>
                </c:pt>
                <c:pt idx="81">
                  <c:v>1.8962702499058208</c:v>
                </c:pt>
                <c:pt idx="82">
                  <c:v>0.69016514666009643</c:v>
                </c:pt>
                <c:pt idx="83">
                  <c:v>0.30599755201958384</c:v>
                </c:pt>
                <c:pt idx="84">
                  <c:v>0.79316656497863502</c:v>
                </c:pt>
                <c:pt idx="85">
                  <c:v>3.4866828087167194</c:v>
                </c:pt>
                <c:pt idx="86">
                  <c:v>-1.1581656527842876</c:v>
                </c:pt>
                <c:pt idx="87">
                  <c:v>-0.28405728488577925</c:v>
                </c:pt>
                <c:pt idx="88">
                  <c:v>0.99703264094955901</c:v>
                </c:pt>
                <c:pt idx="89">
                  <c:v>1.7393348219532139</c:v>
                </c:pt>
                <c:pt idx="90">
                  <c:v>-1.1435832274459916</c:v>
                </c:pt>
                <c:pt idx="91">
                  <c:v>1.4723066136947944</c:v>
                </c:pt>
                <c:pt idx="92">
                  <c:v>-0.19576232151082645</c:v>
                </c:pt>
                <c:pt idx="93">
                  <c:v>5.7690088842733536E-2</c:v>
                </c:pt>
                <c:pt idx="94">
                  <c:v>-0.96863468634686734</c:v>
                </c:pt>
                <c:pt idx="95">
                  <c:v>0.62878435025617874</c:v>
                </c:pt>
                <c:pt idx="96">
                  <c:v>0.24299930571626216</c:v>
                </c:pt>
                <c:pt idx="97">
                  <c:v>0.99272769248528159</c:v>
                </c:pt>
                <c:pt idx="98">
                  <c:v>0.76580180592067859</c:v>
                </c:pt>
                <c:pt idx="99">
                  <c:v>0.60117967332123545</c:v>
                </c:pt>
                <c:pt idx="100">
                  <c:v>0.24805502311421676</c:v>
                </c:pt>
                <c:pt idx="101">
                  <c:v>-0.4836351366550361</c:v>
                </c:pt>
                <c:pt idx="102">
                  <c:v>1.548372513562376</c:v>
                </c:pt>
                <c:pt idx="103">
                  <c:v>-0.11129660545352733</c:v>
                </c:pt>
                <c:pt idx="104">
                  <c:v>-0.40111420612813303</c:v>
                </c:pt>
                <c:pt idx="105">
                  <c:v>0.14543013759927895</c:v>
                </c:pt>
                <c:pt idx="106">
                  <c:v>1.016532618409306</c:v>
                </c:pt>
                <c:pt idx="107">
                  <c:v>-1.4154594714143547</c:v>
                </c:pt>
                <c:pt idx="108">
                  <c:v>7.874369040942228</c:v>
                </c:pt>
                <c:pt idx="109">
                  <c:v>-0.35354060517833358</c:v>
                </c:pt>
                <c:pt idx="110">
                  <c:v>1.0539497025983566</c:v>
                </c:pt>
                <c:pt idx="111">
                  <c:v>-1.0532837670384245</c:v>
                </c:pt>
                <c:pt idx="112">
                  <c:v>0.24003339595074516</c:v>
                </c:pt>
                <c:pt idx="113">
                  <c:v>1.0619469026548631</c:v>
                </c:pt>
                <c:pt idx="114">
                  <c:v>0.64901617389513722</c:v>
                </c:pt>
                <c:pt idx="115">
                  <c:v>-1.2998976458546529</c:v>
                </c:pt>
                <c:pt idx="116">
                  <c:v>1.6177538110546386</c:v>
                </c:pt>
                <c:pt idx="117">
                  <c:v>-0.80620471476680489</c:v>
                </c:pt>
                <c:pt idx="118">
                  <c:v>4.1152263374477409E-2</c:v>
                </c:pt>
                <c:pt idx="119">
                  <c:v>9.2554504319213707E-2</c:v>
                </c:pt>
                <c:pt idx="120">
                  <c:v>0.10274324463167422</c:v>
                </c:pt>
                <c:pt idx="121">
                  <c:v>-0.6363543056553469</c:v>
                </c:pt>
                <c:pt idx="122">
                  <c:v>0.36153289949384809</c:v>
                </c:pt>
                <c:pt idx="123">
                  <c:v>-2.1099217785096722</c:v>
                </c:pt>
                <c:pt idx="124">
                  <c:v>3.3960677110713955</c:v>
                </c:pt>
                <c:pt idx="125">
                  <c:v>-0.9558673988204166</c:v>
                </c:pt>
                <c:pt idx="126">
                  <c:v>2.5770020533880809</c:v>
                </c:pt>
                <c:pt idx="127">
                  <c:v>0.52046842157943174</c:v>
                </c:pt>
                <c:pt idx="128">
                  <c:v>0.58747386239170485</c:v>
                </c:pt>
                <c:pt idx="129">
                  <c:v>-1.5343496337358911</c:v>
                </c:pt>
                <c:pt idx="130">
                  <c:v>1.0555946516537622</c:v>
                </c:pt>
                <c:pt idx="131">
                  <c:v>1.1042578591325105</c:v>
                </c:pt>
                <c:pt idx="132">
                  <c:v>0.10823575715831885</c:v>
                </c:pt>
                <c:pt idx="133">
                  <c:v>-0.16709258895223286</c:v>
                </c:pt>
                <c:pt idx="134">
                  <c:v>-0.25598109678053649</c:v>
                </c:pt>
                <c:pt idx="135">
                  <c:v>-2.8328891521073976</c:v>
                </c:pt>
                <c:pt idx="136">
                  <c:v>1.1072734660707064</c:v>
                </c:pt>
                <c:pt idx="137">
                  <c:v>0.7635888676780922</c:v>
                </c:pt>
                <c:pt idx="138">
                  <c:v>-0.81762887625885672</c:v>
                </c:pt>
                <c:pt idx="139">
                  <c:v>-0.38202473107469131</c:v>
                </c:pt>
                <c:pt idx="140">
                  <c:v>-7.0642849934410529E-2</c:v>
                </c:pt>
                <c:pt idx="141">
                  <c:v>1.4138557867097614</c:v>
                </c:pt>
                <c:pt idx="142">
                  <c:v>-0.64728141804422001</c:v>
                </c:pt>
                <c:pt idx="143">
                  <c:v>0.63145234038289033</c:v>
                </c:pt>
                <c:pt idx="144">
                  <c:v>-0.12948207171315701</c:v>
                </c:pt>
                <c:pt idx="145">
                  <c:v>-0.45876134437019422</c:v>
                </c:pt>
                <c:pt idx="146">
                  <c:v>-0.99188458070334551</c:v>
                </c:pt>
                <c:pt idx="147">
                  <c:v>-0.25298522566282128</c:v>
                </c:pt>
                <c:pt idx="148">
                  <c:v>-0.89276656183422487</c:v>
                </c:pt>
                <c:pt idx="149">
                  <c:v>6.1418773671821345E-2</c:v>
                </c:pt>
                <c:pt idx="150">
                  <c:v>-1.4526854219948866</c:v>
                </c:pt>
                <c:pt idx="151">
                  <c:v>-1.3910515934807468</c:v>
                </c:pt>
                <c:pt idx="152">
                  <c:v>1.5264764712074985</c:v>
                </c:pt>
                <c:pt idx="153">
                  <c:v>1.9805060141020288</c:v>
                </c:pt>
                <c:pt idx="154">
                  <c:v>-2.6537874936451442</c:v>
                </c:pt>
                <c:pt idx="155">
                  <c:v>0.31334865260080569</c:v>
                </c:pt>
                <c:pt idx="156">
                  <c:v>-1.1349437734277419</c:v>
                </c:pt>
                <c:pt idx="157">
                  <c:v>0.62137967351237855</c:v>
                </c:pt>
                <c:pt idx="158">
                  <c:v>-1.1304165794431782</c:v>
                </c:pt>
                <c:pt idx="159">
                  <c:v>0.39170019055685429</c:v>
                </c:pt>
                <c:pt idx="160">
                  <c:v>0.37962670041126167</c:v>
                </c:pt>
                <c:pt idx="161">
                  <c:v>-1.2081100955982682</c:v>
                </c:pt>
                <c:pt idx="162">
                  <c:v>0.85070182900892932</c:v>
                </c:pt>
                <c:pt idx="163">
                  <c:v>-0.20033741037536662</c:v>
                </c:pt>
                <c:pt idx="164">
                  <c:v>-1.1727416798732164</c:v>
                </c:pt>
                <c:pt idx="165">
                  <c:v>1.0690613641213282E-2</c:v>
                </c:pt>
                <c:pt idx="166">
                  <c:v>-0.67343666488508336</c:v>
                </c:pt>
                <c:pt idx="167">
                  <c:v>-2.0017219113215661</c:v>
                </c:pt>
                <c:pt idx="168">
                  <c:v>8.8732703711838319</c:v>
                </c:pt>
                <c:pt idx="169">
                  <c:v>-1.1902360298567751</c:v>
                </c:pt>
                <c:pt idx="170">
                  <c:v>-6.5843201306655663</c:v>
                </c:pt>
                <c:pt idx="171">
                  <c:v>2.1418424215932612</c:v>
                </c:pt>
                <c:pt idx="172">
                  <c:v>0.97357440890124802</c:v>
                </c:pt>
                <c:pt idx="173">
                  <c:v>1.3668150031786463</c:v>
                </c:pt>
                <c:pt idx="174">
                  <c:v>0.20905194940943123</c:v>
                </c:pt>
                <c:pt idx="175">
                  <c:v>-0.76144779388756023</c:v>
                </c:pt>
                <c:pt idx="176">
                  <c:v>2.5331091023754433</c:v>
                </c:pt>
                <c:pt idx="177">
                  <c:v>0.24602767811379711</c:v>
                </c:pt>
                <c:pt idx="178">
                  <c:v>0.48062174046425893</c:v>
                </c:pt>
                <c:pt idx="179">
                  <c:v>0.42743741095054111</c:v>
                </c:pt>
                <c:pt idx="180">
                  <c:v>3.5974868261045776</c:v>
                </c:pt>
                <c:pt idx="181">
                  <c:v>-2.2009194952557953</c:v>
                </c:pt>
                <c:pt idx="182">
                  <c:v>-0.54010802160432714</c:v>
                </c:pt>
                <c:pt idx="183">
                  <c:v>1.5486725663716878</c:v>
                </c:pt>
                <c:pt idx="184">
                  <c:v>0.35650623885917943</c:v>
                </c:pt>
                <c:pt idx="185">
                  <c:v>-3.4635879218472518</c:v>
                </c:pt>
                <c:pt idx="186">
                  <c:v>1.1346212818153936</c:v>
                </c:pt>
                <c:pt idx="187">
                  <c:v>1.0915706488781063</c:v>
                </c:pt>
                <c:pt idx="188">
                  <c:v>-0.91981603679264323</c:v>
                </c:pt>
                <c:pt idx="189">
                  <c:v>0.21190716448033095</c:v>
                </c:pt>
                <c:pt idx="190">
                  <c:v>1.963548484543352</c:v>
                </c:pt>
                <c:pt idx="191">
                  <c:v>0.64191190993481273</c:v>
                </c:pt>
                <c:pt idx="192">
                  <c:v>3.0222745559807658</c:v>
                </c:pt>
                <c:pt idx="193">
                  <c:v>-2.7240689589484708</c:v>
                </c:pt>
                <c:pt idx="194">
                  <c:v>-2.0855772055223691</c:v>
                </c:pt>
                <c:pt idx="195">
                  <c:v>-2.3700000000000045</c:v>
                </c:pt>
                <c:pt idx="196">
                  <c:v>1.7207825463484656</c:v>
                </c:pt>
                <c:pt idx="197">
                  <c:v>-0.16111167052663034</c:v>
                </c:pt>
                <c:pt idx="198">
                  <c:v>0.67574382249116238</c:v>
                </c:pt>
                <c:pt idx="199">
                  <c:v>1.3424163494289756</c:v>
                </c:pt>
                <c:pt idx="200">
                  <c:v>0.84025306445236114</c:v>
                </c:pt>
                <c:pt idx="201">
                  <c:v>-0.5587687481619521</c:v>
                </c:pt>
                <c:pt idx="202">
                  <c:v>0.53233438485805029</c:v>
                </c:pt>
                <c:pt idx="203">
                  <c:v>-0.7942733869386176</c:v>
                </c:pt>
                <c:pt idx="204">
                  <c:v>0.45468024117820866</c:v>
                </c:pt>
                <c:pt idx="205">
                  <c:v>-0.34438650004919252</c:v>
                </c:pt>
                <c:pt idx="206">
                  <c:v>13.892180094786724</c:v>
                </c:pt>
                <c:pt idx="207">
                  <c:v>-11.382748157780664</c:v>
                </c:pt>
                <c:pt idx="208">
                  <c:v>6.4370964586186643</c:v>
                </c:pt>
                <c:pt idx="209">
                  <c:v>0.5974264705882405</c:v>
                </c:pt>
                <c:pt idx="210">
                  <c:v>-0.19186843307447049</c:v>
                </c:pt>
                <c:pt idx="211">
                  <c:v>-2.0322226290735985</c:v>
                </c:pt>
                <c:pt idx="212">
                  <c:v>-0.10278452625677391</c:v>
                </c:pt>
                <c:pt idx="213">
                  <c:v>1.0663174632868775</c:v>
                </c:pt>
                <c:pt idx="214">
                  <c:v>-2.9986117538176726</c:v>
                </c:pt>
                <c:pt idx="215">
                  <c:v>6.6787520274776427E-2</c:v>
                </c:pt>
                <c:pt idx="216">
                  <c:v>-1.2490465293668978</c:v>
                </c:pt>
                <c:pt idx="217">
                  <c:v>-0.28965916771265537</c:v>
                </c:pt>
                <c:pt idx="218">
                  <c:v>3.4085407185049004</c:v>
                </c:pt>
                <c:pt idx="219">
                  <c:v>-2.5657833130443009</c:v>
                </c:pt>
                <c:pt idx="220">
                  <c:v>0.92263334935128105</c:v>
                </c:pt>
                <c:pt idx="221">
                  <c:v>3.8091610322818818E-2</c:v>
                </c:pt>
                <c:pt idx="222">
                  <c:v>0.11423131841980443</c:v>
                </c:pt>
                <c:pt idx="223">
                  <c:v>-0.94133307977559644</c:v>
                </c:pt>
                <c:pt idx="224">
                  <c:v>-0.86388942215396969</c:v>
                </c:pt>
                <c:pt idx="225">
                  <c:v>2.9047250193649433E-2</c:v>
                </c:pt>
                <c:pt idx="226">
                  <c:v>0.75500919562481961</c:v>
                </c:pt>
                <c:pt idx="227">
                  <c:v>-0.45153232779325475</c:v>
                </c:pt>
                <c:pt idx="228">
                  <c:v>0.19301293186642407</c:v>
                </c:pt>
                <c:pt idx="229">
                  <c:v>1.1365825467154758</c:v>
                </c:pt>
              </c:numCache>
            </c:numRef>
          </c:val>
          <c:smooth val="0"/>
          <c:extLst>
            <c:ext xmlns:c16="http://schemas.microsoft.com/office/drawing/2014/chart" uri="{C3380CC4-5D6E-409C-BE32-E72D297353CC}">
              <c16:uniqueId val="{00000002-27D6-4B93-B8B4-5D3D28D9E8E2}"/>
            </c:ext>
          </c:extLst>
        </c:ser>
        <c:dLbls>
          <c:showLegendKey val="0"/>
          <c:showVal val="0"/>
          <c:showCatName val="0"/>
          <c:showSerName val="0"/>
          <c:showPercent val="0"/>
          <c:showBubbleSize val="0"/>
        </c:dLbls>
        <c:smooth val="0"/>
        <c:axId val="1079562271"/>
        <c:axId val="1079564351"/>
      </c:lineChart>
      <c:dateAx>
        <c:axId val="1079562271"/>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79564351"/>
        <c:crosses val="autoZero"/>
        <c:auto val="1"/>
        <c:lblOffset val="100"/>
        <c:baseTimeUnit val="months"/>
      </c:dateAx>
      <c:valAx>
        <c:axId val="107956435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795622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LAG!$F$12:$F$29</c:f>
              <c:numCache>
                <c:formatCode>[$-416]mmm\-yy;@</c:formatCode>
                <c:ptCount val="18"/>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numCache>
            </c:numRef>
          </c:cat>
          <c:val>
            <c:numRef>
              <c:f>LAG!$G$12:$G$29</c:f>
              <c:numCache>
                <c:formatCode>0.0</c:formatCode>
                <c:ptCount val="18"/>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numCache>
            </c:numRef>
          </c:val>
          <c:smooth val="0"/>
          <c:extLst>
            <c:ext xmlns:c16="http://schemas.microsoft.com/office/drawing/2014/chart" uri="{C3380CC4-5D6E-409C-BE32-E72D297353CC}">
              <c16:uniqueId val="{00000000-8319-4A25-890A-1260D18CE5B0}"/>
            </c:ext>
          </c:extLst>
        </c:ser>
        <c:ser>
          <c:idx val="1"/>
          <c:order val="1"/>
          <c:tx>
            <c:v>Lag</c:v>
          </c:tx>
          <c:spPr>
            <a:ln w="19050" cap="rnd">
              <a:solidFill>
                <a:schemeClr val="accent2"/>
              </a:solidFill>
              <a:round/>
            </a:ln>
            <a:effectLst/>
          </c:spPr>
          <c:marker>
            <c:symbol val="none"/>
          </c:marker>
          <c:cat>
            <c:numRef>
              <c:f>LAG!$F$12:$F$29</c:f>
              <c:numCache>
                <c:formatCode>[$-416]mmm\-yy;@</c:formatCode>
                <c:ptCount val="18"/>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numCache>
            </c:numRef>
          </c:cat>
          <c:val>
            <c:numRef>
              <c:f>LAG!$O$12:$O$251</c:f>
              <c:numCache>
                <c:formatCode>0.0</c:formatCode>
                <c:ptCount val="240"/>
                <c:pt idx="0">
                  <c:v>#N/A</c:v>
                </c:pt>
                <c:pt idx="1">
                  <c:v>72.400000000000006</c:v>
                </c:pt>
                <c:pt idx="2">
                  <c:v>69.7</c:v>
                </c:pt>
                <c:pt idx="3">
                  <c:v>77.400000000000006</c:v>
                </c:pt>
                <c:pt idx="4">
                  <c:v>79.599999999999994</c:v>
                </c:pt>
                <c:pt idx="5">
                  <c:v>80.400000000000006</c:v>
                </c:pt>
                <c:pt idx="6">
                  <c:v>77.5</c:v>
                </c:pt>
                <c:pt idx="7">
                  <c:v>83.3</c:v>
                </c:pt>
                <c:pt idx="8">
                  <c:v>83.6</c:v>
                </c:pt>
                <c:pt idx="9">
                  <c:v>82.1</c:v>
                </c:pt>
                <c:pt idx="10">
                  <c:v>89.2</c:v>
                </c:pt>
                <c:pt idx="11">
                  <c:v>83.9</c:v>
                </c:pt>
                <c:pt idx="12">
                  <c:v>74.599999999999994</c:v>
                </c:pt>
                <c:pt idx="13">
                  <c:v>74</c:v>
                </c:pt>
                <c:pt idx="14">
                  <c:v>71.8</c:v>
                </c:pt>
                <c:pt idx="15">
                  <c:v>77.400000000000006</c:v>
                </c:pt>
                <c:pt idx="16">
                  <c:v>76.5</c:v>
                </c:pt>
                <c:pt idx="17">
                  <c:v>79.7</c:v>
                </c:pt>
                <c:pt idx="20" formatCode="General">
                  <c:v>0</c:v>
                </c:pt>
                <c:pt idx="21">
                  <c:v>0</c:v>
                </c:pt>
                <c:pt idx="22">
                  <c:v>#N/A</c:v>
                </c:pt>
                <c:pt idx="23">
                  <c:v>72.400000000000006</c:v>
                </c:pt>
                <c:pt idx="24">
                  <c:v>69.7</c:v>
                </c:pt>
                <c:pt idx="25">
                  <c:v>77.400000000000006</c:v>
                </c:pt>
                <c:pt idx="26">
                  <c:v>79.599999999999994</c:v>
                </c:pt>
                <c:pt idx="27">
                  <c:v>80.400000000000006</c:v>
                </c:pt>
                <c:pt idx="28">
                  <c:v>77.5</c:v>
                </c:pt>
                <c:pt idx="29">
                  <c:v>83.3</c:v>
                </c:pt>
                <c:pt idx="30">
                  <c:v>83.6</c:v>
                </c:pt>
                <c:pt idx="31">
                  <c:v>82.1</c:v>
                </c:pt>
                <c:pt idx="32">
                  <c:v>89.2</c:v>
                </c:pt>
                <c:pt idx="33">
                  <c:v>83.9</c:v>
                </c:pt>
                <c:pt idx="34">
                  <c:v>74.599999999999994</c:v>
                </c:pt>
                <c:pt idx="35">
                  <c:v>74</c:v>
                </c:pt>
                <c:pt idx="36">
                  <c:v>71.8</c:v>
                </c:pt>
                <c:pt idx="37">
                  <c:v>77.400000000000006</c:v>
                </c:pt>
                <c:pt idx="38">
                  <c:v>76.5</c:v>
                </c:pt>
                <c:pt idx="39">
                  <c:v>79.7</c:v>
                </c:pt>
                <c:pt idx="42" formatCode="General">
                  <c:v>0</c:v>
                </c:pt>
                <c:pt idx="43">
                  <c:v>#N/A</c:v>
                </c:pt>
                <c:pt idx="44">
                  <c:v>72.400000000000006</c:v>
                </c:pt>
                <c:pt idx="45">
                  <c:v>69.7</c:v>
                </c:pt>
                <c:pt idx="46">
                  <c:v>77.400000000000006</c:v>
                </c:pt>
                <c:pt idx="47">
                  <c:v>79.599999999999994</c:v>
                </c:pt>
                <c:pt idx="48">
                  <c:v>80.400000000000006</c:v>
                </c:pt>
                <c:pt idx="49">
                  <c:v>77.5</c:v>
                </c:pt>
                <c:pt idx="50">
                  <c:v>83.3</c:v>
                </c:pt>
                <c:pt idx="51">
                  <c:v>83.6</c:v>
                </c:pt>
                <c:pt idx="52">
                  <c:v>82.1</c:v>
                </c:pt>
                <c:pt idx="53">
                  <c:v>89.2</c:v>
                </c:pt>
                <c:pt idx="54">
                  <c:v>83.9</c:v>
                </c:pt>
                <c:pt idx="55">
                  <c:v>74.599999999999994</c:v>
                </c:pt>
                <c:pt idx="56">
                  <c:v>74</c:v>
                </c:pt>
                <c:pt idx="57">
                  <c:v>71.8</c:v>
                </c:pt>
                <c:pt idx="58">
                  <c:v>77.400000000000006</c:v>
                </c:pt>
                <c:pt idx="59">
                  <c:v>76.5</c:v>
                </c:pt>
                <c:pt idx="60">
                  <c:v>79.7</c:v>
                </c:pt>
                <c:pt idx="63" formatCode="General">
                  <c:v>0</c:v>
                </c:pt>
                <c:pt idx="64">
                  <c:v>0</c:v>
                </c:pt>
                <c:pt idx="65">
                  <c:v>#N/A</c:v>
                </c:pt>
                <c:pt idx="66">
                  <c:v>72.400000000000006</c:v>
                </c:pt>
                <c:pt idx="67">
                  <c:v>69.7</c:v>
                </c:pt>
                <c:pt idx="68">
                  <c:v>77.400000000000006</c:v>
                </c:pt>
                <c:pt idx="69">
                  <c:v>79.599999999999994</c:v>
                </c:pt>
                <c:pt idx="70">
                  <c:v>80.400000000000006</c:v>
                </c:pt>
                <c:pt idx="71">
                  <c:v>77.5</c:v>
                </c:pt>
                <c:pt idx="72">
                  <c:v>83.3</c:v>
                </c:pt>
                <c:pt idx="73">
                  <c:v>83.6</c:v>
                </c:pt>
                <c:pt idx="74">
                  <c:v>82.1</c:v>
                </c:pt>
                <c:pt idx="75">
                  <c:v>89.2</c:v>
                </c:pt>
                <c:pt idx="76">
                  <c:v>83.9</c:v>
                </c:pt>
                <c:pt idx="77">
                  <c:v>74.599999999999994</c:v>
                </c:pt>
                <c:pt idx="78">
                  <c:v>74</c:v>
                </c:pt>
                <c:pt idx="79">
                  <c:v>71.8</c:v>
                </c:pt>
                <c:pt idx="80">
                  <c:v>77.400000000000006</c:v>
                </c:pt>
                <c:pt idx="81">
                  <c:v>76.5</c:v>
                </c:pt>
                <c:pt idx="82">
                  <c:v>79.7</c:v>
                </c:pt>
              </c:numCache>
            </c:numRef>
          </c:val>
          <c:smooth val="0"/>
          <c:extLst>
            <c:ext xmlns:c16="http://schemas.microsoft.com/office/drawing/2014/chart" uri="{C3380CC4-5D6E-409C-BE32-E72D297353CC}">
              <c16:uniqueId val="{00000001-8319-4A25-890A-1260D18CE5B0}"/>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LEAD!$F$11:$F$28</c:f>
              <c:numCache>
                <c:formatCode>[$-416]mmm\-yy;@</c:formatCode>
                <c:ptCount val="18"/>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numCache>
            </c:numRef>
          </c:cat>
          <c:val>
            <c:numRef>
              <c:f>LEAD!$G$11:$G$28</c:f>
              <c:numCache>
                <c:formatCode>0.0</c:formatCode>
                <c:ptCount val="18"/>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numCache>
            </c:numRef>
          </c:val>
          <c:smooth val="0"/>
          <c:extLst>
            <c:ext xmlns:c16="http://schemas.microsoft.com/office/drawing/2014/chart" uri="{C3380CC4-5D6E-409C-BE32-E72D297353CC}">
              <c16:uniqueId val="{00000000-FF83-4DCE-82E8-C80E8868B7B8}"/>
            </c:ext>
          </c:extLst>
        </c:ser>
        <c:ser>
          <c:idx val="1"/>
          <c:order val="1"/>
          <c:tx>
            <c:v>Lead</c:v>
          </c:tx>
          <c:spPr>
            <a:ln w="19050" cap="rnd">
              <a:solidFill>
                <a:schemeClr val="accent2"/>
              </a:solidFill>
              <a:round/>
            </a:ln>
            <a:effectLst/>
          </c:spPr>
          <c:marker>
            <c:symbol val="none"/>
          </c:marker>
          <c:cat>
            <c:numRef>
              <c:f>LEAD!$F$11:$F$28</c:f>
              <c:numCache>
                <c:formatCode>[$-416]mmm\-yy;@</c:formatCode>
                <c:ptCount val="18"/>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numCache>
            </c:numRef>
          </c:cat>
          <c:val>
            <c:numRef>
              <c:f>LEAD!$O$11:$O$250</c:f>
              <c:numCache>
                <c:formatCode>0.0</c:formatCode>
                <c:ptCount val="240"/>
                <c:pt idx="0">
                  <c:v>79.599999999999994</c:v>
                </c:pt>
                <c:pt idx="1">
                  <c:v>80.400000000000006</c:v>
                </c:pt>
                <c:pt idx="2">
                  <c:v>77.5</c:v>
                </c:pt>
                <c:pt idx="3">
                  <c:v>83.3</c:v>
                </c:pt>
                <c:pt idx="4">
                  <c:v>83.6</c:v>
                </c:pt>
                <c:pt idx="5">
                  <c:v>82.1</c:v>
                </c:pt>
                <c:pt idx="6">
                  <c:v>89.2</c:v>
                </c:pt>
                <c:pt idx="7">
                  <c:v>83.9</c:v>
                </c:pt>
                <c:pt idx="8">
                  <c:v>74.599999999999994</c:v>
                </c:pt>
                <c:pt idx="9">
                  <c:v>74</c:v>
                </c:pt>
                <c:pt idx="10">
                  <c:v>71.8</c:v>
                </c:pt>
                <c:pt idx="11">
                  <c:v>77.400000000000006</c:v>
                </c:pt>
                <c:pt idx="12">
                  <c:v>76.5</c:v>
                </c:pt>
                <c:pt idx="13">
                  <c:v>79.7</c:v>
                </c:pt>
                <c:pt idx="14">
                  <c:v>76.3</c:v>
                </c:pt>
                <c:pt idx="15">
                  <c:v>#N/A</c:v>
                </c:pt>
                <c:pt idx="16">
                  <c:v>#N/A</c:v>
                </c:pt>
                <c:pt idx="17">
                  <c:v>#N/A</c:v>
                </c:pt>
                <c:pt idx="20" formatCode="General">
                  <c:v>0</c:v>
                </c:pt>
                <c:pt idx="21">
                  <c:v>0</c:v>
                </c:pt>
                <c:pt idx="22">
                  <c:v>79.599999999999994</c:v>
                </c:pt>
                <c:pt idx="23">
                  <c:v>80.400000000000006</c:v>
                </c:pt>
                <c:pt idx="24">
                  <c:v>77.5</c:v>
                </c:pt>
                <c:pt idx="25">
                  <c:v>83.3</c:v>
                </c:pt>
                <c:pt idx="26">
                  <c:v>83.6</c:v>
                </c:pt>
                <c:pt idx="27">
                  <c:v>82.1</c:v>
                </c:pt>
                <c:pt idx="28">
                  <c:v>89.2</c:v>
                </c:pt>
                <c:pt idx="29">
                  <c:v>83.9</c:v>
                </c:pt>
                <c:pt idx="30">
                  <c:v>74.599999999999994</c:v>
                </c:pt>
                <c:pt idx="31">
                  <c:v>74</c:v>
                </c:pt>
                <c:pt idx="32">
                  <c:v>71.8</c:v>
                </c:pt>
                <c:pt idx="33">
                  <c:v>77.400000000000006</c:v>
                </c:pt>
                <c:pt idx="34">
                  <c:v>76.5</c:v>
                </c:pt>
                <c:pt idx="35">
                  <c:v>79.7</c:v>
                </c:pt>
                <c:pt idx="36">
                  <c:v>76.3</c:v>
                </c:pt>
                <c:pt idx="37">
                  <c:v>#N/A</c:v>
                </c:pt>
                <c:pt idx="38">
                  <c:v>#N/A</c:v>
                </c:pt>
                <c:pt idx="39">
                  <c:v>#N/A</c:v>
                </c:pt>
                <c:pt idx="42" formatCode="General">
                  <c:v>0</c:v>
                </c:pt>
                <c:pt idx="43">
                  <c:v>69.7</c:v>
                </c:pt>
                <c:pt idx="44">
                  <c:v>77.400000000000006</c:v>
                </c:pt>
                <c:pt idx="45">
                  <c:v>79.599999999999994</c:v>
                </c:pt>
                <c:pt idx="46">
                  <c:v>80.400000000000006</c:v>
                </c:pt>
                <c:pt idx="47">
                  <c:v>77.5</c:v>
                </c:pt>
                <c:pt idx="48">
                  <c:v>83.3</c:v>
                </c:pt>
                <c:pt idx="49">
                  <c:v>83.6</c:v>
                </c:pt>
                <c:pt idx="50">
                  <c:v>82.1</c:v>
                </c:pt>
                <c:pt idx="51">
                  <c:v>89.2</c:v>
                </c:pt>
                <c:pt idx="52">
                  <c:v>83.9</c:v>
                </c:pt>
                <c:pt idx="53">
                  <c:v>74.599999999999994</c:v>
                </c:pt>
                <c:pt idx="54">
                  <c:v>74</c:v>
                </c:pt>
                <c:pt idx="55">
                  <c:v>71.8</c:v>
                </c:pt>
                <c:pt idx="56">
                  <c:v>77.400000000000006</c:v>
                </c:pt>
                <c:pt idx="57">
                  <c:v>76.5</c:v>
                </c:pt>
                <c:pt idx="58">
                  <c:v>79.7</c:v>
                </c:pt>
                <c:pt idx="59">
                  <c:v>76.3</c:v>
                </c:pt>
                <c:pt idx="60">
                  <c:v>#N/A</c:v>
                </c:pt>
                <c:pt idx="63" formatCode="General">
                  <c:v>0</c:v>
                </c:pt>
                <c:pt idx="64">
                  <c:v>0</c:v>
                </c:pt>
                <c:pt idx="65">
                  <c:v>69.7</c:v>
                </c:pt>
                <c:pt idx="66">
                  <c:v>77.400000000000006</c:v>
                </c:pt>
                <c:pt idx="67">
                  <c:v>79.599999999999994</c:v>
                </c:pt>
                <c:pt idx="68">
                  <c:v>80.400000000000006</c:v>
                </c:pt>
                <c:pt idx="69">
                  <c:v>77.5</c:v>
                </c:pt>
                <c:pt idx="70">
                  <c:v>83.3</c:v>
                </c:pt>
                <c:pt idx="71">
                  <c:v>83.6</c:v>
                </c:pt>
                <c:pt idx="72">
                  <c:v>82.1</c:v>
                </c:pt>
                <c:pt idx="73">
                  <c:v>89.2</c:v>
                </c:pt>
                <c:pt idx="74">
                  <c:v>83.9</c:v>
                </c:pt>
                <c:pt idx="75">
                  <c:v>74.599999999999994</c:v>
                </c:pt>
                <c:pt idx="76">
                  <c:v>74</c:v>
                </c:pt>
                <c:pt idx="77">
                  <c:v>71.8</c:v>
                </c:pt>
                <c:pt idx="78">
                  <c:v>77.400000000000006</c:v>
                </c:pt>
                <c:pt idx="79">
                  <c:v>76.5</c:v>
                </c:pt>
                <c:pt idx="80">
                  <c:v>79.7</c:v>
                </c:pt>
                <c:pt idx="81">
                  <c:v>76.3</c:v>
                </c:pt>
                <c:pt idx="82">
                  <c:v>#N/A</c:v>
                </c:pt>
              </c:numCache>
            </c:numRef>
          </c:val>
          <c:smooth val="0"/>
          <c:extLst>
            <c:ext xmlns:c16="http://schemas.microsoft.com/office/drawing/2014/chart" uri="{C3380CC4-5D6E-409C-BE32-E72D297353CC}">
              <c16:uniqueId val="{00000001-FF83-4DCE-82E8-C80E8868B7B8}"/>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 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HPFILTER!$F$9:$F$247</c:f>
              <c:numCache>
                <c:formatCode>[$-416]mmm\-yy;@</c:formatCode>
                <c:ptCount val="239"/>
                <c:pt idx="0">
                  <c:v>37653</c:v>
                </c:pt>
                <c:pt idx="1">
                  <c:v>37681</c:v>
                </c:pt>
                <c:pt idx="2">
                  <c:v>37712</c:v>
                </c:pt>
                <c:pt idx="3">
                  <c:v>37742</c:v>
                </c:pt>
                <c:pt idx="4">
                  <c:v>37773</c:v>
                </c:pt>
                <c:pt idx="5">
                  <c:v>37803</c:v>
                </c:pt>
                <c:pt idx="6">
                  <c:v>37834</c:v>
                </c:pt>
                <c:pt idx="7">
                  <c:v>37865</c:v>
                </c:pt>
                <c:pt idx="8">
                  <c:v>37895</c:v>
                </c:pt>
                <c:pt idx="9">
                  <c:v>37926</c:v>
                </c:pt>
                <c:pt idx="10">
                  <c:v>37956</c:v>
                </c:pt>
                <c:pt idx="11">
                  <c:v>37987</c:v>
                </c:pt>
                <c:pt idx="12">
                  <c:v>38018</c:v>
                </c:pt>
                <c:pt idx="13">
                  <c:v>38047</c:v>
                </c:pt>
                <c:pt idx="14">
                  <c:v>38078</c:v>
                </c:pt>
                <c:pt idx="15">
                  <c:v>38108</c:v>
                </c:pt>
                <c:pt idx="16">
                  <c:v>38139</c:v>
                </c:pt>
                <c:pt idx="17">
                  <c:v>38169</c:v>
                </c:pt>
                <c:pt idx="18">
                  <c:v>38200</c:v>
                </c:pt>
                <c:pt idx="19">
                  <c:v>38231</c:v>
                </c:pt>
                <c:pt idx="20">
                  <c:v>38261</c:v>
                </c:pt>
                <c:pt idx="21">
                  <c:v>38292</c:v>
                </c:pt>
                <c:pt idx="22">
                  <c:v>38322</c:v>
                </c:pt>
                <c:pt idx="23">
                  <c:v>38353</c:v>
                </c:pt>
                <c:pt idx="24">
                  <c:v>38384</c:v>
                </c:pt>
                <c:pt idx="25">
                  <c:v>38412</c:v>
                </c:pt>
                <c:pt idx="26">
                  <c:v>38443</c:v>
                </c:pt>
                <c:pt idx="27">
                  <c:v>38473</c:v>
                </c:pt>
                <c:pt idx="28">
                  <c:v>38504</c:v>
                </c:pt>
                <c:pt idx="29">
                  <c:v>38534</c:v>
                </c:pt>
                <c:pt idx="30">
                  <c:v>38565</c:v>
                </c:pt>
                <c:pt idx="31">
                  <c:v>38596</c:v>
                </c:pt>
                <c:pt idx="32">
                  <c:v>38626</c:v>
                </c:pt>
                <c:pt idx="33">
                  <c:v>38657</c:v>
                </c:pt>
                <c:pt idx="34">
                  <c:v>38687</c:v>
                </c:pt>
                <c:pt idx="35">
                  <c:v>38718</c:v>
                </c:pt>
                <c:pt idx="36">
                  <c:v>38749</c:v>
                </c:pt>
                <c:pt idx="37">
                  <c:v>38777</c:v>
                </c:pt>
                <c:pt idx="38">
                  <c:v>38808</c:v>
                </c:pt>
                <c:pt idx="39">
                  <c:v>38838</c:v>
                </c:pt>
                <c:pt idx="40">
                  <c:v>38869</c:v>
                </c:pt>
                <c:pt idx="41">
                  <c:v>38899</c:v>
                </c:pt>
                <c:pt idx="42">
                  <c:v>38930</c:v>
                </c:pt>
                <c:pt idx="43">
                  <c:v>38961</c:v>
                </c:pt>
                <c:pt idx="44">
                  <c:v>38991</c:v>
                </c:pt>
                <c:pt idx="45">
                  <c:v>39022</c:v>
                </c:pt>
                <c:pt idx="46">
                  <c:v>39052</c:v>
                </c:pt>
                <c:pt idx="47">
                  <c:v>39083</c:v>
                </c:pt>
                <c:pt idx="48">
                  <c:v>39114</c:v>
                </c:pt>
                <c:pt idx="49">
                  <c:v>39142</c:v>
                </c:pt>
                <c:pt idx="50">
                  <c:v>39173</c:v>
                </c:pt>
                <c:pt idx="51">
                  <c:v>39203</c:v>
                </c:pt>
                <c:pt idx="52">
                  <c:v>39234</c:v>
                </c:pt>
                <c:pt idx="53">
                  <c:v>39264</c:v>
                </c:pt>
                <c:pt idx="54">
                  <c:v>39295</c:v>
                </c:pt>
                <c:pt idx="55">
                  <c:v>39326</c:v>
                </c:pt>
                <c:pt idx="56">
                  <c:v>39356</c:v>
                </c:pt>
                <c:pt idx="57">
                  <c:v>39387</c:v>
                </c:pt>
                <c:pt idx="58">
                  <c:v>39417</c:v>
                </c:pt>
                <c:pt idx="59">
                  <c:v>39448</c:v>
                </c:pt>
                <c:pt idx="60">
                  <c:v>39479</c:v>
                </c:pt>
                <c:pt idx="61">
                  <c:v>39508</c:v>
                </c:pt>
                <c:pt idx="62">
                  <c:v>39539</c:v>
                </c:pt>
                <c:pt idx="63">
                  <c:v>39569</c:v>
                </c:pt>
                <c:pt idx="64">
                  <c:v>39600</c:v>
                </c:pt>
                <c:pt idx="65">
                  <c:v>39630</c:v>
                </c:pt>
                <c:pt idx="66">
                  <c:v>39661</c:v>
                </c:pt>
                <c:pt idx="67">
                  <c:v>39692</c:v>
                </c:pt>
                <c:pt idx="68">
                  <c:v>39722</c:v>
                </c:pt>
                <c:pt idx="69">
                  <c:v>39753</c:v>
                </c:pt>
                <c:pt idx="70">
                  <c:v>39783</c:v>
                </c:pt>
                <c:pt idx="71">
                  <c:v>39814</c:v>
                </c:pt>
                <c:pt idx="72">
                  <c:v>39845</c:v>
                </c:pt>
                <c:pt idx="73">
                  <c:v>39873</c:v>
                </c:pt>
                <c:pt idx="74">
                  <c:v>39904</c:v>
                </c:pt>
                <c:pt idx="75">
                  <c:v>39934</c:v>
                </c:pt>
                <c:pt idx="76">
                  <c:v>39965</c:v>
                </c:pt>
                <c:pt idx="77">
                  <c:v>39995</c:v>
                </c:pt>
                <c:pt idx="78">
                  <c:v>40026</c:v>
                </c:pt>
                <c:pt idx="79">
                  <c:v>40057</c:v>
                </c:pt>
                <c:pt idx="80">
                  <c:v>40087</c:v>
                </c:pt>
                <c:pt idx="81">
                  <c:v>40118</c:v>
                </c:pt>
                <c:pt idx="82">
                  <c:v>40148</c:v>
                </c:pt>
                <c:pt idx="83">
                  <c:v>40179</c:v>
                </c:pt>
                <c:pt idx="84">
                  <c:v>40210</c:v>
                </c:pt>
                <c:pt idx="85">
                  <c:v>40238</c:v>
                </c:pt>
                <c:pt idx="86">
                  <c:v>40269</c:v>
                </c:pt>
                <c:pt idx="87">
                  <c:v>40299</c:v>
                </c:pt>
                <c:pt idx="88">
                  <c:v>40330</c:v>
                </c:pt>
                <c:pt idx="89">
                  <c:v>40360</c:v>
                </c:pt>
                <c:pt idx="90">
                  <c:v>40391</c:v>
                </c:pt>
                <c:pt idx="91">
                  <c:v>40422</c:v>
                </c:pt>
                <c:pt idx="92">
                  <c:v>40452</c:v>
                </c:pt>
                <c:pt idx="93">
                  <c:v>40483</c:v>
                </c:pt>
                <c:pt idx="94">
                  <c:v>40513</c:v>
                </c:pt>
                <c:pt idx="95">
                  <c:v>40544</c:v>
                </c:pt>
                <c:pt idx="96">
                  <c:v>40575</c:v>
                </c:pt>
                <c:pt idx="97">
                  <c:v>40603</c:v>
                </c:pt>
                <c:pt idx="98">
                  <c:v>40634</c:v>
                </c:pt>
                <c:pt idx="99">
                  <c:v>40664</c:v>
                </c:pt>
                <c:pt idx="100">
                  <c:v>40695</c:v>
                </c:pt>
                <c:pt idx="101">
                  <c:v>40725</c:v>
                </c:pt>
                <c:pt idx="102">
                  <c:v>40756</c:v>
                </c:pt>
                <c:pt idx="103">
                  <c:v>40787</c:v>
                </c:pt>
                <c:pt idx="104">
                  <c:v>40817</c:v>
                </c:pt>
                <c:pt idx="105">
                  <c:v>40848</c:v>
                </c:pt>
                <c:pt idx="106">
                  <c:v>40878</c:v>
                </c:pt>
                <c:pt idx="107">
                  <c:v>40909</c:v>
                </c:pt>
                <c:pt idx="108">
                  <c:v>40940</c:v>
                </c:pt>
                <c:pt idx="109">
                  <c:v>40969</c:v>
                </c:pt>
                <c:pt idx="110">
                  <c:v>41000</c:v>
                </c:pt>
                <c:pt idx="111">
                  <c:v>41030</c:v>
                </c:pt>
                <c:pt idx="112">
                  <c:v>41061</c:v>
                </c:pt>
                <c:pt idx="113">
                  <c:v>41091</c:v>
                </c:pt>
                <c:pt idx="114">
                  <c:v>41122</c:v>
                </c:pt>
                <c:pt idx="115">
                  <c:v>41153</c:v>
                </c:pt>
                <c:pt idx="116">
                  <c:v>41183</c:v>
                </c:pt>
                <c:pt idx="117">
                  <c:v>41214</c:v>
                </c:pt>
                <c:pt idx="118">
                  <c:v>41244</c:v>
                </c:pt>
                <c:pt idx="119">
                  <c:v>41275</c:v>
                </c:pt>
                <c:pt idx="120">
                  <c:v>41306</c:v>
                </c:pt>
                <c:pt idx="121">
                  <c:v>41334</c:v>
                </c:pt>
                <c:pt idx="122">
                  <c:v>41365</c:v>
                </c:pt>
                <c:pt idx="123">
                  <c:v>41395</c:v>
                </c:pt>
                <c:pt idx="124">
                  <c:v>41426</c:v>
                </c:pt>
                <c:pt idx="125">
                  <c:v>41456</c:v>
                </c:pt>
                <c:pt idx="126">
                  <c:v>41487</c:v>
                </c:pt>
                <c:pt idx="127">
                  <c:v>41518</c:v>
                </c:pt>
                <c:pt idx="128">
                  <c:v>41548</c:v>
                </c:pt>
                <c:pt idx="129">
                  <c:v>41579</c:v>
                </c:pt>
                <c:pt idx="130">
                  <c:v>41609</c:v>
                </c:pt>
                <c:pt idx="131">
                  <c:v>41640</c:v>
                </c:pt>
                <c:pt idx="132">
                  <c:v>41671</c:v>
                </c:pt>
                <c:pt idx="133">
                  <c:v>41699</c:v>
                </c:pt>
                <c:pt idx="134">
                  <c:v>41730</c:v>
                </c:pt>
                <c:pt idx="135">
                  <c:v>41760</c:v>
                </c:pt>
                <c:pt idx="136">
                  <c:v>41791</c:v>
                </c:pt>
                <c:pt idx="137">
                  <c:v>41821</c:v>
                </c:pt>
                <c:pt idx="138">
                  <c:v>41852</c:v>
                </c:pt>
                <c:pt idx="139">
                  <c:v>41883</c:v>
                </c:pt>
                <c:pt idx="140">
                  <c:v>41913</c:v>
                </c:pt>
                <c:pt idx="141">
                  <c:v>41944</c:v>
                </c:pt>
                <c:pt idx="142">
                  <c:v>41974</c:v>
                </c:pt>
                <c:pt idx="143">
                  <c:v>42005</c:v>
                </c:pt>
                <c:pt idx="144">
                  <c:v>42036</c:v>
                </c:pt>
                <c:pt idx="145">
                  <c:v>42064</c:v>
                </c:pt>
                <c:pt idx="146">
                  <c:v>42095</c:v>
                </c:pt>
                <c:pt idx="147">
                  <c:v>42125</c:v>
                </c:pt>
                <c:pt idx="148">
                  <c:v>42156</c:v>
                </c:pt>
                <c:pt idx="149">
                  <c:v>42186</c:v>
                </c:pt>
                <c:pt idx="150">
                  <c:v>42217</c:v>
                </c:pt>
                <c:pt idx="151">
                  <c:v>42248</c:v>
                </c:pt>
                <c:pt idx="152">
                  <c:v>42278</c:v>
                </c:pt>
                <c:pt idx="153">
                  <c:v>42309</c:v>
                </c:pt>
                <c:pt idx="154">
                  <c:v>42339</c:v>
                </c:pt>
                <c:pt idx="155">
                  <c:v>42370</c:v>
                </c:pt>
                <c:pt idx="156">
                  <c:v>42401</c:v>
                </c:pt>
                <c:pt idx="157">
                  <c:v>42430</c:v>
                </c:pt>
                <c:pt idx="158">
                  <c:v>42461</c:v>
                </c:pt>
                <c:pt idx="159">
                  <c:v>42491</c:v>
                </c:pt>
                <c:pt idx="160">
                  <c:v>42522</c:v>
                </c:pt>
                <c:pt idx="161">
                  <c:v>42552</c:v>
                </c:pt>
                <c:pt idx="162">
                  <c:v>42583</c:v>
                </c:pt>
                <c:pt idx="163">
                  <c:v>42614</c:v>
                </c:pt>
                <c:pt idx="164">
                  <c:v>42644</c:v>
                </c:pt>
                <c:pt idx="165">
                  <c:v>42675</c:v>
                </c:pt>
                <c:pt idx="166">
                  <c:v>42705</c:v>
                </c:pt>
                <c:pt idx="167">
                  <c:v>42736</c:v>
                </c:pt>
                <c:pt idx="168">
                  <c:v>42767</c:v>
                </c:pt>
                <c:pt idx="169">
                  <c:v>42795</c:v>
                </c:pt>
                <c:pt idx="170">
                  <c:v>42826</c:v>
                </c:pt>
                <c:pt idx="171">
                  <c:v>42856</c:v>
                </c:pt>
                <c:pt idx="172">
                  <c:v>42887</c:v>
                </c:pt>
                <c:pt idx="173">
                  <c:v>42917</c:v>
                </c:pt>
                <c:pt idx="174">
                  <c:v>42948</c:v>
                </c:pt>
                <c:pt idx="175">
                  <c:v>42979</c:v>
                </c:pt>
                <c:pt idx="176">
                  <c:v>43009</c:v>
                </c:pt>
                <c:pt idx="177">
                  <c:v>43040</c:v>
                </c:pt>
                <c:pt idx="178">
                  <c:v>43070</c:v>
                </c:pt>
                <c:pt idx="179">
                  <c:v>43101</c:v>
                </c:pt>
                <c:pt idx="180">
                  <c:v>43132</c:v>
                </c:pt>
                <c:pt idx="181">
                  <c:v>43160</c:v>
                </c:pt>
                <c:pt idx="182">
                  <c:v>43191</c:v>
                </c:pt>
                <c:pt idx="183">
                  <c:v>43221</c:v>
                </c:pt>
                <c:pt idx="184">
                  <c:v>43252</c:v>
                </c:pt>
                <c:pt idx="185">
                  <c:v>43282</c:v>
                </c:pt>
                <c:pt idx="186">
                  <c:v>43313</c:v>
                </c:pt>
                <c:pt idx="187">
                  <c:v>43344</c:v>
                </c:pt>
                <c:pt idx="188">
                  <c:v>43374</c:v>
                </c:pt>
                <c:pt idx="189">
                  <c:v>43405</c:v>
                </c:pt>
                <c:pt idx="190">
                  <c:v>43435</c:v>
                </c:pt>
                <c:pt idx="191">
                  <c:v>43466</c:v>
                </c:pt>
                <c:pt idx="192">
                  <c:v>43497</c:v>
                </c:pt>
                <c:pt idx="193">
                  <c:v>43525</c:v>
                </c:pt>
                <c:pt idx="194">
                  <c:v>43556</c:v>
                </c:pt>
                <c:pt idx="195">
                  <c:v>43586</c:v>
                </c:pt>
                <c:pt idx="196">
                  <c:v>43617</c:v>
                </c:pt>
                <c:pt idx="197">
                  <c:v>43647</c:v>
                </c:pt>
                <c:pt idx="198">
                  <c:v>43678</c:v>
                </c:pt>
                <c:pt idx="199">
                  <c:v>43709</c:v>
                </c:pt>
                <c:pt idx="200">
                  <c:v>43739</c:v>
                </c:pt>
                <c:pt idx="201">
                  <c:v>43770</c:v>
                </c:pt>
                <c:pt idx="202">
                  <c:v>43800</c:v>
                </c:pt>
                <c:pt idx="203">
                  <c:v>43831</c:v>
                </c:pt>
                <c:pt idx="204">
                  <c:v>43862</c:v>
                </c:pt>
                <c:pt idx="205">
                  <c:v>43891</c:v>
                </c:pt>
                <c:pt idx="206">
                  <c:v>43922</c:v>
                </c:pt>
                <c:pt idx="207">
                  <c:v>43952</c:v>
                </c:pt>
                <c:pt idx="208">
                  <c:v>43983</c:v>
                </c:pt>
                <c:pt idx="209">
                  <c:v>44013</c:v>
                </c:pt>
                <c:pt idx="210">
                  <c:v>44044</c:v>
                </c:pt>
                <c:pt idx="211">
                  <c:v>44075</c:v>
                </c:pt>
                <c:pt idx="212">
                  <c:v>44105</c:v>
                </c:pt>
                <c:pt idx="213">
                  <c:v>44136</c:v>
                </c:pt>
                <c:pt idx="214">
                  <c:v>44166</c:v>
                </c:pt>
                <c:pt idx="215">
                  <c:v>44197</c:v>
                </c:pt>
                <c:pt idx="216">
                  <c:v>44228</c:v>
                </c:pt>
                <c:pt idx="217">
                  <c:v>44256</c:v>
                </c:pt>
                <c:pt idx="218">
                  <c:v>44287</c:v>
                </c:pt>
                <c:pt idx="219">
                  <c:v>44317</c:v>
                </c:pt>
                <c:pt idx="220">
                  <c:v>44348</c:v>
                </c:pt>
                <c:pt idx="221">
                  <c:v>44378</c:v>
                </c:pt>
                <c:pt idx="222">
                  <c:v>44409</c:v>
                </c:pt>
                <c:pt idx="223">
                  <c:v>44440</c:v>
                </c:pt>
                <c:pt idx="224">
                  <c:v>44470</c:v>
                </c:pt>
                <c:pt idx="225">
                  <c:v>44501</c:v>
                </c:pt>
                <c:pt idx="226">
                  <c:v>44531</c:v>
                </c:pt>
                <c:pt idx="227">
                  <c:v>44562</c:v>
                </c:pt>
                <c:pt idx="228">
                  <c:v>44593</c:v>
                </c:pt>
              </c:numCache>
            </c:numRef>
          </c:cat>
          <c:val>
            <c:numRef>
              <c:f>HPFILTER!$G$9:$G$247</c:f>
              <c:numCache>
                <c:formatCode>0.0</c:formatCode>
                <c:ptCount val="239"/>
                <c:pt idx="0">
                  <c:v>101.95</c:v>
                </c:pt>
                <c:pt idx="1">
                  <c:v>102.03</c:v>
                </c:pt>
                <c:pt idx="2">
                  <c:v>100.92</c:v>
                </c:pt>
                <c:pt idx="3">
                  <c:v>99.89</c:v>
                </c:pt>
                <c:pt idx="4">
                  <c:v>100.28</c:v>
                </c:pt>
                <c:pt idx="5">
                  <c:v>99.07</c:v>
                </c:pt>
                <c:pt idx="6">
                  <c:v>99.73</c:v>
                </c:pt>
                <c:pt idx="7">
                  <c:v>101.71</c:v>
                </c:pt>
                <c:pt idx="8">
                  <c:v>101.88</c:v>
                </c:pt>
                <c:pt idx="9">
                  <c:v>101.97</c:v>
                </c:pt>
                <c:pt idx="10">
                  <c:v>101.58</c:v>
                </c:pt>
                <c:pt idx="11">
                  <c:v>103.57</c:v>
                </c:pt>
                <c:pt idx="12">
                  <c:v>104.49</c:v>
                </c:pt>
                <c:pt idx="13">
                  <c:v>105.98</c:v>
                </c:pt>
                <c:pt idx="14">
                  <c:v>106.41</c:v>
                </c:pt>
                <c:pt idx="15">
                  <c:v>106.44</c:v>
                </c:pt>
                <c:pt idx="16">
                  <c:v>107.22</c:v>
                </c:pt>
                <c:pt idx="17">
                  <c:v>107.82</c:v>
                </c:pt>
                <c:pt idx="18">
                  <c:v>108.19</c:v>
                </c:pt>
                <c:pt idx="19">
                  <c:v>109.46</c:v>
                </c:pt>
                <c:pt idx="20">
                  <c:v>108.73</c:v>
                </c:pt>
                <c:pt idx="21">
                  <c:v>109.62</c:v>
                </c:pt>
                <c:pt idx="22">
                  <c:v>108.79</c:v>
                </c:pt>
                <c:pt idx="23">
                  <c:v>109.62</c:v>
                </c:pt>
                <c:pt idx="24">
                  <c:v>110.14</c:v>
                </c:pt>
                <c:pt idx="25">
                  <c:v>110.43</c:v>
                </c:pt>
                <c:pt idx="26">
                  <c:v>110.95</c:v>
                </c:pt>
                <c:pt idx="27">
                  <c:v>110.99</c:v>
                </c:pt>
                <c:pt idx="28">
                  <c:v>110.63</c:v>
                </c:pt>
                <c:pt idx="29">
                  <c:v>110.63</c:v>
                </c:pt>
                <c:pt idx="30">
                  <c:v>111.29</c:v>
                </c:pt>
                <c:pt idx="31">
                  <c:v>110.86</c:v>
                </c:pt>
                <c:pt idx="32">
                  <c:v>111.05</c:v>
                </c:pt>
                <c:pt idx="33">
                  <c:v>111.81</c:v>
                </c:pt>
                <c:pt idx="34">
                  <c:v>112.32</c:v>
                </c:pt>
                <c:pt idx="35">
                  <c:v>113.38</c:v>
                </c:pt>
                <c:pt idx="36">
                  <c:v>113.61</c:v>
                </c:pt>
                <c:pt idx="37">
                  <c:v>113.55</c:v>
                </c:pt>
                <c:pt idx="38">
                  <c:v>114.23</c:v>
                </c:pt>
                <c:pt idx="39">
                  <c:v>115.66</c:v>
                </c:pt>
                <c:pt idx="40">
                  <c:v>114.72</c:v>
                </c:pt>
                <c:pt idx="41">
                  <c:v>116.94</c:v>
                </c:pt>
                <c:pt idx="42">
                  <c:v>116.62</c:v>
                </c:pt>
                <c:pt idx="43">
                  <c:v>116.82</c:v>
                </c:pt>
                <c:pt idx="44">
                  <c:v>118.07</c:v>
                </c:pt>
                <c:pt idx="45">
                  <c:v>118.87</c:v>
                </c:pt>
                <c:pt idx="46">
                  <c:v>119.87</c:v>
                </c:pt>
                <c:pt idx="47">
                  <c:v>119.66</c:v>
                </c:pt>
                <c:pt idx="48">
                  <c:v>120.17</c:v>
                </c:pt>
                <c:pt idx="49">
                  <c:v>119.4</c:v>
                </c:pt>
                <c:pt idx="50">
                  <c:v>121.18</c:v>
                </c:pt>
                <c:pt idx="51">
                  <c:v>122.38</c:v>
                </c:pt>
                <c:pt idx="52">
                  <c:v>123.41</c:v>
                </c:pt>
                <c:pt idx="53">
                  <c:v>124.23</c:v>
                </c:pt>
                <c:pt idx="54">
                  <c:v>124.34</c:v>
                </c:pt>
                <c:pt idx="55">
                  <c:v>125.35</c:v>
                </c:pt>
                <c:pt idx="56">
                  <c:v>126.32</c:v>
                </c:pt>
                <c:pt idx="57">
                  <c:v>126.17</c:v>
                </c:pt>
                <c:pt idx="58">
                  <c:v>126.96</c:v>
                </c:pt>
                <c:pt idx="59">
                  <c:v>127.22</c:v>
                </c:pt>
                <c:pt idx="60">
                  <c:v>126.83</c:v>
                </c:pt>
                <c:pt idx="61">
                  <c:v>126.44</c:v>
                </c:pt>
                <c:pt idx="62">
                  <c:v>127.7</c:v>
                </c:pt>
                <c:pt idx="63">
                  <c:v>129.4</c:v>
                </c:pt>
                <c:pt idx="64">
                  <c:v>131.19</c:v>
                </c:pt>
                <c:pt idx="65">
                  <c:v>130.93</c:v>
                </c:pt>
                <c:pt idx="66">
                  <c:v>130.99</c:v>
                </c:pt>
                <c:pt idx="67">
                  <c:v>130.93</c:v>
                </c:pt>
                <c:pt idx="68">
                  <c:v>128.19</c:v>
                </c:pt>
                <c:pt idx="69">
                  <c:v>124.95</c:v>
                </c:pt>
                <c:pt idx="70">
                  <c:v>120.93</c:v>
                </c:pt>
                <c:pt idx="71">
                  <c:v>120.82</c:v>
                </c:pt>
                <c:pt idx="72">
                  <c:v>122.19</c:v>
                </c:pt>
                <c:pt idx="73">
                  <c:v>122.97</c:v>
                </c:pt>
                <c:pt idx="74">
                  <c:v>123.64</c:v>
                </c:pt>
                <c:pt idx="75">
                  <c:v>124.87</c:v>
                </c:pt>
                <c:pt idx="76">
                  <c:v>125.93</c:v>
                </c:pt>
                <c:pt idx="77">
                  <c:v>126.29</c:v>
                </c:pt>
                <c:pt idx="78">
                  <c:v>128.09</c:v>
                </c:pt>
                <c:pt idx="79">
                  <c:v>129.12</c:v>
                </c:pt>
                <c:pt idx="80">
                  <c:v>129.79</c:v>
                </c:pt>
                <c:pt idx="81">
                  <c:v>130.02000000000001</c:v>
                </c:pt>
                <c:pt idx="82">
                  <c:v>131.30000000000001</c:v>
                </c:pt>
                <c:pt idx="83">
                  <c:v>133.47</c:v>
                </c:pt>
                <c:pt idx="84">
                  <c:v>135.16999999999999</c:v>
                </c:pt>
                <c:pt idx="85">
                  <c:v>136.59</c:v>
                </c:pt>
                <c:pt idx="86">
                  <c:v>137.05000000000001</c:v>
                </c:pt>
                <c:pt idx="87">
                  <c:v>136.49</c:v>
                </c:pt>
                <c:pt idx="88">
                  <c:v>136.22999999999999</c:v>
                </c:pt>
                <c:pt idx="89">
                  <c:v>136.93</c:v>
                </c:pt>
                <c:pt idx="90">
                  <c:v>137.66999999999999</c:v>
                </c:pt>
                <c:pt idx="91">
                  <c:v>139.41</c:v>
                </c:pt>
                <c:pt idx="92">
                  <c:v>138.72</c:v>
                </c:pt>
                <c:pt idx="93">
                  <c:v>140.09</c:v>
                </c:pt>
                <c:pt idx="94">
                  <c:v>138.29</c:v>
                </c:pt>
                <c:pt idx="95">
                  <c:v>140.13999999999999</c:v>
                </c:pt>
                <c:pt idx="96">
                  <c:v>140.72</c:v>
                </c:pt>
                <c:pt idx="97">
                  <c:v>141.1</c:v>
                </c:pt>
                <c:pt idx="98">
                  <c:v>140.84</c:v>
                </c:pt>
                <c:pt idx="99">
                  <c:v>141.27000000000001</c:v>
                </c:pt>
                <c:pt idx="100">
                  <c:v>142.22</c:v>
                </c:pt>
                <c:pt idx="101">
                  <c:v>142.25</c:v>
                </c:pt>
                <c:pt idx="102">
                  <c:v>141.96</c:v>
                </c:pt>
                <c:pt idx="103">
                  <c:v>141.79</c:v>
                </c:pt>
                <c:pt idx="104">
                  <c:v>141.58000000000001</c:v>
                </c:pt>
                <c:pt idx="105">
                  <c:v>142.25</c:v>
                </c:pt>
                <c:pt idx="106">
                  <c:v>140.44999999999999</c:v>
                </c:pt>
                <c:pt idx="107">
                  <c:v>138.87</c:v>
                </c:pt>
                <c:pt idx="108">
                  <c:v>140.49</c:v>
                </c:pt>
                <c:pt idx="109">
                  <c:v>140.06</c:v>
                </c:pt>
                <c:pt idx="110">
                  <c:v>141.04</c:v>
                </c:pt>
                <c:pt idx="111">
                  <c:v>142.66999999999999</c:v>
                </c:pt>
                <c:pt idx="112">
                  <c:v>143.56</c:v>
                </c:pt>
                <c:pt idx="113">
                  <c:v>144.03</c:v>
                </c:pt>
                <c:pt idx="114">
                  <c:v>144.35</c:v>
                </c:pt>
                <c:pt idx="115">
                  <c:v>143.71</c:v>
                </c:pt>
                <c:pt idx="116">
                  <c:v>144.86000000000001</c:v>
                </c:pt>
                <c:pt idx="117">
                  <c:v>144.58000000000001</c:v>
                </c:pt>
                <c:pt idx="118">
                  <c:v>144.16</c:v>
                </c:pt>
                <c:pt idx="119">
                  <c:v>144.99</c:v>
                </c:pt>
                <c:pt idx="120">
                  <c:v>143.77000000000001</c:v>
                </c:pt>
                <c:pt idx="121">
                  <c:v>144.94999999999999</c:v>
                </c:pt>
                <c:pt idx="122">
                  <c:v>146.24</c:v>
                </c:pt>
                <c:pt idx="123">
                  <c:v>146.83000000000001</c:v>
                </c:pt>
                <c:pt idx="124">
                  <c:v>146.35</c:v>
                </c:pt>
                <c:pt idx="125">
                  <c:v>147.19</c:v>
                </c:pt>
                <c:pt idx="126">
                  <c:v>147.11000000000001</c:v>
                </c:pt>
                <c:pt idx="127">
                  <c:v>148.13999999999999</c:v>
                </c:pt>
                <c:pt idx="128">
                  <c:v>147.99</c:v>
                </c:pt>
                <c:pt idx="129">
                  <c:v>148.34</c:v>
                </c:pt>
                <c:pt idx="130">
                  <c:v>148.61000000000001</c:v>
                </c:pt>
                <c:pt idx="131">
                  <c:v>148.27000000000001</c:v>
                </c:pt>
                <c:pt idx="132">
                  <c:v>147.85</c:v>
                </c:pt>
                <c:pt idx="133">
                  <c:v>147.88999999999999</c:v>
                </c:pt>
                <c:pt idx="134">
                  <c:v>146.88</c:v>
                </c:pt>
                <c:pt idx="135">
                  <c:v>146.30000000000001</c:v>
                </c:pt>
                <c:pt idx="136">
                  <c:v>143.61000000000001</c:v>
                </c:pt>
                <c:pt idx="137">
                  <c:v>144.81</c:v>
                </c:pt>
                <c:pt idx="138">
                  <c:v>145.58000000000001</c:v>
                </c:pt>
                <c:pt idx="139">
                  <c:v>146.24</c:v>
                </c:pt>
                <c:pt idx="140">
                  <c:v>145.41999999999999</c:v>
                </c:pt>
                <c:pt idx="141">
                  <c:v>145.56</c:v>
                </c:pt>
                <c:pt idx="142">
                  <c:v>146.21</c:v>
                </c:pt>
                <c:pt idx="143">
                  <c:v>144.96</c:v>
                </c:pt>
                <c:pt idx="144">
                  <c:v>143.97999999999999</c:v>
                </c:pt>
                <c:pt idx="145">
                  <c:v>143.72999999999999</c:v>
                </c:pt>
                <c:pt idx="146">
                  <c:v>142.38</c:v>
                </c:pt>
                <c:pt idx="147">
                  <c:v>141.08000000000001</c:v>
                </c:pt>
                <c:pt idx="148">
                  <c:v>139.58000000000001</c:v>
                </c:pt>
                <c:pt idx="149">
                  <c:v>138.66999999999999</c:v>
                </c:pt>
                <c:pt idx="150">
                  <c:v>138.93</c:v>
                </c:pt>
                <c:pt idx="151">
                  <c:v>137.57</c:v>
                </c:pt>
                <c:pt idx="152">
                  <c:v>138.51</c:v>
                </c:pt>
                <c:pt idx="153">
                  <c:v>136.68</c:v>
                </c:pt>
                <c:pt idx="154">
                  <c:v>136.31</c:v>
                </c:pt>
                <c:pt idx="155">
                  <c:v>135.52000000000001</c:v>
                </c:pt>
                <c:pt idx="156">
                  <c:v>135.51</c:v>
                </c:pt>
                <c:pt idx="157">
                  <c:v>134.61000000000001</c:v>
                </c:pt>
                <c:pt idx="158">
                  <c:v>134.72999999999999</c:v>
                </c:pt>
                <c:pt idx="159">
                  <c:v>134.29</c:v>
                </c:pt>
                <c:pt idx="160">
                  <c:v>134.84</c:v>
                </c:pt>
                <c:pt idx="161">
                  <c:v>134.61000000000001</c:v>
                </c:pt>
                <c:pt idx="162">
                  <c:v>134</c:v>
                </c:pt>
                <c:pt idx="163">
                  <c:v>133.75</c:v>
                </c:pt>
                <c:pt idx="164">
                  <c:v>133.30000000000001</c:v>
                </c:pt>
                <c:pt idx="165">
                  <c:v>133.02000000000001</c:v>
                </c:pt>
                <c:pt idx="166">
                  <c:v>132.36000000000001</c:v>
                </c:pt>
                <c:pt idx="167">
                  <c:v>133.37</c:v>
                </c:pt>
                <c:pt idx="168">
                  <c:v>135.4</c:v>
                </c:pt>
                <c:pt idx="169">
                  <c:v>135.65</c:v>
                </c:pt>
                <c:pt idx="170">
                  <c:v>135.77000000000001</c:v>
                </c:pt>
                <c:pt idx="171">
                  <c:v>135.16999999999999</c:v>
                </c:pt>
                <c:pt idx="172">
                  <c:v>136.04</c:v>
                </c:pt>
                <c:pt idx="173">
                  <c:v>136.49</c:v>
                </c:pt>
                <c:pt idx="174">
                  <c:v>135.81</c:v>
                </c:pt>
                <c:pt idx="175">
                  <c:v>135.49</c:v>
                </c:pt>
                <c:pt idx="176">
                  <c:v>135.77000000000001</c:v>
                </c:pt>
                <c:pt idx="177">
                  <c:v>135.57</c:v>
                </c:pt>
                <c:pt idx="178">
                  <c:v>137.43</c:v>
                </c:pt>
                <c:pt idx="179">
                  <c:v>136.85</c:v>
                </c:pt>
                <c:pt idx="180">
                  <c:v>136.63999999999999</c:v>
                </c:pt>
                <c:pt idx="181">
                  <c:v>137.26</c:v>
                </c:pt>
                <c:pt idx="182">
                  <c:v>138.36000000000001</c:v>
                </c:pt>
                <c:pt idx="183">
                  <c:v>133.38999999999999</c:v>
                </c:pt>
                <c:pt idx="184">
                  <c:v>137.44</c:v>
                </c:pt>
                <c:pt idx="185">
                  <c:v>138.04</c:v>
                </c:pt>
                <c:pt idx="186">
                  <c:v>139.32</c:v>
                </c:pt>
                <c:pt idx="187">
                  <c:v>137.99</c:v>
                </c:pt>
                <c:pt idx="188">
                  <c:v>138.06</c:v>
                </c:pt>
                <c:pt idx="189">
                  <c:v>137.86000000000001</c:v>
                </c:pt>
                <c:pt idx="190">
                  <c:v>138.53</c:v>
                </c:pt>
                <c:pt idx="191">
                  <c:v>138.47999999999999</c:v>
                </c:pt>
                <c:pt idx="192">
                  <c:v>137.38</c:v>
                </c:pt>
                <c:pt idx="193">
                  <c:v>138.41999999999999</c:v>
                </c:pt>
                <c:pt idx="194">
                  <c:v>138.09</c:v>
                </c:pt>
                <c:pt idx="195">
                  <c:v>138.96</c:v>
                </c:pt>
                <c:pt idx="196">
                  <c:v>138.99</c:v>
                </c:pt>
                <c:pt idx="197">
                  <c:v>138.56</c:v>
                </c:pt>
                <c:pt idx="198">
                  <c:v>138.59</c:v>
                </c:pt>
                <c:pt idx="199">
                  <c:v>139.09</c:v>
                </c:pt>
                <c:pt idx="200">
                  <c:v>139.96</c:v>
                </c:pt>
                <c:pt idx="201">
                  <c:v>138.79</c:v>
                </c:pt>
                <c:pt idx="202">
                  <c:v>138.09</c:v>
                </c:pt>
                <c:pt idx="203">
                  <c:v>138.83000000000001</c:v>
                </c:pt>
                <c:pt idx="204">
                  <c:v>139.36000000000001</c:v>
                </c:pt>
                <c:pt idx="205">
                  <c:v>132.13</c:v>
                </c:pt>
                <c:pt idx="206">
                  <c:v>118.98</c:v>
                </c:pt>
                <c:pt idx="207">
                  <c:v>121.47</c:v>
                </c:pt>
                <c:pt idx="208">
                  <c:v>127.62</c:v>
                </c:pt>
                <c:pt idx="209">
                  <c:v>131.76</c:v>
                </c:pt>
                <c:pt idx="210">
                  <c:v>134.5</c:v>
                </c:pt>
                <c:pt idx="211">
                  <c:v>136.44</c:v>
                </c:pt>
                <c:pt idx="212">
                  <c:v>138.36000000000001</c:v>
                </c:pt>
                <c:pt idx="213">
                  <c:v>137.9</c:v>
                </c:pt>
                <c:pt idx="214">
                  <c:v>138.19</c:v>
                </c:pt>
                <c:pt idx="215">
                  <c:v>139.01</c:v>
                </c:pt>
                <c:pt idx="216">
                  <c:v>141.1</c:v>
                </c:pt>
                <c:pt idx="217">
                  <c:v>138.85</c:v>
                </c:pt>
                <c:pt idx="218">
                  <c:v>139.22999999999999</c:v>
                </c:pt>
                <c:pt idx="219">
                  <c:v>139.28</c:v>
                </c:pt>
                <c:pt idx="220">
                  <c:v>139.53</c:v>
                </c:pt>
                <c:pt idx="221">
                  <c:v>139.36000000000001</c:v>
                </c:pt>
                <c:pt idx="222">
                  <c:v>139.5</c:v>
                </c:pt>
                <c:pt idx="223">
                  <c:v>138.69999999999999</c:v>
                </c:pt>
                <c:pt idx="224">
                  <c:v>138.77000000000001</c:v>
                </c:pt>
                <c:pt idx="225">
                  <c:v>139.4</c:v>
                </c:pt>
                <c:pt idx="226">
                  <c:v>139.85</c:v>
                </c:pt>
                <c:pt idx="227">
                  <c:v>138.83000000000001</c:v>
                </c:pt>
                <c:pt idx="228">
                  <c:v>139.30000000000001</c:v>
                </c:pt>
              </c:numCache>
            </c:numRef>
          </c:val>
          <c:smooth val="0"/>
          <c:extLst>
            <c:ext xmlns:c16="http://schemas.microsoft.com/office/drawing/2014/chart" uri="{C3380CC4-5D6E-409C-BE32-E72D297353CC}">
              <c16:uniqueId val="{00000000-A199-40C0-AF8C-CEC058C83184}"/>
            </c:ext>
          </c:extLst>
        </c:ser>
        <c:ser>
          <c:idx val="1"/>
          <c:order val="1"/>
          <c:tx>
            <c:v>HP trend</c:v>
          </c:tx>
          <c:spPr>
            <a:ln w="19050" cap="rnd">
              <a:solidFill>
                <a:schemeClr val="accent2"/>
              </a:solidFill>
              <a:round/>
            </a:ln>
            <a:effectLst/>
          </c:spPr>
          <c:marker>
            <c:symbol val="none"/>
          </c:marker>
          <c:cat>
            <c:numRef>
              <c:f>HPFILTER!$F$9:$F$247</c:f>
              <c:numCache>
                <c:formatCode>[$-416]mmm\-yy;@</c:formatCode>
                <c:ptCount val="239"/>
                <c:pt idx="0">
                  <c:v>37653</c:v>
                </c:pt>
                <c:pt idx="1">
                  <c:v>37681</c:v>
                </c:pt>
                <c:pt idx="2">
                  <c:v>37712</c:v>
                </c:pt>
                <c:pt idx="3">
                  <c:v>37742</c:v>
                </c:pt>
                <c:pt idx="4">
                  <c:v>37773</c:v>
                </c:pt>
                <c:pt idx="5">
                  <c:v>37803</c:v>
                </c:pt>
                <c:pt idx="6">
                  <c:v>37834</c:v>
                </c:pt>
                <c:pt idx="7">
                  <c:v>37865</c:v>
                </c:pt>
                <c:pt idx="8">
                  <c:v>37895</c:v>
                </c:pt>
                <c:pt idx="9">
                  <c:v>37926</c:v>
                </c:pt>
                <c:pt idx="10">
                  <c:v>37956</c:v>
                </c:pt>
                <c:pt idx="11">
                  <c:v>37987</c:v>
                </c:pt>
                <c:pt idx="12">
                  <c:v>38018</c:v>
                </c:pt>
                <c:pt idx="13">
                  <c:v>38047</c:v>
                </c:pt>
                <c:pt idx="14">
                  <c:v>38078</c:v>
                </c:pt>
                <c:pt idx="15">
                  <c:v>38108</c:v>
                </c:pt>
                <c:pt idx="16">
                  <c:v>38139</c:v>
                </c:pt>
                <c:pt idx="17">
                  <c:v>38169</c:v>
                </c:pt>
                <c:pt idx="18">
                  <c:v>38200</c:v>
                </c:pt>
                <c:pt idx="19">
                  <c:v>38231</c:v>
                </c:pt>
                <c:pt idx="20">
                  <c:v>38261</c:v>
                </c:pt>
                <c:pt idx="21">
                  <c:v>38292</c:v>
                </c:pt>
                <c:pt idx="22">
                  <c:v>38322</c:v>
                </c:pt>
                <c:pt idx="23">
                  <c:v>38353</c:v>
                </c:pt>
                <c:pt idx="24">
                  <c:v>38384</c:v>
                </c:pt>
                <c:pt idx="25">
                  <c:v>38412</c:v>
                </c:pt>
                <c:pt idx="26">
                  <c:v>38443</c:v>
                </c:pt>
                <c:pt idx="27">
                  <c:v>38473</c:v>
                </c:pt>
                <c:pt idx="28">
                  <c:v>38504</c:v>
                </c:pt>
                <c:pt idx="29">
                  <c:v>38534</c:v>
                </c:pt>
                <c:pt idx="30">
                  <c:v>38565</c:v>
                </c:pt>
                <c:pt idx="31">
                  <c:v>38596</c:v>
                </c:pt>
                <c:pt idx="32">
                  <c:v>38626</c:v>
                </c:pt>
                <c:pt idx="33">
                  <c:v>38657</c:v>
                </c:pt>
                <c:pt idx="34">
                  <c:v>38687</c:v>
                </c:pt>
                <c:pt idx="35">
                  <c:v>38718</c:v>
                </c:pt>
                <c:pt idx="36">
                  <c:v>38749</c:v>
                </c:pt>
                <c:pt idx="37">
                  <c:v>38777</c:v>
                </c:pt>
                <c:pt idx="38">
                  <c:v>38808</c:v>
                </c:pt>
                <c:pt idx="39">
                  <c:v>38838</c:v>
                </c:pt>
                <c:pt idx="40">
                  <c:v>38869</c:v>
                </c:pt>
                <c:pt idx="41">
                  <c:v>38899</c:v>
                </c:pt>
                <c:pt idx="42">
                  <c:v>38930</c:v>
                </c:pt>
                <c:pt idx="43">
                  <c:v>38961</c:v>
                </c:pt>
                <c:pt idx="44">
                  <c:v>38991</c:v>
                </c:pt>
                <c:pt idx="45">
                  <c:v>39022</c:v>
                </c:pt>
                <c:pt idx="46">
                  <c:v>39052</c:v>
                </c:pt>
                <c:pt idx="47">
                  <c:v>39083</c:v>
                </c:pt>
                <c:pt idx="48">
                  <c:v>39114</c:v>
                </c:pt>
                <c:pt idx="49">
                  <c:v>39142</c:v>
                </c:pt>
                <c:pt idx="50">
                  <c:v>39173</c:v>
                </c:pt>
                <c:pt idx="51">
                  <c:v>39203</c:v>
                </c:pt>
                <c:pt idx="52">
                  <c:v>39234</c:v>
                </c:pt>
                <c:pt idx="53">
                  <c:v>39264</c:v>
                </c:pt>
                <c:pt idx="54">
                  <c:v>39295</c:v>
                </c:pt>
                <c:pt idx="55">
                  <c:v>39326</c:v>
                </c:pt>
                <c:pt idx="56">
                  <c:v>39356</c:v>
                </c:pt>
                <c:pt idx="57">
                  <c:v>39387</c:v>
                </c:pt>
                <c:pt idx="58">
                  <c:v>39417</c:v>
                </c:pt>
                <c:pt idx="59">
                  <c:v>39448</c:v>
                </c:pt>
                <c:pt idx="60">
                  <c:v>39479</c:v>
                </c:pt>
                <c:pt idx="61">
                  <c:v>39508</c:v>
                </c:pt>
                <c:pt idx="62">
                  <c:v>39539</c:v>
                </c:pt>
                <c:pt idx="63">
                  <c:v>39569</c:v>
                </c:pt>
                <c:pt idx="64">
                  <c:v>39600</c:v>
                </c:pt>
                <c:pt idx="65">
                  <c:v>39630</c:v>
                </c:pt>
                <c:pt idx="66">
                  <c:v>39661</c:v>
                </c:pt>
                <c:pt idx="67">
                  <c:v>39692</c:v>
                </c:pt>
                <c:pt idx="68">
                  <c:v>39722</c:v>
                </c:pt>
                <c:pt idx="69">
                  <c:v>39753</c:v>
                </c:pt>
                <c:pt idx="70">
                  <c:v>39783</c:v>
                </c:pt>
                <c:pt idx="71">
                  <c:v>39814</c:v>
                </c:pt>
                <c:pt idx="72">
                  <c:v>39845</c:v>
                </c:pt>
                <c:pt idx="73">
                  <c:v>39873</c:v>
                </c:pt>
                <c:pt idx="74">
                  <c:v>39904</c:v>
                </c:pt>
                <c:pt idx="75">
                  <c:v>39934</c:v>
                </c:pt>
                <c:pt idx="76">
                  <c:v>39965</c:v>
                </c:pt>
                <c:pt idx="77">
                  <c:v>39995</c:v>
                </c:pt>
                <c:pt idx="78">
                  <c:v>40026</c:v>
                </c:pt>
                <c:pt idx="79">
                  <c:v>40057</c:v>
                </c:pt>
                <c:pt idx="80">
                  <c:v>40087</c:v>
                </c:pt>
                <c:pt idx="81">
                  <c:v>40118</c:v>
                </c:pt>
                <c:pt idx="82">
                  <c:v>40148</c:v>
                </c:pt>
                <c:pt idx="83">
                  <c:v>40179</c:v>
                </c:pt>
                <c:pt idx="84">
                  <c:v>40210</c:v>
                </c:pt>
                <c:pt idx="85">
                  <c:v>40238</c:v>
                </c:pt>
                <c:pt idx="86">
                  <c:v>40269</c:v>
                </c:pt>
                <c:pt idx="87">
                  <c:v>40299</c:v>
                </c:pt>
                <c:pt idx="88">
                  <c:v>40330</c:v>
                </c:pt>
                <c:pt idx="89">
                  <c:v>40360</c:v>
                </c:pt>
                <c:pt idx="90">
                  <c:v>40391</c:v>
                </c:pt>
                <c:pt idx="91">
                  <c:v>40422</c:v>
                </c:pt>
                <c:pt idx="92">
                  <c:v>40452</c:v>
                </c:pt>
                <c:pt idx="93">
                  <c:v>40483</c:v>
                </c:pt>
                <c:pt idx="94">
                  <c:v>40513</c:v>
                </c:pt>
                <c:pt idx="95">
                  <c:v>40544</c:v>
                </c:pt>
                <c:pt idx="96">
                  <c:v>40575</c:v>
                </c:pt>
                <c:pt idx="97">
                  <c:v>40603</c:v>
                </c:pt>
                <c:pt idx="98">
                  <c:v>40634</c:v>
                </c:pt>
                <c:pt idx="99">
                  <c:v>40664</c:v>
                </c:pt>
                <c:pt idx="100">
                  <c:v>40695</c:v>
                </c:pt>
                <c:pt idx="101">
                  <c:v>40725</c:v>
                </c:pt>
                <c:pt idx="102">
                  <c:v>40756</c:v>
                </c:pt>
                <c:pt idx="103">
                  <c:v>40787</c:v>
                </c:pt>
                <c:pt idx="104">
                  <c:v>40817</c:v>
                </c:pt>
                <c:pt idx="105">
                  <c:v>40848</c:v>
                </c:pt>
                <c:pt idx="106">
                  <c:v>40878</c:v>
                </c:pt>
                <c:pt idx="107">
                  <c:v>40909</c:v>
                </c:pt>
                <c:pt idx="108">
                  <c:v>40940</c:v>
                </c:pt>
                <c:pt idx="109">
                  <c:v>40969</c:v>
                </c:pt>
                <c:pt idx="110">
                  <c:v>41000</c:v>
                </c:pt>
                <c:pt idx="111">
                  <c:v>41030</c:v>
                </c:pt>
                <c:pt idx="112">
                  <c:v>41061</c:v>
                </c:pt>
                <c:pt idx="113">
                  <c:v>41091</c:v>
                </c:pt>
                <c:pt idx="114">
                  <c:v>41122</c:v>
                </c:pt>
                <c:pt idx="115">
                  <c:v>41153</c:v>
                </c:pt>
                <c:pt idx="116">
                  <c:v>41183</c:v>
                </c:pt>
                <c:pt idx="117">
                  <c:v>41214</c:v>
                </c:pt>
                <c:pt idx="118">
                  <c:v>41244</c:v>
                </c:pt>
                <c:pt idx="119">
                  <c:v>41275</c:v>
                </c:pt>
                <c:pt idx="120">
                  <c:v>41306</c:v>
                </c:pt>
                <c:pt idx="121">
                  <c:v>41334</c:v>
                </c:pt>
                <c:pt idx="122">
                  <c:v>41365</c:v>
                </c:pt>
                <c:pt idx="123">
                  <c:v>41395</c:v>
                </c:pt>
                <c:pt idx="124">
                  <c:v>41426</c:v>
                </c:pt>
                <c:pt idx="125">
                  <c:v>41456</c:v>
                </c:pt>
                <c:pt idx="126">
                  <c:v>41487</c:v>
                </c:pt>
                <c:pt idx="127">
                  <c:v>41518</c:v>
                </c:pt>
                <c:pt idx="128">
                  <c:v>41548</c:v>
                </c:pt>
                <c:pt idx="129">
                  <c:v>41579</c:v>
                </c:pt>
                <c:pt idx="130">
                  <c:v>41609</c:v>
                </c:pt>
                <c:pt idx="131">
                  <c:v>41640</c:v>
                </c:pt>
                <c:pt idx="132">
                  <c:v>41671</c:v>
                </c:pt>
                <c:pt idx="133">
                  <c:v>41699</c:v>
                </c:pt>
                <c:pt idx="134">
                  <c:v>41730</c:v>
                </c:pt>
                <c:pt idx="135">
                  <c:v>41760</c:v>
                </c:pt>
                <c:pt idx="136">
                  <c:v>41791</c:v>
                </c:pt>
                <c:pt idx="137">
                  <c:v>41821</c:v>
                </c:pt>
                <c:pt idx="138">
                  <c:v>41852</c:v>
                </c:pt>
                <c:pt idx="139">
                  <c:v>41883</c:v>
                </c:pt>
                <c:pt idx="140">
                  <c:v>41913</c:v>
                </c:pt>
                <c:pt idx="141">
                  <c:v>41944</c:v>
                </c:pt>
                <c:pt idx="142">
                  <c:v>41974</c:v>
                </c:pt>
                <c:pt idx="143">
                  <c:v>42005</c:v>
                </c:pt>
                <c:pt idx="144">
                  <c:v>42036</c:v>
                </c:pt>
                <c:pt idx="145">
                  <c:v>42064</c:v>
                </c:pt>
                <c:pt idx="146">
                  <c:v>42095</c:v>
                </c:pt>
                <c:pt idx="147">
                  <c:v>42125</c:v>
                </c:pt>
                <c:pt idx="148">
                  <c:v>42156</c:v>
                </c:pt>
                <c:pt idx="149">
                  <c:v>42186</c:v>
                </c:pt>
                <c:pt idx="150">
                  <c:v>42217</c:v>
                </c:pt>
                <c:pt idx="151">
                  <c:v>42248</c:v>
                </c:pt>
                <c:pt idx="152">
                  <c:v>42278</c:v>
                </c:pt>
                <c:pt idx="153">
                  <c:v>42309</c:v>
                </c:pt>
                <c:pt idx="154">
                  <c:v>42339</c:v>
                </c:pt>
                <c:pt idx="155">
                  <c:v>42370</c:v>
                </c:pt>
                <c:pt idx="156">
                  <c:v>42401</c:v>
                </c:pt>
                <c:pt idx="157">
                  <c:v>42430</c:v>
                </c:pt>
                <c:pt idx="158">
                  <c:v>42461</c:v>
                </c:pt>
                <c:pt idx="159">
                  <c:v>42491</c:v>
                </c:pt>
                <c:pt idx="160">
                  <c:v>42522</c:v>
                </c:pt>
                <c:pt idx="161">
                  <c:v>42552</c:v>
                </c:pt>
                <c:pt idx="162">
                  <c:v>42583</c:v>
                </c:pt>
                <c:pt idx="163">
                  <c:v>42614</c:v>
                </c:pt>
                <c:pt idx="164">
                  <c:v>42644</c:v>
                </c:pt>
                <c:pt idx="165">
                  <c:v>42675</c:v>
                </c:pt>
                <c:pt idx="166">
                  <c:v>42705</c:v>
                </c:pt>
                <c:pt idx="167">
                  <c:v>42736</c:v>
                </c:pt>
                <c:pt idx="168">
                  <c:v>42767</c:v>
                </c:pt>
                <c:pt idx="169">
                  <c:v>42795</c:v>
                </c:pt>
                <c:pt idx="170">
                  <c:v>42826</c:v>
                </c:pt>
                <c:pt idx="171">
                  <c:v>42856</c:v>
                </c:pt>
                <c:pt idx="172">
                  <c:v>42887</c:v>
                </c:pt>
                <c:pt idx="173">
                  <c:v>42917</c:v>
                </c:pt>
                <c:pt idx="174">
                  <c:v>42948</c:v>
                </c:pt>
                <c:pt idx="175">
                  <c:v>42979</c:v>
                </c:pt>
                <c:pt idx="176">
                  <c:v>43009</c:v>
                </c:pt>
                <c:pt idx="177">
                  <c:v>43040</c:v>
                </c:pt>
                <c:pt idx="178">
                  <c:v>43070</c:v>
                </c:pt>
                <c:pt idx="179">
                  <c:v>43101</c:v>
                </c:pt>
                <c:pt idx="180">
                  <c:v>43132</c:v>
                </c:pt>
                <c:pt idx="181">
                  <c:v>43160</c:v>
                </c:pt>
                <c:pt idx="182">
                  <c:v>43191</c:v>
                </c:pt>
                <c:pt idx="183">
                  <c:v>43221</c:v>
                </c:pt>
                <c:pt idx="184">
                  <c:v>43252</c:v>
                </c:pt>
                <c:pt idx="185">
                  <c:v>43282</c:v>
                </c:pt>
                <c:pt idx="186">
                  <c:v>43313</c:v>
                </c:pt>
                <c:pt idx="187">
                  <c:v>43344</c:v>
                </c:pt>
                <c:pt idx="188">
                  <c:v>43374</c:v>
                </c:pt>
                <c:pt idx="189">
                  <c:v>43405</c:v>
                </c:pt>
                <c:pt idx="190">
                  <c:v>43435</c:v>
                </c:pt>
                <c:pt idx="191">
                  <c:v>43466</c:v>
                </c:pt>
                <c:pt idx="192">
                  <c:v>43497</c:v>
                </c:pt>
                <c:pt idx="193">
                  <c:v>43525</c:v>
                </c:pt>
                <c:pt idx="194">
                  <c:v>43556</c:v>
                </c:pt>
                <c:pt idx="195">
                  <c:v>43586</c:v>
                </c:pt>
                <c:pt idx="196">
                  <c:v>43617</c:v>
                </c:pt>
                <c:pt idx="197">
                  <c:v>43647</c:v>
                </c:pt>
                <c:pt idx="198">
                  <c:v>43678</c:v>
                </c:pt>
                <c:pt idx="199">
                  <c:v>43709</c:v>
                </c:pt>
                <c:pt idx="200">
                  <c:v>43739</c:v>
                </c:pt>
                <c:pt idx="201">
                  <c:v>43770</c:v>
                </c:pt>
                <c:pt idx="202">
                  <c:v>43800</c:v>
                </c:pt>
                <c:pt idx="203">
                  <c:v>43831</c:v>
                </c:pt>
                <c:pt idx="204">
                  <c:v>43862</c:v>
                </c:pt>
                <c:pt idx="205">
                  <c:v>43891</c:v>
                </c:pt>
                <c:pt idx="206">
                  <c:v>43922</c:v>
                </c:pt>
                <c:pt idx="207">
                  <c:v>43952</c:v>
                </c:pt>
                <c:pt idx="208">
                  <c:v>43983</c:v>
                </c:pt>
                <c:pt idx="209">
                  <c:v>44013</c:v>
                </c:pt>
                <c:pt idx="210">
                  <c:v>44044</c:v>
                </c:pt>
                <c:pt idx="211">
                  <c:v>44075</c:v>
                </c:pt>
                <c:pt idx="212">
                  <c:v>44105</c:v>
                </c:pt>
                <c:pt idx="213">
                  <c:v>44136</c:v>
                </c:pt>
                <c:pt idx="214">
                  <c:v>44166</c:v>
                </c:pt>
                <c:pt idx="215">
                  <c:v>44197</c:v>
                </c:pt>
                <c:pt idx="216">
                  <c:v>44228</c:v>
                </c:pt>
                <c:pt idx="217">
                  <c:v>44256</c:v>
                </c:pt>
                <c:pt idx="218">
                  <c:v>44287</c:v>
                </c:pt>
                <c:pt idx="219">
                  <c:v>44317</c:v>
                </c:pt>
                <c:pt idx="220">
                  <c:v>44348</c:v>
                </c:pt>
                <c:pt idx="221">
                  <c:v>44378</c:v>
                </c:pt>
                <c:pt idx="222">
                  <c:v>44409</c:v>
                </c:pt>
                <c:pt idx="223">
                  <c:v>44440</c:v>
                </c:pt>
                <c:pt idx="224">
                  <c:v>44470</c:v>
                </c:pt>
                <c:pt idx="225">
                  <c:v>44501</c:v>
                </c:pt>
                <c:pt idx="226">
                  <c:v>44531</c:v>
                </c:pt>
                <c:pt idx="227">
                  <c:v>44562</c:v>
                </c:pt>
                <c:pt idx="228">
                  <c:v>44593</c:v>
                </c:pt>
              </c:numCache>
            </c:numRef>
          </c:cat>
          <c:val>
            <c:numRef>
              <c:f>HPFILTER!$M$9:$M$297</c:f>
              <c:numCache>
                <c:formatCode>0.0</c:formatCode>
                <c:ptCount val="289"/>
                <c:pt idx="0">
                  <c:v>99.778505732491766</c:v>
                </c:pt>
                <c:pt idx="1">
                  <c:v>100.12079778485426</c:v>
                </c:pt>
                <c:pt idx="2">
                  <c:v>100.46571346250781</c:v>
                </c:pt>
                <c:pt idx="3">
                  <c:v>100.81643642144117</c:v>
                </c:pt>
                <c:pt idx="4">
                  <c:v>101.17643424672869</c:v>
                </c:pt>
                <c:pt idx="5">
                  <c:v>101.54859550068154</c:v>
                </c:pt>
                <c:pt idx="6">
                  <c:v>101.93524847420672</c:v>
                </c:pt>
                <c:pt idx="7">
                  <c:v>102.33717233602304</c:v>
                </c:pt>
                <c:pt idx="8">
                  <c:v>102.75376797455331</c:v>
                </c:pt>
                <c:pt idx="9">
                  <c:v>103.18404429550976</c:v>
                </c:pt>
                <c:pt idx="10">
                  <c:v>103.62646409962105</c:v>
                </c:pt>
                <c:pt idx="11">
                  <c:v>104.07873140993098</c:v>
                </c:pt>
                <c:pt idx="12">
                  <c:v>104.53727120942108</c:v>
                </c:pt>
                <c:pt idx="13">
                  <c:v>104.998190523942</c:v>
                </c:pt>
                <c:pt idx="14">
                  <c:v>105.45756683483786</c:v>
                </c:pt>
                <c:pt idx="15">
                  <c:v>105.91209125437609</c:v>
                </c:pt>
                <c:pt idx="16">
                  <c:v>106.35905016555165</c:v>
                </c:pt>
                <c:pt idx="17">
                  <c:v>106.79605989432595</c:v>
                </c:pt>
                <c:pt idx="18">
                  <c:v>107.22127486030696</c:v>
                </c:pt>
                <c:pt idx="19">
                  <c:v>107.63348944566813</c:v>
                </c:pt>
                <c:pt idx="20">
                  <c:v>108.03210348579594</c:v>
                </c:pt>
                <c:pt idx="21">
                  <c:v>108.41765838517246</c:v>
                </c:pt>
                <c:pt idx="22">
                  <c:v>108.79113173360183</c:v>
                </c:pt>
                <c:pt idx="23">
                  <c:v>109.15425258439663</c:v>
                </c:pt>
                <c:pt idx="24">
                  <c:v>109.50874928353706</c:v>
                </c:pt>
                <c:pt idx="25">
                  <c:v>109.85664126913728</c:v>
                </c:pt>
                <c:pt idx="26">
                  <c:v>110.20034251100934</c:v>
                </c:pt>
                <c:pt idx="27">
                  <c:v>110.54262532817241</c:v>
                </c:pt>
                <c:pt idx="28">
                  <c:v>110.88673057557597</c:v>
                </c:pt>
                <c:pt idx="29">
                  <c:v>111.23617871733977</c:v>
                </c:pt>
                <c:pt idx="30">
                  <c:v>111.59432976097314</c:v>
                </c:pt>
                <c:pt idx="31">
                  <c:v>111.96416485228801</c:v>
                </c:pt>
                <c:pt idx="32">
                  <c:v>112.34847493099501</c:v>
                </c:pt>
                <c:pt idx="33">
                  <c:v>112.74936083377223</c:v>
                </c:pt>
                <c:pt idx="34">
                  <c:v>113.16811185046606</c:v>
                </c:pt>
                <c:pt idx="35">
                  <c:v>113.60543017040166</c:v>
                </c:pt>
                <c:pt idx="36">
                  <c:v>114.06148791299742</c:v>
                </c:pt>
                <c:pt idx="37">
                  <c:v>114.53631630381561</c:v>
                </c:pt>
                <c:pt idx="38">
                  <c:v>115.02966438847253</c:v>
                </c:pt>
                <c:pt idx="39">
                  <c:v>115.54066476489501</c:v>
                </c:pt>
                <c:pt idx="40">
                  <c:v>116.06795024076641</c:v>
                </c:pt>
                <c:pt idx="41">
                  <c:v>116.61022820829227</c:v>
                </c:pt>
                <c:pt idx="42">
                  <c:v>117.16536359077821</c:v>
                </c:pt>
                <c:pt idx="43">
                  <c:v>117.73142741889913</c:v>
                </c:pt>
                <c:pt idx="44">
                  <c:v>118.30614987108561</c:v>
                </c:pt>
                <c:pt idx="45">
                  <c:v>118.88669148363186</c:v>
                </c:pt>
                <c:pt idx="46">
                  <c:v>119.47006519916222</c:v>
                </c:pt>
                <c:pt idx="47">
                  <c:v>120.05327352812397</c:v>
                </c:pt>
                <c:pt idx="48">
                  <c:v>120.63356894021486</c:v>
                </c:pt>
                <c:pt idx="49">
                  <c:v>121.20795810917768</c:v>
                </c:pt>
                <c:pt idx="50">
                  <c:v>121.77315797816721</c:v>
                </c:pt>
                <c:pt idx="51">
                  <c:v>122.32475551652027</c:v>
                </c:pt>
                <c:pt idx="52">
                  <c:v>122.85796696983728</c:v>
                </c:pt>
                <c:pt idx="53">
                  <c:v>123.36804311152036</c:v>
                </c:pt>
                <c:pt idx="54">
                  <c:v>123.85057973561665</c:v>
                </c:pt>
                <c:pt idx="55">
                  <c:v>124.30171135922731</c:v>
                </c:pt>
                <c:pt idx="56">
                  <c:v>124.7178783871197</c:v>
                </c:pt>
                <c:pt idx="57">
                  <c:v>125.09617640446112</c:v>
                </c:pt>
                <c:pt idx="58">
                  <c:v>125.43470232242747</c:v>
                </c:pt>
                <c:pt idx="59">
                  <c:v>125.73222419194119</c:v>
                </c:pt>
                <c:pt idx="60">
                  <c:v>125.98846337497385</c:v>
                </c:pt>
                <c:pt idx="61">
                  <c:v>126.20407109337651</c:v>
                </c:pt>
                <c:pt idx="62">
                  <c:v>126.38022452939107</c:v>
                </c:pt>
                <c:pt idx="63">
                  <c:v>126.51824832082593</c:v>
                </c:pt>
                <c:pt idx="64">
                  <c:v>126.62029196515856</c:v>
                </c:pt>
                <c:pt idx="65">
                  <c:v>126.69030605466614</c:v>
                </c:pt>
                <c:pt idx="66">
                  <c:v>126.7350972491473</c:v>
                </c:pt>
                <c:pt idx="67">
                  <c:v>126.76412201711685</c:v>
                </c:pt>
                <c:pt idx="68">
                  <c:v>126.78949614130859</c:v>
                </c:pt>
                <c:pt idx="69">
                  <c:v>126.82593907819594</c:v>
                </c:pt>
                <c:pt idx="70">
                  <c:v>126.88904559916357</c:v>
                </c:pt>
                <c:pt idx="71">
                  <c:v>126.99323801367291</c:v>
                </c:pt>
                <c:pt idx="72">
                  <c:v>127.14921422768508</c:v>
                </c:pt>
                <c:pt idx="73">
                  <c:v>127.36381387340319</c:v>
                </c:pt>
                <c:pt idx="74">
                  <c:v>127.64077707413762</c:v>
                </c:pt>
                <c:pt idx="75">
                  <c:v>127.98109781952773</c:v>
                </c:pt>
                <c:pt idx="76">
                  <c:v>128.38326961354201</c:v>
                </c:pt>
                <c:pt idx="77">
                  <c:v>128.84384152401157</c:v>
                </c:pt>
                <c:pt idx="78">
                  <c:v>129.35782932525862</c:v>
                </c:pt>
                <c:pt idx="79">
                  <c:v>129.91865264065356</c:v>
                </c:pt>
                <c:pt idx="80">
                  <c:v>130.51893870023824</c:v>
                </c:pt>
                <c:pt idx="81">
                  <c:v>131.15081557615329</c:v>
                </c:pt>
                <c:pt idx="82">
                  <c:v>131.80595575385303</c:v>
                </c:pt>
                <c:pt idx="83">
                  <c:v>132.475324959056</c:v>
                </c:pt>
                <c:pt idx="84">
                  <c:v>133.14957269513411</c:v>
                </c:pt>
                <c:pt idx="85">
                  <c:v>133.81997013736111</c:v>
                </c:pt>
                <c:pt idx="86">
                  <c:v>134.47905122807515</c:v>
                </c:pt>
                <c:pt idx="87">
                  <c:v>135.12108117827924</c:v>
                </c:pt>
                <c:pt idx="88">
                  <c:v>135.74193204195879</c:v>
                </c:pt>
                <c:pt idx="89">
                  <c:v>136.33833144736329</c:v>
                </c:pt>
                <c:pt idx="90">
                  <c:v>136.90731206521437</c:v>
                </c:pt>
                <c:pt idx="91">
                  <c:v>137.44627635908066</c:v>
                </c:pt>
                <c:pt idx="92">
                  <c:v>137.95310347248957</c:v>
                </c:pt>
                <c:pt idx="93">
                  <c:v>138.42689987624411</c:v>
                </c:pt>
                <c:pt idx="94">
                  <c:v>138.86725135147694</c:v>
                </c:pt>
                <c:pt idx="95">
                  <c:v>139.27478311689774</c:v>
                </c:pt>
                <c:pt idx="96">
                  <c:v>139.64975960912238</c:v>
                </c:pt>
                <c:pt idx="97">
                  <c:v>139.99298602531749</c:v>
                </c:pt>
                <c:pt idx="98">
                  <c:v>140.30593646289492</c:v>
                </c:pt>
                <c:pt idx="99">
                  <c:v>140.59077690300066</c:v>
                </c:pt>
                <c:pt idx="100">
                  <c:v>140.85000711649124</c:v>
                </c:pt>
                <c:pt idx="101">
                  <c:v>141.08655138865819</c:v>
                </c:pt>
                <c:pt idx="102">
                  <c:v>141.30419025034615</c:v>
                </c:pt>
                <c:pt idx="103">
                  <c:v>141.50743138778193</c:v>
                </c:pt>
                <c:pt idx="104">
                  <c:v>141.70119236828478</c:v>
                </c:pt>
                <c:pt idx="105">
                  <c:v>141.89056736455754</c:v>
                </c:pt>
                <c:pt idx="106">
                  <c:v>142.08057480407277</c:v>
                </c:pt>
                <c:pt idx="107">
                  <c:v>142.27645775970004</c:v>
                </c:pt>
                <c:pt idx="108">
                  <c:v>142.482440195056</c:v>
                </c:pt>
                <c:pt idx="109">
                  <c:v>142.70061703765853</c:v>
                </c:pt>
                <c:pt idx="110">
                  <c:v>142.93183793990289</c:v>
                </c:pt>
                <c:pt idx="111">
                  <c:v>143.17530216853615</c:v>
                </c:pt>
                <c:pt idx="112">
                  <c:v>143.4290265915925</c:v>
                </c:pt>
                <c:pt idx="113">
                  <c:v>143.6907122632511</c:v>
                </c:pt>
                <c:pt idx="114">
                  <c:v>143.95814209607136</c:v>
                </c:pt>
                <c:pt idx="115">
                  <c:v>144.22931105744766</c:v>
                </c:pt>
                <c:pt idx="116">
                  <c:v>144.50245902596535</c:v>
                </c:pt>
                <c:pt idx="117">
                  <c:v>144.77550131079826</c:v>
                </c:pt>
                <c:pt idx="118">
                  <c:v>145.04657668422865</c:v>
                </c:pt>
                <c:pt idx="119">
                  <c:v>145.31370173021986</c:v>
                </c:pt>
                <c:pt idx="120">
                  <c:v>145.57433892230776</c:v>
                </c:pt>
                <c:pt idx="121">
                  <c:v>145.82574842044656</c:v>
                </c:pt>
                <c:pt idx="122">
                  <c:v>146.06406267276415</c:v>
                </c:pt>
                <c:pt idx="123">
                  <c:v>146.28486678462571</c:v>
                </c:pt>
                <c:pt idx="124">
                  <c:v>146.48385582222588</c:v>
                </c:pt>
                <c:pt idx="125">
                  <c:v>146.65706556001851</c:v>
                </c:pt>
                <c:pt idx="126">
                  <c:v>146.8004481125696</c:v>
                </c:pt>
                <c:pt idx="127">
                  <c:v>146.91028867846939</c:v>
                </c:pt>
                <c:pt idx="128">
                  <c:v>146.98306592623734</c:v>
                </c:pt>
                <c:pt idx="129">
                  <c:v>147.01602709396968</c:v>
                </c:pt>
                <c:pt idx="130">
                  <c:v>147.00704875355828</c:v>
                </c:pt>
                <c:pt idx="131">
                  <c:v>146.95483495996115</c:v>
                </c:pt>
                <c:pt idx="132">
                  <c:v>146.85909161266596</c:v>
                </c:pt>
                <c:pt idx="133">
                  <c:v>146.72034658930906</c:v>
                </c:pt>
                <c:pt idx="134">
                  <c:v>146.53974708527008</c:v>
                </c:pt>
                <c:pt idx="135">
                  <c:v>146.31917132931011</c:v>
                </c:pt>
                <c:pt idx="136">
                  <c:v>146.06071020826127</c:v>
                </c:pt>
                <c:pt idx="137">
                  <c:v>145.76644262687537</c:v>
                </c:pt>
                <c:pt idx="138">
                  <c:v>145.43691579602358</c:v>
                </c:pt>
                <c:pt idx="139">
                  <c:v>145.07207914993617</c:v>
                </c:pt>
                <c:pt idx="140">
                  <c:v>144.67197155046949</c:v>
                </c:pt>
                <c:pt idx="141">
                  <c:v>144.23736181001226</c:v>
                </c:pt>
                <c:pt idx="142">
                  <c:v>143.76948625873348</c:v>
                </c:pt>
                <c:pt idx="143">
                  <c:v>143.27040787567151</c:v>
                </c:pt>
                <c:pt idx="144">
                  <c:v>142.7437149609523</c:v>
                </c:pt>
                <c:pt idx="145">
                  <c:v>142.19405180977992</c:v>
                </c:pt>
                <c:pt idx="146">
                  <c:v>141.62683539550764</c:v>
                </c:pt>
                <c:pt idx="147">
                  <c:v>141.04844265910805</c:v>
                </c:pt>
                <c:pt idx="148">
                  <c:v>140.46572126943113</c:v>
                </c:pt>
                <c:pt idx="149">
                  <c:v>139.88553861866538</c:v>
                </c:pt>
                <c:pt idx="150">
                  <c:v>139.31420852320562</c:v>
                </c:pt>
                <c:pt idx="151">
                  <c:v>138.75728508781037</c:v>
                </c:pt>
                <c:pt idx="152">
                  <c:v>138.22008228691064</c:v>
                </c:pt>
                <c:pt idx="153">
                  <c:v>137.70717204175784</c:v>
                </c:pt>
                <c:pt idx="154">
                  <c:v>137.22330747217381</c:v>
                </c:pt>
                <c:pt idx="155">
                  <c:v>136.77259971545482</c:v>
                </c:pt>
                <c:pt idx="156">
                  <c:v>136.35858909172651</c:v>
                </c:pt>
                <c:pt idx="157">
                  <c:v>135.98403304629281</c:v>
                </c:pt>
                <c:pt idx="158">
                  <c:v>135.65115865627442</c:v>
                </c:pt>
                <c:pt idx="159">
                  <c:v>135.36133422813913</c:v>
                </c:pt>
                <c:pt idx="160">
                  <c:v>135.11535234419418</c:v>
                </c:pt>
                <c:pt idx="161">
                  <c:v>134.91333600285404</c:v>
                </c:pt>
                <c:pt idx="162">
                  <c:v>134.75523610731841</c:v>
                </c:pt>
                <c:pt idx="163">
                  <c:v>134.64081397578468</c:v>
                </c:pt>
                <c:pt idx="164">
                  <c:v>134.56935890388357</c:v>
                </c:pt>
                <c:pt idx="165">
                  <c:v>134.5396034285109</c:v>
                </c:pt>
                <c:pt idx="166">
                  <c:v>134.54948673724715</c:v>
                </c:pt>
                <c:pt idx="167">
                  <c:v>134.5959982655306</c:v>
                </c:pt>
                <c:pt idx="168">
                  <c:v>134.67475901958849</c:v>
                </c:pt>
                <c:pt idx="169">
                  <c:v>134.78062375673238</c:v>
                </c:pt>
                <c:pt idx="170">
                  <c:v>134.90890050988614</c:v>
                </c:pt>
                <c:pt idx="171">
                  <c:v>135.05544067212591</c:v>
                </c:pt>
                <c:pt idx="172">
                  <c:v>135.21663382370937</c:v>
                </c:pt>
                <c:pt idx="173">
                  <c:v>135.38894114447399</c:v>
                </c:pt>
                <c:pt idx="174">
                  <c:v>135.5693384181171</c:v>
                </c:pt>
                <c:pt idx="175">
                  <c:v>135.75548959012107</c:v>
                </c:pt>
                <c:pt idx="176">
                  <c:v>135.94520901945683</c:v>
                </c:pt>
                <c:pt idx="177">
                  <c:v>136.13614513410121</c:v>
                </c:pt>
                <c:pt idx="178">
                  <c:v>136.32583685639446</c:v>
                </c:pt>
                <c:pt idx="179">
                  <c:v>136.5114692679675</c:v>
                </c:pt>
                <c:pt idx="180">
                  <c:v>136.69091755241629</c:v>
                </c:pt>
                <c:pt idx="181">
                  <c:v>136.862268475044</c:v>
                </c:pt>
                <c:pt idx="182">
                  <c:v>137.02357697768394</c:v>
                </c:pt>
                <c:pt idx="183">
                  <c:v>137.17314658437212</c:v>
                </c:pt>
                <c:pt idx="184">
                  <c:v>137.31011608353387</c:v>
                </c:pt>
                <c:pt idx="185">
                  <c:v>137.43125979697902</c:v>
                </c:pt>
                <c:pt idx="186">
                  <c:v>137.53343322396535</c:v>
                </c:pt>
                <c:pt idx="187">
                  <c:v>137.61387232637784</c:v>
                </c:pt>
                <c:pt idx="188">
                  <c:v>137.67092967033608</c:v>
                </c:pt>
                <c:pt idx="189">
                  <c:v>137.70319290175598</c:v>
                </c:pt>
                <c:pt idx="190">
                  <c:v>137.70949283550925</c:v>
                </c:pt>
                <c:pt idx="191">
                  <c:v>137.68875829090416</c:v>
                </c:pt>
                <c:pt idx="192">
                  <c:v>137.64043090422678</c:v>
                </c:pt>
                <c:pt idx="193">
                  <c:v>137.56444683783155</c:v>
                </c:pt>
                <c:pt idx="194">
                  <c:v>137.46057948475763</c:v>
                </c:pt>
                <c:pt idx="195">
                  <c:v>137.32913695877053</c:v>
                </c:pt>
                <c:pt idx="196">
                  <c:v>137.17082076145817</c:v>
                </c:pt>
                <c:pt idx="197">
                  <c:v>136.98735168380844</c:v>
                </c:pt>
                <c:pt idx="198">
                  <c:v>136.78158750383395</c:v>
                </c:pt>
                <c:pt idx="199">
                  <c:v>136.55736890474466</c:v>
                </c:pt>
                <c:pt idx="200">
                  <c:v>136.31966682756067</c:v>
                </c:pt>
                <c:pt idx="201">
                  <c:v>136.07503510773651</c:v>
                </c:pt>
                <c:pt idx="202">
                  <c:v>135.83230278895965</c:v>
                </c:pt>
                <c:pt idx="203">
                  <c:v>135.6019957679749</c:v>
                </c:pt>
                <c:pt idx="204">
                  <c:v>135.39605100228448</c:v>
                </c:pt>
                <c:pt idx="205">
                  <c:v>135.22842295203517</c:v>
                </c:pt>
                <c:pt idx="206">
                  <c:v>135.11554354549739</c:v>
                </c:pt>
                <c:pt idx="207">
                  <c:v>135.07190819659655</c:v>
                </c:pt>
                <c:pt idx="208">
                  <c:v>135.10192760454217</c:v>
                </c:pt>
                <c:pt idx="209">
                  <c:v>135.20151127592072</c:v>
                </c:pt>
                <c:pt idx="210">
                  <c:v>135.36189251256616</c:v>
                </c:pt>
                <c:pt idx="211">
                  <c:v>135.57215367176465</c:v>
                </c:pt>
                <c:pt idx="212">
                  <c:v>135.82083842798218</c:v>
                </c:pt>
                <c:pt idx="213">
                  <c:v>136.09703285963965</c:v>
                </c:pt>
                <c:pt idx="214">
                  <c:v>136.39141002114076</c:v>
                </c:pt>
                <c:pt idx="215">
                  <c:v>136.69576982135166</c:v>
                </c:pt>
                <c:pt idx="216">
                  <c:v>137.00303628787537</c:v>
                </c:pt>
                <c:pt idx="217">
                  <c:v>137.30757984217672</c:v>
                </c:pt>
                <c:pt idx="218">
                  <c:v>137.60633150804051</c:v>
                </c:pt>
                <c:pt idx="219">
                  <c:v>137.8971863218504</c:v>
                </c:pt>
                <c:pt idx="220">
                  <c:v>138.17905411279739</c:v>
                </c:pt>
                <c:pt idx="221">
                  <c:v>138.45170896862135</c:v>
                </c:pt>
                <c:pt idx="222">
                  <c:v>138.71576931824166</c:v>
                </c:pt>
                <c:pt idx="223">
                  <c:v>138.97242127247236</c:v>
                </c:pt>
                <c:pt idx="224">
                  <c:v>139.22334108630366</c:v>
                </c:pt>
                <c:pt idx="225">
                  <c:v>139.47003475143046</c:v>
                </c:pt>
                <c:pt idx="226">
                  <c:v>139.71372492136877</c:v>
                </c:pt>
                <c:pt idx="227">
                  <c:v>139.95559047791477</c:v>
                </c:pt>
                <c:pt idx="228">
                  <c:v>140.19689547478907</c:v>
                </c:pt>
              </c:numCache>
            </c:numRef>
          </c:val>
          <c:smooth val="0"/>
          <c:extLst>
            <c:ext xmlns:c16="http://schemas.microsoft.com/office/drawing/2014/chart" uri="{C3380CC4-5D6E-409C-BE32-E72D297353CC}">
              <c16:uniqueId val="{00000001-A199-40C0-AF8C-CEC058C83184}"/>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2"/>
          <c:tx>
            <c:v>HP Cycle (rhs)</c:v>
          </c:tx>
          <c:spPr>
            <a:ln w="28575" cap="rnd">
              <a:solidFill>
                <a:schemeClr val="accent3"/>
              </a:solidFill>
              <a:round/>
            </a:ln>
            <a:effectLst/>
          </c:spPr>
          <c:marker>
            <c:symbol val="none"/>
          </c:marker>
          <c:cat>
            <c:numRef>
              <c:f>HPFILTER!$F$9:$F$247</c:f>
              <c:numCache>
                <c:formatCode>[$-416]mmm\-yy;@</c:formatCode>
                <c:ptCount val="239"/>
                <c:pt idx="0">
                  <c:v>37653</c:v>
                </c:pt>
                <c:pt idx="1">
                  <c:v>37681</c:v>
                </c:pt>
                <c:pt idx="2">
                  <c:v>37712</c:v>
                </c:pt>
                <c:pt idx="3">
                  <c:v>37742</c:v>
                </c:pt>
                <c:pt idx="4">
                  <c:v>37773</c:v>
                </c:pt>
                <c:pt idx="5">
                  <c:v>37803</c:v>
                </c:pt>
                <c:pt idx="6">
                  <c:v>37834</c:v>
                </c:pt>
                <c:pt idx="7">
                  <c:v>37865</c:v>
                </c:pt>
                <c:pt idx="8">
                  <c:v>37895</c:v>
                </c:pt>
                <c:pt idx="9">
                  <c:v>37926</c:v>
                </c:pt>
                <c:pt idx="10">
                  <c:v>37956</c:v>
                </c:pt>
                <c:pt idx="11">
                  <c:v>37987</c:v>
                </c:pt>
                <c:pt idx="12">
                  <c:v>38018</c:v>
                </c:pt>
                <c:pt idx="13">
                  <c:v>38047</c:v>
                </c:pt>
                <c:pt idx="14">
                  <c:v>38078</c:v>
                </c:pt>
                <c:pt idx="15">
                  <c:v>38108</c:v>
                </c:pt>
                <c:pt idx="16">
                  <c:v>38139</c:v>
                </c:pt>
                <c:pt idx="17">
                  <c:v>38169</c:v>
                </c:pt>
                <c:pt idx="18">
                  <c:v>38200</c:v>
                </c:pt>
                <c:pt idx="19">
                  <c:v>38231</c:v>
                </c:pt>
                <c:pt idx="20">
                  <c:v>38261</c:v>
                </c:pt>
                <c:pt idx="21">
                  <c:v>38292</c:v>
                </c:pt>
                <c:pt idx="22">
                  <c:v>38322</c:v>
                </c:pt>
                <c:pt idx="23">
                  <c:v>38353</c:v>
                </c:pt>
                <c:pt idx="24">
                  <c:v>38384</c:v>
                </c:pt>
                <c:pt idx="25">
                  <c:v>38412</c:v>
                </c:pt>
                <c:pt idx="26">
                  <c:v>38443</c:v>
                </c:pt>
                <c:pt idx="27">
                  <c:v>38473</c:v>
                </c:pt>
                <c:pt idx="28">
                  <c:v>38504</c:v>
                </c:pt>
                <c:pt idx="29">
                  <c:v>38534</c:v>
                </c:pt>
                <c:pt idx="30">
                  <c:v>38565</c:v>
                </c:pt>
                <c:pt idx="31">
                  <c:v>38596</c:v>
                </c:pt>
                <c:pt idx="32">
                  <c:v>38626</c:v>
                </c:pt>
                <c:pt idx="33">
                  <c:v>38657</c:v>
                </c:pt>
                <c:pt idx="34">
                  <c:v>38687</c:v>
                </c:pt>
                <c:pt idx="35">
                  <c:v>38718</c:v>
                </c:pt>
                <c:pt idx="36">
                  <c:v>38749</c:v>
                </c:pt>
                <c:pt idx="37">
                  <c:v>38777</c:v>
                </c:pt>
                <c:pt idx="38">
                  <c:v>38808</c:v>
                </c:pt>
                <c:pt idx="39">
                  <c:v>38838</c:v>
                </c:pt>
                <c:pt idx="40">
                  <c:v>38869</c:v>
                </c:pt>
                <c:pt idx="41">
                  <c:v>38899</c:v>
                </c:pt>
                <c:pt idx="42">
                  <c:v>38930</c:v>
                </c:pt>
                <c:pt idx="43">
                  <c:v>38961</c:v>
                </c:pt>
                <c:pt idx="44">
                  <c:v>38991</c:v>
                </c:pt>
                <c:pt idx="45">
                  <c:v>39022</c:v>
                </c:pt>
                <c:pt idx="46">
                  <c:v>39052</c:v>
                </c:pt>
                <c:pt idx="47">
                  <c:v>39083</c:v>
                </c:pt>
                <c:pt idx="48">
                  <c:v>39114</c:v>
                </c:pt>
                <c:pt idx="49">
                  <c:v>39142</c:v>
                </c:pt>
                <c:pt idx="50">
                  <c:v>39173</c:v>
                </c:pt>
                <c:pt idx="51">
                  <c:v>39203</c:v>
                </c:pt>
                <c:pt idx="52">
                  <c:v>39234</c:v>
                </c:pt>
                <c:pt idx="53">
                  <c:v>39264</c:v>
                </c:pt>
                <c:pt idx="54">
                  <c:v>39295</c:v>
                </c:pt>
                <c:pt idx="55">
                  <c:v>39326</c:v>
                </c:pt>
                <c:pt idx="56">
                  <c:v>39356</c:v>
                </c:pt>
                <c:pt idx="57">
                  <c:v>39387</c:v>
                </c:pt>
                <c:pt idx="58">
                  <c:v>39417</c:v>
                </c:pt>
                <c:pt idx="59">
                  <c:v>39448</c:v>
                </c:pt>
                <c:pt idx="60">
                  <c:v>39479</c:v>
                </c:pt>
                <c:pt idx="61">
                  <c:v>39508</c:v>
                </c:pt>
                <c:pt idx="62">
                  <c:v>39539</c:v>
                </c:pt>
                <c:pt idx="63">
                  <c:v>39569</c:v>
                </c:pt>
                <c:pt idx="64">
                  <c:v>39600</c:v>
                </c:pt>
                <c:pt idx="65">
                  <c:v>39630</c:v>
                </c:pt>
                <c:pt idx="66">
                  <c:v>39661</c:v>
                </c:pt>
                <c:pt idx="67">
                  <c:v>39692</c:v>
                </c:pt>
                <c:pt idx="68">
                  <c:v>39722</c:v>
                </c:pt>
                <c:pt idx="69">
                  <c:v>39753</c:v>
                </c:pt>
                <c:pt idx="70">
                  <c:v>39783</c:v>
                </c:pt>
                <c:pt idx="71">
                  <c:v>39814</c:v>
                </c:pt>
                <c:pt idx="72">
                  <c:v>39845</c:v>
                </c:pt>
                <c:pt idx="73">
                  <c:v>39873</c:v>
                </c:pt>
                <c:pt idx="74">
                  <c:v>39904</c:v>
                </c:pt>
                <c:pt idx="75">
                  <c:v>39934</c:v>
                </c:pt>
                <c:pt idx="76">
                  <c:v>39965</c:v>
                </c:pt>
                <c:pt idx="77">
                  <c:v>39995</c:v>
                </c:pt>
                <c:pt idx="78">
                  <c:v>40026</c:v>
                </c:pt>
                <c:pt idx="79">
                  <c:v>40057</c:v>
                </c:pt>
                <c:pt idx="80">
                  <c:v>40087</c:v>
                </c:pt>
                <c:pt idx="81">
                  <c:v>40118</c:v>
                </c:pt>
                <c:pt idx="82">
                  <c:v>40148</c:v>
                </c:pt>
                <c:pt idx="83">
                  <c:v>40179</c:v>
                </c:pt>
                <c:pt idx="84">
                  <c:v>40210</c:v>
                </c:pt>
                <c:pt idx="85">
                  <c:v>40238</c:v>
                </c:pt>
                <c:pt idx="86">
                  <c:v>40269</c:v>
                </c:pt>
                <c:pt idx="87">
                  <c:v>40299</c:v>
                </c:pt>
                <c:pt idx="88">
                  <c:v>40330</c:v>
                </c:pt>
                <c:pt idx="89">
                  <c:v>40360</c:v>
                </c:pt>
                <c:pt idx="90">
                  <c:v>40391</c:v>
                </c:pt>
                <c:pt idx="91">
                  <c:v>40422</c:v>
                </c:pt>
                <c:pt idx="92">
                  <c:v>40452</c:v>
                </c:pt>
                <c:pt idx="93">
                  <c:v>40483</c:v>
                </c:pt>
                <c:pt idx="94">
                  <c:v>40513</c:v>
                </c:pt>
                <c:pt idx="95">
                  <c:v>40544</c:v>
                </c:pt>
                <c:pt idx="96">
                  <c:v>40575</c:v>
                </c:pt>
                <c:pt idx="97">
                  <c:v>40603</c:v>
                </c:pt>
                <c:pt idx="98">
                  <c:v>40634</c:v>
                </c:pt>
                <c:pt idx="99">
                  <c:v>40664</c:v>
                </c:pt>
                <c:pt idx="100">
                  <c:v>40695</c:v>
                </c:pt>
                <c:pt idx="101">
                  <c:v>40725</c:v>
                </c:pt>
                <c:pt idx="102">
                  <c:v>40756</c:v>
                </c:pt>
                <c:pt idx="103">
                  <c:v>40787</c:v>
                </c:pt>
                <c:pt idx="104">
                  <c:v>40817</c:v>
                </c:pt>
                <c:pt idx="105">
                  <c:v>40848</c:v>
                </c:pt>
                <c:pt idx="106">
                  <c:v>40878</c:v>
                </c:pt>
                <c:pt idx="107">
                  <c:v>40909</c:v>
                </c:pt>
                <c:pt idx="108">
                  <c:v>40940</c:v>
                </c:pt>
                <c:pt idx="109">
                  <c:v>40969</c:v>
                </c:pt>
                <c:pt idx="110">
                  <c:v>41000</c:v>
                </c:pt>
                <c:pt idx="111">
                  <c:v>41030</c:v>
                </c:pt>
                <c:pt idx="112">
                  <c:v>41061</c:v>
                </c:pt>
                <c:pt idx="113">
                  <c:v>41091</c:v>
                </c:pt>
                <c:pt idx="114">
                  <c:v>41122</c:v>
                </c:pt>
                <c:pt idx="115">
                  <c:v>41153</c:v>
                </c:pt>
                <c:pt idx="116">
                  <c:v>41183</c:v>
                </c:pt>
                <c:pt idx="117">
                  <c:v>41214</c:v>
                </c:pt>
                <c:pt idx="118">
                  <c:v>41244</c:v>
                </c:pt>
                <c:pt idx="119">
                  <c:v>41275</c:v>
                </c:pt>
                <c:pt idx="120">
                  <c:v>41306</c:v>
                </c:pt>
                <c:pt idx="121">
                  <c:v>41334</c:v>
                </c:pt>
                <c:pt idx="122">
                  <c:v>41365</c:v>
                </c:pt>
                <c:pt idx="123">
                  <c:v>41395</c:v>
                </c:pt>
                <c:pt idx="124">
                  <c:v>41426</c:v>
                </c:pt>
                <c:pt idx="125">
                  <c:v>41456</c:v>
                </c:pt>
                <c:pt idx="126">
                  <c:v>41487</c:v>
                </c:pt>
                <c:pt idx="127">
                  <c:v>41518</c:v>
                </c:pt>
                <c:pt idx="128">
                  <c:v>41548</c:v>
                </c:pt>
                <c:pt idx="129">
                  <c:v>41579</c:v>
                </c:pt>
                <c:pt idx="130">
                  <c:v>41609</c:v>
                </c:pt>
                <c:pt idx="131">
                  <c:v>41640</c:v>
                </c:pt>
                <c:pt idx="132">
                  <c:v>41671</c:v>
                </c:pt>
                <c:pt idx="133">
                  <c:v>41699</c:v>
                </c:pt>
                <c:pt idx="134">
                  <c:v>41730</c:v>
                </c:pt>
                <c:pt idx="135">
                  <c:v>41760</c:v>
                </c:pt>
                <c:pt idx="136">
                  <c:v>41791</c:v>
                </c:pt>
                <c:pt idx="137">
                  <c:v>41821</c:v>
                </c:pt>
                <c:pt idx="138">
                  <c:v>41852</c:v>
                </c:pt>
                <c:pt idx="139">
                  <c:v>41883</c:v>
                </c:pt>
                <c:pt idx="140">
                  <c:v>41913</c:v>
                </c:pt>
                <c:pt idx="141">
                  <c:v>41944</c:v>
                </c:pt>
                <c:pt idx="142">
                  <c:v>41974</c:v>
                </c:pt>
                <c:pt idx="143">
                  <c:v>42005</c:v>
                </c:pt>
                <c:pt idx="144">
                  <c:v>42036</c:v>
                </c:pt>
                <c:pt idx="145">
                  <c:v>42064</c:v>
                </c:pt>
                <c:pt idx="146">
                  <c:v>42095</c:v>
                </c:pt>
                <c:pt idx="147">
                  <c:v>42125</c:v>
                </c:pt>
                <c:pt idx="148">
                  <c:v>42156</c:v>
                </c:pt>
                <c:pt idx="149">
                  <c:v>42186</c:v>
                </c:pt>
                <c:pt idx="150">
                  <c:v>42217</c:v>
                </c:pt>
                <c:pt idx="151">
                  <c:v>42248</c:v>
                </c:pt>
                <c:pt idx="152">
                  <c:v>42278</c:v>
                </c:pt>
                <c:pt idx="153">
                  <c:v>42309</c:v>
                </c:pt>
                <c:pt idx="154">
                  <c:v>42339</c:v>
                </c:pt>
                <c:pt idx="155">
                  <c:v>42370</c:v>
                </c:pt>
                <c:pt idx="156">
                  <c:v>42401</c:v>
                </c:pt>
                <c:pt idx="157">
                  <c:v>42430</c:v>
                </c:pt>
                <c:pt idx="158">
                  <c:v>42461</c:v>
                </c:pt>
                <c:pt idx="159">
                  <c:v>42491</c:v>
                </c:pt>
                <c:pt idx="160">
                  <c:v>42522</c:v>
                </c:pt>
                <c:pt idx="161">
                  <c:v>42552</c:v>
                </c:pt>
                <c:pt idx="162">
                  <c:v>42583</c:v>
                </c:pt>
                <c:pt idx="163">
                  <c:v>42614</c:v>
                </c:pt>
                <c:pt idx="164">
                  <c:v>42644</c:v>
                </c:pt>
                <c:pt idx="165">
                  <c:v>42675</c:v>
                </c:pt>
                <c:pt idx="166">
                  <c:v>42705</c:v>
                </c:pt>
                <c:pt idx="167">
                  <c:v>42736</c:v>
                </c:pt>
                <c:pt idx="168">
                  <c:v>42767</c:v>
                </c:pt>
                <c:pt idx="169">
                  <c:v>42795</c:v>
                </c:pt>
                <c:pt idx="170">
                  <c:v>42826</c:v>
                </c:pt>
                <c:pt idx="171">
                  <c:v>42856</c:v>
                </c:pt>
                <c:pt idx="172">
                  <c:v>42887</c:v>
                </c:pt>
                <c:pt idx="173">
                  <c:v>42917</c:v>
                </c:pt>
                <c:pt idx="174">
                  <c:v>42948</c:v>
                </c:pt>
                <c:pt idx="175">
                  <c:v>42979</c:v>
                </c:pt>
                <c:pt idx="176">
                  <c:v>43009</c:v>
                </c:pt>
                <c:pt idx="177">
                  <c:v>43040</c:v>
                </c:pt>
                <c:pt idx="178">
                  <c:v>43070</c:v>
                </c:pt>
                <c:pt idx="179">
                  <c:v>43101</c:v>
                </c:pt>
                <c:pt idx="180">
                  <c:v>43132</c:v>
                </c:pt>
                <c:pt idx="181">
                  <c:v>43160</c:v>
                </c:pt>
                <c:pt idx="182">
                  <c:v>43191</c:v>
                </c:pt>
                <c:pt idx="183">
                  <c:v>43221</c:v>
                </c:pt>
                <c:pt idx="184">
                  <c:v>43252</c:v>
                </c:pt>
                <c:pt idx="185">
                  <c:v>43282</c:v>
                </c:pt>
                <c:pt idx="186">
                  <c:v>43313</c:v>
                </c:pt>
                <c:pt idx="187">
                  <c:v>43344</c:v>
                </c:pt>
                <c:pt idx="188">
                  <c:v>43374</c:v>
                </c:pt>
                <c:pt idx="189">
                  <c:v>43405</c:v>
                </c:pt>
                <c:pt idx="190">
                  <c:v>43435</c:v>
                </c:pt>
                <c:pt idx="191">
                  <c:v>43466</c:v>
                </c:pt>
                <c:pt idx="192">
                  <c:v>43497</c:v>
                </c:pt>
                <c:pt idx="193">
                  <c:v>43525</c:v>
                </c:pt>
                <c:pt idx="194">
                  <c:v>43556</c:v>
                </c:pt>
                <c:pt idx="195">
                  <c:v>43586</c:v>
                </c:pt>
                <c:pt idx="196">
                  <c:v>43617</c:v>
                </c:pt>
                <c:pt idx="197">
                  <c:v>43647</c:v>
                </c:pt>
                <c:pt idx="198">
                  <c:v>43678</c:v>
                </c:pt>
                <c:pt idx="199">
                  <c:v>43709</c:v>
                </c:pt>
                <c:pt idx="200">
                  <c:v>43739</c:v>
                </c:pt>
                <c:pt idx="201">
                  <c:v>43770</c:v>
                </c:pt>
                <c:pt idx="202">
                  <c:v>43800</c:v>
                </c:pt>
                <c:pt idx="203">
                  <c:v>43831</c:v>
                </c:pt>
                <c:pt idx="204">
                  <c:v>43862</c:v>
                </c:pt>
                <c:pt idx="205">
                  <c:v>43891</c:v>
                </c:pt>
                <c:pt idx="206">
                  <c:v>43922</c:v>
                </c:pt>
                <c:pt idx="207">
                  <c:v>43952</c:v>
                </c:pt>
                <c:pt idx="208">
                  <c:v>43983</c:v>
                </c:pt>
                <c:pt idx="209">
                  <c:v>44013</c:v>
                </c:pt>
                <c:pt idx="210">
                  <c:v>44044</c:v>
                </c:pt>
                <c:pt idx="211">
                  <c:v>44075</c:v>
                </c:pt>
                <c:pt idx="212">
                  <c:v>44105</c:v>
                </c:pt>
                <c:pt idx="213">
                  <c:v>44136</c:v>
                </c:pt>
                <c:pt idx="214">
                  <c:v>44166</c:v>
                </c:pt>
                <c:pt idx="215">
                  <c:v>44197</c:v>
                </c:pt>
                <c:pt idx="216">
                  <c:v>44228</c:v>
                </c:pt>
                <c:pt idx="217">
                  <c:v>44256</c:v>
                </c:pt>
                <c:pt idx="218">
                  <c:v>44287</c:v>
                </c:pt>
                <c:pt idx="219">
                  <c:v>44317</c:v>
                </c:pt>
                <c:pt idx="220">
                  <c:v>44348</c:v>
                </c:pt>
                <c:pt idx="221">
                  <c:v>44378</c:v>
                </c:pt>
                <c:pt idx="222">
                  <c:v>44409</c:v>
                </c:pt>
                <c:pt idx="223">
                  <c:v>44440</c:v>
                </c:pt>
                <c:pt idx="224">
                  <c:v>44470</c:v>
                </c:pt>
                <c:pt idx="225">
                  <c:v>44501</c:v>
                </c:pt>
                <c:pt idx="226">
                  <c:v>44531</c:v>
                </c:pt>
                <c:pt idx="227">
                  <c:v>44562</c:v>
                </c:pt>
                <c:pt idx="228">
                  <c:v>44593</c:v>
                </c:pt>
              </c:numCache>
            </c:numRef>
          </c:cat>
          <c:val>
            <c:numRef>
              <c:f>HPFILTER!$P$8:$P$237</c:f>
              <c:numCache>
                <c:formatCode>General</c:formatCode>
                <c:ptCount val="230"/>
                <c:pt idx="0">
                  <c:v>1.0131530991836968</c:v>
                </c:pt>
                <c:pt idx="1">
                  <c:v>2.1714942675082369</c:v>
                </c:pt>
                <c:pt idx="2">
                  <c:v>1.90920221514574</c:v>
                </c:pt>
                <c:pt idx="3">
                  <c:v>0.4542865374921945</c:v>
                </c:pt>
                <c:pt idx="4">
                  <c:v>-0.92643642144116711</c:v>
                </c:pt>
                <c:pt idx="5">
                  <c:v>-0.89643424672868832</c:v>
                </c:pt>
                <c:pt idx="6">
                  <c:v>-2.4785955006815499</c:v>
                </c:pt>
                <c:pt idx="7">
                  <c:v>-2.2052484742067122</c:v>
                </c:pt>
                <c:pt idx="8">
                  <c:v>-0.627172336023051</c:v>
                </c:pt>
                <c:pt idx="9">
                  <c:v>-0.87376797455331712</c:v>
                </c:pt>
                <c:pt idx="10">
                  <c:v>-1.2140442955097654</c:v>
                </c:pt>
                <c:pt idx="11">
                  <c:v>-2.0464640996210477</c:v>
                </c:pt>
                <c:pt idx="12">
                  <c:v>-0.50873140993098787</c:v>
                </c:pt>
                <c:pt idx="13">
                  <c:v>-4.7271209421083427E-2</c:v>
                </c:pt>
                <c:pt idx="14">
                  <c:v>0.98180947605800384</c:v>
                </c:pt>
                <c:pt idx="15">
                  <c:v>0.95243316516213383</c:v>
                </c:pt>
                <c:pt idx="16">
                  <c:v>0.527908745623904</c:v>
                </c:pt>
                <c:pt idx="17">
                  <c:v>0.86094983444834838</c:v>
                </c:pt>
                <c:pt idx="18">
                  <c:v>1.0239401056740434</c:v>
                </c:pt>
                <c:pt idx="19">
                  <c:v>0.96872513969303498</c:v>
                </c:pt>
                <c:pt idx="20">
                  <c:v>1.8265105543318612</c:v>
                </c:pt>
                <c:pt idx="21">
                  <c:v>0.69789651420406074</c:v>
                </c:pt>
                <c:pt idx="22">
                  <c:v>1.2023416148275459</c:v>
                </c:pt>
                <c:pt idx="23">
                  <c:v>-1.1317336018237256E-3</c:v>
                </c:pt>
                <c:pt idx="24">
                  <c:v>0.46574741560337429</c:v>
                </c:pt>
                <c:pt idx="25">
                  <c:v>0.63125071646294373</c:v>
                </c:pt>
                <c:pt idx="26">
                  <c:v>0.57335873086272215</c:v>
                </c:pt>
                <c:pt idx="27">
                  <c:v>0.74965748899066398</c:v>
                </c:pt>
                <c:pt idx="28">
                  <c:v>0.44737467182758905</c:v>
                </c:pt>
                <c:pt idx="29">
                  <c:v>-0.2567305755759719</c:v>
                </c:pt>
                <c:pt idx="30">
                  <c:v>-0.60617871733977324</c:v>
                </c:pt>
                <c:pt idx="31">
                  <c:v>-0.30432976097313258</c:v>
                </c:pt>
                <c:pt idx="32">
                  <c:v>-1.1041648522880081</c:v>
                </c:pt>
                <c:pt idx="33">
                  <c:v>-1.2984749309950132</c:v>
                </c:pt>
                <c:pt idx="34">
                  <c:v>-0.93936083377222701</c:v>
                </c:pt>
                <c:pt idx="35">
                  <c:v>-0.84811185046606852</c:v>
                </c:pt>
                <c:pt idx="36">
                  <c:v>-0.22543017040166546</c:v>
                </c:pt>
                <c:pt idx="37">
                  <c:v>-0.45148791299742186</c:v>
                </c:pt>
                <c:pt idx="38">
                  <c:v>-0.98631630381561308</c:v>
                </c:pt>
                <c:pt idx="39">
                  <c:v>-0.79966438847252164</c:v>
                </c:pt>
                <c:pt idx="40">
                  <c:v>0.11933523510498389</c:v>
                </c:pt>
                <c:pt idx="41">
                  <c:v>-1.3479502407664086</c:v>
                </c:pt>
                <c:pt idx="42">
                  <c:v>0.32977179170772786</c:v>
                </c:pt>
                <c:pt idx="43">
                  <c:v>-0.54536359077820862</c:v>
                </c:pt>
                <c:pt idx="44">
                  <c:v>-0.91142741889913736</c:v>
                </c:pt>
                <c:pt idx="45">
                  <c:v>-0.23614987108561536</c:v>
                </c:pt>
                <c:pt idx="46">
                  <c:v>-1.6691483631859683E-2</c:v>
                </c:pt>
                <c:pt idx="47">
                  <c:v>0.39993480083778365</c:v>
                </c:pt>
                <c:pt idx="48">
                  <c:v>-0.3932735281239701</c:v>
                </c:pt>
                <c:pt idx="49">
                  <c:v>-0.46356894021485573</c:v>
                </c:pt>
                <c:pt idx="50">
                  <c:v>-1.807958109177676</c:v>
                </c:pt>
                <c:pt idx="51">
                  <c:v>-0.59315797816719851</c:v>
                </c:pt>
                <c:pt idx="52">
                  <c:v>5.5244483479725659E-2</c:v>
                </c:pt>
                <c:pt idx="53">
                  <c:v>0.55203303016271832</c:v>
                </c:pt>
                <c:pt idx="54">
                  <c:v>0.86195688847963936</c:v>
                </c:pt>
                <c:pt idx="55">
                  <c:v>0.48942026438335517</c:v>
                </c:pt>
                <c:pt idx="56">
                  <c:v>1.0482886407726824</c:v>
                </c:pt>
                <c:pt idx="57">
                  <c:v>1.6021216128802962</c:v>
                </c:pt>
                <c:pt idx="58">
                  <c:v>1.0738235955388831</c:v>
                </c:pt>
                <c:pt idx="59">
                  <c:v>1.5252976775725244</c:v>
                </c:pt>
                <c:pt idx="60">
                  <c:v>1.4877758080588137</c:v>
                </c:pt>
                <c:pt idx="61">
                  <c:v>0.84153662502615134</c:v>
                </c:pt>
                <c:pt idx="62">
                  <c:v>0.23592890662348509</c:v>
                </c:pt>
                <c:pt idx="63">
                  <c:v>1.3197754706089313</c:v>
                </c:pt>
                <c:pt idx="64">
                  <c:v>2.8817516791740729</c:v>
                </c:pt>
                <c:pt idx="65">
                  <c:v>4.5697080348414403</c:v>
                </c:pt>
                <c:pt idx="66">
                  <c:v>4.2396939453338689</c:v>
                </c:pt>
                <c:pt idx="67">
                  <c:v>4.2549027508527075</c:v>
                </c:pt>
                <c:pt idx="68">
                  <c:v>4.1658779828831598</c:v>
                </c:pt>
                <c:pt idx="69">
                  <c:v>1.4005038586914083</c:v>
                </c:pt>
                <c:pt idx="70">
                  <c:v>-1.8759390781959411</c:v>
                </c:pt>
                <c:pt idx="71">
                  <c:v>-5.9590455991635594</c:v>
                </c:pt>
                <c:pt idx="72">
                  <c:v>-6.1732380136729148</c:v>
                </c:pt>
                <c:pt idx="73">
                  <c:v>-4.9592142276850808</c:v>
                </c:pt>
                <c:pt idx="74">
                  <c:v>-4.3938138734031895</c:v>
                </c:pt>
                <c:pt idx="75">
                  <c:v>-4.0007770741376163</c:v>
                </c:pt>
                <c:pt idx="76">
                  <c:v>-3.1110978195277283</c:v>
                </c:pt>
                <c:pt idx="77">
                  <c:v>-2.4532696135420053</c:v>
                </c:pt>
                <c:pt idx="78">
                  <c:v>-2.5538415240115597</c:v>
                </c:pt>
                <c:pt idx="79">
                  <c:v>-1.2678293252586172</c:v>
                </c:pt>
                <c:pt idx="80">
                  <c:v>-0.79865264065355746</c:v>
                </c:pt>
                <c:pt idx="81">
                  <c:v>-0.72893870023824547</c:v>
                </c:pt>
                <c:pt idx="82">
                  <c:v>-1.1308155761532817</c:v>
                </c:pt>
                <c:pt idx="83">
                  <c:v>-0.50595575385301572</c:v>
                </c:pt>
                <c:pt idx="84">
                  <c:v>0.99467504094400283</c:v>
                </c:pt>
                <c:pt idx="85">
                  <c:v>2.0204273048658763</c:v>
                </c:pt>
                <c:pt idx="86">
                  <c:v>2.7700298626388928</c:v>
                </c:pt>
                <c:pt idx="87">
                  <c:v>2.5709487719248614</c:v>
                </c:pt>
                <c:pt idx="88">
                  <c:v>1.3689188217207686</c:v>
                </c:pt>
                <c:pt idx="89">
                  <c:v>0.48806795804119929</c:v>
                </c:pt>
                <c:pt idx="90">
                  <c:v>0.59166855263671891</c:v>
                </c:pt>
                <c:pt idx="91">
                  <c:v>0.76268793478561747</c:v>
                </c:pt>
                <c:pt idx="92">
                  <c:v>1.9637236409193406</c:v>
                </c:pt>
                <c:pt idx="93">
                  <c:v>0.76689652751042559</c:v>
                </c:pt>
                <c:pt idx="94">
                  <c:v>1.6631001237558962</c:v>
                </c:pt>
                <c:pt idx="95">
                  <c:v>-0.57725135147694573</c:v>
                </c:pt>
                <c:pt idx="96">
                  <c:v>0.86521688310224931</c:v>
                </c:pt>
                <c:pt idx="97">
                  <c:v>1.0702403908776148</c:v>
                </c:pt>
                <c:pt idx="98">
                  <c:v>1.1070139746825021</c:v>
                </c:pt>
                <c:pt idx="99">
                  <c:v>0.5340635371050837</c:v>
                </c:pt>
                <c:pt idx="100">
                  <c:v>0.67922309699935113</c:v>
                </c:pt>
                <c:pt idx="101">
                  <c:v>1.3699928835087576</c:v>
                </c:pt>
                <c:pt idx="102">
                  <c:v>1.1634486113418063</c:v>
                </c:pt>
                <c:pt idx="103">
                  <c:v>0.65580974965385508</c:v>
                </c:pt>
                <c:pt idx="104">
                  <c:v>0.28256861221805707</c:v>
                </c:pt>
                <c:pt idx="105">
                  <c:v>-0.12119236828476687</c:v>
                </c:pt>
                <c:pt idx="106">
                  <c:v>0.35943263544245951</c:v>
                </c:pt>
                <c:pt idx="107">
                  <c:v>-1.6305748040727792</c:v>
                </c:pt>
                <c:pt idx="108">
                  <c:v>-3.4064577597000323</c:v>
                </c:pt>
                <c:pt idx="109">
                  <c:v>-1.9924401950559911</c:v>
                </c:pt>
                <c:pt idx="110">
                  <c:v>-2.6406170376585294</c:v>
                </c:pt>
                <c:pt idx="111">
                  <c:v>-1.8918379399028993</c:v>
                </c:pt>
                <c:pt idx="112">
                  <c:v>-0.50530216853616139</c:v>
                </c:pt>
                <c:pt idx="113">
                  <c:v>0.13097340840749894</c:v>
                </c:pt>
                <c:pt idx="114">
                  <c:v>0.33928773674890067</c:v>
                </c:pt>
                <c:pt idx="115">
                  <c:v>0.39185790392863851</c:v>
                </c:pt>
                <c:pt idx="116">
                  <c:v>-0.51931105744765205</c:v>
                </c:pt>
                <c:pt idx="117">
                  <c:v>0.3575409740346629</c:v>
                </c:pt>
                <c:pt idx="118">
                  <c:v>-0.19550131079824951</c:v>
                </c:pt>
                <c:pt idx="119">
                  <c:v>-0.88657668422865754</c:v>
                </c:pt>
                <c:pt idx="120">
                  <c:v>-0.32370173021985238</c:v>
                </c:pt>
                <c:pt idx="121">
                  <c:v>-1.8043389223077497</c:v>
                </c:pt>
                <c:pt idx="122">
                  <c:v>-0.87574842044656975</c:v>
                </c:pt>
                <c:pt idx="123">
                  <c:v>0.17593732723585731</c:v>
                </c:pt>
                <c:pt idx="124">
                  <c:v>0.5451332153743067</c:v>
                </c:pt>
                <c:pt idx="125">
                  <c:v>-0.13385582222588255</c:v>
                </c:pt>
                <c:pt idx="126">
                  <c:v>0.53293443998148859</c:v>
                </c:pt>
                <c:pt idx="127">
                  <c:v>0.30955188743041617</c:v>
                </c:pt>
                <c:pt idx="128">
                  <c:v>1.2297113215306013</c:v>
                </c:pt>
                <c:pt idx="129">
                  <c:v>1.0069340737626646</c:v>
                </c:pt>
                <c:pt idx="130">
                  <c:v>1.3239729060303205</c:v>
                </c:pt>
                <c:pt idx="131">
                  <c:v>1.6029512464417337</c:v>
                </c:pt>
                <c:pt idx="132">
                  <c:v>1.3151650400388633</c:v>
                </c:pt>
                <c:pt idx="133">
                  <c:v>0.99090838733403075</c:v>
                </c:pt>
                <c:pt idx="134">
                  <c:v>1.1696534106909269</c:v>
                </c:pt>
                <c:pt idx="135">
                  <c:v>0.34025291472991626</c:v>
                </c:pt>
                <c:pt idx="136">
                  <c:v>-1.9171329310097462E-2</c:v>
                </c:pt>
                <c:pt idx="137">
                  <c:v>-2.4507102082612562</c:v>
                </c:pt>
                <c:pt idx="138">
                  <c:v>-0.95644262687537207</c:v>
                </c:pt>
                <c:pt idx="139">
                  <c:v>0.14308420397642863</c:v>
                </c:pt>
                <c:pt idx="140">
                  <c:v>1.1679208500638367</c:v>
                </c:pt>
                <c:pt idx="141">
                  <c:v>0.7480284495304943</c:v>
                </c:pt>
                <c:pt idx="142">
                  <c:v>1.3226381899877424</c:v>
                </c:pt>
                <c:pt idx="143">
                  <c:v>2.4405137412665283</c:v>
                </c:pt>
                <c:pt idx="144">
                  <c:v>1.6895921243284988</c:v>
                </c:pt>
                <c:pt idx="145">
                  <c:v>1.2362850390476865</c:v>
                </c:pt>
                <c:pt idx="146">
                  <c:v>1.5359481902200685</c:v>
                </c:pt>
                <c:pt idx="147">
                  <c:v>0.75316460449235478</c:v>
                </c:pt>
                <c:pt idx="148">
                  <c:v>3.1557340891964714E-2</c:v>
                </c:pt>
                <c:pt idx="149">
                  <c:v>-0.88572126943111584</c:v>
                </c:pt>
                <c:pt idx="150">
                  <c:v>-1.2155386186653914</c:v>
                </c:pt>
                <c:pt idx="151">
                  <c:v>-0.38420852320561494</c:v>
                </c:pt>
                <c:pt idx="152">
                  <c:v>-1.1872850878103804</c:v>
                </c:pt>
                <c:pt idx="153">
                  <c:v>0.28991771308935199</c:v>
                </c:pt>
                <c:pt idx="154">
                  <c:v>-1.0271720417578365</c:v>
                </c:pt>
                <c:pt idx="155">
                  <c:v>-0.91330747217381258</c:v>
                </c:pt>
                <c:pt idx="156">
                  <c:v>-1.2525997154548065</c:v>
                </c:pt>
                <c:pt idx="157">
                  <c:v>-0.84858909172652375</c:v>
                </c:pt>
                <c:pt idx="158">
                  <c:v>-1.3740330462927943</c:v>
                </c:pt>
                <c:pt idx="159">
                  <c:v>-0.92115865627442872</c:v>
                </c:pt>
                <c:pt idx="160">
                  <c:v>-1.0713342281391363</c:v>
                </c:pt>
                <c:pt idx="161">
                  <c:v>-0.2753523441941752</c:v>
                </c:pt>
                <c:pt idx="162">
                  <c:v>-0.3033360028540244</c:v>
                </c:pt>
                <c:pt idx="163">
                  <c:v>-0.75523610731841018</c:v>
                </c:pt>
                <c:pt idx="164">
                  <c:v>-0.89081397578468113</c:v>
                </c:pt>
                <c:pt idx="165">
                  <c:v>-1.2693589038835569</c:v>
                </c:pt>
                <c:pt idx="166">
                  <c:v>-1.5196034285108908</c:v>
                </c:pt>
                <c:pt idx="167">
                  <c:v>-2.1894867372471367</c:v>
                </c:pt>
                <c:pt idx="168">
                  <c:v>-1.2259982655305919</c:v>
                </c:pt>
                <c:pt idx="169">
                  <c:v>0.72524098041151319</c:v>
                </c:pt>
                <c:pt idx="170">
                  <c:v>0.86937624326762375</c:v>
                </c:pt>
                <c:pt idx="171">
                  <c:v>0.86109949011387243</c:v>
                </c:pt>
                <c:pt idx="172">
                  <c:v>0.11455932787407619</c:v>
                </c:pt>
                <c:pt idx="173">
                  <c:v>0.82336617629061948</c:v>
                </c:pt>
                <c:pt idx="174">
                  <c:v>1.1010588555260199</c:v>
                </c:pt>
                <c:pt idx="175">
                  <c:v>0.24066158188290387</c:v>
                </c:pt>
                <c:pt idx="176">
                  <c:v>-0.26548959012106366</c:v>
                </c:pt>
                <c:pt idx="177">
                  <c:v>-0.17520901945681544</c:v>
                </c:pt>
                <c:pt idx="178">
                  <c:v>-0.56614513410121958</c:v>
                </c:pt>
                <c:pt idx="179">
                  <c:v>1.1041631436055468</c:v>
                </c:pt>
                <c:pt idx="180">
                  <c:v>0.33853073203249551</c:v>
                </c:pt>
                <c:pt idx="181">
                  <c:v>-5.0917552416308354E-2</c:v>
                </c:pt>
                <c:pt idx="182">
                  <c:v>0.39773152495598652</c:v>
                </c:pt>
                <c:pt idx="183">
                  <c:v>1.3364230223160689</c:v>
                </c:pt>
                <c:pt idx="184">
                  <c:v>-3.7831465843721332</c:v>
                </c:pt>
                <c:pt idx="185">
                  <c:v>0.1298839164661274</c:v>
                </c:pt>
                <c:pt idx="186">
                  <c:v>0.60874020302097165</c:v>
                </c:pt>
                <c:pt idx="187">
                  <c:v>1.7865667760346469</c:v>
                </c:pt>
                <c:pt idx="188">
                  <c:v>0.37612767362216459</c:v>
                </c:pt>
                <c:pt idx="189">
                  <c:v>0.38907032966392308</c:v>
                </c:pt>
                <c:pt idx="190">
                  <c:v>0.15680709824403039</c:v>
                </c:pt>
                <c:pt idx="191">
                  <c:v>0.82050716449074912</c:v>
                </c:pt>
                <c:pt idx="192">
                  <c:v>0.79124170909582858</c:v>
                </c:pt>
                <c:pt idx="193">
                  <c:v>-0.26043090422678006</c:v>
                </c:pt>
                <c:pt idx="194">
                  <c:v>0.8555531621684338</c:v>
                </c:pt>
                <c:pt idx="195">
                  <c:v>0.62942051524237286</c:v>
                </c:pt>
                <c:pt idx="196">
                  <c:v>1.6308630412294747</c:v>
                </c:pt>
                <c:pt idx="197">
                  <c:v>1.8191792385418353</c:v>
                </c:pt>
                <c:pt idx="198">
                  <c:v>1.572648316191561</c:v>
                </c:pt>
                <c:pt idx="199">
                  <c:v>1.8084124961660564</c:v>
                </c:pt>
                <c:pt idx="200">
                  <c:v>2.5326310952553399</c:v>
                </c:pt>
                <c:pt idx="201">
                  <c:v>3.6403331724393411</c:v>
                </c:pt>
                <c:pt idx="202">
                  <c:v>2.714964892263481</c:v>
                </c:pt>
                <c:pt idx="203">
                  <c:v>2.2576972110403517</c:v>
                </c:pt>
                <c:pt idx="204">
                  <c:v>3.2280042320251141</c:v>
                </c:pt>
                <c:pt idx="205">
                  <c:v>3.9639489977155336</c:v>
                </c:pt>
                <c:pt idx="206">
                  <c:v>-3.0984229520351789</c:v>
                </c:pt>
                <c:pt idx="207">
                  <c:v>-16.135543545497384</c:v>
                </c:pt>
                <c:pt idx="208">
                  <c:v>-13.601908196596554</c:v>
                </c:pt>
                <c:pt idx="209">
                  <c:v>-7.4819276045421645</c:v>
                </c:pt>
                <c:pt idx="210">
                  <c:v>-3.4415112759207318</c:v>
                </c:pt>
                <c:pt idx="211">
                  <c:v>-0.86189251256615762</c:v>
                </c:pt>
                <c:pt idx="212">
                  <c:v>0.8678463282353448</c:v>
                </c:pt>
                <c:pt idx="213">
                  <c:v>2.5391615720178322</c:v>
                </c:pt>
                <c:pt idx="214">
                  <c:v>1.8029671403603516</c:v>
                </c:pt>
                <c:pt idx="215">
                  <c:v>1.7985899788592405</c:v>
                </c:pt>
                <c:pt idx="216">
                  <c:v>2.3142301786483301</c:v>
                </c:pt>
                <c:pt idx="217">
                  <c:v>4.0969637121246194</c:v>
                </c:pt>
                <c:pt idx="218">
                  <c:v>1.5424201578232726</c:v>
                </c:pt>
                <c:pt idx="219">
                  <c:v>1.6236684919594779</c:v>
                </c:pt>
                <c:pt idx="220">
                  <c:v>1.3828136781496028</c:v>
                </c:pt>
                <c:pt idx="221">
                  <c:v>1.350945887202613</c:v>
                </c:pt>
                <c:pt idx="222">
                  <c:v>0.90829103137866696</c:v>
                </c:pt>
                <c:pt idx="223">
                  <c:v>0.78423068175834487</c:v>
                </c:pt>
                <c:pt idx="224">
                  <c:v>-0.27242127247237136</c:v>
                </c:pt>
                <c:pt idx="225">
                  <c:v>-0.45334108630365222</c:v>
                </c:pt>
                <c:pt idx="226">
                  <c:v>-7.0034751430455344E-2</c:v>
                </c:pt>
                <c:pt idx="227">
                  <c:v>0.13627507863122901</c:v>
                </c:pt>
                <c:pt idx="228">
                  <c:v>-1.1255904779147556</c:v>
                </c:pt>
                <c:pt idx="229">
                  <c:v>-0.89689547478906206</c:v>
                </c:pt>
              </c:numCache>
            </c:numRef>
          </c:val>
          <c:smooth val="0"/>
          <c:extLst>
            <c:ext xmlns:c16="http://schemas.microsoft.com/office/drawing/2014/chart" uri="{C3380CC4-5D6E-409C-BE32-E72D297353CC}">
              <c16:uniqueId val="{00000003-A199-40C0-AF8C-CEC058C83184}"/>
            </c:ext>
          </c:extLst>
        </c:ser>
        <c:dLbls>
          <c:showLegendKey val="0"/>
          <c:showVal val="0"/>
          <c:showCatName val="0"/>
          <c:showSerName val="0"/>
          <c:showPercent val="0"/>
          <c:showBubbleSize val="0"/>
        </c:dLbls>
        <c:marker val="1"/>
        <c:smooth val="0"/>
        <c:axId val="1773992240"/>
        <c:axId val="1773995568"/>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min val="7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773995568"/>
        <c:scaling>
          <c:orientation val="minMax"/>
          <c:max val="90"/>
          <c:min val="-2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3992240"/>
        <c:crosses val="max"/>
        <c:crossBetween val="between"/>
        <c:majorUnit val="10"/>
      </c:valAx>
      <c:dateAx>
        <c:axId val="1773992240"/>
        <c:scaling>
          <c:orientation val="minMax"/>
        </c:scaling>
        <c:delete val="1"/>
        <c:axPos val="b"/>
        <c:numFmt formatCode="[$-416]mmm\-yy;@" sourceLinked="1"/>
        <c:majorTickMark val="out"/>
        <c:minorTickMark val="none"/>
        <c:tickLblPos val="nextTo"/>
        <c:crossAx val="1773995568"/>
        <c:crosses val="autoZero"/>
        <c:auto val="1"/>
        <c:lblOffset val="100"/>
        <c:baseTimeUnit val="month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DIFF!$F$10:$F$248</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DIFF!$G$10:$G$248</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4AFC-470E-8B11-8DCBC9AC7954}"/>
            </c:ext>
          </c:extLst>
        </c:ser>
        <c:ser>
          <c:idx val="1"/>
          <c:order val="1"/>
          <c:tx>
            <c:v>Difference</c:v>
          </c:tx>
          <c:spPr>
            <a:ln w="19050" cap="rnd">
              <a:solidFill>
                <a:schemeClr val="accent2"/>
              </a:solidFill>
              <a:round/>
            </a:ln>
            <a:effectLst/>
          </c:spPr>
          <c:marker>
            <c:symbol val="none"/>
          </c:marker>
          <c:cat>
            <c:numRef>
              <c:f>DIFF!$F$10:$F$248</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DIFF!$K$10:$K$298</c:f>
              <c:numCache>
                <c:formatCode>0.0</c:formatCode>
                <c:ptCount val="289"/>
                <c:pt idx="0">
                  <c:v>7.7000000000000028</c:v>
                </c:pt>
                <c:pt idx="1">
                  <c:v>2.1999999999999886</c:v>
                </c:pt>
                <c:pt idx="2">
                  <c:v>0.80000000000001137</c:v>
                </c:pt>
                <c:pt idx="3">
                  <c:v>-2.9000000000000057</c:v>
                </c:pt>
                <c:pt idx="4">
                  <c:v>5.7999999999999972</c:v>
                </c:pt>
                <c:pt idx="5">
                  <c:v>0.29999999999999716</c:v>
                </c:pt>
                <c:pt idx="6">
                  <c:v>-1.5</c:v>
                </c:pt>
                <c:pt idx="7">
                  <c:v>7.1000000000000085</c:v>
                </c:pt>
                <c:pt idx="8">
                  <c:v>-5.2999999999999972</c:v>
                </c:pt>
                <c:pt idx="9">
                  <c:v>-9.3000000000000114</c:v>
                </c:pt>
                <c:pt idx="10">
                  <c:v>-0.59999999999999432</c:v>
                </c:pt>
                <c:pt idx="11">
                  <c:v>-2.2000000000000028</c:v>
                </c:pt>
                <c:pt idx="12">
                  <c:v>5.6000000000000085</c:v>
                </c:pt>
                <c:pt idx="13">
                  <c:v>-0.90000000000000568</c:v>
                </c:pt>
                <c:pt idx="14">
                  <c:v>3.2000000000000028</c:v>
                </c:pt>
                <c:pt idx="15">
                  <c:v>-3.4000000000000057</c:v>
                </c:pt>
                <c:pt idx="16">
                  <c:v>5</c:v>
                </c:pt>
                <c:pt idx="17">
                  <c:v>0.29999999999999716</c:v>
                </c:pt>
                <c:pt idx="18">
                  <c:v>4.1000000000000085</c:v>
                </c:pt>
                <c:pt idx="19">
                  <c:v>4.2999999999999972</c:v>
                </c:pt>
                <c:pt idx="20">
                  <c:v>-5.4000000000000057</c:v>
                </c:pt>
                <c:pt idx="21">
                  <c:v>-6.6999999999999886</c:v>
                </c:pt>
                <c:pt idx="22">
                  <c:v>-1.1000000000000085</c:v>
                </c:pt>
                <c:pt idx="23">
                  <c:v>-2.7999999999999972</c:v>
                </c:pt>
                <c:pt idx="24">
                  <c:v>12.900000000000006</c:v>
                </c:pt>
                <c:pt idx="25">
                  <c:v>-4.7000000000000028</c:v>
                </c:pt>
                <c:pt idx="26">
                  <c:v>4.0999999999999943</c:v>
                </c:pt>
                <c:pt idx="27">
                  <c:v>-0.20000000000000284</c:v>
                </c:pt>
                <c:pt idx="28">
                  <c:v>4</c:v>
                </c:pt>
                <c:pt idx="29">
                  <c:v>2</c:v>
                </c:pt>
                <c:pt idx="30">
                  <c:v>0</c:v>
                </c:pt>
                <c:pt idx="31">
                  <c:v>1.4000000000000057</c:v>
                </c:pt>
                <c:pt idx="32">
                  <c:v>-1.7000000000000028</c:v>
                </c:pt>
                <c:pt idx="33">
                  <c:v>-7.0999999999999943</c:v>
                </c:pt>
                <c:pt idx="34">
                  <c:v>-3.7000000000000028</c:v>
                </c:pt>
                <c:pt idx="35">
                  <c:v>-4.5999999999999943</c:v>
                </c:pt>
                <c:pt idx="36">
                  <c:v>11.599999999999994</c:v>
                </c:pt>
                <c:pt idx="37">
                  <c:v>-1</c:v>
                </c:pt>
                <c:pt idx="38">
                  <c:v>4.0999999999999943</c:v>
                </c:pt>
                <c:pt idx="39">
                  <c:v>0.30000000000001137</c:v>
                </c:pt>
                <c:pt idx="40">
                  <c:v>-0.90000000000000568</c:v>
                </c:pt>
                <c:pt idx="41">
                  <c:v>5.0999999999999943</c:v>
                </c:pt>
                <c:pt idx="42">
                  <c:v>-3.5999999999999943</c:v>
                </c:pt>
                <c:pt idx="43">
                  <c:v>1.7000000000000028</c:v>
                </c:pt>
                <c:pt idx="44">
                  <c:v>-1.2999999999999972</c:v>
                </c:pt>
                <c:pt idx="45">
                  <c:v>-5.8000000000000114</c:v>
                </c:pt>
                <c:pt idx="46">
                  <c:v>-2.8999999999999915</c:v>
                </c:pt>
                <c:pt idx="47">
                  <c:v>-3.5</c:v>
                </c:pt>
                <c:pt idx="48">
                  <c:v>12.200000000000003</c:v>
                </c:pt>
                <c:pt idx="49">
                  <c:v>-6.7000000000000028</c:v>
                </c:pt>
                <c:pt idx="50">
                  <c:v>9.7000000000000028</c:v>
                </c:pt>
                <c:pt idx="51">
                  <c:v>-4.3000000000000114</c:v>
                </c:pt>
                <c:pt idx="52">
                  <c:v>2.7000000000000028</c:v>
                </c:pt>
                <c:pt idx="53">
                  <c:v>4.7999999999999972</c:v>
                </c:pt>
                <c:pt idx="54">
                  <c:v>-5.3999999999999915</c:v>
                </c:pt>
                <c:pt idx="55">
                  <c:v>4.2999999999999972</c:v>
                </c:pt>
                <c:pt idx="56">
                  <c:v>-1.5999999999999943</c:v>
                </c:pt>
                <c:pt idx="57">
                  <c:v>-8.9000000000000057</c:v>
                </c:pt>
                <c:pt idx="58">
                  <c:v>0</c:v>
                </c:pt>
                <c:pt idx="59">
                  <c:v>-4.4000000000000057</c:v>
                </c:pt>
                <c:pt idx="60">
                  <c:v>13.800000000000011</c:v>
                </c:pt>
                <c:pt idx="61">
                  <c:v>-5.8000000000000114</c:v>
                </c:pt>
                <c:pt idx="62">
                  <c:v>9.3000000000000114</c:v>
                </c:pt>
                <c:pt idx="63">
                  <c:v>-3</c:v>
                </c:pt>
                <c:pt idx="64">
                  <c:v>2.8999999999999915</c:v>
                </c:pt>
                <c:pt idx="65">
                  <c:v>5.1000000000000085</c:v>
                </c:pt>
                <c:pt idx="66">
                  <c:v>-6.5</c:v>
                </c:pt>
                <c:pt idx="67">
                  <c:v>9.3999999999999915</c:v>
                </c:pt>
                <c:pt idx="68">
                  <c:v>-5.3999999999999915</c:v>
                </c:pt>
                <c:pt idx="69">
                  <c:v>-9.8000000000000114</c:v>
                </c:pt>
                <c:pt idx="70">
                  <c:v>2.2000000000000028</c:v>
                </c:pt>
                <c:pt idx="71">
                  <c:v>-3.7000000000000028</c:v>
                </c:pt>
                <c:pt idx="72">
                  <c:v>6.6000000000000085</c:v>
                </c:pt>
                <c:pt idx="73">
                  <c:v>1.5</c:v>
                </c:pt>
                <c:pt idx="74">
                  <c:v>3.2999999999999972</c:v>
                </c:pt>
                <c:pt idx="75">
                  <c:v>0.79999999999999716</c:v>
                </c:pt>
                <c:pt idx="76">
                  <c:v>5.2000000000000028</c:v>
                </c:pt>
                <c:pt idx="77">
                  <c:v>-1.5999999999999943</c:v>
                </c:pt>
                <c:pt idx="78">
                  <c:v>0.39999999999999147</c:v>
                </c:pt>
                <c:pt idx="79">
                  <c:v>1.1000000000000085</c:v>
                </c:pt>
                <c:pt idx="80">
                  <c:v>-12.200000000000003</c:v>
                </c:pt>
                <c:pt idx="81">
                  <c:v>-17.100000000000009</c:v>
                </c:pt>
                <c:pt idx="82">
                  <c:v>-0.39999999999999147</c:v>
                </c:pt>
                <c:pt idx="83">
                  <c:v>-2.6000000000000085</c:v>
                </c:pt>
                <c:pt idx="84">
                  <c:v>12.5</c:v>
                </c:pt>
                <c:pt idx="85">
                  <c:v>-3.3999999999999915</c:v>
                </c:pt>
                <c:pt idx="86">
                  <c:v>6.0999999999999943</c:v>
                </c:pt>
                <c:pt idx="87">
                  <c:v>0.90000000000000568</c:v>
                </c:pt>
                <c:pt idx="88">
                  <c:v>5.5</c:v>
                </c:pt>
                <c:pt idx="89">
                  <c:v>1.8999999999999915</c:v>
                </c:pt>
                <c:pt idx="90">
                  <c:v>-0.19999999999998863</c:v>
                </c:pt>
                <c:pt idx="91">
                  <c:v>6.1999999999999886</c:v>
                </c:pt>
                <c:pt idx="92">
                  <c:v>-4.1999999999999886</c:v>
                </c:pt>
                <c:pt idx="93">
                  <c:v>-7.3000000000000114</c:v>
                </c:pt>
                <c:pt idx="94">
                  <c:v>-2.8999999999999915</c:v>
                </c:pt>
                <c:pt idx="95">
                  <c:v>-2.2000000000000028</c:v>
                </c:pt>
                <c:pt idx="96">
                  <c:v>16.099999999999994</c:v>
                </c:pt>
                <c:pt idx="97">
                  <c:v>-5.7999999999999972</c:v>
                </c:pt>
                <c:pt idx="98">
                  <c:v>5</c:v>
                </c:pt>
                <c:pt idx="99">
                  <c:v>-1.7999999999999972</c:v>
                </c:pt>
                <c:pt idx="100">
                  <c:v>4.4000000000000057</c:v>
                </c:pt>
                <c:pt idx="101">
                  <c:v>1.1999999999999886</c:v>
                </c:pt>
                <c:pt idx="102">
                  <c:v>-2.2999999999999972</c:v>
                </c:pt>
                <c:pt idx="103">
                  <c:v>1.9000000000000057</c:v>
                </c:pt>
                <c:pt idx="104">
                  <c:v>-0.90000000000000568</c:v>
                </c:pt>
                <c:pt idx="105">
                  <c:v>-10.200000000000003</c:v>
                </c:pt>
                <c:pt idx="106">
                  <c:v>-3.3999999999999915</c:v>
                </c:pt>
                <c:pt idx="107">
                  <c:v>2.2000000000000028</c:v>
                </c:pt>
                <c:pt idx="108">
                  <c:v>9</c:v>
                </c:pt>
                <c:pt idx="109">
                  <c:v>-6.9000000000000057</c:v>
                </c:pt>
                <c:pt idx="110">
                  <c:v>9.5999999999999943</c:v>
                </c:pt>
                <c:pt idx="111">
                  <c:v>-4.2999999999999972</c:v>
                </c:pt>
                <c:pt idx="112">
                  <c:v>3.2999999999999972</c:v>
                </c:pt>
                <c:pt idx="113">
                  <c:v>4.7000000000000028</c:v>
                </c:pt>
                <c:pt idx="114">
                  <c:v>-6</c:v>
                </c:pt>
                <c:pt idx="115">
                  <c:v>1.5</c:v>
                </c:pt>
                <c:pt idx="116">
                  <c:v>-2.0999999999999943</c:v>
                </c:pt>
                <c:pt idx="117">
                  <c:v>-8.5</c:v>
                </c:pt>
                <c:pt idx="118">
                  <c:v>-7</c:v>
                </c:pt>
                <c:pt idx="119">
                  <c:v>1.0999999999999943</c:v>
                </c:pt>
                <c:pt idx="120">
                  <c:v>9.9000000000000057</c:v>
                </c:pt>
                <c:pt idx="121">
                  <c:v>-6.9000000000000057</c:v>
                </c:pt>
                <c:pt idx="122">
                  <c:v>9.7000000000000028</c:v>
                </c:pt>
                <c:pt idx="123">
                  <c:v>-4.2000000000000028</c:v>
                </c:pt>
                <c:pt idx="124">
                  <c:v>6.2000000000000028</c:v>
                </c:pt>
                <c:pt idx="125">
                  <c:v>7</c:v>
                </c:pt>
                <c:pt idx="126">
                  <c:v>-8.0999999999999943</c:v>
                </c:pt>
                <c:pt idx="127">
                  <c:v>8.3999999999999915</c:v>
                </c:pt>
                <c:pt idx="128">
                  <c:v>-7</c:v>
                </c:pt>
                <c:pt idx="129">
                  <c:v>-12.599999999999994</c:v>
                </c:pt>
                <c:pt idx="130">
                  <c:v>2.2999999999999972</c:v>
                </c:pt>
                <c:pt idx="131">
                  <c:v>-6.4000000000000057</c:v>
                </c:pt>
                <c:pt idx="132">
                  <c:v>9.6000000000000085</c:v>
                </c:pt>
                <c:pt idx="133">
                  <c:v>4.0999999999999943</c:v>
                </c:pt>
                <c:pt idx="134">
                  <c:v>3.2000000000000028</c:v>
                </c:pt>
                <c:pt idx="135">
                  <c:v>-3.2999999999999972</c:v>
                </c:pt>
                <c:pt idx="136">
                  <c:v>6.2999999999999972</c:v>
                </c:pt>
                <c:pt idx="137">
                  <c:v>4</c:v>
                </c:pt>
                <c:pt idx="138">
                  <c:v>-4.7000000000000028</c:v>
                </c:pt>
                <c:pt idx="139">
                  <c:v>5.2999999999999972</c:v>
                </c:pt>
                <c:pt idx="140">
                  <c:v>-6.5</c:v>
                </c:pt>
                <c:pt idx="141">
                  <c:v>-16</c:v>
                </c:pt>
                <c:pt idx="142">
                  <c:v>2.5</c:v>
                </c:pt>
                <c:pt idx="143">
                  <c:v>-0.29999999999999716</c:v>
                </c:pt>
                <c:pt idx="144">
                  <c:v>5</c:v>
                </c:pt>
                <c:pt idx="145">
                  <c:v>-1.2999999999999972</c:v>
                </c:pt>
                <c:pt idx="146">
                  <c:v>5.7000000000000028</c:v>
                </c:pt>
                <c:pt idx="147">
                  <c:v>-6.7999999999999972</c:v>
                </c:pt>
                <c:pt idx="148">
                  <c:v>9.5</c:v>
                </c:pt>
                <c:pt idx="149">
                  <c:v>1.8999999999999915</c:v>
                </c:pt>
                <c:pt idx="150">
                  <c:v>-0.70000000000000284</c:v>
                </c:pt>
                <c:pt idx="151">
                  <c:v>3.7000000000000028</c:v>
                </c:pt>
                <c:pt idx="152">
                  <c:v>-9.5</c:v>
                </c:pt>
                <c:pt idx="153">
                  <c:v>-12.099999999999994</c:v>
                </c:pt>
                <c:pt idx="154">
                  <c:v>0.39999999999999147</c:v>
                </c:pt>
                <c:pt idx="155">
                  <c:v>-4.3999999999999915</c:v>
                </c:pt>
                <c:pt idx="156">
                  <c:v>10.599999999999994</c:v>
                </c:pt>
                <c:pt idx="157">
                  <c:v>-5.5</c:v>
                </c:pt>
                <c:pt idx="158">
                  <c:v>4.2999999999999972</c:v>
                </c:pt>
                <c:pt idx="159">
                  <c:v>-0.59999999999999432</c:v>
                </c:pt>
                <c:pt idx="160">
                  <c:v>3</c:v>
                </c:pt>
                <c:pt idx="161">
                  <c:v>2.0999999999999943</c:v>
                </c:pt>
                <c:pt idx="162">
                  <c:v>-3.2999999999999972</c:v>
                </c:pt>
                <c:pt idx="163">
                  <c:v>2.9000000000000057</c:v>
                </c:pt>
                <c:pt idx="164">
                  <c:v>-9.6000000000000085</c:v>
                </c:pt>
                <c:pt idx="165">
                  <c:v>-10.399999999999991</c:v>
                </c:pt>
                <c:pt idx="166">
                  <c:v>-0.90000000000000568</c:v>
                </c:pt>
                <c:pt idx="167">
                  <c:v>-0.5</c:v>
                </c:pt>
                <c:pt idx="168">
                  <c:v>7.9000000000000057</c:v>
                </c:pt>
                <c:pt idx="169">
                  <c:v>-0.70000000000000284</c:v>
                </c:pt>
                <c:pt idx="170">
                  <c:v>3.2999999999999972</c:v>
                </c:pt>
                <c:pt idx="171">
                  <c:v>1.4000000000000057</c:v>
                </c:pt>
                <c:pt idx="172">
                  <c:v>1.8999999999999915</c:v>
                </c:pt>
                <c:pt idx="173">
                  <c:v>3.4000000000000057</c:v>
                </c:pt>
                <c:pt idx="174">
                  <c:v>-2.2999999999999972</c:v>
                </c:pt>
                <c:pt idx="175">
                  <c:v>-0.5</c:v>
                </c:pt>
                <c:pt idx="176">
                  <c:v>-3.7000000000000028</c:v>
                </c:pt>
                <c:pt idx="177">
                  <c:v>-9.2999999999999972</c:v>
                </c:pt>
                <c:pt idx="178">
                  <c:v>0.70000000000000284</c:v>
                </c:pt>
                <c:pt idx="179">
                  <c:v>-2</c:v>
                </c:pt>
                <c:pt idx="180">
                  <c:v>9.5</c:v>
                </c:pt>
                <c:pt idx="181">
                  <c:v>-6.1000000000000085</c:v>
                </c:pt>
                <c:pt idx="182">
                  <c:v>10.799999999999997</c:v>
                </c:pt>
                <c:pt idx="183">
                  <c:v>-1.6999999999999886</c:v>
                </c:pt>
                <c:pt idx="184">
                  <c:v>3.6999999999999886</c:v>
                </c:pt>
                <c:pt idx="185">
                  <c:v>4.6000000000000085</c:v>
                </c:pt>
                <c:pt idx="186">
                  <c:v>-3.7000000000000028</c:v>
                </c:pt>
                <c:pt idx="187">
                  <c:v>2.0999999999999943</c:v>
                </c:pt>
                <c:pt idx="188">
                  <c:v>-4.5</c:v>
                </c:pt>
                <c:pt idx="189">
                  <c:v>-9.5999999999999943</c:v>
                </c:pt>
                <c:pt idx="190">
                  <c:v>1.2999999999999972</c:v>
                </c:pt>
                <c:pt idx="191">
                  <c:v>-5</c:v>
                </c:pt>
                <c:pt idx="192">
                  <c:v>8.9000000000000057</c:v>
                </c:pt>
                <c:pt idx="193">
                  <c:v>0.29999999999999716</c:v>
                </c:pt>
                <c:pt idx="194">
                  <c:v>-2.0999999999999943</c:v>
                </c:pt>
                <c:pt idx="195">
                  <c:v>6.6999999999999886</c:v>
                </c:pt>
                <c:pt idx="196">
                  <c:v>4.7000000000000028</c:v>
                </c:pt>
                <c:pt idx="197">
                  <c:v>2.4000000000000057</c:v>
                </c:pt>
                <c:pt idx="198">
                  <c:v>-7.5</c:v>
                </c:pt>
                <c:pt idx="199">
                  <c:v>5.0999999999999943</c:v>
                </c:pt>
                <c:pt idx="200">
                  <c:v>-6.2999999999999972</c:v>
                </c:pt>
                <c:pt idx="201">
                  <c:v>-11.5</c:v>
                </c:pt>
                <c:pt idx="202">
                  <c:v>2.7000000000000028</c:v>
                </c:pt>
                <c:pt idx="203">
                  <c:v>-1.6000000000000085</c:v>
                </c:pt>
                <c:pt idx="204">
                  <c:v>1.9000000000000057</c:v>
                </c:pt>
                <c:pt idx="205">
                  <c:v>2.2999999999999972</c:v>
                </c:pt>
                <c:pt idx="206">
                  <c:v>7.7000000000000028</c:v>
                </c:pt>
                <c:pt idx="207">
                  <c:v>-5.2000000000000028</c:v>
                </c:pt>
                <c:pt idx="208">
                  <c:v>7.6000000000000085</c:v>
                </c:pt>
                <c:pt idx="209">
                  <c:v>2.7999999999999972</c:v>
                </c:pt>
                <c:pt idx="210">
                  <c:v>-4.4000000000000057</c:v>
                </c:pt>
                <c:pt idx="211">
                  <c:v>5.2000000000000028</c:v>
                </c:pt>
                <c:pt idx="212">
                  <c:v>-9</c:v>
                </c:pt>
                <c:pt idx="213">
                  <c:v>-11.099999999999994</c:v>
                </c:pt>
                <c:pt idx="214">
                  <c:v>3.0999999999999943</c:v>
                </c:pt>
                <c:pt idx="215">
                  <c:v>-1.0999999999999943</c:v>
                </c:pt>
                <c:pt idx="216">
                  <c:v>-1</c:v>
                </c:pt>
                <c:pt idx="217">
                  <c:v>-17.600000000000009</c:v>
                </c:pt>
                <c:pt idx="218">
                  <c:v>10.900000000000006</c:v>
                </c:pt>
                <c:pt idx="219">
                  <c:v>7.2000000000000028</c:v>
                </c:pt>
                <c:pt idx="220">
                  <c:v>12.599999999999994</c:v>
                </c:pt>
                <c:pt idx="221">
                  <c:v>2.9000000000000057</c:v>
                </c:pt>
                <c:pt idx="222">
                  <c:v>1.5</c:v>
                </c:pt>
                <c:pt idx="223">
                  <c:v>1.8999999999999915</c:v>
                </c:pt>
                <c:pt idx="224">
                  <c:v>-7.0999999999999943</c:v>
                </c:pt>
                <c:pt idx="225">
                  <c:v>-6.9000000000000057</c:v>
                </c:pt>
                <c:pt idx="226">
                  <c:v>-1.3999999999999915</c:v>
                </c:pt>
                <c:pt idx="227">
                  <c:v>-2.8000000000000114</c:v>
                </c:pt>
                <c:pt idx="228">
                  <c:v>7</c:v>
                </c:pt>
                <c:pt idx="229">
                  <c:v>-4.7999999999999972</c:v>
                </c:pt>
                <c:pt idx="230">
                  <c:v>7.1000000000000085</c:v>
                </c:pt>
                <c:pt idx="231">
                  <c:v>-0.5</c:v>
                </c:pt>
                <c:pt idx="232">
                  <c:v>4.2999999999999972</c:v>
                </c:pt>
                <c:pt idx="233">
                  <c:v>1.2000000000000028</c:v>
                </c:pt>
                <c:pt idx="234">
                  <c:v>-1.9000000000000057</c:v>
                </c:pt>
                <c:pt idx="235">
                  <c:v>-1.7999999999999972</c:v>
                </c:pt>
                <c:pt idx="236">
                  <c:v>-3.4000000000000057</c:v>
                </c:pt>
                <c:pt idx="237">
                  <c:v>-7.0999999999999943</c:v>
                </c:pt>
              </c:numCache>
            </c:numRef>
          </c:val>
          <c:smooth val="0"/>
          <c:extLst>
            <c:ext xmlns:c16="http://schemas.microsoft.com/office/drawing/2014/chart" uri="{C3380CC4-5D6E-409C-BE32-E72D297353CC}">
              <c16:uniqueId val="{00000001-4AFC-470E-8B11-8DCBC9AC7954}"/>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MOVAVG!$F$12:$F$250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MOVAVG!$G$12:$G$250</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8DDB-4461-9308-6A022A52EEEC}"/>
            </c:ext>
          </c:extLst>
        </c:ser>
        <c:ser>
          <c:idx val="1"/>
          <c:order val="1"/>
          <c:tx>
            <c:v>Difference</c:v>
          </c:tx>
          <c:spPr>
            <a:ln w="19050" cap="rnd">
              <a:solidFill>
                <a:schemeClr val="accent2"/>
              </a:solidFill>
              <a:round/>
            </a:ln>
            <a:effectLst/>
          </c:spPr>
          <c:marker>
            <c:symbol val="none"/>
          </c:marker>
          <c:cat>
            <c:numRef>
              <c:f>MOVAVG!$F$12:$F$250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MOVAVG!$O$12:$O$300</c:f>
              <c:numCache>
                <c:formatCode>0.0</c:formatCode>
                <c:ptCount val="289"/>
                <c:pt idx="0">
                  <c:v>#N/A</c:v>
                </c:pt>
                <c:pt idx="1">
                  <c:v>73.166666666666671</c:v>
                </c:pt>
                <c:pt idx="2">
                  <c:v>75.566666666666677</c:v>
                </c:pt>
                <c:pt idx="3">
                  <c:v>79.13333333333334</c:v>
                </c:pt>
                <c:pt idx="4">
                  <c:v>79.166666666666671</c:v>
                </c:pt>
                <c:pt idx="5">
                  <c:v>80.399999999999991</c:v>
                </c:pt>
                <c:pt idx="6">
                  <c:v>81.466666666666669</c:v>
                </c:pt>
                <c:pt idx="7">
                  <c:v>82.999999999999986</c:v>
                </c:pt>
                <c:pt idx="8">
                  <c:v>84.966666666666654</c:v>
                </c:pt>
                <c:pt idx="9">
                  <c:v>85.066666666666677</c:v>
                </c:pt>
                <c:pt idx="10">
                  <c:v>82.566666666666677</c:v>
                </c:pt>
                <c:pt idx="11">
                  <c:v>77.5</c:v>
                </c:pt>
                <c:pt idx="12">
                  <c:v>73.466666666666654</c:v>
                </c:pt>
                <c:pt idx="13">
                  <c:v>74.400000000000006</c:v>
                </c:pt>
                <c:pt idx="14">
                  <c:v>75.233333333333334</c:v>
                </c:pt>
                <c:pt idx="15">
                  <c:v>77.866666666666674</c:v>
                </c:pt>
                <c:pt idx="16">
                  <c:v>77.5</c:v>
                </c:pt>
                <c:pt idx="17">
                  <c:v>79.100000000000009</c:v>
                </c:pt>
                <c:pt idx="18">
                  <c:v>79.733333333333334</c:v>
                </c:pt>
                <c:pt idx="19">
                  <c:v>82.86666666666666</c:v>
                </c:pt>
                <c:pt idx="20">
                  <c:v>85.766666666666666</c:v>
                </c:pt>
                <c:pt idx="21">
                  <c:v>86.766666666666652</c:v>
                </c:pt>
                <c:pt idx="22">
                  <c:v>84.166666666666671</c:v>
                </c:pt>
                <c:pt idx="23">
                  <c:v>79.766666666666666</c:v>
                </c:pt>
                <c:pt idx="24">
                  <c:v>76.233333333333334</c:v>
                </c:pt>
                <c:pt idx="25">
                  <c:v>79.233333333333334</c:v>
                </c:pt>
                <c:pt idx="26">
                  <c:v>81.033333333333346</c:v>
                </c:pt>
                <c:pt idx="27">
                  <c:v>85.13333333333334</c:v>
                </c:pt>
                <c:pt idx="28">
                  <c:v>84.86666666666666</c:v>
                </c:pt>
                <c:pt idx="29">
                  <c:v>87.5</c:v>
                </c:pt>
                <c:pt idx="30">
                  <c:v>89.433333333333323</c:v>
                </c:pt>
                <c:pt idx="31">
                  <c:v>91.433333333333323</c:v>
                </c:pt>
                <c:pt idx="32">
                  <c:v>92.566666666666663</c:v>
                </c:pt>
                <c:pt idx="33">
                  <c:v>92.466666666666654</c:v>
                </c:pt>
                <c:pt idx="34">
                  <c:v>90</c:v>
                </c:pt>
                <c:pt idx="35">
                  <c:v>85.833333333333329</c:v>
                </c:pt>
                <c:pt idx="36">
                  <c:v>80.7</c:v>
                </c:pt>
                <c:pt idx="37">
                  <c:v>81.8</c:v>
                </c:pt>
                <c:pt idx="38">
                  <c:v>83.8</c:v>
                </c:pt>
                <c:pt idx="39">
                  <c:v>88.7</c:v>
                </c:pt>
                <c:pt idx="40">
                  <c:v>89.833333333333329</c:v>
                </c:pt>
                <c:pt idx="41">
                  <c:v>91</c:v>
                </c:pt>
                <c:pt idx="42">
                  <c:v>92.5</c:v>
                </c:pt>
                <c:pt idx="43">
                  <c:v>92.7</c:v>
                </c:pt>
                <c:pt idx="44">
                  <c:v>93.766666666666666</c:v>
                </c:pt>
                <c:pt idx="45">
                  <c:v>92.7</c:v>
                </c:pt>
                <c:pt idx="46">
                  <c:v>90.90000000000002</c:v>
                </c:pt>
                <c:pt idx="47">
                  <c:v>87.566666666666663</c:v>
                </c:pt>
                <c:pt idx="48">
                  <c:v>83.5</c:v>
                </c:pt>
                <c:pt idx="49">
                  <c:v>85.433333333333337</c:v>
                </c:pt>
                <c:pt idx="50">
                  <c:v>86.100000000000009</c:v>
                </c:pt>
                <c:pt idx="51">
                  <c:v>91.166666666666671</c:v>
                </c:pt>
                <c:pt idx="52">
                  <c:v>90.733333333333348</c:v>
                </c:pt>
                <c:pt idx="53">
                  <c:v>93.433333333333337</c:v>
                </c:pt>
                <c:pt idx="54">
                  <c:v>94.5</c:v>
                </c:pt>
                <c:pt idx="55">
                  <c:v>95.199999999999989</c:v>
                </c:pt>
                <c:pt idx="56">
                  <c:v>96.433333333333337</c:v>
                </c:pt>
                <c:pt idx="57">
                  <c:v>95.533333333333346</c:v>
                </c:pt>
                <c:pt idx="58">
                  <c:v>93.466666666666654</c:v>
                </c:pt>
                <c:pt idx="59">
                  <c:v>89.966666666666654</c:v>
                </c:pt>
                <c:pt idx="60">
                  <c:v>85.533333333333346</c:v>
                </c:pt>
                <c:pt idx="61">
                  <c:v>88.666666666666671</c:v>
                </c:pt>
                <c:pt idx="62">
                  <c:v>89.866666666666674</c:v>
                </c:pt>
                <c:pt idx="63">
                  <c:v>95.633333333333326</c:v>
                </c:pt>
                <c:pt idx="64">
                  <c:v>95.8</c:v>
                </c:pt>
                <c:pt idx="65">
                  <c:v>98.866666666666674</c:v>
                </c:pt>
                <c:pt idx="66">
                  <c:v>100.53333333333335</c:v>
                </c:pt>
                <c:pt idx="67">
                  <c:v>101.03333333333335</c:v>
                </c:pt>
                <c:pt idx="68">
                  <c:v>103.7</c:v>
                </c:pt>
                <c:pt idx="69">
                  <c:v>102.86666666666667</c:v>
                </c:pt>
                <c:pt idx="70">
                  <c:v>100.93333333333332</c:v>
                </c:pt>
                <c:pt idx="71">
                  <c:v>96.600000000000009</c:v>
                </c:pt>
                <c:pt idx="72">
                  <c:v>92.833333333333329</c:v>
                </c:pt>
                <c:pt idx="73">
                  <c:v>94.533333333333317</c:v>
                </c:pt>
                <c:pt idx="74">
                  <c:v>96</c:v>
                </c:pt>
                <c:pt idx="75">
                  <c:v>99.8</c:v>
                </c:pt>
                <c:pt idx="76">
                  <c:v>101.66666666666667</c:v>
                </c:pt>
                <c:pt idx="77">
                  <c:v>104.76666666666667</c:v>
                </c:pt>
                <c:pt idx="78">
                  <c:v>106.23333333333335</c:v>
                </c:pt>
                <c:pt idx="79">
                  <c:v>107.56666666666666</c:v>
                </c:pt>
                <c:pt idx="80">
                  <c:v>107.53333333333335</c:v>
                </c:pt>
                <c:pt idx="81">
                  <c:v>103.96666666666665</c:v>
                </c:pt>
                <c:pt idx="82">
                  <c:v>94.566666666666677</c:v>
                </c:pt>
                <c:pt idx="83">
                  <c:v>84.666666666666671</c:v>
                </c:pt>
                <c:pt idx="84">
                  <c:v>77.966666666666669</c:v>
                </c:pt>
                <c:pt idx="85">
                  <c:v>81.13333333333334</c:v>
                </c:pt>
                <c:pt idx="86">
                  <c:v>83.3</c:v>
                </c:pt>
                <c:pt idx="87">
                  <c:v>88.366666666666674</c:v>
                </c:pt>
                <c:pt idx="88">
                  <c:v>89.566666666666663</c:v>
                </c:pt>
                <c:pt idx="89">
                  <c:v>93.733333333333334</c:v>
                </c:pt>
                <c:pt idx="90">
                  <c:v>96.5</c:v>
                </c:pt>
                <c:pt idx="91">
                  <c:v>98.90000000000002</c:v>
                </c:pt>
                <c:pt idx="92">
                  <c:v>101.53333333333335</c:v>
                </c:pt>
                <c:pt idx="93">
                  <c:v>102.13333333333333</c:v>
                </c:pt>
                <c:pt idx="94">
                  <c:v>100.36666666666667</c:v>
                </c:pt>
                <c:pt idx="95">
                  <c:v>95.566666666666663</c:v>
                </c:pt>
                <c:pt idx="96">
                  <c:v>91.433333333333337</c:v>
                </c:pt>
                <c:pt idx="97">
                  <c:v>95.09999999999998</c:v>
                </c:pt>
                <c:pt idx="98">
                  <c:v>97.8</c:v>
                </c:pt>
                <c:pt idx="99">
                  <c:v>102.89999999999999</c:v>
                </c:pt>
                <c:pt idx="100">
                  <c:v>102.03333333333335</c:v>
                </c:pt>
                <c:pt idx="101">
                  <c:v>104.56666666666668</c:v>
                </c:pt>
                <c:pt idx="102">
                  <c:v>105.83333333333333</c:v>
                </c:pt>
                <c:pt idx="103">
                  <c:v>106.93333333333334</c:v>
                </c:pt>
                <c:pt idx="104">
                  <c:v>107.19999999999999</c:v>
                </c:pt>
                <c:pt idx="105">
                  <c:v>106.76666666666667</c:v>
                </c:pt>
                <c:pt idx="106">
                  <c:v>103.7</c:v>
                </c:pt>
                <c:pt idx="107">
                  <c:v>98.86666666666666</c:v>
                </c:pt>
                <c:pt idx="108">
                  <c:v>95.066666666666677</c:v>
                </c:pt>
                <c:pt idx="109">
                  <c:v>97.666666666666671</c:v>
                </c:pt>
                <c:pt idx="110">
                  <c:v>99.100000000000009</c:v>
                </c:pt>
                <c:pt idx="111">
                  <c:v>103</c:v>
                </c:pt>
                <c:pt idx="112">
                  <c:v>102.46666666666665</c:v>
                </c:pt>
                <c:pt idx="113">
                  <c:v>105.33333333333333</c:v>
                </c:pt>
                <c:pt idx="114">
                  <c:v>106.56666666666666</c:v>
                </c:pt>
                <c:pt idx="115">
                  <c:v>107.23333333333333</c:v>
                </c:pt>
                <c:pt idx="116">
                  <c:v>107.3</c:v>
                </c:pt>
                <c:pt idx="117">
                  <c:v>105.10000000000001</c:v>
                </c:pt>
                <c:pt idx="118">
                  <c:v>102.06666666666666</c:v>
                </c:pt>
                <c:pt idx="119">
                  <c:v>96.2</c:v>
                </c:pt>
                <c:pt idx="120">
                  <c:v>91.399999999999991</c:v>
                </c:pt>
                <c:pt idx="121">
                  <c:v>92.733333333333334</c:v>
                </c:pt>
                <c:pt idx="122">
                  <c:v>94.100000000000009</c:v>
                </c:pt>
                <c:pt idx="123">
                  <c:v>98.333333333333329</c:v>
                </c:pt>
                <c:pt idx="124">
                  <c:v>97.866666666666674</c:v>
                </c:pt>
                <c:pt idx="125">
                  <c:v>101.76666666666667</c:v>
                </c:pt>
                <c:pt idx="126">
                  <c:v>104.76666666666667</c:v>
                </c:pt>
                <c:pt idx="127">
                  <c:v>106.46666666666665</c:v>
                </c:pt>
                <c:pt idx="128">
                  <c:v>108.89999999999999</c:v>
                </c:pt>
                <c:pt idx="129">
                  <c:v>106.66666666666667</c:v>
                </c:pt>
                <c:pt idx="130">
                  <c:v>102.93333333333334</c:v>
                </c:pt>
                <c:pt idx="131">
                  <c:v>97.166666666666671</c:v>
                </c:pt>
                <c:pt idx="132">
                  <c:v>91.59999999999998</c:v>
                </c:pt>
                <c:pt idx="133">
                  <c:v>93.433333333333337</c:v>
                </c:pt>
                <c:pt idx="134">
                  <c:v>95.866666666666674</c:v>
                </c:pt>
                <c:pt idx="135">
                  <c:v>101.5</c:v>
                </c:pt>
                <c:pt idx="136">
                  <c:v>102.83333333333333</c:v>
                </c:pt>
                <c:pt idx="137">
                  <c:v>104.89999999999999</c:v>
                </c:pt>
                <c:pt idx="138">
                  <c:v>107.23333333333333</c:v>
                </c:pt>
                <c:pt idx="139">
                  <c:v>109.10000000000001</c:v>
                </c:pt>
                <c:pt idx="140">
                  <c:v>110.63333333333333</c:v>
                </c:pt>
                <c:pt idx="141">
                  <c:v>108.66666666666667</c:v>
                </c:pt>
                <c:pt idx="142">
                  <c:v>102.93333333333332</c:v>
                </c:pt>
                <c:pt idx="143">
                  <c:v>96.266666666666652</c:v>
                </c:pt>
                <c:pt idx="144">
                  <c:v>91.666666666666671</c:v>
                </c:pt>
                <c:pt idx="145">
                  <c:v>94.066666666666663</c:v>
                </c:pt>
                <c:pt idx="146">
                  <c:v>95.2</c:v>
                </c:pt>
                <c:pt idx="147">
                  <c:v>98.333333333333329</c:v>
                </c:pt>
                <c:pt idx="148">
                  <c:v>97.533333333333346</c:v>
                </c:pt>
                <c:pt idx="149">
                  <c:v>100.33333333333333</c:v>
                </c:pt>
                <c:pt idx="150">
                  <c:v>101.86666666666667</c:v>
                </c:pt>
                <c:pt idx="151">
                  <c:v>105.43333333333332</c:v>
                </c:pt>
                <c:pt idx="152">
                  <c:v>107.06666666666666</c:v>
                </c:pt>
                <c:pt idx="153">
                  <c:v>104.89999999999999</c:v>
                </c:pt>
                <c:pt idx="154">
                  <c:v>98.933333333333337</c:v>
                </c:pt>
                <c:pt idx="155">
                  <c:v>91.866666666666674</c:v>
                </c:pt>
                <c:pt idx="156">
                  <c:v>86.5</c:v>
                </c:pt>
                <c:pt idx="157">
                  <c:v>88.7</c:v>
                </c:pt>
                <c:pt idx="158">
                  <c:v>88.933333333333337</c:v>
                </c:pt>
                <c:pt idx="159">
                  <c:v>92.066666666666663</c:v>
                </c:pt>
                <c:pt idx="160">
                  <c:v>91.466666666666654</c:v>
                </c:pt>
                <c:pt idx="161">
                  <c:v>93.7</c:v>
                </c:pt>
                <c:pt idx="162">
                  <c:v>95.2</c:v>
                </c:pt>
                <c:pt idx="163">
                  <c:v>95.8</c:v>
                </c:pt>
                <c:pt idx="164">
                  <c:v>96.36666666666666</c:v>
                </c:pt>
                <c:pt idx="165">
                  <c:v>93.033333333333346</c:v>
                </c:pt>
                <c:pt idx="166">
                  <c:v>87.333333333333329</c:v>
                </c:pt>
                <c:pt idx="167">
                  <c:v>80.366666666666674</c:v>
                </c:pt>
                <c:pt idx="168">
                  <c:v>76.433333333333337</c:v>
                </c:pt>
                <c:pt idx="169">
                  <c:v>78.600000000000009</c:v>
                </c:pt>
                <c:pt idx="170">
                  <c:v>80.833333333333329</c:v>
                </c:pt>
                <c:pt idx="171">
                  <c:v>84.333333333333329</c:v>
                </c:pt>
                <c:pt idx="172">
                  <c:v>85.666666666666671</c:v>
                </c:pt>
                <c:pt idx="173">
                  <c:v>87.866666666666674</c:v>
                </c:pt>
                <c:pt idx="174">
                  <c:v>90.100000000000009</c:v>
                </c:pt>
                <c:pt idx="175">
                  <c:v>91.100000000000009</c:v>
                </c:pt>
                <c:pt idx="176">
                  <c:v>91.3</c:v>
                </c:pt>
                <c:pt idx="177">
                  <c:v>89.133333333333326</c:v>
                </c:pt>
                <c:pt idx="178">
                  <c:v>84.633333333333326</c:v>
                </c:pt>
                <c:pt idx="179">
                  <c:v>80.533333333333331</c:v>
                </c:pt>
                <c:pt idx="180">
                  <c:v>77.000000000000014</c:v>
                </c:pt>
                <c:pt idx="181">
                  <c:v>79.733333333333334</c:v>
                </c:pt>
                <c:pt idx="182">
                  <c:v>80.2</c:v>
                </c:pt>
                <c:pt idx="183">
                  <c:v>84.933333333333323</c:v>
                </c:pt>
                <c:pt idx="184">
                  <c:v>85.933333333333323</c:v>
                </c:pt>
                <c:pt idx="185">
                  <c:v>90.2</c:v>
                </c:pt>
                <c:pt idx="186">
                  <c:v>92.399999999999991</c:v>
                </c:pt>
                <c:pt idx="187">
                  <c:v>93.933333333333337</c:v>
                </c:pt>
                <c:pt idx="188">
                  <c:v>94.933333333333323</c:v>
                </c:pt>
                <c:pt idx="189">
                  <c:v>92.899999999999991</c:v>
                </c:pt>
                <c:pt idx="190">
                  <c:v>88.899999999999991</c:v>
                </c:pt>
                <c:pt idx="191">
                  <c:v>84.633333333333326</c:v>
                </c:pt>
                <c:pt idx="192">
                  <c:v>80.2</c:v>
                </c:pt>
                <c:pt idx="193">
                  <c:v>81.933333333333337</c:v>
                </c:pt>
                <c:pt idx="194">
                  <c:v>83.333333333333329</c:v>
                </c:pt>
                <c:pt idx="195">
                  <c:v>85.7</c:v>
                </c:pt>
                <c:pt idx="196">
                  <c:v>87.333333333333329</c:v>
                </c:pt>
                <c:pt idx="197">
                  <c:v>90.433333333333337</c:v>
                </c:pt>
                <c:pt idx="198">
                  <c:v>95.033333333333317</c:v>
                </c:pt>
                <c:pt idx="199">
                  <c:v>94.899999999999991</c:v>
                </c:pt>
                <c:pt idx="200">
                  <c:v>94.899999999999991</c:v>
                </c:pt>
                <c:pt idx="201">
                  <c:v>92</c:v>
                </c:pt>
                <c:pt idx="202">
                  <c:v>87.766666666666666</c:v>
                </c:pt>
                <c:pt idx="203">
                  <c:v>82.733333333333334</c:v>
                </c:pt>
                <c:pt idx="204">
                  <c:v>79.266666666666666</c:v>
                </c:pt>
                <c:pt idx="205">
                  <c:v>80.266666666666666</c:v>
                </c:pt>
                <c:pt idx="206">
                  <c:v>81.133333333333326</c:v>
                </c:pt>
                <c:pt idx="207">
                  <c:v>85.100000000000009</c:v>
                </c:pt>
                <c:pt idx="208">
                  <c:v>86.7</c:v>
                </c:pt>
                <c:pt idx="209">
                  <c:v>90.066666666666677</c:v>
                </c:pt>
                <c:pt idx="210">
                  <c:v>91.8</c:v>
                </c:pt>
                <c:pt idx="211">
                  <c:v>93.800000000000011</c:v>
                </c:pt>
                <c:pt idx="212">
                  <c:v>95</c:v>
                </c:pt>
                <c:pt idx="213">
                  <c:v>92.266666666666666</c:v>
                </c:pt>
                <c:pt idx="214">
                  <c:v>87.3</c:v>
                </c:pt>
                <c:pt idx="215">
                  <c:v>81.63333333333334</c:v>
                </c:pt>
                <c:pt idx="216">
                  <c:v>78.600000000000009</c:v>
                </c:pt>
                <c:pt idx="217">
                  <c:v>78.933333333333337</c:v>
                </c:pt>
                <c:pt idx="218">
                  <c:v>72.366666666666674</c:v>
                </c:pt>
                <c:pt idx="219">
                  <c:v>69.8</c:v>
                </c:pt>
                <c:pt idx="220">
                  <c:v>69.966666666666669</c:v>
                </c:pt>
                <c:pt idx="221">
                  <c:v>80.2</c:v>
                </c:pt>
                <c:pt idx="222">
                  <c:v>87.766666666666666</c:v>
                </c:pt>
                <c:pt idx="223">
                  <c:v>93.433333333333337</c:v>
                </c:pt>
                <c:pt idx="224">
                  <c:v>95.533333333333346</c:v>
                </c:pt>
                <c:pt idx="225">
                  <c:v>94.3</c:v>
                </c:pt>
                <c:pt idx="226">
                  <c:v>90.266666666666666</c:v>
                </c:pt>
                <c:pt idx="227">
                  <c:v>85.13333333333334</c:v>
                </c:pt>
                <c:pt idx="228">
                  <c:v>81.433333333333323</c:v>
                </c:pt>
                <c:pt idx="229">
                  <c:v>82.36666666666666</c:v>
                </c:pt>
                <c:pt idx="230">
                  <c:v>82.166666666666671</c:v>
                </c:pt>
                <c:pt idx="231">
                  <c:v>85.266666666666666</c:v>
                </c:pt>
                <c:pt idx="232">
                  <c:v>85.866666666666674</c:v>
                </c:pt>
                <c:pt idx="233">
                  <c:v>89.5</c:v>
                </c:pt>
                <c:pt idx="234">
                  <c:v>91.166666666666671</c:v>
                </c:pt>
                <c:pt idx="235">
                  <c:v>92.366666666666674</c:v>
                </c:pt>
                <c:pt idx="236">
                  <c:v>91.533333333333346</c:v>
                </c:pt>
                <c:pt idx="237">
                  <c:v>89.166666666666671</c:v>
                </c:pt>
                <c:pt idx="238">
                  <c:v>85.066666666666663</c:v>
                </c:pt>
              </c:numCache>
            </c:numRef>
          </c:val>
          <c:smooth val="0"/>
          <c:extLst>
            <c:ext xmlns:c16="http://schemas.microsoft.com/office/drawing/2014/chart" uri="{C3380CC4-5D6E-409C-BE32-E72D297353CC}">
              <c16:uniqueId val="{00000001-8DDB-4461-9308-6A022A52EEEC}"/>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MOVSUM!$F$12:$F$250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MOVSUM!$G$12:$G$250</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EB78-4572-A4CB-6425DB49282F}"/>
            </c:ext>
          </c:extLst>
        </c:ser>
        <c:ser>
          <c:idx val="1"/>
          <c:order val="1"/>
          <c:tx>
            <c:v>Difference</c:v>
          </c:tx>
          <c:spPr>
            <a:ln w="19050" cap="rnd">
              <a:solidFill>
                <a:schemeClr val="accent2"/>
              </a:solidFill>
              <a:round/>
            </a:ln>
            <a:effectLst/>
          </c:spPr>
          <c:marker>
            <c:symbol val="none"/>
          </c:marker>
          <c:cat>
            <c:numRef>
              <c:f>MOVSUM!$F$12:$F$250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MOVSUM!$O$12:$O$300</c:f>
              <c:numCache>
                <c:formatCode>0.0</c:formatCode>
                <c:ptCount val="289"/>
                <c:pt idx="0">
                  <c:v>#N/A</c:v>
                </c:pt>
                <c:pt idx="1">
                  <c:v>219.50000000000003</c:v>
                </c:pt>
                <c:pt idx="2">
                  <c:v>226.70000000000002</c:v>
                </c:pt>
                <c:pt idx="3">
                  <c:v>237.4</c:v>
                </c:pt>
                <c:pt idx="4">
                  <c:v>237.5</c:v>
                </c:pt>
                <c:pt idx="5">
                  <c:v>241.2</c:v>
                </c:pt>
                <c:pt idx="6">
                  <c:v>244.4</c:v>
                </c:pt>
                <c:pt idx="7">
                  <c:v>248.99999999999997</c:v>
                </c:pt>
                <c:pt idx="8">
                  <c:v>254.89999999999998</c:v>
                </c:pt>
                <c:pt idx="9">
                  <c:v>255.20000000000002</c:v>
                </c:pt>
                <c:pt idx="10">
                  <c:v>247.70000000000002</c:v>
                </c:pt>
                <c:pt idx="11">
                  <c:v>232.5</c:v>
                </c:pt>
                <c:pt idx="12">
                  <c:v>220.39999999999998</c:v>
                </c:pt>
                <c:pt idx="13">
                  <c:v>223.20000000000002</c:v>
                </c:pt>
                <c:pt idx="14">
                  <c:v>225.7</c:v>
                </c:pt>
                <c:pt idx="15">
                  <c:v>233.60000000000002</c:v>
                </c:pt>
                <c:pt idx="16">
                  <c:v>232.5</c:v>
                </c:pt>
                <c:pt idx="17">
                  <c:v>237.3</c:v>
                </c:pt>
                <c:pt idx="18">
                  <c:v>239.2</c:v>
                </c:pt>
                <c:pt idx="19">
                  <c:v>248.59999999999997</c:v>
                </c:pt>
                <c:pt idx="20">
                  <c:v>257.3</c:v>
                </c:pt>
                <c:pt idx="21">
                  <c:v>260.29999999999995</c:v>
                </c:pt>
                <c:pt idx="22">
                  <c:v>252.5</c:v>
                </c:pt>
                <c:pt idx="23">
                  <c:v>239.3</c:v>
                </c:pt>
                <c:pt idx="24">
                  <c:v>228.7</c:v>
                </c:pt>
                <c:pt idx="25">
                  <c:v>237.70000000000002</c:v>
                </c:pt>
                <c:pt idx="26">
                  <c:v>243.10000000000002</c:v>
                </c:pt>
                <c:pt idx="27">
                  <c:v>255.40000000000003</c:v>
                </c:pt>
                <c:pt idx="28">
                  <c:v>254.6</c:v>
                </c:pt>
                <c:pt idx="29">
                  <c:v>262.5</c:v>
                </c:pt>
                <c:pt idx="30">
                  <c:v>268.29999999999995</c:v>
                </c:pt>
                <c:pt idx="31">
                  <c:v>274.29999999999995</c:v>
                </c:pt>
                <c:pt idx="32">
                  <c:v>277.7</c:v>
                </c:pt>
                <c:pt idx="33">
                  <c:v>277.39999999999998</c:v>
                </c:pt>
                <c:pt idx="34">
                  <c:v>270</c:v>
                </c:pt>
                <c:pt idx="35">
                  <c:v>257.5</c:v>
                </c:pt>
                <c:pt idx="36">
                  <c:v>242.1</c:v>
                </c:pt>
                <c:pt idx="37">
                  <c:v>245.4</c:v>
                </c:pt>
                <c:pt idx="38">
                  <c:v>251.4</c:v>
                </c:pt>
                <c:pt idx="39">
                  <c:v>266.10000000000002</c:v>
                </c:pt>
                <c:pt idx="40">
                  <c:v>269.5</c:v>
                </c:pt>
                <c:pt idx="41">
                  <c:v>273</c:v>
                </c:pt>
                <c:pt idx="42">
                  <c:v>277.5</c:v>
                </c:pt>
                <c:pt idx="43">
                  <c:v>278.10000000000002</c:v>
                </c:pt>
                <c:pt idx="44">
                  <c:v>281.3</c:v>
                </c:pt>
                <c:pt idx="45">
                  <c:v>278.10000000000002</c:v>
                </c:pt>
                <c:pt idx="46">
                  <c:v>272.70000000000005</c:v>
                </c:pt>
                <c:pt idx="47">
                  <c:v>262.7</c:v>
                </c:pt>
                <c:pt idx="48">
                  <c:v>250.5</c:v>
                </c:pt>
                <c:pt idx="49">
                  <c:v>256.3</c:v>
                </c:pt>
                <c:pt idx="50">
                  <c:v>258.3</c:v>
                </c:pt>
                <c:pt idx="51">
                  <c:v>273.5</c:v>
                </c:pt>
                <c:pt idx="52">
                  <c:v>272.20000000000005</c:v>
                </c:pt>
                <c:pt idx="53">
                  <c:v>280.3</c:v>
                </c:pt>
                <c:pt idx="54">
                  <c:v>283.5</c:v>
                </c:pt>
                <c:pt idx="55">
                  <c:v>285.59999999999997</c:v>
                </c:pt>
                <c:pt idx="56">
                  <c:v>289.3</c:v>
                </c:pt>
                <c:pt idx="57">
                  <c:v>286.60000000000002</c:v>
                </c:pt>
                <c:pt idx="58">
                  <c:v>280.39999999999998</c:v>
                </c:pt>
                <c:pt idx="59">
                  <c:v>269.89999999999998</c:v>
                </c:pt>
                <c:pt idx="60">
                  <c:v>256.60000000000002</c:v>
                </c:pt>
                <c:pt idx="61">
                  <c:v>266</c:v>
                </c:pt>
                <c:pt idx="62">
                  <c:v>269.60000000000002</c:v>
                </c:pt>
                <c:pt idx="63">
                  <c:v>286.89999999999998</c:v>
                </c:pt>
                <c:pt idx="64">
                  <c:v>287.39999999999998</c:v>
                </c:pt>
                <c:pt idx="65">
                  <c:v>296.60000000000002</c:v>
                </c:pt>
                <c:pt idx="66">
                  <c:v>301.60000000000002</c:v>
                </c:pt>
                <c:pt idx="67">
                  <c:v>303.10000000000002</c:v>
                </c:pt>
                <c:pt idx="68">
                  <c:v>311.10000000000002</c:v>
                </c:pt>
                <c:pt idx="69">
                  <c:v>308.60000000000002</c:v>
                </c:pt>
                <c:pt idx="70">
                  <c:v>302.79999999999995</c:v>
                </c:pt>
                <c:pt idx="71">
                  <c:v>289.8</c:v>
                </c:pt>
                <c:pt idx="72">
                  <c:v>278.5</c:v>
                </c:pt>
                <c:pt idx="73">
                  <c:v>283.59999999999997</c:v>
                </c:pt>
                <c:pt idx="74">
                  <c:v>288</c:v>
                </c:pt>
                <c:pt idx="75">
                  <c:v>299.39999999999998</c:v>
                </c:pt>
                <c:pt idx="76">
                  <c:v>305</c:v>
                </c:pt>
                <c:pt idx="77">
                  <c:v>314.3</c:v>
                </c:pt>
                <c:pt idx="78">
                  <c:v>318.70000000000005</c:v>
                </c:pt>
                <c:pt idx="79">
                  <c:v>322.7</c:v>
                </c:pt>
                <c:pt idx="80">
                  <c:v>322.60000000000002</c:v>
                </c:pt>
                <c:pt idx="81">
                  <c:v>311.89999999999998</c:v>
                </c:pt>
                <c:pt idx="82">
                  <c:v>283.70000000000005</c:v>
                </c:pt>
                <c:pt idx="83">
                  <c:v>254</c:v>
                </c:pt>
                <c:pt idx="84">
                  <c:v>233.9</c:v>
                </c:pt>
                <c:pt idx="85">
                  <c:v>243.4</c:v>
                </c:pt>
                <c:pt idx="86">
                  <c:v>249.89999999999998</c:v>
                </c:pt>
                <c:pt idx="87">
                  <c:v>265.10000000000002</c:v>
                </c:pt>
                <c:pt idx="88">
                  <c:v>268.7</c:v>
                </c:pt>
                <c:pt idx="89">
                  <c:v>281.2</c:v>
                </c:pt>
                <c:pt idx="90">
                  <c:v>289.5</c:v>
                </c:pt>
                <c:pt idx="91">
                  <c:v>296.70000000000005</c:v>
                </c:pt>
                <c:pt idx="92">
                  <c:v>304.60000000000002</c:v>
                </c:pt>
                <c:pt idx="93">
                  <c:v>306.39999999999998</c:v>
                </c:pt>
                <c:pt idx="94">
                  <c:v>301.10000000000002</c:v>
                </c:pt>
                <c:pt idx="95">
                  <c:v>286.7</c:v>
                </c:pt>
                <c:pt idx="96">
                  <c:v>274.3</c:v>
                </c:pt>
                <c:pt idx="97">
                  <c:v>285.29999999999995</c:v>
                </c:pt>
                <c:pt idx="98">
                  <c:v>293.39999999999998</c:v>
                </c:pt>
                <c:pt idx="99">
                  <c:v>308.7</c:v>
                </c:pt>
                <c:pt idx="100">
                  <c:v>306.10000000000002</c:v>
                </c:pt>
                <c:pt idx="101">
                  <c:v>313.70000000000005</c:v>
                </c:pt>
                <c:pt idx="102">
                  <c:v>317.5</c:v>
                </c:pt>
                <c:pt idx="103">
                  <c:v>320.8</c:v>
                </c:pt>
                <c:pt idx="104">
                  <c:v>321.59999999999997</c:v>
                </c:pt>
                <c:pt idx="105">
                  <c:v>320.3</c:v>
                </c:pt>
                <c:pt idx="106">
                  <c:v>311.10000000000002</c:v>
                </c:pt>
                <c:pt idx="107">
                  <c:v>296.59999999999997</c:v>
                </c:pt>
                <c:pt idx="108">
                  <c:v>285.20000000000005</c:v>
                </c:pt>
                <c:pt idx="109">
                  <c:v>293</c:v>
                </c:pt>
                <c:pt idx="110">
                  <c:v>297.3</c:v>
                </c:pt>
                <c:pt idx="111">
                  <c:v>309</c:v>
                </c:pt>
                <c:pt idx="112">
                  <c:v>307.39999999999998</c:v>
                </c:pt>
                <c:pt idx="113">
                  <c:v>316</c:v>
                </c:pt>
                <c:pt idx="114">
                  <c:v>319.7</c:v>
                </c:pt>
                <c:pt idx="115">
                  <c:v>321.7</c:v>
                </c:pt>
                <c:pt idx="116">
                  <c:v>321.89999999999998</c:v>
                </c:pt>
                <c:pt idx="117">
                  <c:v>315.3</c:v>
                </c:pt>
                <c:pt idx="118">
                  <c:v>306.2</c:v>
                </c:pt>
                <c:pt idx="119">
                  <c:v>288.60000000000002</c:v>
                </c:pt>
                <c:pt idx="120">
                  <c:v>274.2</c:v>
                </c:pt>
                <c:pt idx="121">
                  <c:v>278.2</c:v>
                </c:pt>
                <c:pt idx="122">
                  <c:v>282.3</c:v>
                </c:pt>
                <c:pt idx="123">
                  <c:v>295</c:v>
                </c:pt>
                <c:pt idx="124">
                  <c:v>293.60000000000002</c:v>
                </c:pt>
                <c:pt idx="125">
                  <c:v>305.3</c:v>
                </c:pt>
                <c:pt idx="126">
                  <c:v>314.3</c:v>
                </c:pt>
                <c:pt idx="127">
                  <c:v>319.39999999999998</c:v>
                </c:pt>
                <c:pt idx="128">
                  <c:v>326.7</c:v>
                </c:pt>
                <c:pt idx="129">
                  <c:v>320</c:v>
                </c:pt>
                <c:pt idx="130">
                  <c:v>308.8</c:v>
                </c:pt>
                <c:pt idx="131">
                  <c:v>291.5</c:v>
                </c:pt>
                <c:pt idx="132">
                  <c:v>274.79999999999995</c:v>
                </c:pt>
                <c:pt idx="133">
                  <c:v>280.3</c:v>
                </c:pt>
                <c:pt idx="134">
                  <c:v>287.60000000000002</c:v>
                </c:pt>
                <c:pt idx="135">
                  <c:v>304.5</c:v>
                </c:pt>
                <c:pt idx="136">
                  <c:v>308.5</c:v>
                </c:pt>
                <c:pt idx="137">
                  <c:v>314.7</c:v>
                </c:pt>
                <c:pt idx="138">
                  <c:v>321.7</c:v>
                </c:pt>
                <c:pt idx="139">
                  <c:v>327.3</c:v>
                </c:pt>
                <c:pt idx="140">
                  <c:v>331.9</c:v>
                </c:pt>
                <c:pt idx="141">
                  <c:v>326</c:v>
                </c:pt>
                <c:pt idx="142">
                  <c:v>308.79999999999995</c:v>
                </c:pt>
                <c:pt idx="143">
                  <c:v>288.79999999999995</c:v>
                </c:pt>
                <c:pt idx="144">
                  <c:v>275</c:v>
                </c:pt>
                <c:pt idx="145">
                  <c:v>282.2</c:v>
                </c:pt>
                <c:pt idx="146">
                  <c:v>285.60000000000002</c:v>
                </c:pt>
                <c:pt idx="147">
                  <c:v>295</c:v>
                </c:pt>
                <c:pt idx="148">
                  <c:v>292.60000000000002</c:v>
                </c:pt>
                <c:pt idx="149">
                  <c:v>301</c:v>
                </c:pt>
                <c:pt idx="150">
                  <c:v>305.60000000000002</c:v>
                </c:pt>
                <c:pt idx="151">
                  <c:v>316.29999999999995</c:v>
                </c:pt>
                <c:pt idx="152">
                  <c:v>321.2</c:v>
                </c:pt>
                <c:pt idx="153">
                  <c:v>314.7</c:v>
                </c:pt>
                <c:pt idx="154">
                  <c:v>296.8</c:v>
                </c:pt>
                <c:pt idx="155">
                  <c:v>275.60000000000002</c:v>
                </c:pt>
                <c:pt idx="156">
                  <c:v>259.5</c:v>
                </c:pt>
                <c:pt idx="157">
                  <c:v>266.10000000000002</c:v>
                </c:pt>
                <c:pt idx="158">
                  <c:v>266.8</c:v>
                </c:pt>
                <c:pt idx="159">
                  <c:v>276.2</c:v>
                </c:pt>
                <c:pt idx="160">
                  <c:v>274.39999999999998</c:v>
                </c:pt>
                <c:pt idx="161">
                  <c:v>281.10000000000002</c:v>
                </c:pt>
                <c:pt idx="162">
                  <c:v>285.60000000000002</c:v>
                </c:pt>
                <c:pt idx="163">
                  <c:v>287.39999999999998</c:v>
                </c:pt>
                <c:pt idx="164">
                  <c:v>289.09999999999997</c:v>
                </c:pt>
                <c:pt idx="165">
                  <c:v>279.10000000000002</c:v>
                </c:pt>
                <c:pt idx="166">
                  <c:v>262</c:v>
                </c:pt>
                <c:pt idx="167">
                  <c:v>241.10000000000002</c:v>
                </c:pt>
                <c:pt idx="168">
                  <c:v>229.3</c:v>
                </c:pt>
                <c:pt idx="169">
                  <c:v>235.8</c:v>
                </c:pt>
                <c:pt idx="170">
                  <c:v>242.5</c:v>
                </c:pt>
                <c:pt idx="171">
                  <c:v>253</c:v>
                </c:pt>
                <c:pt idx="172">
                  <c:v>257</c:v>
                </c:pt>
                <c:pt idx="173">
                  <c:v>263.60000000000002</c:v>
                </c:pt>
                <c:pt idx="174">
                  <c:v>270.3</c:v>
                </c:pt>
                <c:pt idx="175">
                  <c:v>273.3</c:v>
                </c:pt>
                <c:pt idx="176">
                  <c:v>273.89999999999998</c:v>
                </c:pt>
                <c:pt idx="177">
                  <c:v>267.39999999999998</c:v>
                </c:pt>
                <c:pt idx="178">
                  <c:v>253.89999999999998</c:v>
                </c:pt>
                <c:pt idx="179">
                  <c:v>241.6</c:v>
                </c:pt>
                <c:pt idx="180">
                  <c:v>231.00000000000003</c:v>
                </c:pt>
                <c:pt idx="181">
                  <c:v>239.20000000000002</c:v>
                </c:pt>
                <c:pt idx="182">
                  <c:v>240.60000000000002</c:v>
                </c:pt>
                <c:pt idx="183">
                  <c:v>254.79999999999998</c:v>
                </c:pt>
                <c:pt idx="184">
                  <c:v>257.79999999999995</c:v>
                </c:pt>
                <c:pt idx="185">
                  <c:v>270.60000000000002</c:v>
                </c:pt>
                <c:pt idx="186">
                  <c:v>277.2</c:v>
                </c:pt>
                <c:pt idx="187">
                  <c:v>281.8</c:v>
                </c:pt>
                <c:pt idx="188">
                  <c:v>284.79999999999995</c:v>
                </c:pt>
                <c:pt idx="189">
                  <c:v>278.7</c:v>
                </c:pt>
                <c:pt idx="190">
                  <c:v>266.7</c:v>
                </c:pt>
                <c:pt idx="191">
                  <c:v>253.89999999999998</c:v>
                </c:pt>
                <c:pt idx="192">
                  <c:v>240.60000000000002</c:v>
                </c:pt>
                <c:pt idx="193">
                  <c:v>245.8</c:v>
                </c:pt>
                <c:pt idx="194">
                  <c:v>250</c:v>
                </c:pt>
                <c:pt idx="195">
                  <c:v>257.10000000000002</c:v>
                </c:pt>
                <c:pt idx="196">
                  <c:v>262</c:v>
                </c:pt>
                <c:pt idx="197">
                  <c:v>271.3</c:v>
                </c:pt>
                <c:pt idx="198">
                  <c:v>285.09999999999997</c:v>
                </c:pt>
                <c:pt idx="199">
                  <c:v>284.7</c:v>
                </c:pt>
                <c:pt idx="200">
                  <c:v>284.7</c:v>
                </c:pt>
                <c:pt idx="201">
                  <c:v>276</c:v>
                </c:pt>
                <c:pt idx="202">
                  <c:v>263.3</c:v>
                </c:pt>
                <c:pt idx="203">
                  <c:v>248.2</c:v>
                </c:pt>
                <c:pt idx="204">
                  <c:v>237.79999999999998</c:v>
                </c:pt>
                <c:pt idx="205">
                  <c:v>240.8</c:v>
                </c:pt>
                <c:pt idx="206">
                  <c:v>243.39999999999998</c:v>
                </c:pt>
                <c:pt idx="207">
                  <c:v>255.3</c:v>
                </c:pt>
                <c:pt idx="208">
                  <c:v>260.10000000000002</c:v>
                </c:pt>
                <c:pt idx="209">
                  <c:v>270.20000000000005</c:v>
                </c:pt>
                <c:pt idx="210">
                  <c:v>275.39999999999998</c:v>
                </c:pt>
                <c:pt idx="211">
                  <c:v>281.40000000000003</c:v>
                </c:pt>
                <c:pt idx="212">
                  <c:v>285</c:v>
                </c:pt>
                <c:pt idx="213">
                  <c:v>276.8</c:v>
                </c:pt>
                <c:pt idx="214">
                  <c:v>261.89999999999998</c:v>
                </c:pt>
                <c:pt idx="215">
                  <c:v>244.9</c:v>
                </c:pt>
                <c:pt idx="216">
                  <c:v>235.8</c:v>
                </c:pt>
                <c:pt idx="217">
                  <c:v>236.8</c:v>
                </c:pt>
                <c:pt idx="218">
                  <c:v>217.10000000000002</c:v>
                </c:pt>
                <c:pt idx="219">
                  <c:v>209.39999999999998</c:v>
                </c:pt>
                <c:pt idx="220">
                  <c:v>209.9</c:v>
                </c:pt>
                <c:pt idx="221">
                  <c:v>240.60000000000002</c:v>
                </c:pt>
                <c:pt idx="222">
                  <c:v>263.3</c:v>
                </c:pt>
                <c:pt idx="223">
                  <c:v>280.3</c:v>
                </c:pt>
                <c:pt idx="224">
                  <c:v>286.60000000000002</c:v>
                </c:pt>
                <c:pt idx="225">
                  <c:v>282.89999999999998</c:v>
                </c:pt>
                <c:pt idx="226">
                  <c:v>270.8</c:v>
                </c:pt>
                <c:pt idx="227">
                  <c:v>255.4</c:v>
                </c:pt>
                <c:pt idx="228">
                  <c:v>244.29999999999998</c:v>
                </c:pt>
                <c:pt idx="229">
                  <c:v>247.1</c:v>
                </c:pt>
                <c:pt idx="230">
                  <c:v>246.5</c:v>
                </c:pt>
                <c:pt idx="231">
                  <c:v>255.79999999999998</c:v>
                </c:pt>
                <c:pt idx="232">
                  <c:v>257.60000000000002</c:v>
                </c:pt>
                <c:pt idx="233">
                  <c:v>268.5</c:v>
                </c:pt>
                <c:pt idx="234">
                  <c:v>273.5</c:v>
                </c:pt>
                <c:pt idx="235">
                  <c:v>277.10000000000002</c:v>
                </c:pt>
                <c:pt idx="236">
                  <c:v>274.60000000000002</c:v>
                </c:pt>
                <c:pt idx="237">
                  <c:v>267.5</c:v>
                </c:pt>
                <c:pt idx="238">
                  <c:v>255.2</c:v>
                </c:pt>
              </c:numCache>
            </c:numRef>
          </c:val>
          <c:smooth val="0"/>
          <c:extLst>
            <c:ext xmlns:c16="http://schemas.microsoft.com/office/drawing/2014/chart" uri="{C3380CC4-5D6E-409C-BE32-E72D297353CC}">
              <c16:uniqueId val="{00000001-EB78-4572-A4CB-6425DB49282F}"/>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MOVPROD!$F$12:$F$250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MOVPROD!$G$12:$G$250</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1899-4761-AB1D-AE7882FED9B5}"/>
            </c:ext>
          </c:extLst>
        </c:ser>
        <c:ser>
          <c:idx val="1"/>
          <c:order val="1"/>
          <c:tx>
            <c:v>Difference</c:v>
          </c:tx>
          <c:spPr>
            <a:ln w="19050" cap="rnd">
              <a:solidFill>
                <a:schemeClr val="accent2"/>
              </a:solidFill>
              <a:round/>
            </a:ln>
            <a:effectLst/>
          </c:spPr>
          <c:marker>
            <c:symbol val="none"/>
          </c:marker>
          <c:cat>
            <c:numRef>
              <c:f>MOVPROD!$F$12:$F$250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MOVPROD!$O$12:$O$300</c:f>
              <c:numCache>
                <c:formatCode>0.0</c:formatCode>
                <c:ptCount val="289"/>
                <c:pt idx="0">
                  <c:v>#N/A</c:v>
                </c:pt>
                <c:pt idx="1">
                  <c:v>390582.0720000001</c:v>
                </c:pt>
                <c:pt idx="2">
                  <c:v>429424.48800000001</c:v>
                </c:pt>
                <c:pt idx="3">
                  <c:v>495347.61600000004</c:v>
                </c:pt>
                <c:pt idx="4">
                  <c:v>495987.60000000003</c:v>
                </c:pt>
                <c:pt idx="5">
                  <c:v>519042.3</c:v>
                </c:pt>
                <c:pt idx="6">
                  <c:v>539700.69999999995</c:v>
                </c:pt>
                <c:pt idx="7">
                  <c:v>571734.54799999995</c:v>
                </c:pt>
                <c:pt idx="8">
                  <c:v>612229.55200000003</c:v>
                </c:pt>
                <c:pt idx="9">
                  <c:v>614426.54800000007</c:v>
                </c:pt>
                <c:pt idx="10">
                  <c:v>558297.44800000009</c:v>
                </c:pt>
                <c:pt idx="11">
                  <c:v>463161.56</c:v>
                </c:pt>
                <c:pt idx="12">
                  <c:v>396364.72</c:v>
                </c:pt>
                <c:pt idx="13">
                  <c:v>411241.68</c:v>
                </c:pt>
                <c:pt idx="14">
                  <c:v>425134.98000000004</c:v>
                </c:pt>
                <c:pt idx="15">
                  <c:v>471911.67000000004</c:v>
                </c:pt>
                <c:pt idx="16">
                  <c:v>465204.91499999998</c:v>
                </c:pt>
                <c:pt idx="17">
                  <c:v>494394.24299999996</c:v>
                </c:pt>
                <c:pt idx="18">
                  <c:v>506180.30399999995</c:v>
                </c:pt>
                <c:pt idx="19">
                  <c:v>568540.65599999996</c:v>
                </c:pt>
                <c:pt idx="20">
                  <c:v>629380.80000000005</c:v>
                </c:pt>
                <c:pt idx="21">
                  <c:v>652519.79999999993</c:v>
                </c:pt>
                <c:pt idx="22">
                  <c:v>593130.6</c:v>
                </c:pt>
                <c:pt idx="23">
                  <c:v>506138.11199999996</c:v>
                </c:pt>
                <c:pt idx="24">
                  <c:v>442721.28000000003</c:v>
                </c:pt>
                <c:pt idx="25">
                  <c:v>493870.08000000002</c:v>
                </c:pt>
                <c:pt idx="26">
                  <c:v>528595.32000000007</c:v>
                </c:pt>
                <c:pt idx="27">
                  <c:v>616456.43400000001</c:v>
                </c:pt>
                <c:pt idx="28">
                  <c:v>610781.3459999999</c:v>
                </c:pt>
                <c:pt idx="29">
                  <c:v>669481.7429999999</c:v>
                </c:pt>
                <c:pt idx="30">
                  <c:v>714475.88099999982</c:v>
                </c:pt>
                <c:pt idx="31">
                  <c:v>764265.14099999983</c:v>
                </c:pt>
                <c:pt idx="32">
                  <c:v>793105.33499999996</c:v>
                </c:pt>
                <c:pt idx="33">
                  <c:v>790521.93</c:v>
                </c:pt>
                <c:pt idx="34">
                  <c:v>727005.51</c:v>
                </c:pt>
                <c:pt idx="35">
                  <c:v>629812.26</c:v>
                </c:pt>
                <c:pt idx="36">
                  <c:v>524157.48000000004</c:v>
                </c:pt>
                <c:pt idx="37">
                  <c:v>544579.20000000007</c:v>
                </c:pt>
                <c:pt idx="38">
                  <c:v>584918.4</c:v>
                </c:pt>
                <c:pt idx="39">
                  <c:v>697461.6</c:v>
                </c:pt>
                <c:pt idx="40">
                  <c:v>724408.98</c:v>
                </c:pt>
                <c:pt idx="41">
                  <c:v>753551.87000000011</c:v>
                </c:pt>
                <c:pt idx="42">
                  <c:v>790774.52</c:v>
                </c:pt>
                <c:pt idx="43">
                  <c:v>795965.6</c:v>
                </c:pt>
                <c:pt idx="44">
                  <c:v>824110.23999999987</c:v>
                </c:pt>
                <c:pt idx="45">
                  <c:v>796524.96</c:v>
                </c:pt>
                <c:pt idx="46">
                  <c:v>749772.40800000005</c:v>
                </c:pt>
                <c:pt idx="47">
                  <c:v>669754.00800000003</c:v>
                </c:pt>
                <c:pt idx="48">
                  <c:v>581323.28399999999</c:v>
                </c:pt>
                <c:pt idx="49">
                  <c:v>620257.17600000009</c:v>
                </c:pt>
                <c:pt idx="50">
                  <c:v>635078.13600000006</c:v>
                </c:pt>
                <c:pt idx="51">
                  <c:v>755442.07200000016</c:v>
                </c:pt>
                <c:pt idx="52">
                  <c:v>744813.55799999996</c:v>
                </c:pt>
                <c:pt idx="53">
                  <c:v>815210.17200000002</c:v>
                </c:pt>
                <c:pt idx="54">
                  <c:v>842554.74799999979</c:v>
                </c:pt>
                <c:pt idx="55">
                  <c:v>861976.97599999991</c:v>
                </c:pt>
                <c:pt idx="56">
                  <c:v>895978.20000000007</c:v>
                </c:pt>
                <c:pt idx="57">
                  <c:v>871443.3</c:v>
                </c:pt>
                <c:pt idx="58">
                  <c:v>813471.75</c:v>
                </c:pt>
                <c:pt idx="59">
                  <c:v>725867.10000000009</c:v>
                </c:pt>
                <c:pt idx="60">
                  <c:v>625199.39999999991</c:v>
                </c:pt>
                <c:pt idx="61">
                  <c:v>692749.68</c:v>
                </c:pt>
                <c:pt idx="62">
                  <c:v>721415.18400000001</c:v>
                </c:pt>
                <c:pt idx="63">
                  <c:v>872510.61600000004</c:v>
                </c:pt>
                <c:pt idx="64">
                  <c:v>877036.08600000013</c:v>
                </c:pt>
                <c:pt idx="65">
                  <c:v>966094.93800000008</c:v>
                </c:pt>
                <c:pt idx="66">
                  <c:v>1014448.0380000002</c:v>
                </c:pt>
                <c:pt idx="67">
                  <c:v>1030151.5680000001</c:v>
                </c:pt>
                <c:pt idx="68">
                  <c:v>1112728.8480000002</c:v>
                </c:pt>
                <c:pt idx="69">
                  <c:v>1086210.0480000002</c:v>
                </c:pt>
                <c:pt idx="70">
                  <c:v>1022185.4720000001</c:v>
                </c:pt>
                <c:pt idx="71">
                  <c:v>898916.35199999996</c:v>
                </c:pt>
                <c:pt idx="72">
                  <c:v>799719.52799999993</c:v>
                </c:pt>
                <c:pt idx="73">
                  <c:v>843764.55599999987</c:v>
                </c:pt>
                <c:pt idx="74">
                  <c:v>882926.62399999995</c:v>
                </c:pt>
                <c:pt idx="75">
                  <c:v>993413.6</c:v>
                </c:pt>
                <c:pt idx="76">
                  <c:v>1050354.3999999999</c:v>
                </c:pt>
                <c:pt idx="77">
                  <c:v>1148825.125</c:v>
                </c:pt>
                <c:pt idx="78">
                  <c:v>1198140.5449999999</c:v>
                </c:pt>
                <c:pt idx="79">
                  <c:v>1244535.145</c:v>
                </c:pt>
                <c:pt idx="80">
                  <c:v>1243388.1080000002</c:v>
                </c:pt>
                <c:pt idx="81">
                  <c:v>1118932.9839999999</c:v>
                </c:pt>
                <c:pt idx="82">
                  <c:v>824861.12800000003</c:v>
                </c:pt>
                <c:pt idx="83">
                  <c:v>598861.35400000005</c:v>
                </c:pt>
                <c:pt idx="84">
                  <c:v>473735.43699999998</c:v>
                </c:pt>
                <c:pt idx="85">
                  <c:v>530631.60199999996</c:v>
                </c:pt>
                <c:pt idx="86">
                  <c:v>574457.59199999995</c:v>
                </c:pt>
                <c:pt idx="87">
                  <c:v>689198.13599999994</c:v>
                </c:pt>
                <c:pt idx="88">
                  <c:v>717201.67200000002</c:v>
                </c:pt>
                <c:pt idx="89">
                  <c:v>822424.92200000014</c:v>
                </c:pt>
                <c:pt idx="90">
                  <c:v>897190.82400000002</c:v>
                </c:pt>
                <c:pt idx="91">
                  <c:v>967253.44800000009</c:v>
                </c:pt>
                <c:pt idx="92">
                  <c:v>1045465.3439999999</c:v>
                </c:pt>
                <c:pt idx="93">
                  <c:v>1064359.2960000001</c:v>
                </c:pt>
                <c:pt idx="94">
                  <c:v>1007607.7439999999</c:v>
                </c:pt>
                <c:pt idx="95">
                  <c:v>870206.68799999997</c:v>
                </c:pt>
                <c:pt idx="96">
                  <c:v>763790.88</c:v>
                </c:pt>
                <c:pt idx="97">
                  <c:v>853075.67999999993</c:v>
                </c:pt>
                <c:pt idx="98">
                  <c:v>928842.2699999999</c:v>
                </c:pt>
                <c:pt idx="99">
                  <c:v>1088519.6489999997</c:v>
                </c:pt>
                <c:pt idx="100">
                  <c:v>1061591.4750000001</c:v>
                </c:pt>
                <c:pt idx="101">
                  <c:v>1142841.175</c:v>
                </c:pt>
                <c:pt idx="102">
                  <c:v>1184478.7249999999</c:v>
                </c:pt>
                <c:pt idx="103">
                  <c:v>1222613.162</c:v>
                </c:pt>
                <c:pt idx="104">
                  <c:v>1231762.746</c:v>
                </c:pt>
                <c:pt idx="105">
                  <c:v>1216949.6879999998</c:v>
                </c:pt>
                <c:pt idx="106">
                  <c:v>1111127.976</c:v>
                </c:pt>
                <c:pt idx="107">
                  <c:v>961533.2159999999</c:v>
                </c:pt>
                <c:pt idx="108">
                  <c:v>858897.64799999993</c:v>
                </c:pt>
                <c:pt idx="109">
                  <c:v>928249.6320000001</c:v>
                </c:pt>
                <c:pt idx="110">
                  <c:v>971076.60000000021</c:v>
                </c:pt>
                <c:pt idx="111">
                  <c:v>1090170.8999999999</c:v>
                </c:pt>
                <c:pt idx="112">
                  <c:v>1073463.3</c:v>
                </c:pt>
                <c:pt idx="113">
                  <c:v>1168148.2679999999</c:v>
                </c:pt>
                <c:pt idx="114">
                  <c:v>1208504.4639999999</c:v>
                </c:pt>
                <c:pt idx="115">
                  <c:v>1232016.2239999999</c:v>
                </c:pt>
                <c:pt idx="116">
                  <c:v>1234338.5919999999</c:v>
                </c:pt>
                <c:pt idx="117">
                  <c:v>1160813.0079999999</c:v>
                </c:pt>
                <c:pt idx="118">
                  <c:v>1060017.2219999998</c:v>
                </c:pt>
                <c:pt idx="119">
                  <c:v>884511.0780000001</c:v>
                </c:pt>
                <c:pt idx="120">
                  <c:v>762275.38199999998</c:v>
                </c:pt>
                <c:pt idx="121">
                  <c:v>794136.42200000002</c:v>
                </c:pt>
                <c:pt idx="122">
                  <c:v>830843.96799999988</c:v>
                </c:pt>
                <c:pt idx="123">
                  <c:v>948346.4</c:v>
                </c:pt>
                <c:pt idx="124">
                  <c:v>935029.6</c:v>
                </c:pt>
                <c:pt idx="125">
                  <c:v>1052915.875</c:v>
                </c:pt>
                <c:pt idx="126">
                  <c:v>1145367.0250000001</c:v>
                </c:pt>
                <c:pt idx="127">
                  <c:v>1204790.95</c:v>
                </c:pt>
                <c:pt idx="128">
                  <c:v>1288953.3800000001</c:v>
                </c:pt>
                <c:pt idx="129">
                  <c:v>1211500.5760000001</c:v>
                </c:pt>
                <c:pt idx="130">
                  <c:v>1080274.2079999999</c:v>
                </c:pt>
                <c:pt idx="131">
                  <c:v>913111.91999999993</c:v>
                </c:pt>
                <c:pt idx="132">
                  <c:v>767606.48999999987</c:v>
                </c:pt>
                <c:pt idx="133">
                  <c:v>813396.46499999997</c:v>
                </c:pt>
                <c:pt idx="134">
                  <c:v>876230.26599999983</c:v>
                </c:pt>
                <c:pt idx="135">
                  <c:v>1044315.3</c:v>
                </c:pt>
                <c:pt idx="136">
                  <c:v>1087071.3</c:v>
                </c:pt>
                <c:pt idx="137">
                  <c:v>1153278</c:v>
                </c:pt>
                <c:pt idx="138">
                  <c:v>1230163.2</c:v>
                </c:pt>
                <c:pt idx="139">
                  <c:v>1297900.8</c:v>
                </c:pt>
                <c:pt idx="140">
                  <c:v>1353181.76</c:v>
                </c:pt>
                <c:pt idx="141">
                  <c:v>1281898.078</c:v>
                </c:pt>
                <c:pt idx="142">
                  <c:v>1076412.0859999999</c:v>
                </c:pt>
                <c:pt idx="143">
                  <c:v>885219.88599999982</c:v>
                </c:pt>
                <c:pt idx="144">
                  <c:v>770082.89799999981</c:v>
                </c:pt>
                <c:pt idx="145">
                  <c:v>831621.15399999998</c:v>
                </c:pt>
                <c:pt idx="146">
                  <c:v>862155.83999999985</c:v>
                </c:pt>
                <c:pt idx="147">
                  <c:v>949959.36</c:v>
                </c:pt>
                <c:pt idx="148">
                  <c:v>926527.68000000017</c:v>
                </c:pt>
                <c:pt idx="149">
                  <c:v>1007598.8520000002</c:v>
                </c:pt>
                <c:pt idx="150">
                  <c:v>1053173.628</c:v>
                </c:pt>
                <c:pt idx="151">
                  <c:v>1171919.2320000001</c:v>
                </c:pt>
                <c:pt idx="152">
                  <c:v>1226923.1039999998</c:v>
                </c:pt>
                <c:pt idx="153">
                  <c:v>1151899.584</c:v>
                </c:pt>
                <c:pt idx="154">
                  <c:v>956643.87800000003</c:v>
                </c:pt>
                <c:pt idx="155">
                  <c:v>771091.72599999991</c:v>
                </c:pt>
                <c:pt idx="156">
                  <c:v>646697.16899999999</c:v>
                </c:pt>
                <c:pt idx="157">
                  <c:v>695365.37099999993</c:v>
                </c:pt>
                <c:pt idx="158">
                  <c:v>700890.40799999994</c:v>
                </c:pt>
                <c:pt idx="159">
                  <c:v>779604.50399999996</c:v>
                </c:pt>
                <c:pt idx="160">
                  <c:v>764723.39999999991</c:v>
                </c:pt>
                <c:pt idx="161">
                  <c:v>822422.125</c:v>
                </c:pt>
                <c:pt idx="162">
                  <c:v>862174</c:v>
                </c:pt>
                <c:pt idx="163">
                  <c:v>878951.44</c:v>
                </c:pt>
                <c:pt idx="164">
                  <c:v>894597.69599999988</c:v>
                </c:pt>
                <c:pt idx="165">
                  <c:v>802938.0959999999</c:v>
                </c:pt>
                <c:pt idx="166">
                  <c:v>657336.38399999996</c:v>
                </c:pt>
                <c:pt idx="167">
                  <c:v>515995.53600000002</c:v>
                </c:pt>
                <c:pt idx="168">
                  <c:v>446489.28799999994</c:v>
                </c:pt>
                <c:pt idx="169">
                  <c:v>484082.29800000001</c:v>
                </c:pt>
                <c:pt idx="170">
                  <c:v>526590.18000000005</c:v>
                </c:pt>
                <c:pt idx="171">
                  <c:v>599534.73</c:v>
                </c:pt>
                <c:pt idx="172">
                  <c:v>628186.32999999996</c:v>
                </c:pt>
                <c:pt idx="173">
                  <c:v>678138.49599999993</c:v>
                </c:pt>
                <c:pt idx="174">
                  <c:v>730786.56</c:v>
                </c:pt>
                <c:pt idx="175">
                  <c:v>755784.96</c:v>
                </c:pt>
                <c:pt idx="176">
                  <c:v>760846.02</c:v>
                </c:pt>
                <c:pt idx="177">
                  <c:v>707668.61</c:v>
                </c:pt>
                <c:pt idx="178">
                  <c:v>602337.56000000006</c:v>
                </c:pt>
                <c:pt idx="179">
                  <c:v>520200.62000000005</c:v>
                </c:pt>
                <c:pt idx="180">
                  <c:v>456453.49200000009</c:v>
                </c:pt>
                <c:pt idx="181">
                  <c:v>504936.89400000009</c:v>
                </c:pt>
                <c:pt idx="182">
                  <c:v>514011.49800000002</c:v>
                </c:pt>
                <c:pt idx="183">
                  <c:v>610177.022</c:v>
                </c:pt>
                <c:pt idx="184">
                  <c:v>631611.81200000003</c:v>
                </c:pt>
                <c:pt idx="185">
                  <c:v>733561.76399999997</c:v>
                </c:pt>
                <c:pt idx="186">
                  <c:v>787296.58800000011</c:v>
                </c:pt>
                <c:pt idx="187">
                  <c:v>828264.51</c:v>
                </c:pt>
                <c:pt idx="188">
                  <c:v>855243.80999999994</c:v>
                </c:pt>
                <c:pt idx="189">
                  <c:v>801293.57999999984</c:v>
                </c:pt>
                <c:pt idx="190">
                  <c:v>697900.86</c:v>
                </c:pt>
                <c:pt idx="191">
                  <c:v>603966.77999999991</c:v>
                </c:pt>
                <c:pt idx="192">
                  <c:v>515304.99</c:v>
                </c:pt>
                <c:pt idx="193">
                  <c:v>548386.29800000007</c:v>
                </c:pt>
                <c:pt idx="194">
                  <c:v>576371.99</c:v>
                </c:pt>
                <c:pt idx="195">
                  <c:v>629311.72000000009</c:v>
                </c:pt>
                <c:pt idx="196">
                  <c:v>665084.66</c:v>
                </c:pt>
                <c:pt idx="197">
                  <c:v>736590.87199999997</c:v>
                </c:pt>
                <c:pt idx="198">
                  <c:v>857028.7159999999</c:v>
                </c:pt>
                <c:pt idx="199">
                  <c:v>853265.69199999992</c:v>
                </c:pt>
                <c:pt idx="200">
                  <c:v>853265.69199999992</c:v>
                </c:pt>
                <c:pt idx="201">
                  <c:v>777670.87</c:v>
                </c:pt>
                <c:pt idx="202">
                  <c:v>668779.80000000005</c:v>
                </c:pt>
                <c:pt idx="203">
                  <c:v>563366.70000000007</c:v>
                </c:pt>
                <c:pt idx="204">
                  <c:v>497902.86</c:v>
                </c:pt>
                <c:pt idx="205">
                  <c:v>517052.97</c:v>
                </c:pt>
                <c:pt idx="206">
                  <c:v>533711.42999999993</c:v>
                </c:pt>
                <c:pt idx="207">
                  <c:v>614004.30000000005</c:v>
                </c:pt>
                <c:pt idx="208">
                  <c:v>650389.74</c:v>
                </c:pt>
                <c:pt idx="209">
                  <c:v>729248.52</c:v>
                </c:pt>
                <c:pt idx="210">
                  <c:v>770919.86400000006</c:v>
                </c:pt>
                <c:pt idx="211">
                  <c:v>824830.34399999992</c:v>
                </c:pt>
                <c:pt idx="212">
                  <c:v>856622.52</c:v>
                </c:pt>
                <c:pt idx="213">
                  <c:v>783604.8</c:v>
                </c:pt>
                <c:pt idx="214">
                  <c:v>656418.4</c:v>
                </c:pt>
                <c:pt idx="215">
                  <c:v>541376</c:v>
                </c:pt>
                <c:pt idx="216">
                  <c:v>485392.80000000005</c:v>
                </c:pt>
                <c:pt idx="217">
                  <c:v>491704.80000000005</c:v>
                </c:pt>
                <c:pt idx="218">
                  <c:v>370622.49300000007</c:v>
                </c:pt>
                <c:pt idx="219">
                  <c:v>334452.74400000001</c:v>
                </c:pt>
                <c:pt idx="220">
                  <c:v>336599.424</c:v>
                </c:pt>
                <c:pt idx="221">
                  <c:v>507969.28000000009</c:v>
                </c:pt>
                <c:pt idx="222">
                  <c:v>669920.16000000015</c:v>
                </c:pt>
                <c:pt idx="223">
                  <c:v>815183.46</c:v>
                </c:pt>
                <c:pt idx="224">
                  <c:v>871619.23800000013</c:v>
                </c:pt>
                <c:pt idx="225">
                  <c:v>837274.28399999999</c:v>
                </c:pt>
                <c:pt idx="226">
                  <c:v>731079.1179999999</c:v>
                </c:pt>
                <c:pt idx="227">
                  <c:v>615368.75400000007</c:v>
                </c:pt>
                <c:pt idx="228">
                  <c:v>539641.55700000003</c:v>
                </c:pt>
                <c:pt idx="229">
                  <c:v>557780.76899999997</c:v>
                </c:pt>
                <c:pt idx="230">
                  <c:v>553694.46299999987</c:v>
                </c:pt>
                <c:pt idx="231">
                  <c:v>618793.81200000003</c:v>
                </c:pt>
                <c:pt idx="232">
                  <c:v>631730.26800000004</c:v>
                </c:pt>
                <c:pt idx="233">
                  <c:v>716427.19200000004</c:v>
                </c:pt>
                <c:pt idx="234">
                  <c:v>756949.09200000018</c:v>
                </c:pt>
                <c:pt idx="235">
                  <c:v>787950.42000000016</c:v>
                </c:pt>
                <c:pt idx="236">
                  <c:v>766585.17</c:v>
                </c:pt>
                <c:pt idx="237">
                  <c:v>708311.56500000006</c:v>
                </c:pt>
                <c:pt idx="238">
                  <c:v>613095.91200000001</c:v>
                </c:pt>
              </c:numCache>
            </c:numRef>
          </c:val>
          <c:smooth val="0"/>
          <c:extLst>
            <c:ext xmlns:c16="http://schemas.microsoft.com/office/drawing/2014/chart" uri="{C3380CC4-5D6E-409C-BE32-E72D297353CC}">
              <c16:uniqueId val="{00000001-1899-4761-AB1D-AE7882FED9B5}"/>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DETREND!$F$9:$F$247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DETREND!$G$9:$G$247</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9643-4C65-A2B1-675C4E1C1101}"/>
            </c:ext>
          </c:extLst>
        </c:ser>
        <c:ser>
          <c:idx val="1"/>
          <c:order val="1"/>
          <c:tx>
            <c:v>Detrended</c:v>
          </c:tx>
          <c:spPr>
            <a:ln w="19050" cap="rnd">
              <a:solidFill>
                <a:schemeClr val="accent2"/>
              </a:solidFill>
              <a:round/>
            </a:ln>
            <a:effectLst/>
          </c:spPr>
          <c:marker>
            <c:symbol val="none"/>
          </c:marker>
          <c:cat>
            <c:numRef>
              <c:f>DETREND!$F$9:$F$247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DETREND!$J$9:$J$297</c:f>
              <c:numCache>
                <c:formatCode>0.0</c:formatCode>
                <c:ptCount val="289"/>
                <c:pt idx="0">
                  <c:v>-20.700272758308301</c:v>
                </c:pt>
                <c:pt idx="1">
                  <c:v>-13.00376233869126</c:v>
                </c:pt>
                <c:pt idx="2">
                  <c:v>-10.807252053777134</c:v>
                </c:pt>
                <c:pt idx="3">
                  <c:v>-10.010741903570903</c:v>
                </c:pt>
                <c:pt idx="4">
                  <c:v>-12.914231888077978</c:v>
                </c:pt>
                <c:pt idx="5">
                  <c:v>-7.1177220073033851</c:v>
                </c:pt>
                <c:pt idx="6">
                  <c:v>-6.8212122612525121</c:v>
                </c:pt>
                <c:pt idx="7">
                  <c:v>-8.3247026499303303</c:v>
                </c:pt>
                <c:pt idx="8">
                  <c:v>-1.2281931733422908</c:v>
                </c:pt>
                <c:pt idx="9">
                  <c:v>-6.5316838314933534</c:v>
                </c:pt>
                <c:pt idx="10">
                  <c:v>-15.835174624388941</c:v>
                </c:pt>
                <c:pt idx="11">
                  <c:v>-16.438665552034053</c:v>
                </c:pt>
                <c:pt idx="12">
                  <c:v>-18.642156614434143</c:v>
                </c:pt>
                <c:pt idx="13">
                  <c:v>-13.045647811594066</c:v>
                </c:pt>
                <c:pt idx="14">
                  <c:v>-13.949139143519361</c:v>
                </c:pt>
                <c:pt idx="15">
                  <c:v>-10.752630610214965</c:v>
                </c:pt>
                <c:pt idx="16">
                  <c:v>-14.156122211686238</c:v>
                </c:pt>
                <c:pt idx="17">
                  <c:v>-9.1596139479383396</c:v>
                </c:pt>
                <c:pt idx="18">
                  <c:v>-8.8631058189765213</c:v>
                </c:pt>
                <c:pt idx="19">
                  <c:v>-4.7665978248059133</c:v>
                </c:pt>
                <c:pt idx="20">
                  <c:v>-0.47008996543171122</c:v>
                </c:pt>
                <c:pt idx="21">
                  <c:v>-5.8735822408592071</c:v>
                </c:pt>
                <c:pt idx="22">
                  <c:v>-12.57707465109354</c:v>
                </c:pt>
                <c:pt idx="23">
                  <c:v>-13.680567196139947</c:v>
                </c:pt>
                <c:pt idx="24">
                  <c:v>-16.484059876003499</c:v>
                </c:pt>
                <c:pt idx="25">
                  <c:v>-3.5875526906896766</c:v>
                </c:pt>
                <c:pt idx="26">
                  <c:v>-8.2910456402033503</c:v>
                </c:pt>
                <c:pt idx="27">
                  <c:v>-4.1945387245500854</c:v>
                </c:pt>
                <c:pt idx="28">
                  <c:v>-4.3980319437347646</c:v>
                </c:pt>
                <c:pt idx="29">
                  <c:v>-0.40152529776275969</c:v>
                </c:pt>
                <c:pt idx="30">
                  <c:v>1.5949812133608248</c:v>
                </c:pt>
                <c:pt idx="31">
                  <c:v>1.5914875896307166</c:v>
                </c:pt>
                <c:pt idx="32">
                  <c:v>2.9879938310416634</c:v>
                </c:pt>
                <c:pt idx="33">
                  <c:v>1.2844999375885493</c:v>
                </c:pt>
                <c:pt idx="34">
                  <c:v>-5.8189940907339235</c:v>
                </c:pt>
                <c:pt idx="35">
                  <c:v>-9.5224882539308311</c:v>
                </c:pt>
                <c:pt idx="36">
                  <c:v>-14.125982552007599</c:v>
                </c:pt>
                <c:pt idx="37">
                  <c:v>-2.5294769849691221</c:v>
                </c:pt>
                <c:pt idx="38">
                  <c:v>-3.5329715528209391</c:v>
                </c:pt>
                <c:pt idx="39">
                  <c:v>0.563533744431993</c:v>
                </c:pt>
                <c:pt idx="40">
                  <c:v>0.86003890678438211</c:v>
                </c:pt>
                <c:pt idx="41">
                  <c:v>-4.3456065768950225E-2</c:v>
                </c:pt>
                <c:pt idx="42">
                  <c:v>5.0530488267666698</c:v>
                </c:pt>
                <c:pt idx="43">
                  <c:v>1.4495535843861944</c:v>
                </c:pt>
                <c:pt idx="44">
                  <c:v>3.1460582070842236</c:v>
                </c:pt>
                <c:pt idx="45">
                  <c:v>1.8425626948558005</c:v>
                </c:pt>
                <c:pt idx="46">
                  <c:v>-3.9609329523044039</c:v>
                </c:pt>
                <c:pt idx="47">
                  <c:v>-6.8644287344016988</c:v>
                </c:pt>
                <c:pt idx="48">
                  <c:v>-10.367924651441115</c:v>
                </c:pt>
                <c:pt idx="49">
                  <c:v>1.8285792965719025</c:v>
                </c:pt>
                <c:pt idx="50">
                  <c:v>-4.8749168903675297</c:v>
                </c:pt>
                <c:pt idx="51">
                  <c:v>4.821586787735086</c:v>
                </c:pt>
                <c:pt idx="52">
                  <c:v>0.5180903308746565</c:v>
                </c:pt>
                <c:pt idx="53">
                  <c:v>3.2145937390459665</c:v>
                </c:pt>
                <c:pt idx="54">
                  <c:v>8.0110970122438658</c:v>
                </c:pt>
                <c:pt idx="55">
                  <c:v>2.6076001504630995</c:v>
                </c:pt>
                <c:pt idx="56">
                  <c:v>6.9041031536983866</c:v>
                </c:pt>
                <c:pt idx="57">
                  <c:v>5.3006060219445743</c:v>
                </c:pt>
                <c:pt idx="58">
                  <c:v>-3.6028912448035015</c:v>
                </c:pt>
                <c:pt idx="59">
                  <c:v>-3.6063886465511672</c:v>
                </c:pt>
                <c:pt idx="60">
                  <c:v>-8.0098861833034505</c:v>
                </c:pt>
                <c:pt idx="61">
                  <c:v>5.7866161449341575</c:v>
                </c:pt>
                <c:pt idx="62">
                  <c:v>-1.6881661843214602E-2</c:v>
                </c:pt>
                <c:pt idx="63">
                  <c:v>9.2796203963590074</c:v>
                </c:pt>
                <c:pt idx="64">
                  <c:v>6.2761223195355456</c:v>
                </c:pt>
                <c:pt idx="65">
                  <c:v>9.1726241076814148</c:v>
                </c:pt>
                <c:pt idx="66">
                  <c:v>14.269125760791155</c:v>
                </c:pt>
                <c:pt idx="67">
                  <c:v>7.7656272788597818</c:v>
                </c:pt>
                <c:pt idx="68">
                  <c:v>17.162128661881979</c:v>
                </c:pt>
                <c:pt idx="69">
                  <c:v>11.758629909852488</c:v>
                </c:pt>
                <c:pt idx="70">
                  <c:v>1.9551310227661389</c:v>
                </c:pt>
                <c:pt idx="71">
                  <c:v>4.1516320006178233</c:v>
                </c:pt>
                <c:pt idx="72">
                  <c:v>0.44813284340204973</c:v>
                </c:pt>
                <c:pt idx="73">
                  <c:v>7.0446335511139893</c:v>
                </c:pt>
                <c:pt idx="74">
                  <c:v>8.5411341237480656</c:v>
                </c:pt>
                <c:pt idx="75">
                  <c:v>11.837634561299282</c:v>
                </c:pt>
                <c:pt idx="76">
                  <c:v>12.63413486376227</c:v>
                </c:pt>
                <c:pt idx="77">
                  <c:v>17.830635031132061</c:v>
                </c:pt>
                <c:pt idx="78">
                  <c:v>16.227135063403111</c:v>
                </c:pt>
                <c:pt idx="79">
                  <c:v>16.623634960570527</c:v>
                </c:pt>
                <c:pt idx="80">
                  <c:v>17.720134722628956</c:v>
                </c:pt>
                <c:pt idx="81">
                  <c:v>5.5166343495730246</c:v>
                </c:pt>
                <c:pt idx="82">
                  <c:v>-11.586866158602177</c:v>
                </c:pt>
                <c:pt idx="83">
                  <c:v>-11.990366801902169</c:v>
                </c:pt>
                <c:pt idx="84">
                  <c:v>-14.593867580331889</c:v>
                </c:pt>
                <c:pt idx="85">
                  <c:v>-2.0973684938967807</c:v>
                </c:pt>
                <c:pt idx="86">
                  <c:v>-5.5008695426018619</c:v>
                </c:pt>
                <c:pt idx="87">
                  <c:v>0.59562927354743067</c:v>
                </c:pt>
                <c:pt idx="88">
                  <c:v>1.4921279545460635</c:v>
                </c:pt>
                <c:pt idx="89">
                  <c:v>6.9886265003887331</c:v>
                </c:pt>
                <c:pt idx="90">
                  <c:v>8.8851249110702213</c:v>
                </c:pt>
                <c:pt idx="91">
                  <c:v>8.6816231865853553</c:v>
                </c:pt>
                <c:pt idx="92">
                  <c:v>14.878121326928905</c:v>
                </c:pt>
                <c:pt idx="93">
                  <c:v>10.674619332095631</c:v>
                </c:pt>
                <c:pt idx="94">
                  <c:v>3.3711172020803701</c:v>
                </c:pt>
                <c:pt idx="95">
                  <c:v>0.46761493687785105</c:v>
                </c:pt>
                <c:pt idx="96">
                  <c:v>-1.7358874635172441</c:v>
                </c:pt>
                <c:pt idx="97">
                  <c:v>14.360610000890119</c:v>
                </c:pt>
                <c:pt idx="98">
                  <c:v>8.5571073300944676</c:v>
                </c:pt>
                <c:pt idx="99">
                  <c:v>13.553604524090758</c:v>
                </c:pt>
                <c:pt idx="100">
                  <c:v>11.750101582873654</c:v>
                </c:pt>
                <c:pt idx="101">
                  <c:v>16.146598506437996</c:v>
                </c:pt>
                <c:pt idx="102">
                  <c:v>17.343095294778522</c:v>
                </c:pt>
                <c:pt idx="103">
                  <c:v>15.039591947890173</c:v>
                </c:pt>
                <c:pt idx="104">
                  <c:v>16.936088465767469</c:v>
                </c:pt>
                <c:pt idx="105">
                  <c:v>16.032584848405463</c:v>
                </c:pt>
                <c:pt idx="106">
                  <c:v>5.8290810957986849</c:v>
                </c:pt>
                <c:pt idx="107">
                  <c:v>2.4255772079420979</c:v>
                </c:pt>
                <c:pt idx="108">
                  <c:v>4.6220731848302989</c:v>
                </c:pt>
                <c:pt idx="109">
                  <c:v>13.61856902645826</c:v>
                </c:pt>
                <c:pt idx="110">
                  <c:v>6.7150647328206645</c:v>
                </c:pt>
                <c:pt idx="111">
                  <c:v>16.311560303912231</c:v>
                </c:pt>
                <c:pt idx="112">
                  <c:v>12.008055739727936</c:v>
                </c:pt>
                <c:pt idx="113">
                  <c:v>15.30455104026224</c:v>
                </c:pt>
                <c:pt idx="114">
                  <c:v>20.001046205510306</c:v>
                </c:pt>
                <c:pt idx="115">
                  <c:v>13.997541235466571</c:v>
                </c:pt>
                <c:pt idx="116">
                  <c:v>15.494036130126048</c:v>
                </c:pt>
                <c:pt idx="117">
                  <c:v>13.390530889483387</c:v>
                </c:pt>
                <c:pt idx="118">
                  <c:v>4.8870255135334446</c:v>
                </c:pt>
                <c:pt idx="119">
                  <c:v>-2.1164799977290727</c:v>
                </c:pt>
                <c:pt idx="120">
                  <c:v>-1.0199856443093438</c:v>
                </c:pt>
                <c:pt idx="121">
                  <c:v>8.8765085737872909</c:v>
                </c:pt>
                <c:pt idx="122">
                  <c:v>1.9730026565558489</c:v>
                </c:pt>
                <c:pt idx="123">
                  <c:v>11.669496603990879</c:v>
                </c:pt>
                <c:pt idx="124">
                  <c:v>7.4659904160872657</c:v>
                </c:pt>
                <c:pt idx="125">
                  <c:v>13.662484092839733</c:v>
                </c:pt>
                <c:pt idx="126">
                  <c:v>20.658977634243172</c:v>
                </c:pt>
                <c:pt idx="127">
                  <c:v>12.555471040292247</c:v>
                </c:pt>
                <c:pt idx="128">
                  <c:v>20.951964310981694</c:v>
                </c:pt>
                <c:pt idx="129">
                  <c:v>13.948457446306406</c:v>
                </c:pt>
                <c:pt idx="130">
                  <c:v>1.3449504462610662</c:v>
                </c:pt>
                <c:pt idx="131">
                  <c:v>3.6414433108405717</c:v>
                </c:pt>
                <c:pt idx="132">
                  <c:v>-2.7620639599604857</c:v>
                </c:pt>
                <c:pt idx="133">
                  <c:v>6.8344286338528519</c:v>
                </c:pt>
                <c:pt idx="134">
                  <c:v>10.930921092275128</c:v>
                </c:pt>
                <c:pt idx="135">
                  <c:v>14.12741341530139</c:v>
                </c:pt>
                <c:pt idx="136">
                  <c:v>10.823905602926203</c:v>
                </c:pt>
                <c:pt idx="137">
                  <c:v>17.120397655144558</c:v>
                </c:pt>
                <c:pt idx="138">
                  <c:v>21.116889571950892</c:v>
                </c:pt>
                <c:pt idx="139">
                  <c:v>16.413381353340341</c:v>
                </c:pt>
                <c:pt idx="140">
                  <c:v>21.709872999307436</c:v>
                </c:pt>
                <c:pt idx="141">
                  <c:v>15.20636450984702</c:v>
                </c:pt>
                <c:pt idx="142">
                  <c:v>-0.79714411504613736</c:v>
                </c:pt>
                <c:pt idx="143">
                  <c:v>1.6993471246228324</c:v>
                </c:pt>
                <c:pt idx="144">
                  <c:v>1.395838228848632</c:v>
                </c:pt>
                <c:pt idx="145">
                  <c:v>6.392329197625827</c:v>
                </c:pt>
                <c:pt idx="146">
                  <c:v>5.0888200309495488</c:v>
                </c:pt>
                <c:pt idx="147">
                  <c:v>10.785310728814281</c:v>
                </c:pt>
                <c:pt idx="148">
                  <c:v>3.9818012912150209</c:v>
                </c:pt>
                <c:pt idx="149">
                  <c:v>13.478291718146352</c:v>
                </c:pt>
                <c:pt idx="150">
                  <c:v>15.374782009603109</c:v>
                </c:pt>
                <c:pt idx="151">
                  <c:v>14.671272165580092</c:v>
                </c:pt>
                <c:pt idx="152">
                  <c:v>18.367762186072127</c:v>
                </c:pt>
                <c:pt idx="153">
                  <c:v>8.8642520710737926</c:v>
                </c:pt>
                <c:pt idx="154">
                  <c:v>-3.2392581794199486</c:v>
                </c:pt>
                <c:pt idx="155">
                  <c:v>-2.842768565414417</c:v>
                </c:pt>
                <c:pt idx="156">
                  <c:v>-7.2462790869148108</c:v>
                </c:pt>
                <c:pt idx="157">
                  <c:v>3.3502102560735665</c:v>
                </c:pt>
                <c:pt idx="158">
                  <c:v>-2.1533005364543953</c:v>
                </c:pt>
                <c:pt idx="159">
                  <c:v>2.1431885354960372</c:v>
                </c:pt>
                <c:pt idx="160">
                  <c:v>1.5396774719195605</c:v>
                </c:pt>
                <c:pt idx="161">
                  <c:v>4.5361662728109735</c:v>
                </c:pt>
                <c:pt idx="162">
                  <c:v>6.6326549381650324</c:v>
                </c:pt>
                <c:pt idx="163">
                  <c:v>3.3291434679765644</c:v>
                </c:pt>
                <c:pt idx="164">
                  <c:v>6.2256318622402347</c:v>
                </c:pt>
                <c:pt idx="165">
                  <c:v>-3.3778798790489901</c:v>
                </c:pt>
                <c:pt idx="166">
                  <c:v>-13.781391755896578</c:v>
                </c:pt>
                <c:pt idx="167">
                  <c:v>-14.68490376830762</c:v>
                </c:pt>
                <c:pt idx="168">
                  <c:v>-15.188415916287411</c:v>
                </c:pt>
                <c:pt idx="169">
                  <c:v>-7.2919281998410952</c:v>
                </c:pt>
                <c:pt idx="170">
                  <c:v>-7.9954406189740155</c:v>
                </c:pt>
                <c:pt idx="171">
                  <c:v>-4.698953173691379</c:v>
                </c:pt>
                <c:pt idx="172">
                  <c:v>-3.3024658639984068</c:v>
                </c:pt>
                <c:pt idx="173">
                  <c:v>-1.405978689900266</c:v>
                </c:pt>
                <c:pt idx="174">
                  <c:v>1.9905083485978281</c:v>
                </c:pt>
                <c:pt idx="175">
                  <c:v>-0.31300474850959858</c:v>
                </c:pt>
                <c:pt idx="176">
                  <c:v>-0.81651798122753405</c:v>
                </c:pt>
                <c:pt idx="177">
                  <c:v>-4.5200313495613642</c:v>
                </c:pt>
                <c:pt idx="178">
                  <c:v>-13.823544853516211</c:v>
                </c:pt>
                <c:pt idx="179">
                  <c:v>-13.127058493097437</c:v>
                </c:pt>
                <c:pt idx="180">
                  <c:v>-15.130572268310061</c:v>
                </c:pt>
                <c:pt idx="181">
                  <c:v>-5.6340861791595813</c:v>
                </c:pt>
                <c:pt idx="182">
                  <c:v>-11.737600225650993</c:v>
                </c:pt>
                <c:pt idx="183">
                  <c:v>-0.94111440778981148</c:v>
                </c:pt>
                <c:pt idx="184">
                  <c:v>-2.6446287255808869</c:v>
                </c:pt>
                <c:pt idx="185">
                  <c:v>1.0518568209701016</c:v>
                </c:pt>
                <c:pt idx="186">
                  <c:v>5.6483422318582512</c:v>
                </c:pt>
                <c:pt idx="187">
                  <c:v>1.9448275070782302</c:v>
                </c:pt>
                <c:pt idx="188">
                  <c:v>4.0413126466247462</c:v>
                </c:pt>
                <c:pt idx="189">
                  <c:v>-0.46220234950740746</c:v>
                </c:pt>
                <c:pt idx="190">
                  <c:v>-10.065717481323375</c:v>
                </c:pt>
                <c:pt idx="191">
                  <c:v>-8.7692327488285571</c:v>
                </c:pt>
                <c:pt idx="192">
                  <c:v>-13.772748152028115</c:v>
                </c:pt>
                <c:pt idx="193">
                  <c:v>-4.8762636909272175</c:v>
                </c:pt>
                <c:pt idx="194">
                  <c:v>-4.5797793655312802</c:v>
                </c:pt>
                <c:pt idx="195">
                  <c:v>-6.6832951758453731</c:v>
                </c:pt>
                <c:pt idx="196">
                  <c:v>1.3188878125120596E-2</c:v>
                </c:pt>
                <c:pt idx="197">
                  <c:v>4.7096727963751448</c:v>
                </c:pt>
                <c:pt idx="198">
                  <c:v>7.1061565788993022</c:v>
                </c:pt>
                <c:pt idx="199">
                  <c:v>-0.3973597743074464</c:v>
                </c:pt>
                <c:pt idx="200">
                  <c:v>4.6991237367493142</c:v>
                </c:pt>
                <c:pt idx="201">
                  <c:v>-1.6043928879352762</c:v>
                </c:pt>
                <c:pt idx="202">
                  <c:v>-13.107909648366729</c:v>
                </c:pt>
                <c:pt idx="203">
                  <c:v>-10.41142654455011</c:v>
                </c:pt>
                <c:pt idx="204">
                  <c:v>-12.014943576490822</c:v>
                </c:pt>
                <c:pt idx="205">
                  <c:v>-10.118460744193925</c:v>
                </c:pt>
                <c:pt idx="206">
                  <c:v>-7.8219780476648708</c:v>
                </c:pt>
                <c:pt idx="207">
                  <c:v>-0.12549548690871859</c:v>
                </c:pt>
                <c:pt idx="208">
                  <c:v>-5.3290130619307234</c:v>
                </c:pt>
                <c:pt idx="209">
                  <c:v>2.2674692272637458</c:v>
                </c:pt>
                <c:pt idx="210">
                  <c:v>5.0639513806695646</c:v>
                </c:pt>
                <c:pt idx="211">
                  <c:v>0.66043339828141256</c:v>
                </c:pt>
                <c:pt idx="212">
                  <c:v>5.8569152800941566</c:v>
                </c:pt>
                <c:pt idx="213">
                  <c:v>-3.146602973897572</c:v>
                </c:pt>
                <c:pt idx="214">
                  <c:v>-14.250121363698909</c:v>
                </c:pt>
                <c:pt idx="215">
                  <c:v>-11.153639889315286</c:v>
                </c:pt>
                <c:pt idx="216">
                  <c:v>-12.257158550751612</c:v>
                </c:pt>
                <c:pt idx="217">
                  <c:v>-13.260677348013502</c:v>
                </c:pt>
                <c:pt idx="218">
                  <c:v>-30.864196281105869</c:v>
                </c:pt>
                <c:pt idx="219">
                  <c:v>-19.967715350034226</c:v>
                </c:pt>
                <c:pt idx="220">
                  <c:v>-12.771234554803556</c:v>
                </c:pt>
                <c:pt idx="221">
                  <c:v>-0.17475389541944253</c:v>
                </c:pt>
                <c:pt idx="222">
                  <c:v>2.7217266281132169</c:v>
                </c:pt>
                <c:pt idx="223">
                  <c:v>4.2182070157890763</c:v>
                </c:pt>
                <c:pt idx="224">
                  <c:v>6.1146872676026618</c:v>
                </c:pt>
                <c:pt idx="225">
                  <c:v>-0.9888326164509067</c:v>
                </c:pt>
                <c:pt idx="226">
                  <c:v>-7.892352636377197</c:v>
                </c:pt>
                <c:pt idx="227">
                  <c:v>-9.2958727921812283</c:v>
                </c:pt>
                <c:pt idx="228">
                  <c:v>-12.099393083868392</c:v>
                </c:pt>
                <c:pt idx="229">
                  <c:v>-5.1029135114438589</c:v>
                </c:pt>
                <c:pt idx="230">
                  <c:v>-9.9064340749128377</c:v>
                </c:pt>
                <c:pt idx="231">
                  <c:v>-2.8099547742805981</c:v>
                </c:pt>
                <c:pt idx="232">
                  <c:v>-3.3134756095525262</c:v>
                </c:pt>
                <c:pt idx="233">
                  <c:v>0.98300341926629642</c:v>
                </c:pt>
                <c:pt idx="234">
                  <c:v>2.1794823121705633</c:v>
                </c:pt>
                <c:pt idx="235">
                  <c:v>0.27596106915511598</c:v>
                </c:pt>
                <c:pt idx="236">
                  <c:v>-1.5275603097855281</c:v>
                </c:pt>
                <c:pt idx="237">
                  <c:v>-4.9310818246563173</c:v>
                </c:pt>
                <c:pt idx="238">
                  <c:v>-12.034603475462617</c:v>
                </c:pt>
              </c:numCache>
            </c:numRef>
          </c:val>
          <c:smooth val="0"/>
          <c:extLst>
            <c:ext xmlns:c16="http://schemas.microsoft.com/office/drawing/2014/chart" uri="{C3380CC4-5D6E-409C-BE32-E72D297353CC}">
              <c16:uniqueId val="{00000001-9643-4C65-A2B1-675C4E1C1101}"/>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TSTREND!$F$9:$F$247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TSTREND!$G$9:$G$247</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2D1A-4773-91B7-8D03B6485558}"/>
            </c:ext>
          </c:extLst>
        </c:ser>
        <c:ser>
          <c:idx val="1"/>
          <c:order val="1"/>
          <c:tx>
            <c:v>Trend</c:v>
          </c:tx>
          <c:spPr>
            <a:ln w="19050" cap="rnd">
              <a:solidFill>
                <a:schemeClr val="accent2"/>
              </a:solidFill>
              <a:round/>
            </a:ln>
            <a:effectLst/>
          </c:spPr>
          <c:marker>
            <c:symbol val="none"/>
          </c:marker>
          <c:cat>
            <c:numRef>
              <c:f>TSTREND!$F$9:$F$247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TSTREND!$J$9:$J$297</c:f>
              <c:numCache>
                <c:formatCode>0.0</c:formatCode>
                <c:ptCount val="289"/>
                <c:pt idx="0">
                  <c:v>91.021939790621474</c:v>
                </c:pt>
                <c:pt idx="1">
                  <c:v>91.024782070869392</c:v>
                </c:pt>
                <c:pt idx="2">
                  <c:v>91.027624351117325</c:v>
                </c:pt>
                <c:pt idx="3">
                  <c:v>91.030466631365243</c:v>
                </c:pt>
                <c:pt idx="4">
                  <c:v>91.033308911613162</c:v>
                </c:pt>
                <c:pt idx="5">
                  <c:v>91.03615119186108</c:v>
                </c:pt>
                <c:pt idx="6">
                  <c:v>91.038993472108999</c:v>
                </c:pt>
                <c:pt idx="7">
                  <c:v>91.041835752356917</c:v>
                </c:pt>
                <c:pt idx="8">
                  <c:v>91.04467803260485</c:v>
                </c:pt>
                <c:pt idx="9">
                  <c:v>91.047520312852768</c:v>
                </c:pt>
                <c:pt idx="10">
                  <c:v>91.050362593100687</c:v>
                </c:pt>
                <c:pt idx="11">
                  <c:v>91.053204873348605</c:v>
                </c:pt>
                <c:pt idx="12">
                  <c:v>91.056047153596523</c:v>
                </c:pt>
                <c:pt idx="13">
                  <c:v>91.058889433844442</c:v>
                </c:pt>
                <c:pt idx="14">
                  <c:v>91.06173171409236</c:v>
                </c:pt>
                <c:pt idx="15">
                  <c:v>91.064573994340293</c:v>
                </c:pt>
                <c:pt idx="16">
                  <c:v>91.067416274588211</c:v>
                </c:pt>
                <c:pt idx="17">
                  <c:v>91.07025855483613</c:v>
                </c:pt>
                <c:pt idx="18">
                  <c:v>91.073100835084048</c:v>
                </c:pt>
                <c:pt idx="19">
                  <c:v>91.075943115331967</c:v>
                </c:pt>
                <c:pt idx="20">
                  <c:v>91.078785395579885</c:v>
                </c:pt>
                <c:pt idx="21">
                  <c:v>91.081627675827818</c:v>
                </c:pt>
                <c:pt idx="22">
                  <c:v>91.084469956075736</c:v>
                </c:pt>
                <c:pt idx="23">
                  <c:v>91.087312236323655</c:v>
                </c:pt>
                <c:pt idx="24">
                  <c:v>91.090154516571573</c:v>
                </c:pt>
                <c:pt idx="25">
                  <c:v>91.092996796819492</c:v>
                </c:pt>
                <c:pt idx="26">
                  <c:v>91.09583907706741</c:v>
                </c:pt>
                <c:pt idx="27">
                  <c:v>91.098681357315343</c:v>
                </c:pt>
                <c:pt idx="28">
                  <c:v>91.101523637563261</c:v>
                </c:pt>
                <c:pt idx="29">
                  <c:v>91.10436591781118</c:v>
                </c:pt>
                <c:pt idx="30">
                  <c:v>91.107208198059098</c:v>
                </c:pt>
                <c:pt idx="31">
                  <c:v>91.110050478307016</c:v>
                </c:pt>
                <c:pt idx="32">
                  <c:v>91.112892758554935</c:v>
                </c:pt>
                <c:pt idx="33">
                  <c:v>91.115735038802853</c:v>
                </c:pt>
                <c:pt idx="34">
                  <c:v>91.118577319050786</c:v>
                </c:pt>
                <c:pt idx="35">
                  <c:v>91.121419599298704</c:v>
                </c:pt>
                <c:pt idx="36">
                  <c:v>91.124261879546623</c:v>
                </c:pt>
                <c:pt idx="37">
                  <c:v>91.127104159794541</c:v>
                </c:pt>
                <c:pt idx="38">
                  <c:v>91.12994644004246</c:v>
                </c:pt>
                <c:pt idx="39">
                  <c:v>91.132788720290378</c:v>
                </c:pt>
                <c:pt idx="40">
                  <c:v>91.135631000538311</c:v>
                </c:pt>
                <c:pt idx="41">
                  <c:v>91.138473280786229</c:v>
                </c:pt>
                <c:pt idx="42">
                  <c:v>91.141315561034148</c:v>
                </c:pt>
                <c:pt idx="43">
                  <c:v>91.144157841282066</c:v>
                </c:pt>
                <c:pt idx="44">
                  <c:v>91.147000121529985</c:v>
                </c:pt>
                <c:pt idx="45">
                  <c:v>91.149842401777903</c:v>
                </c:pt>
                <c:pt idx="46">
                  <c:v>91.152684682025836</c:v>
                </c:pt>
                <c:pt idx="47">
                  <c:v>91.155526962273754</c:v>
                </c:pt>
                <c:pt idx="48">
                  <c:v>91.158369242521673</c:v>
                </c:pt>
                <c:pt idx="49">
                  <c:v>91.161211522769591</c:v>
                </c:pt>
                <c:pt idx="50">
                  <c:v>91.164053803017509</c:v>
                </c:pt>
                <c:pt idx="51">
                  <c:v>91.166896083265428</c:v>
                </c:pt>
                <c:pt idx="52">
                  <c:v>91.169738363513346</c:v>
                </c:pt>
                <c:pt idx="53">
                  <c:v>91.172580643761279</c:v>
                </c:pt>
                <c:pt idx="54">
                  <c:v>91.175422924009197</c:v>
                </c:pt>
                <c:pt idx="55">
                  <c:v>91.178265204257116</c:v>
                </c:pt>
                <c:pt idx="56">
                  <c:v>91.181107484505034</c:v>
                </c:pt>
                <c:pt idx="57">
                  <c:v>91.183949764752953</c:v>
                </c:pt>
                <c:pt idx="58">
                  <c:v>91.186792045000871</c:v>
                </c:pt>
                <c:pt idx="59">
                  <c:v>91.189634325248804</c:v>
                </c:pt>
                <c:pt idx="60">
                  <c:v>91.192476605496722</c:v>
                </c:pt>
                <c:pt idx="61">
                  <c:v>91.195318885744641</c:v>
                </c:pt>
                <c:pt idx="62">
                  <c:v>91.198161165992559</c:v>
                </c:pt>
                <c:pt idx="63">
                  <c:v>91.201003446240478</c:v>
                </c:pt>
                <c:pt idx="64">
                  <c:v>91.203845726488396</c:v>
                </c:pt>
                <c:pt idx="65">
                  <c:v>91.206688006736314</c:v>
                </c:pt>
                <c:pt idx="66">
                  <c:v>91.209530286984247</c:v>
                </c:pt>
                <c:pt idx="67">
                  <c:v>91.212372567232165</c:v>
                </c:pt>
                <c:pt idx="68">
                  <c:v>91.215214847480084</c:v>
                </c:pt>
                <c:pt idx="69">
                  <c:v>91.218057127728002</c:v>
                </c:pt>
                <c:pt idx="70">
                  <c:v>91.220899407975921</c:v>
                </c:pt>
                <c:pt idx="71">
                  <c:v>91.223741688223839</c:v>
                </c:pt>
                <c:pt idx="72">
                  <c:v>91.226583968471772</c:v>
                </c:pt>
                <c:pt idx="73">
                  <c:v>91.22942624871969</c:v>
                </c:pt>
                <c:pt idx="74">
                  <c:v>91.232268528967609</c:v>
                </c:pt>
                <c:pt idx="75">
                  <c:v>91.235110809215527</c:v>
                </c:pt>
                <c:pt idx="76">
                  <c:v>91.237953089463446</c:v>
                </c:pt>
                <c:pt idx="77">
                  <c:v>91.240795369711364</c:v>
                </c:pt>
                <c:pt idx="78">
                  <c:v>91.243637649959282</c:v>
                </c:pt>
                <c:pt idx="79">
                  <c:v>91.246479930207215</c:v>
                </c:pt>
                <c:pt idx="80">
                  <c:v>91.249322210455134</c:v>
                </c:pt>
                <c:pt idx="81">
                  <c:v>91.252164490703052</c:v>
                </c:pt>
                <c:pt idx="82">
                  <c:v>91.25500677095097</c:v>
                </c:pt>
                <c:pt idx="83">
                  <c:v>91.257849051198889</c:v>
                </c:pt>
                <c:pt idx="84">
                  <c:v>91.260691331446807</c:v>
                </c:pt>
                <c:pt idx="85">
                  <c:v>91.26353361169474</c:v>
                </c:pt>
                <c:pt idx="86">
                  <c:v>91.266375891942658</c:v>
                </c:pt>
                <c:pt idx="87">
                  <c:v>91.269218172190577</c:v>
                </c:pt>
                <c:pt idx="88">
                  <c:v>91.272060452438495</c:v>
                </c:pt>
                <c:pt idx="89">
                  <c:v>91.274902732686414</c:v>
                </c:pt>
                <c:pt idx="90">
                  <c:v>91.277745012934332</c:v>
                </c:pt>
                <c:pt idx="91">
                  <c:v>91.280587293182265</c:v>
                </c:pt>
                <c:pt idx="92">
                  <c:v>91.283429573430183</c:v>
                </c:pt>
                <c:pt idx="93">
                  <c:v>91.286271853678102</c:v>
                </c:pt>
                <c:pt idx="94">
                  <c:v>91.28911413392602</c:v>
                </c:pt>
                <c:pt idx="95">
                  <c:v>91.291956414173939</c:v>
                </c:pt>
                <c:pt idx="96">
                  <c:v>91.294798694421857</c:v>
                </c:pt>
                <c:pt idx="97">
                  <c:v>91.297640974669775</c:v>
                </c:pt>
                <c:pt idx="98">
                  <c:v>91.300483254917708</c:v>
                </c:pt>
                <c:pt idx="99">
                  <c:v>91.303325535165627</c:v>
                </c:pt>
                <c:pt idx="100">
                  <c:v>91.306167815413545</c:v>
                </c:pt>
                <c:pt idx="101">
                  <c:v>91.309010095661463</c:v>
                </c:pt>
                <c:pt idx="102">
                  <c:v>91.311852375909382</c:v>
                </c:pt>
                <c:pt idx="103">
                  <c:v>91.3146946561573</c:v>
                </c:pt>
                <c:pt idx="104">
                  <c:v>91.317536936405233</c:v>
                </c:pt>
                <c:pt idx="105">
                  <c:v>91.320379216653151</c:v>
                </c:pt>
                <c:pt idx="106">
                  <c:v>91.32322149690107</c:v>
                </c:pt>
                <c:pt idx="107">
                  <c:v>91.326063777148988</c:v>
                </c:pt>
                <c:pt idx="108">
                  <c:v>91.328906057396907</c:v>
                </c:pt>
                <c:pt idx="109">
                  <c:v>91.331748337644825</c:v>
                </c:pt>
                <c:pt idx="110">
                  <c:v>91.334590617892758</c:v>
                </c:pt>
                <c:pt idx="111">
                  <c:v>91.337432898140676</c:v>
                </c:pt>
                <c:pt idx="112">
                  <c:v>91.340275178388595</c:v>
                </c:pt>
                <c:pt idx="113">
                  <c:v>91.343117458636513</c:v>
                </c:pt>
                <c:pt idx="114">
                  <c:v>91.345959738884432</c:v>
                </c:pt>
                <c:pt idx="115">
                  <c:v>91.34880201913235</c:v>
                </c:pt>
                <c:pt idx="116">
                  <c:v>91.351644299380268</c:v>
                </c:pt>
                <c:pt idx="117">
                  <c:v>91.354486579628201</c:v>
                </c:pt>
                <c:pt idx="118">
                  <c:v>91.35732885987612</c:v>
                </c:pt>
                <c:pt idx="119">
                  <c:v>91.360171140124038</c:v>
                </c:pt>
                <c:pt idx="120">
                  <c:v>91.363013420371956</c:v>
                </c:pt>
                <c:pt idx="121">
                  <c:v>91.365855700619875</c:v>
                </c:pt>
                <c:pt idx="122">
                  <c:v>91.368697980867793</c:v>
                </c:pt>
                <c:pt idx="123">
                  <c:v>91.371540261115726</c:v>
                </c:pt>
                <c:pt idx="124">
                  <c:v>91.374382541363644</c:v>
                </c:pt>
                <c:pt idx="125">
                  <c:v>91.377224821611563</c:v>
                </c:pt>
                <c:pt idx="126">
                  <c:v>91.380067101859481</c:v>
                </c:pt>
                <c:pt idx="127">
                  <c:v>91.3829093821074</c:v>
                </c:pt>
                <c:pt idx="128">
                  <c:v>91.385751662355318</c:v>
                </c:pt>
                <c:pt idx="129">
                  <c:v>91.388593942603237</c:v>
                </c:pt>
                <c:pt idx="130">
                  <c:v>91.391436222851169</c:v>
                </c:pt>
                <c:pt idx="131">
                  <c:v>91.394278503099088</c:v>
                </c:pt>
                <c:pt idx="132">
                  <c:v>91.397120783347006</c:v>
                </c:pt>
                <c:pt idx="133">
                  <c:v>91.399963063594925</c:v>
                </c:pt>
                <c:pt idx="134">
                  <c:v>91.402805343842843</c:v>
                </c:pt>
                <c:pt idx="135">
                  <c:v>91.405647624090761</c:v>
                </c:pt>
                <c:pt idx="136">
                  <c:v>91.408489904338694</c:v>
                </c:pt>
                <c:pt idx="137">
                  <c:v>91.411332184586612</c:v>
                </c:pt>
                <c:pt idx="138">
                  <c:v>91.414174464834531</c:v>
                </c:pt>
                <c:pt idx="139">
                  <c:v>91.417016745082449</c:v>
                </c:pt>
                <c:pt idx="140">
                  <c:v>91.419859025330368</c:v>
                </c:pt>
                <c:pt idx="141">
                  <c:v>91.422701305578286</c:v>
                </c:pt>
                <c:pt idx="142">
                  <c:v>91.425543585826205</c:v>
                </c:pt>
                <c:pt idx="143">
                  <c:v>91.428385866074137</c:v>
                </c:pt>
                <c:pt idx="144">
                  <c:v>91.431228146322056</c:v>
                </c:pt>
                <c:pt idx="145">
                  <c:v>91.434070426569974</c:v>
                </c:pt>
                <c:pt idx="146">
                  <c:v>91.436912706817893</c:v>
                </c:pt>
                <c:pt idx="147">
                  <c:v>91.439754987065811</c:v>
                </c:pt>
                <c:pt idx="148">
                  <c:v>91.44259726731373</c:v>
                </c:pt>
                <c:pt idx="149">
                  <c:v>91.445439547561662</c:v>
                </c:pt>
                <c:pt idx="150">
                  <c:v>91.448281827809581</c:v>
                </c:pt>
                <c:pt idx="151">
                  <c:v>91.451124108057499</c:v>
                </c:pt>
                <c:pt idx="152">
                  <c:v>91.453966388305417</c:v>
                </c:pt>
                <c:pt idx="153">
                  <c:v>91.456808668553336</c:v>
                </c:pt>
                <c:pt idx="154">
                  <c:v>91.459650948801254</c:v>
                </c:pt>
                <c:pt idx="155">
                  <c:v>91.462493229049187</c:v>
                </c:pt>
                <c:pt idx="156">
                  <c:v>91.465335509297105</c:v>
                </c:pt>
                <c:pt idx="157">
                  <c:v>91.468177789545024</c:v>
                </c:pt>
                <c:pt idx="158">
                  <c:v>91.471020069792942</c:v>
                </c:pt>
                <c:pt idx="159">
                  <c:v>91.473862350040861</c:v>
                </c:pt>
                <c:pt idx="160">
                  <c:v>91.476704630288779</c:v>
                </c:pt>
                <c:pt idx="161">
                  <c:v>91.479546910536698</c:v>
                </c:pt>
                <c:pt idx="162">
                  <c:v>91.48238919078463</c:v>
                </c:pt>
                <c:pt idx="163">
                  <c:v>91.485231471032549</c:v>
                </c:pt>
                <c:pt idx="164">
                  <c:v>91.488073751280467</c:v>
                </c:pt>
                <c:pt idx="165">
                  <c:v>91.490916031528386</c:v>
                </c:pt>
                <c:pt idx="166">
                  <c:v>91.493758311776304</c:v>
                </c:pt>
                <c:pt idx="167">
                  <c:v>91.496600592024222</c:v>
                </c:pt>
                <c:pt idx="168">
                  <c:v>91.499442872272155</c:v>
                </c:pt>
                <c:pt idx="169">
                  <c:v>91.502285152520074</c:v>
                </c:pt>
                <c:pt idx="170">
                  <c:v>91.505127432767992</c:v>
                </c:pt>
                <c:pt idx="171">
                  <c:v>91.50796971301591</c:v>
                </c:pt>
                <c:pt idx="172">
                  <c:v>91.510811993263829</c:v>
                </c:pt>
                <c:pt idx="173">
                  <c:v>91.513654273511747</c:v>
                </c:pt>
                <c:pt idx="174">
                  <c:v>91.51649655375968</c:v>
                </c:pt>
                <c:pt idx="175">
                  <c:v>91.519338834007598</c:v>
                </c:pt>
                <c:pt idx="176">
                  <c:v>91.522181114255517</c:v>
                </c:pt>
                <c:pt idx="177">
                  <c:v>91.525023394503435</c:v>
                </c:pt>
                <c:pt idx="178">
                  <c:v>91.527865674751354</c:v>
                </c:pt>
                <c:pt idx="179">
                  <c:v>91.530707954999272</c:v>
                </c:pt>
                <c:pt idx="180">
                  <c:v>91.533550235247191</c:v>
                </c:pt>
                <c:pt idx="181">
                  <c:v>91.536392515495123</c:v>
                </c:pt>
                <c:pt idx="182">
                  <c:v>91.539234795743042</c:v>
                </c:pt>
                <c:pt idx="183">
                  <c:v>91.54207707599096</c:v>
                </c:pt>
                <c:pt idx="184">
                  <c:v>91.544919356238879</c:v>
                </c:pt>
                <c:pt idx="185">
                  <c:v>91.547761636486797</c:v>
                </c:pt>
                <c:pt idx="186">
                  <c:v>91.550603916734715</c:v>
                </c:pt>
                <c:pt idx="187">
                  <c:v>91.553446196982648</c:v>
                </c:pt>
                <c:pt idx="188">
                  <c:v>91.556288477230567</c:v>
                </c:pt>
                <c:pt idx="189">
                  <c:v>91.559130757478485</c:v>
                </c:pt>
                <c:pt idx="190">
                  <c:v>91.561973037726403</c:v>
                </c:pt>
                <c:pt idx="191">
                  <c:v>91.564815317974322</c:v>
                </c:pt>
                <c:pt idx="192">
                  <c:v>91.56765759822224</c:v>
                </c:pt>
                <c:pt idx="193">
                  <c:v>91.570499878470159</c:v>
                </c:pt>
                <c:pt idx="194">
                  <c:v>91.573342158718091</c:v>
                </c:pt>
                <c:pt idx="195">
                  <c:v>91.57618443896601</c:v>
                </c:pt>
                <c:pt idx="196">
                  <c:v>91.579026719213928</c:v>
                </c:pt>
                <c:pt idx="197">
                  <c:v>91.581868999461847</c:v>
                </c:pt>
                <c:pt idx="198">
                  <c:v>91.584711279709765</c:v>
                </c:pt>
                <c:pt idx="199">
                  <c:v>91.587553559957684</c:v>
                </c:pt>
                <c:pt idx="200">
                  <c:v>91.590395840205616</c:v>
                </c:pt>
                <c:pt idx="201">
                  <c:v>91.593238120453535</c:v>
                </c:pt>
                <c:pt idx="202">
                  <c:v>91.596080400701453</c:v>
                </c:pt>
                <c:pt idx="203">
                  <c:v>91.598922680949372</c:v>
                </c:pt>
                <c:pt idx="204">
                  <c:v>91.60176496119729</c:v>
                </c:pt>
                <c:pt idx="205">
                  <c:v>91.604607241445208</c:v>
                </c:pt>
                <c:pt idx="206">
                  <c:v>91.607449521693127</c:v>
                </c:pt>
                <c:pt idx="207">
                  <c:v>91.610291801941059</c:v>
                </c:pt>
                <c:pt idx="208">
                  <c:v>91.613134082188978</c:v>
                </c:pt>
                <c:pt idx="209">
                  <c:v>91.615976362436896</c:v>
                </c:pt>
                <c:pt idx="210">
                  <c:v>91.618818642684815</c:v>
                </c:pt>
                <c:pt idx="211">
                  <c:v>91.621660922932733</c:v>
                </c:pt>
                <c:pt idx="212">
                  <c:v>91.624503203180652</c:v>
                </c:pt>
                <c:pt idx="213">
                  <c:v>91.627345483428584</c:v>
                </c:pt>
                <c:pt idx="214">
                  <c:v>91.630187763676503</c:v>
                </c:pt>
                <c:pt idx="215">
                  <c:v>91.633030043924421</c:v>
                </c:pt>
                <c:pt idx="216">
                  <c:v>91.63587232417234</c:v>
                </c:pt>
                <c:pt idx="217">
                  <c:v>91.638714604420258</c:v>
                </c:pt>
                <c:pt idx="218">
                  <c:v>91.641556884668177</c:v>
                </c:pt>
                <c:pt idx="219">
                  <c:v>91.644399164916109</c:v>
                </c:pt>
                <c:pt idx="220">
                  <c:v>91.647241445164028</c:v>
                </c:pt>
                <c:pt idx="221">
                  <c:v>91.650083725411946</c:v>
                </c:pt>
                <c:pt idx="222">
                  <c:v>91.652926005659864</c:v>
                </c:pt>
                <c:pt idx="223">
                  <c:v>91.655768285907783</c:v>
                </c:pt>
                <c:pt idx="224">
                  <c:v>91.658610566155701</c:v>
                </c:pt>
                <c:pt idx="225">
                  <c:v>91.66145284640362</c:v>
                </c:pt>
                <c:pt idx="226">
                  <c:v>91.664295126651552</c:v>
                </c:pt>
                <c:pt idx="227">
                  <c:v>91.667137406899471</c:v>
                </c:pt>
                <c:pt idx="228">
                  <c:v>91.669979687147389</c:v>
                </c:pt>
                <c:pt idx="229">
                  <c:v>91.672821967395308</c:v>
                </c:pt>
                <c:pt idx="230">
                  <c:v>91.675664247643226</c:v>
                </c:pt>
                <c:pt idx="231">
                  <c:v>91.678506527891145</c:v>
                </c:pt>
                <c:pt idx="232">
                  <c:v>91.681348808139077</c:v>
                </c:pt>
                <c:pt idx="233">
                  <c:v>91.684191088386996</c:v>
                </c:pt>
                <c:pt idx="234">
                  <c:v>91.687033368634914</c:v>
                </c:pt>
                <c:pt idx="235">
                  <c:v>91.689875648882833</c:v>
                </c:pt>
                <c:pt idx="236">
                  <c:v>91.692717929130751</c:v>
                </c:pt>
                <c:pt idx="237">
                  <c:v>91.695560209378669</c:v>
                </c:pt>
                <c:pt idx="238">
                  <c:v>91.698402489626602</c:v>
                </c:pt>
              </c:numCache>
            </c:numRef>
          </c:val>
          <c:smooth val="0"/>
          <c:extLst>
            <c:ext xmlns:c16="http://schemas.microsoft.com/office/drawing/2014/chart" uri="{C3380CC4-5D6E-409C-BE32-E72D297353CC}">
              <c16:uniqueId val="{00000001-2D1A-4773-91B7-8D03B6485558}"/>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MoM%</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SEASADJ!$F$9:$F$247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SEASADJ!$G$9:$G$247</c:f>
              <c:numCache>
                <c:formatCode>0.0</c:formatCode>
                <c:ptCount val="239"/>
                <c:pt idx="0">
                  <c:v>-3.8005981625192522</c:v>
                </c:pt>
                <c:pt idx="1">
                  <c:v>10.478646282920332</c:v>
                </c:pt>
                <c:pt idx="2">
                  <c:v>2.8027312254655659</c:v>
                </c:pt>
                <c:pt idx="3">
                  <c:v>1.0000083334583398</c:v>
                </c:pt>
                <c:pt idx="4">
                  <c:v>-3.6736239825619466</c:v>
                </c:pt>
                <c:pt idx="5">
                  <c:v>7.2170612813495589</c:v>
                </c:pt>
                <c:pt idx="6">
                  <c:v>0.3594970917858793</c:v>
                </c:pt>
                <c:pt idx="7">
                  <c:v>-1.8105503632273354</c:v>
                </c:pt>
                <c:pt idx="8">
                  <c:v>8.2943023127581306</c:v>
                </c:pt>
                <c:pt idx="9">
                  <c:v>-6.1255426112803208</c:v>
                </c:pt>
                <c:pt idx="10">
                  <c:v>-11.748510626344547</c:v>
                </c:pt>
                <c:pt idx="11">
                  <c:v>-0.80754140055453072</c:v>
                </c:pt>
                <c:pt idx="12">
                  <c:v>-3.0180617149991287</c:v>
                </c:pt>
                <c:pt idx="13">
                  <c:v>7.5102304541503075</c:v>
                </c:pt>
                <c:pt idx="14">
                  <c:v>-1.1696039763191299</c:v>
                </c:pt>
                <c:pt idx="15">
                  <c:v>4.0978844963679268</c:v>
                </c:pt>
                <c:pt idx="16">
                  <c:v>-4.3596647505758162</c:v>
                </c:pt>
                <c:pt idx="17">
                  <c:v>6.3473078263353662</c:v>
                </c:pt>
                <c:pt idx="18">
                  <c:v>0.36832454162963679</c:v>
                </c:pt>
                <c:pt idx="19">
                  <c:v>4.9023563633672822</c:v>
                </c:pt>
                <c:pt idx="20">
                  <c:v>4.8956844726530981</c:v>
                </c:pt>
                <c:pt idx="21">
                  <c:v>-6.1875403718087529</c:v>
                </c:pt>
                <c:pt idx="22">
                  <c:v>-8.2508313735474825</c:v>
                </c:pt>
                <c:pt idx="23">
                  <c:v>-1.4221312723076169</c:v>
                </c:pt>
                <c:pt idx="24">
                  <c:v>-3.7139546949456657</c:v>
                </c:pt>
                <c:pt idx="25">
                  <c:v>16.069293906717668</c:v>
                </c:pt>
                <c:pt idx="26">
                  <c:v>-5.5602730209212119</c:v>
                </c:pt>
                <c:pt idx="27">
                  <c:v>4.8674296027248021</c:v>
                </c:pt>
                <c:pt idx="28">
                  <c:v>-0.23201866556971981</c:v>
                </c:pt>
                <c:pt idx="29">
                  <c:v>4.5410753180607175</c:v>
                </c:pt>
                <c:pt idx="30">
                  <c:v>2.1954778646968967</c:v>
                </c:pt>
                <c:pt idx="31">
                  <c:v>0</c:v>
                </c:pt>
                <c:pt idx="32">
                  <c:v>1.5086493033380162</c:v>
                </c:pt>
                <c:pt idx="33">
                  <c:v>-1.8349138668196541</c:v>
                </c:pt>
                <c:pt idx="34">
                  <c:v>-8.0496695968436054</c:v>
                </c:pt>
                <c:pt idx="35">
                  <c:v>-4.4666446985569994</c:v>
                </c:pt>
                <c:pt idx="36">
                  <c:v>-5.8466458499963849</c:v>
                </c:pt>
                <c:pt idx="37">
                  <c:v>14.135411830573155</c:v>
                </c:pt>
                <c:pt idx="38">
                  <c:v>-1.1428695823622743</c:v>
                </c:pt>
                <c:pt idx="39">
                  <c:v>4.6049685611328837</c:v>
                </c:pt>
                <c:pt idx="40">
                  <c:v>0.32876741941917081</c:v>
                </c:pt>
                <c:pt idx="41">
                  <c:v>-0.98956277542239612</c:v>
                </c:pt>
                <c:pt idx="42">
                  <c:v>5.482296935147505</c:v>
                </c:pt>
                <c:pt idx="43">
                  <c:v>-3.8384243008315222</c:v>
                </c:pt>
                <c:pt idx="44">
                  <c:v>1.8309612195336253</c:v>
                </c:pt>
                <c:pt idx="45">
                  <c:v>-1.3971210596737951</c:v>
                </c:pt>
                <c:pt idx="46">
                  <c:v>-6.4827163079249166</c:v>
                </c:pt>
                <c:pt idx="47">
                  <c:v>-3.4060838072959752</c:v>
                </c:pt>
                <c:pt idx="48">
                  <c:v>-4.2715462622960851</c:v>
                </c:pt>
                <c:pt idx="49">
                  <c:v>14.160346377516964</c:v>
                </c:pt>
                <c:pt idx="50">
                  <c:v>-7.5274153043904395</c:v>
                </c:pt>
                <c:pt idx="51">
                  <c:v>10.722575285050679</c:v>
                </c:pt>
                <c:pt idx="52">
                  <c:v>-4.6120774188328273</c:v>
                </c:pt>
                <c:pt idx="53">
                  <c:v>2.9207051746266317</c:v>
                </c:pt>
                <c:pt idx="54">
                  <c:v>4.9906405596410703</c:v>
                </c:pt>
                <c:pt idx="55">
                  <c:v>-5.6323539917044103</c:v>
                </c:pt>
                <c:pt idx="56">
                  <c:v>4.5104656312255988</c:v>
                </c:pt>
                <c:pt idx="57">
                  <c:v>-1.6546396114408941</c:v>
                </c:pt>
                <c:pt idx="58">
                  <c:v>-9.7397863234808941</c:v>
                </c:pt>
                <c:pt idx="59">
                  <c:v>0</c:v>
                </c:pt>
                <c:pt idx="60">
                  <c:v>-5.1898438127651367</c:v>
                </c:pt>
                <c:pt idx="61">
                  <c:v>15.449652108956771</c:v>
                </c:pt>
                <c:pt idx="62">
                  <c:v>-6.205198856756641</c:v>
                </c:pt>
                <c:pt idx="63">
                  <c:v>9.7715472605574369</c:v>
                </c:pt>
                <c:pt idx="64">
                  <c:v>-3.0490166757787276</c:v>
                </c:pt>
                <c:pt idx="65">
                  <c:v>2.9488664420697721</c:v>
                </c:pt>
                <c:pt idx="66">
                  <c:v>4.9839332084833199</c:v>
                </c:pt>
                <c:pt idx="67">
                  <c:v>-6.3966711344043752</c:v>
                </c:pt>
                <c:pt idx="68">
                  <c:v>9.1236854416688988</c:v>
                </c:pt>
                <c:pt idx="69">
                  <c:v>-5.1390945869489242</c:v>
                </c:pt>
                <c:pt idx="70">
                  <c:v>-10.059757095327383</c:v>
                </c:pt>
                <c:pt idx="71">
                  <c:v>2.3480267608842449</c:v>
                </c:pt>
                <c:pt idx="72">
                  <c:v>-3.9811604995063505</c:v>
                </c:pt>
                <c:pt idx="73">
                  <c:v>6.9943754782824428</c:v>
                </c:pt>
                <c:pt idx="74">
                  <c:v>1.5236455242089986</c:v>
                </c:pt>
                <c:pt idx="75">
                  <c:v>3.2724784287635709</c:v>
                </c:pt>
                <c:pt idx="76">
                  <c:v>0.77745775471300005</c:v>
                </c:pt>
                <c:pt idx="77">
                  <c:v>4.9112796854921346</c:v>
                </c:pt>
                <c:pt idx="78">
                  <c:v>-1.4856354949514659</c:v>
                </c:pt>
                <c:pt idx="79">
                  <c:v>0.37348316056530828</c:v>
                </c:pt>
                <c:pt idx="80">
                  <c:v>1.0199439368893048</c:v>
                </c:pt>
                <c:pt idx="81">
                  <c:v>-11.939873133388506</c:v>
                </c:pt>
                <c:pt idx="82">
                  <c:v>-19.571648289805267</c:v>
                </c:pt>
                <c:pt idx="83">
                  <c:v>-0.50697193502505111</c:v>
                </c:pt>
                <c:pt idx="84">
                  <c:v>-3.3594890555717507</c:v>
                </c:pt>
                <c:pt idx="85">
                  <c:v>15.208359274339509</c:v>
                </c:pt>
                <c:pt idx="86">
                  <c:v>-3.9130423775765082</c:v>
                </c:pt>
                <c:pt idx="87">
                  <c:v>6.9149353765652606</c:v>
                </c:pt>
                <c:pt idx="88">
                  <c:v>0.98093429616254413</c:v>
                </c:pt>
                <c:pt idx="89">
                  <c:v>5.7941428486188959</c:v>
                </c:pt>
                <c:pt idx="90">
                  <c:v>1.9260605541815436</c:v>
                </c:pt>
                <c:pt idx="91">
                  <c:v>-0.20100509280241119</c:v>
                </c:pt>
                <c:pt idx="92">
                  <c:v>6.0506257609632605</c:v>
                </c:pt>
                <c:pt idx="93">
                  <c:v>-4.0585280115078213</c:v>
                </c:pt>
                <c:pt idx="94">
                  <c:v>-7.4715044565749</c:v>
                </c:pt>
                <c:pt idx="95">
                  <c:v>-3.1303149511048107</c:v>
                </c:pt>
                <c:pt idx="96">
                  <c:v>-2.4418527348145886</c:v>
                </c:pt>
                <c:pt idx="97">
                  <c:v>16.627590815076555</c:v>
                </c:pt>
                <c:pt idx="98">
                  <c:v>-5.6766706831778553</c:v>
                </c:pt>
                <c:pt idx="99">
                  <c:v>4.9125790955599946</c:v>
                </c:pt>
                <c:pt idx="100">
                  <c:v>-1.7408563428263819</c:v>
                </c:pt>
                <c:pt idx="101">
                  <c:v>4.2031019452536711</c:v>
                </c:pt>
                <c:pt idx="102">
                  <c:v>1.1162906614163006</c:v>
                </c:pt>
                <c:pt idx="103">
                  <c:v>-2.1506205220963506</c:v>
                </c:pt>
                <c:pt idx="104">
                  <c:v>1.779906473814393</c:v>
                </c:pt>
                <c:pt idx="105">
                  <c:v>-0.83916576362485129</c:v>
                </c:pt>
                <c:pt idx="106">
                  <c:v>-10.037918530762216</c:v>
                </c:pt>
                <c:pt idx="107">
                  <c:v>-3.5831019526926728</c:v>
                </c:pt>
                <c:pt idx="108">
                  <c:v>2.3330856762695267</c:v>
                </c:pt>
                <c:pt idx="109">
                  <c:v>9.0151096994297486</c:v>
                </c:pt>
                <c:pt idx="110">
                  <c:v>-6.8377297444736849</c:v>
                </c:pt>
                <c:pt idx="111">
                  <c:v>9.3910599449901522</c:v>
                </c:pt>
                <c:pt idx="112">
                  <c:v>-4.0977624432638322</c:v>
                </c:pt>
                <c:pt idx="113">
                  <c:v>3.1596692598872607</c:v>
                </c:pt>
                <c:pt idx="114">
                  <c:v>4.3344728693245962</c:v>
                </c:pt>
                <c:pt idx="115">
                  <c:v>-5.5673002426241638</c:v>
                </c:pt>
                <c:pt idx="116">
                  <c:v>1.4211513460960548</c:v>
                </c:pt>
                <c:pt idx="117">
                  <c:v>-1.9953156028635677</c:v>
                </c:pt>
                <c:pt idx="118">
                  <c:v>-8.5093830860358022</c:v>
                </c:pt>
                <c:pt idx="119">
                  <c:v>-7.5958409143374785</c:v>
                </c:pt>
                <c:pt idx="120">
                  <c:v>1.2325085992620033</c:v>
                </c:pt>
                <c:pt idx="121">
                  <c:v>10.458070165963877</c:v>
                </c:pt>
                <c:pt idx="122">
                  <c:v>-7.1719037175637768</c:v>
                </c:pt>
                <c:pt idx="123">
                  <c:v>9.9416158786307989</c:v>
                </c:pt>
                <c:pt idx="124">
                  <c:v>-4.1838771425342038</c:v>
                </c:pt>
                <c:pt idx="125">
                  <c:v>6.1163044251744862</c:v>
                </c:pt>
                <c:pt idx="126">
                  <c:v>6.4837519495307667</c:v>
                </c:pt>
                <c:pt idx="127">
                  <c:v>-7.5419628825844658</c:v>
                </c:pt>
                <c:pt idx="128">
                  <c:v>7.8106598646669854</c:v>
                </c:pt>
                <c:pt idx="129">
                  <c:v>-6.4657788834056955</c:v>
                </c:pt>
                <c:pt idx="130">
                  <c:v>-12.809364132439352</c:v>
                </c:pt>
                <c:pt idx="131">
                  <c:v>2.4639703937148925</c:v>
                </c:pt>
                <c:pt idx="132">
                  <c:v>-7.0127301557563264</c:v>
                </c:pt>
                <c:pt idx="133">
                  <c:v>10.342902610660323</c:v>
                </c:pt>
                <c:pt idx="134">
                  <c:v>4.1108545067685318</c:v>
                </c:pt>
                <c:pt idx="135">
                  <c:v>3.0950246041101059</c:v>
                </c:pt>
                <c:pt idx="136">
                  <c:v>-3.1933047103009029</c:v>
                </c:pt>
                <c:pt idx="137">
                  <c:v>6.0103924069705306</c:v>
                </c:pt>
                <c:pt idx="138">
                  <c:v>3.6367644170874791</c:v>
                </c:pt>
                <c:pt idx="139">
                  <c:v>-4.2870221658441832</c:v>
                </c:pt>
                <c:pt idx="140">
                  <c:v>4.8213066068937094</c:v>
                </c:pt>
                <c:pt idx="141">
                  <c:v>-5.9459670085652512</c:v>
                </c:pt>
                <c:pt idx="142">
                  <c:v>-16.346188100564525</c:v>
                </c:pt>
                <c:pt idx="143">
                  <c:v>2.7368977037841566</c:v>
                </c:pt>
                <c:pt idx="144">
                  <c:v>-0.32450001433271897</c:v>
                </c:pt>
                <c:pt idx="145">
                  <c:v>5.2754847683152821</c:v>
                </c:pt>
                <c:pt idx="146">
                  <c:v>-1.3450797724123105</c:v>
                </c:pt>
                <c:pt idx="147">
                  <c:v>5.7679111586677987</c:v>
                </c:pt>
                <c:pt idx="148">
                  <c:v>-6.920359743863207</c:v>
                </c:pt>
                <c:pt idx="149">
                  <c:v>9.5405969832656066</c:v>
                </c:pt>
                <c:pt idx="150">
                  <c:v>1.8035609899363723</c:v>
                </c:pt>
                <c:pt idx="151">
                  <c:v>-0.66069140757411748</c:v>
                </c:pt>
                <c:pt idx="152">
                  <c:v>3.4438023910331883</c:v>
                </c:pt>
                <c:pt idx="153">
                  <c:v>-9.0928211865074626</c:v>
                </c:pt>
                <c:pt idx="154">
                  <c:v>-12.924628393928089</c:v>
                </c:pt>
                <c:pt idx="155">
                  <c:v>0.45506335639962892</c:v>
                </c:pt>
                <c:pt idx="156">
                  <c:v>-5.1233555446704067</c:v>
                </c:pt>
                <c:pt idx="157">
                  <c:v>11.924221214398219</c:v>
                </c:pt>
                <c:pt idx="158">
                  <c:v>-6.0094539641287446</c:v>
                </c:pt>
                <c:pt idx="159">
                  <c:v>4.7287534284896902</c:v>
                </c:pt>
                <c:pt idx="160">
                  <c:v>-0.646553976464186</c:v>
                </c:pt>
                <c:pt idx="161">
                  <c:v>3.1917602968304948</c:v>
                </c:pt>
                <c:pt idx="162">
                  <c:v>2.175124593236212</c:v>
                </c:pt>
                <c:pt idx="163">
                  <c:v>-3.439630377963502</c:v>
                </c:pt>
                <c:pt idx="164">
                  <c:v>3.0289521826981729</c:v>
                </c:pt>
                <c:pt idx="165">
                  <c:v>-10.398971352404775</c:v>
                </c:pt>
                <c:pt idx="166">
                  <c:v>-12.638154091161514</c:v>
                </c:pt>
                <c:pt idx="167">
                  <c:v>-1.1726518740319207</c:v>
                </c:pt>
                <c:pt idx="168">
                  <c:v>-0.65746456420853572</c:v>
                </c:pt>
                <c:pt idx="169">
                  <c:v>9.9140684847103628</c:v>
                </c:pt>
                <c:pt idx="170">
                  <c:v>-0.8398369698831718</c:v>
                </c:pt>
                <c:pt idx="171">
                  <c:v>3.8988990292784345</c:v>
                </c:pt>
                <c:pt idx="172">
                  <c:v>1.6092301288755131</c:v>
                </c:pt>
                <c:pt idx="173">
                  <c:v>2.1433420602747244</c:v>
                </c:pt>
                <c:pt idx="174">
                  <c:v>3.7244173172371178</c:v>
                </c:pt>
                <c:pt idx="175">
                  <c:v>-2.504213603216495</c:v>
                </c:pt>
                <c:pt idx="176">
                  <c:v>-0.55279300525129427</c:v>
                </c:pt>
                <c:pt idx="177">
                  <c:v>-4.1885013130744326</c:v>
                </c:pt>
                <c:pt idx="178">
                  <c:v>-11.374495690710315</c:v>
                </c:pt>
                <c:pt idx="179">
                  <c:v>0.90264958459721245</c:v>
                </c:pt>
                <c:pt idx="180">
                  <c:v>-2.6009268475118326</c:v>
                </c:pt>
                <c:pt idx="181">
                  <c:v>11.792941639294002</c:v>
                </c:pt>
                <c:pt idx="182">
                  <c:v>-7.4107972153721962</c:v>
                </c:pt>
                <c:pt idx="183">
                  <c:v>12.768203597348998</c:v>
                </c:pt>
                <c:pt idx="184">
                  <c:v>-1.9048194970694363</c:v>
                </c:pt>
                <c:pt idx="185">
                  <c:v>4.1002973617663265</c:v>
                </c:pt>
                <c:pt idx="186">
                  <c:v>4.8738459197987503</c:v>
                </c:pt>
                <c:pt idx="187">
                  <c:v>-3.901390930599276</c:v>
                </c:pt>
                <c:pt idx="188">
                  <c:v>2.2329476398088577</c:v>
                </c:pt>
                <c:pt idx="189">
                  <c:v>-4.8474756502411021</c:v>
                </c:pt>
                <c:pt idx="190">
                  <c:v>-11.200505837649487</c:v>
                </c:pt>
                <c:pt idx="191">
                  <c:v>1.5921953010585257</c:v>
                </c:pt>
                <c:pt idx="192">
                  <c:v>-6.2677152089647858</c:v>
                </c:pt>
                <c:pt idx="193">
                  <c:v>10.897622207627112</c:v>
                </c:pt>
                <c:pt idx="194">
                  <c:v>0.34742362681862726</c:v>
                </c:pt>
                <c:pt idx="195">
                  <c:v>-2.4577012335922137</c:v>
                </c:pt>
                <c:pt idx="196">
                  <c:v>7.6390402664001016</c:v>
                </c:pt>
                <c:pt idx="197">
                  <c:v>5.0304880710902253</c:v>
                </c:pt>
                <c:pt idx="198">
                  <c:v>2.4743530383605368</c:v>
                </c:pt>
                <c:pt idx="199">
                  <c:v>-7.9448858239329327</c:v>
                </c:pt>
                <c:pt idx="200">
                  <c:v>5.4705327855723951</c:v>
                </c:pt>
                <c:pt idx="201">
                  <c:v>-6.8024059696005086</c:v>
                </c:pt>
                <c:pt idx="202">
                  <c:v>-13.752979859121798</c:v>
                </c:pt>
                <c:pt idx="203">
                  <c:v>3.402974858631147</c:v>
                </c:pt>
                <c:pt idx="204">
                  <c:v>-2.0025700502295027</c:v>
                </c:pt>
                <c:pt idx="205">
                  <c:v>2.3736279898830737</c:v>
                </c:pt>
                <c:pt idx="206">
                  <c:v>2.799939450035819</c:v>
                </c:pt>
                <c:pt idx="207">
                  <c:v>8.8410957344053145</c:v>
                </c:pt>
                <c:pt idx="208">
                  <c:v>-5.8840500022933462</c:v>
                </c:pt>
                <c:pt idx="209">
                  <c:v>8.4872338740880444</c:v>
                </c:pt>
                <c:pt idx="210">
                  <c:v>2.9538012436863874</c:v>
                </c:pt>
                <c:pt idx="211">
                  <c:v>-4.6817060045216028</c:v>
                </c:pt>
                <c:pt idx="212">
                  <c:v>5.5098680876938131</c:v>
                </c:pt>
                <c:pt idx="213">
                  <c:v>-9.7374164025176366</c:v>
                </c:pt>
                <c:pt idx="214">
                  <c:v>-13.483093796660814</c:v>
                </c:pt>
                <c:pt idx="215">
                  <c:v>3.9520758162283198</c:v>
                </c:pt>
                <c:pt idx="216">
                  <c:v>-1.3845406822052981</c:v>
                </c:pt>
                <c:pt idx="217">
                  <c:v>-1.2755274975126014</c:v>
                </c:pt>
                <c:pt idx="218">
                  <c:v>-25.609384914356298</c:v>
                </c:pt>
                <c:pt idx="219">
                  <c:v>16.616071468479046</c:v>
                </c:pt>
                <c:pt idx="220">
                  <c:v>9.6331108938432113</c:v>
                </c:pt>
                <c:pt idx="221">
                  <c:v>14.903557916048776</c:v>
                </c:pt>
                <c:pt idx="222">
                  <c:v>3.1370879697367284</c:v>
                </c:pt>
                <c:pt idx="223">
                  <c:v>1.5848192240023713</c:v>
                </c:pt>
                <c:pt idx="224">
                  <c:v>1.9720410737718495</c:v>
                </c:pt>
                <c:pt idx="225">
                  <c:v>-7.5769562123381347</c:v>
                </c:pt>
                <c:pt idx="226">
                  <c:v>-7.9580877895781015</c:v>
                </c:pt>
                <c:pt idx="227">
                  <c:v>-1.6949558313773205</c:v>
                </c:pt>
                <c:pt idx="228">
                  <c:v>-3.4786116085415655</c:v>
                </c:pt>
                <c:pt idx="229">
                  <c:v>8.4796536660076853</c:v>
                </c:pt>
                <c:pt idx="230">
                  <c:v>-5.7363394879920193</c:v>
                </c:pt>
                <c:pt idx="231">
                  <c:v>8.3725953089832981</c:v>
                </c:pt>
                <c:pt idx="232">
                  <c:v>-0.56721649524664175</c:v>
                </c:pt>
                <c:pt idx="233">
                  <c:v>4.7760325871416818</c:v>
                </c:pt>
                <c:pt idx="234">
                  <c:v>1.2931214672248785</c:v>
                </c:pt>
                <c:pt idx="235">
                  <c:v>-2.0552372953321347</c:v>
                </c:pt>
                <c:pt idx="236">
                  <c:v>-1.9868203216725173</c:v>
                </c:pt>
                <c:pt idx="237">
                  <c:v>-3.8641170975368224</c:v>
                </c:pt>
                <c:pt idx="238">
                  <c:v>-8.5853299269002026</c:v>
                </c:pt>
              </c:numCache>
            </c:numRef>
          </c:val>
          <c:smooth val="0"/>
          <c:extLst>
            <c:ext xmlns:c16="http://schemas.microsoft.com/office/drawing/2014/chart" uri="{C3380CC4-5D6E-409C-BE32-E72D297353CC}">
              <c16:uniqueId val="{00000000-A60B-4EBE-8720-7D622261500E}"/>
            </c:ext>
          </c:extLst>
        </c:ser>
        <c:ser>
          <c:idx val="1"/>
          <c:order val="1"/>
          <c:tx>
            <c:v>SA</c:v>
          </c:tx>
          <c:spPr>
            <a:ln w="19050" cap="rnd">
              <a:solidFill>
                <a:schemeClr val="accent2"/>
              </a:solidFill>
              <a:round/>
            </a:ln>
            <a:effectLst/>
          </c:spPr>
          <c:marker>
            <c:symbol val="none"/>
          </c:marker>
          <c:cat>
            <c:numRef>
              <c:f>SEASADJ!$F$9:$F$247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SEASADJ!$K$9:$K$297</c:f>
              <c:numCache>
                <c:formatCode>0.0</c:formatCode>
                <c:ptCount val="289"/>
                <c:pt idx="0">
                  <c:v>-0.71753883388702944</c:v>
                </c:pt>
                <c:pt idx="1">
                  <c:v>0.22460287827182232</c:v>
                </c:pt>
                <c:pt idx="2">
                  <c:v>6.8688421574020353</c:v>
                </c:pt>
                <c:pt idx="3">
                  <c:v>-5.5188277653232447</c:v>
                </c:pt>
                <c:pt idx="4">
                  <c:v>-2.4312302589565311</c:v>
                </c:pt>
                <c:pt idx="5">
                  <c:v>1.9869393011204659</c:v>
                </c:pt>
                <c:pt idx="6">
                  <c:v>-2.4443016238566138</c:v>
                </c:pt>
                <c:pt idx="7">
                  <c:v>1.0146606755559135</c:v>
                </c:pt>
                <c:pt idx="8">
                  <c:v>4.7225693217673861</c:v>
                </c:pt>
                <c:pt idx="9">
                  <c:v>-0.58337465728584181</c:v>
                </c:pt>
                <c:pt idx="10">
                  <c:v>-0.66122229185945081</c:v>
                </c:pt>
                <c:pt idx="11">
                  <c:v>-0.24722363333822142</c:v>
                </c:pt>
                <c:pt idx="12">
                  <c:v>6.4997613633094059E-2</c:v>
                </c:pt>
                <c:pt idx="13">
                  <c:v>-2.7438129504982021</c:v>
                </c:pt>
                <c:pt idx="14">
                  <c:v>2.8965069556173395</c:v>
                </c:pt>
                <c:pt idx="15">
                  <c:v>-2.4209516024136573</c:v>
                </c:pt>
                <c:pt idx="16">
                  <c:v>-3.1172710269704007</c:v>
                </c:pt>
                <c:pt idx="17">
                  <c:v>1.1171858461062731</c:v>
                </c:pt>
                <c:pt idx="18">
                  <c:v>-2.4354741740128558</c:v>
                </c:pt>
                <c:pt idx="19">
                  <c:v>7.7275674021505312</c:v>
                </c:pt>
                <c:pt idx="20">
                  <c:v>1.3239514816623537</c:v>
                </c:pt>
                <c:pt idx="21">
                  <c:v>-0.6453724178142739</c:v>
                </c:pt>
                <c:pt idx="22">
                  <c:v>2.836456960937614</c:v>
                </c:pt>
                <c:pt idx="23">
                  <c:v>-0.86181350509130761</c:v>
                </c:pt>
                <c:pt idx="24">
                  <c:v>-0.6308953663134429</c:v>
                </c:pt>
                <c:pt idx="25">
                  <c:v>5.8152505020691585</c:v>
                </c:pt>
                <c:pt idx="26">
                  <c:v>-1.4941620889847425</c:v>
                </c:pt>
                <c:pt idx="27">
                  <c:v>-1.651406496056782</c:v>
                </c:pt>
                <c:pt idx="28">
                  <c:v>1.0103750580356954</c:v>
                </c:pt>
                <c:pt idx="29">
                  <c:v>-0.68904666216837551</c:v>
                </c:pt>
                <c:pt idx="30">
                  <c:v>-0.60832085094559618</c:v>
                </c:pt>
                <c:pt idx="31">
                  <c:v>2.825211038783249</c:v>
                </c:pt>
                <c:pt idx="32">
                  <c:v>-2.0630836876527283</c:v>
                </c:pt>
                <c:pt idx="33">
                  <c:v>3.707254087174825</c:v>
                </c:pt>
                <c:pt idx="34">
                  <c:v>3.0376187376414912</c:v>
                </c:pt>
                <c:pt idx="35">
                  <c:v>-3.9063269313406899</c:v>
                </c:pt>
                <c:pt idx="36">
                  <c:v>-2.7635865213641622</c:v>
                </c:pt>
                <c:pt idx="37">
                  <c:v>3.881368425924645</c:v>
                </c:pt>
                <c:pt idx="38">
                  <c:v>2.9232413495741953</c:v>
                </c:pt>
                <c:pt idx="39">
                  <c:v>-1.9138675376487004</c:v>
                </c:pt>
                <c:pt idx="40">
                  <c:v>1.571161143024586</c:v>
                </c:pt>
                <c:pt idx="41">
                  <c:v>-6.2196847556514889</c:v>
                </c:pt>
                <c:pt idx="42">
                  <c:v>2.6784982195050122</c:v>
                </c:pt>
                <c:pt idx="43">
                  <c:v>-1.0132132620482732</c:v>
                </c:pt>
                <c:pt idx="44">
                  <c:v>-1.7407717714571191</c:v>
                </c:pt>
                <c:pt idx="45">
                  <c:v>4.145046894320684</c:v>
                </c:pt>
                <c:pt idx="46">
                  <c:v>4.6045720265601799</c:v>
                </c:pt>
                <c:pt idx="47">
                  <c:v>-2.845766040079666</c:v>
                </c:pt>
                <c:pt idx="48">
                  <c:v>-1.1884869336638624</c:v>
                </c:pt>
                <c:pt idx="49">
                  <c:v>3.9063029728684544</c:v>
                </c:pt>
                <c:pt idx="50">
                  <c:v>-3.46130437245397</c:v>
                </c:pt>
                <c:pt idx="51">
                  <c:v>4.2037391862690949</c:v>
                </c:pt>
                <c:pt idx="52">
                  <c:v>-3.3696836952274118</c:v>
                </c:pt>
                <c:pt idx="53">
                  <c:v>-2.3094168056024613</c:v>
                </c:pt>
                <c:pt idx="54">
                  <c:v>2.1868418439985775</c:v>
                </c:pt>
                <c:pt idx="55">
                  <c:v>-2.8071429529211613</c:v>
                </c:pt>
                <c:pt idx="56">
                  <c:v>0.93873264023485437</c:v>
                </c:pt>
                <c:pt idx="57">
                  <c:v>3.8875283425535851</c:v>
                </c:pt>
                <c:pt idx="58">
                  <c:v>1.3475020110042024</c:v>
                </c:pt>
                <c:pt idx="59">
                  <c:v>0.56031776721630933</c:v>
                </c:pt>
                <c:pt idx="60">
                  <c:v>-2.106784484132914</c:v>
                </c:pt>
                <c:pt idx="61">
                  <c:v>5.1956087043082615</c:v>
                </c:pt>
                <c:pt idx="62">
                  <c:v>-2.1390879248201715</c:v>
                </c:pt>
                <c:pt idx="63">
                  <c:v>3.2527111617758528</c:v>
                </c:pt>
                <c:pt idx="64">
                  <c:v>-1.8066229521733124</c:v>
                </c:pt>
                <c:pt idx="65">
                  <c:v>-2.2812555381593209</c:v>
                </c:pt>
                <c:pt idx="66">
                  <c:v>2.1801344928408271</c:v>
                </c:pt>
                <c:pt idx="67">
                  <c:v>-3.5714600956211262</c:v>
                </c:pt>
                <c:pt idx="68">
                  <c:v>5.5519524506781543</c:v>
                </c:pt>
                <c:pt idx="69">
                  <c:v>0.40307336704555485</c:v>
                </c:pt>
                <c:pt idx="70">
                  <c:v>1.0275312391577138</c:v>
                </c:pt>
                <c:pt idx="71">
                  <c:v>2.908344528100554</c:v>
                </c:pt>
                <c:pt idx="72">
                  <c:v>-0.89810117087412777</c:v>
                </c:pt>
                <c:pt idx="73">
                  <c:v>-3.2596679263660668</c:v>
                </c:pt>
                <c:pt idx="74">
                  <c:v>5.5897564561454676</c:v>
                </c:pt>
                <c:pt idx="75">
                  <c:v>-3.2463576700180132</c:v>
                </c:pt>
                <c:pt idx="76">
                  <c:v>2.0198514783184152</c:v>
                </c:pt>
                <c:pt idx="77">
                  <c:v>-0.31884229473695846</c:v>
                </c:pt>
                <c:pt idx="78">
                  <c:v>-4.2894342105939582</c:v>
                </c:pt>
                <c:pt idx="79">
                  <c:v>3.1986941993485574</c:v>
                </c:pt>
                <c:pt idx="80">
                  <c:v>-2.5517890541014396</c:v>
                </c:pt>
                <c:pt idx="81">
                  <c:v>-6.3977051793940269</c:v>
                </c:pt>
                <c:pt idx="82">
                  <c:v>-8.484359955320171</c:v>
                </c:pt>
                <c:pt idx="83">
                  <c:v>5.3345832191258193E-2</c:v>
                </c:pt>
                <c:pt idx="84">
                  <c:v>-0.27642972693952794</c:v>
                </c:pt>
                <c:pt idx="85">
                  <c:v>4.9543158696909995</c:v>
                </c:pt>
                <c:pt idx="86">
                  <c:v>0.15306855435996122</c:v>
                </c:pt>
                <c:pt idx="87">
                  <c:v>0.39609927778367648</c:v>
                </c:pt>
                <c:pt idx="88">
                  <c:v>2.2233280197679592</c:v>
                </c:pt>
                <c:pt idx="89">
                  <c:v>0.56402086838980292</c:v>
                </c:pt>
                <c:pt idx="90">
                  <c:v>-0.87773816146094918</c:v>
                </c:pt>
                <c:pt idx="91">
                  <c:v>2.6242059459808376</c:v>
                </c:pt>
                <c:pt idx="92">
                  <c:v>2.4788927699725161</c:v>
                </c:pt>
                <c:pt idx="93">
                  <c:v>1.4836399424866578</c:v>
                </c:pt>
                <c:pt idx="94">
                  <c:v>3.6157838779101965</c:v>
                </c:pt>
                <c:pt idx="95">
                  <c:v>-2.5699971838885016</c:v>
                </c:pt>
                <c:pt idx="96">
                  <c:v>0.64120659381763412</c:v>
                </c:pt>
                <c:pt idx="97">
                  <c:v>6.3735474104280456</c:v>
                </c:pt>
                <c:pt idx="98">
                  <c:v>-1.6105597512413858</c:v>
                </c:pt>
                <c:pt idx="99">
                  <c:v>-1.6062570032215895</c:v>
                </c:pt>
                <c:pt idx="100">
                  <c:v>-0.49846261922096669</c:v>
                </c:pt>
                <c:pt idx="101">
                  <c:v>-1.0270200349754219</c:v>
                </c:pt>
                <c:pt idx="102">
                  <c:v>-1.6875080542261922</c:v>
                </c:pt>
                <c:pt idx="103">
                  <c:v>0.6745905166868984</c:v>
                </c:pt>
                <c:pt idx="104">
                  <c:v>-1.7918265171763514</c:v>
                </c:pt>
                <c:pt idx="105">
                  <c:v>4.7030021903696273</c:v>
                </c:pt>
                <c:pt idx="106">
                  <c:v>1.0493698037228807</c:v>
                </c:pt>
                <c:pt idx="107">
                  <c:v>-3.0227841854763637</c:v>
                </c:pt>
                <c:pt idx="108">
                  <c:v>5.4161450049017494</c:v>
                </c:pt>
                <c:pt idx="109">
                  <c:v>-1.238933705218761</c:v>
                </c:pt>
                <c:pt idx="110">
                  <c:v>-2.7716188125372154</c:v>
                </c:pt>
                <c:pt idx="111">
                  <c:v>2.8722238462085681</c:v>
                </c:pt>
                <c:pt idx="112">
                  <c:v>-2.8553687196584168</c:v>
                </c:pt>
                <c:pt idx="113">
                  <c:v>-2.0704527203418324</c:v>
                </c:pt>
                <c:pt idx="114">
                  <c:v>1.5306741536821034</c:v>
                </c:pt>
                <c:pt idx="115">
                  <c:v>-2.7420892038409148</c:v>
                </c:pt>
                <c:pt idx="116">
                  <c:v>-2.1505816448946895</c:v>
                </c:pt>
                <c:pt idx="117">
                  <c:v>3.5468523511309114</c:v>
                </c:pt>
                <c:pt idx="118">
                  <c:v>2.5779052484492944</c:v>
                </c:pt>
                <c:pt idx="119">
                  <c:v>-7.035523147121169</c:v>
                </c:pt>
                <c:pt idx="120">
                  <c:v>4.3155679278942261</c:v>
                </c:pt>
                <c:pt idx="121">
                  <c:v>0.20402676131536698</c:v>
                </c:pt>
                <c:pt idx="122">
                  <c:v>-3.1057927856273073</c:v>
                </c:pt>
                <c:pt idx="123">
                  <c:v>3.4227797798492148</c:v>
                </c:pt>
                <c:pt idx="124">
                  <c:v>-2.9414834189287884</c:v>
                </c:pt>
                <c:pt idx="125">
                  <c:v>0.88618244494539322</c:v>
                </c:pt>
                <c:pt idx="126">
                  <c:v>3.6799532338882739</c:v>
                </c:pt>
                <c:pt idx="127">
                  <c:v>-4.7167518438012168</c:v>
                </c:pt>
                <c:pt idx="128">
                  <c:v>4.2389268736762409</c:v>
                </c:pt>
                <c:pt idx="129">
                  <c:v>-0.92361092941121647</c:v>
                </c:pt>
                <c:pt idx="130">
                  <c:v>-1.7220757979542558</c:v>
                </c:pt>
                <c:pt idx="131">
                  <c:v>3.024288160931202</c:v>
                </c:pt>
                <c:pt idx="132">
                  <c:v>-3.9296708271241036</c:v>
                </c:pt>
                <c:pt idx="133">
                  <c:v>8.8859206011813158E-2</c:v>
                </c:pt>
                <c:pt idx="134">
                  <c:v>8.1769654387050004</c:v>
                </c:pt>
                <c:pt idx="135">
                  <c:v>-3.4238114946714782</c:v>
                </c:pt>
                <c:pt idx="136">
                  <c:v>-1.9509109866954877</c:v>
                </c:pt>
                <c:pt idx="137">
                  <c:v>0.78027042674143754</c:v>
                </c:pt>
                <c:pt idx="138">
                  <c:v>0.83296570144498627</c:v>
                </c:pt>
                <c:pt idx="139">
                  <c:v>-1.4618111270609342</c:v>
                </c:pt>
                <c:pt idx="140">
                  <c:v>1.2495736159029649</c:v>
                </c:pt>
                <c:pt idx="141">
                  <c:v>-0.40379905457077214</c:v>
                </c:pt>
                <c:pt idx="142">
                  <c:v>-5.2588997660794288</c:v>
                </c:pt>
                <c:pt idx="143">
                  <c:v>3.2972154710004657</c:v>
                </c:pt>
                <c:pt idx="144">
                  <c:v>2.7585593142995037</c:v>
                </c:pt>
                <c:pt idx="145">
                  <c:v>-4.9785586363332275</c:v>
                </c:pt>
                <c:pt idx="146">
                  <c:v>2.7210311595241592</c:v>
                </c:pt>
                <c:pt idx="147">
                  <c:v>-0.75092494011378541</c:v>
                </c:pt>
                <c:pt idx="148">
                  <c:v>-5.6779660202577915</c:v>
                </c:pt>
                <c:pt idx="149">
                  <c:v>4.3104750030365135</c:v>
                </c:pt>
                <c:pt idx="150">
                  <c:v>-1.0002377257061206</c:v>
                </c:pt>
                <c:pt idx="151">
                  <c:v>2.1645196312091315</c:v>
                </c:pt>
                <c:pt idx="152">
                  <c:v>-0.12793059995755621</c:v>
                </c:pt>
                <c:pt idx="153">
                  <c:v>-3.5506532325129836</c:v>
                </c:pt>
                <c:pt idx="154">
                  <c:v>-1.8373400594429921</c:v>
                </c:pt>
                <c:pt idx="155">
                  <c:v>1.0153811236159382</c:v>
                </c:pt>
                <c:pt idx="156">
                  <c:v>-2.0402962160381839</c:v>
                </c:pt>
                <c:pt idx="157">
                  <c:v>1.6701778097497098</c:v>
                </c:pt>
                <c:pt idx="158">
                  <c:v>-1.9433430321922751</c:v>
                </c:pt>
                <c:pt idx="159">
                  <c:v>-1.7900826702918939</c:v>
                </c:pt>
                <c:pt idx="160">
                  <c:v>0.59583974714122923</c:v>
                </c:pt>
                <c:pt idx="161">
                  <c:v>-2.0383616833985982</c:v>
                </c:pt>
                <c:pt idx="162">
                  <c:v>-0.62867412240628084</c:v>
                </c:pt>
                <c:pt idx="163">
                  <c:v>-0.61441933918025304</c:v>
                </c:pt>
                <c:pt idx="164">
                  <c:v>-0.54278080829257158</c:v>
                </c:pt>
                <c:pt idx="165">
                  <c:v>-4.8568033984102961</c:v>
                </c:pt>
                <c:pt idx="166">
                  <c:v>-1.5508657566764175</c:v>
                </c:pt>
                <c:pt idx="167">
                  <c:v>-0.6123341068156114</c:v>
                </c:pt>
                <c:pt idx="168">
                  <c:v>2.4255947644236873</c:v>
                </c:pt>
                <c:pt idx="169">
                  <c:v>-0.33997491993814677</c:v>
                </c:pt>
                <c:pt idx="170">
                  <c:v>3.2262739620532974</c:v>
                </c:pt>
                <c:pt idx="171">
                  <c:v>-2.6199370695031496</c:v>
                </c:pt>
                <c:pt idx="172">
                  <c:v>2.8516238524809285</c:v>
                </c:pt>
                <c:pt idx="173">
                  <c:v>-3.0867799199543686</c:v>
                </c:pt>
                <c:pt idx="174">
                  <c:v>0.92061860159462494</c:v>
                </c:pt>
                <c:pt idx="175">
                  <c:v>0.32099743556675397</c:v>
                </c:pt>
                <c:pt idx="176">
                  <c:v>-4.1245259962420384</c:v>
                </c:pt>
                <c:pt idx="177">
                  <c:v>1.3536666409200464</c:v>
                </c:pt>
                <c:pt idx="178">
                  <c:v>-0.28720735622521865</c:v>
                </c:pt>
                <c:pt idx="179">
                  <c:v>1.4629673518135218</c:v>
                </c:pt>
                <c:pt idx="180">
                  <c:v>0.4821324811203902</c:v>
                </c:pt>
                <c:pt idx="181">
                  <c:v>1.538898234645492</c:v>
                </c:pt>
                <c:pt idx="182">
                  <c:v>-3.3446862834357267</c:v>
                </c:pt>
                <c:pt idx="183">
                  <c:v>6.2493674985674144</c:v>
                </c:pt>
                <c:pt idx="184">
                  <c:v>-0.66242577346402109</c:v>
                </c:pt>
                <c:pt idx="185">
                  <c:v>-1.1298246184627665</c:v>
                </c:pt>
                <c:pt idx="186">
                  <c:v>2.0700472041562574</c:v>
                </c:pt>
                <c:pt idx="187">
                  <c:v>-1.076179891816027</c:v>
                </c:pt>
                <c:pt idx="188">
                  <c:v>-1.3387853511818868</c:v>
                </c:pt>
                <c:pt idx="189">
                  <c:v>0.69469230375337698</c:v>
                </c:pt>
                <c:pt idx="190">
                  <c:v>-0.11321750316439075</c:v>
                </c:pt>
                <c:pt idx="191">
                  <c:v>2.152513068274835</c:v>
                </c:pt>
                <c:pt idx="192">
                  <c:v>-3.1846558803325631</c:v>
                </c:pt>
                <c:pt idx="193">
                  <c:v>0.64357880297860248</c:v>
                </c:pt>
                <c:pt idx="194">
                  <c:v>4.4135345587550967</c:v>
                </c:pt>
                <c:pt idx="195">
                  <c:v>-8.9765373323737983</c:v>
                </c:pt>
                <c:pt idx="196">
                  <c:v>8.881433990005517</c:v>
                </c:pt>
                <c:pt idx="197">
                  <c:v>-0.19963390913886772</c:v>
                </c:pt>
                <c:pt idx="198">
                  <c:v>-0.32944567728195606</c:v>
                </c:pt>
                <c:pt idx="199">
                  <c:v>-5.1196747851496838</c:v>
                </c:pt>
                <c:pt idx="200">
                  <c:v>1.8987997945816506</c:v>
                </c:pt>
                <c:pt idx="201">
                  <c:v>-1.2602380156060295</c:v>
                </c:pt>
                <c:pt idx="202">
                  <c:v>-2.665691524636701</c:v>
                </c:pt>
                <c:pt idx="203">
                  <c:v>3.9632926258474566</c:v>
                </c:pt>
                <c:pt idx="204">
                  <c:v>1.08048927840272</c:v>
                </c:pt>
                <c:pt idx="205">
                  <c:v>-7.8804154147654355</c:v>
                </c:pt>
                <c:pt idx="206">
                  <c:v>6.866050381972288</c:v>
                </c:pt>
                <c:pt idx="207">
                  <c:v>2.3222596356237304</c:v>
                </c:pt>
                <c:pt idx="208">
                  <c:v>-4.6416562786879307</c:v>
                </c:pt>
                <c:pt idx="209">
                  <c:v>3.2571118938589514</c:v>
                </c:pt>
                <c:pt idx="210">
                  <c:v>0.15000252804389455</c:v>
                </c:pt>
                <c:pt idx="211">
                  <c:v>-1.8564949657383538</c:v>
                </c:pt>
                <c:pt idx="212">
                  <c:v>1.9381350967030686</c:v>
                </c:pt>
                <c:pt idx="213">
                  <c:v>-4.1952484485231576</c:v>
                </c:pt>
                <c:pt idx="214">
                  <c:v>-2.3958054621757174</c:v>
                </c:pt>
                <c:pt idx="215">
                  <c:v>4.5123935834446289</c:v>
                </c:pt>
                <c:pt idx="216">
                  <c:v>1.6985186464269246</c:v>
                </c:pt>
                <c:pt idx="217">
                  <c:v>-11.529570902161112</c:v>
                </c:pt>
                <c:pt idx="218">
                  <c:v>-21.54327398241983</c:v>
                </c:pt>
                <c:pt idx="219">
                  <c:v>10.097235369697461</c:v>
                </c:pt>
                <c:pt idx="220">
                  <c:v>10.875504617448627</c:v>
                </c:pt>
                <c:pt idx="221">
                  <c:v>9.6734359358196826</c:v>
                </c:pt>
                <c:pt idx="222">
                  <c:v>0.3332892540942356</c:v>
                </c:pt>
                <c:pt idx="223">
                  <c:v>4.4100302627856198</c:v>
                </c:pt>
                <c:pt idx="224">
                  <c:v>-1.599691917218895</c:v>
                </c:pt>
                <c:pt idx="225">
                  <c:v>-2.0347882583436556</c:v>
                </c:pt>
                <c:pt idx="226">
                  <c:v>3.1292005449069951</c:v>
                </c:pt>
                <c:pt idx="227">
                  <c:v>-1.1346380641610112</c:v>
                </c:pt>
                <c:pt idx="228">
                  <c:v>-0.39555227990934272</c:v>
                </c:pt>
                <c:pt idx="229">
                  <c:v>-1.7743897386408243</c:v>
                </c:pt>
                <c:pt idx="230">
                  <c:v>-1.6702285560555499</c:v>
                </c:pt>
                <c:pt idx="231">
                  <c:v>1.853759210201714</c:v>
                </c:pt>
                <c:pt idx="232">
                  <c:v>0.67517722835877347</c:v>
                </c:pt>
                <c:pt idx="233">
                  <c:v>-0.45408939308741125</c:v>
                </c:pt>
                <c:pt idx="234">
                  <c:v>-1.5106772484176143</c:v>
                </c:pt>
                <c:pt idx="235">
                  <c:v>0.76997374345111425</c:v>
                </c:pt>
                <c:pt idx="236">
                  <c:v>-5.5585533126632622</c:v>
                </c:pt>
                <c:pt idx="237">
                  <c:v>1.6780508564576566</c:v>
                </c:pt>
                <c:pt idx="238">
                  <c:v>2.501958407584894</c:v>
                </c:pt>
              </c:numCache>
            </c:numRef>
          </c:val>
          <c:smooth val="0"/>
          <c:extLst>
            <c:ext xmlns:c16="http://schemas.microsoft.com/office/drawing/2014/chart" uri="{C3380CC4-5D6E-409C-BE32-E72D297353CC}">
              <c16:uniqueId val="{00000001-A60B-4EBE-8720-7D622261500E}"/>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MoM%</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SEASFACTOR!$F$9:$F$247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SEASFACTOR!$G$9:$G$247</c:f>
              <c:numCache>
                <c:formatCode>0.0</c:formatCode>
                <c:ptCount val="239"/>
                <c:pt idx="0">
                  <c:v>-3.8005981625192522</c:v>
                </c:pt>
                <c:pt idx="1">
                  <c:v>10.478646282920332</c:v>
                </c:pt>
                <c:pt idx="2">
                  <c:v>2.8027312254655659</c:v>
                </c:pt>
                <c:pt idx="3">
                  <c:v>1.0000083334583398</c:v>
                </c:pt>
                <c:pt idx="4">
                  <c:v>-3.6736239825619466</c:v>
                </c:pt>
                <c:pt idx="5">
                  <c:v>7.2170612813495589</c:v>
                </c:pt>
                <c:pt idx="6">
                  <c:v>0.3594970917858793</c:v>
                </c:pt>
                <c:pt idx="7">
                  <c:v>-1.8105503632273354</c:v>
                </c:pt>
                <c:pt idx="8">
                  <c:v>8.2943023127581306</c:v>
                </c:pt>
                <c:pt idx="9">
                  <c:v>-6.1255426112803208</c:v>
                </c:pt>
                <c:pt idx="10">
                  <c:v>-11.748510626344547</c:v>
                </c:pt>
                <c:pt idx="11">
                  <c:v>-0.80754140055453072</c:v>
                </c:pt>
                <c:pt idx="12">
                  <c:v>-3.0180617149991287</c:v>
                </c:pt>
                <c:pt idx="13">
                  <c:v>7.5102304541503075</c:v>
                </c:pt>
                <c:pt idx="14">
                  <c:v>-1.1696039763191299</c:v>
                </c:pt>
                <c:pt idx="15">
                  <c:v>4.0978844963679268</c:v>
                </c:pt>
                <c:pt idx="16">
                  <c:v>-4.3596647505758162</c:v>
                </c:pt>
                <c:pt idx="17">
                  <c:v>6.3473078263353662</c:v>
                </c:pt>
                <c:pt idx="18">
                  <c:v>0.36832454162963679</c:v>
                </c:pt>
                <c:pt idx="19">
                  <c:v>4.9023563633672822</c:v>
                </c:pt>
                <c:pt idx="20">
                  <c:v>4.8956844726530981</c:v>
                </c:pt>
                <c:pt idx="21">
                  <c:v>-6.1875403718087529</c:v>
                </c:pt>
                <c:pt idx="22">
                  <c:v>-8.2508313735474825</c:v>
                </c:pt>
                <c:pt idx="23">
                  <c:v>-1.4221312723076169</c:v>
                </c:pt>
                <c:pt idx="24">
                  <c:v>-3.7139546949456657</c:v>
                </c:pt>
                <c:pt idx="25">
                  <c:v>16.069293906717668</c:v>
                </c:pt>
                <c:pt idx="26">
                  <c:v>-5.5602730209212119</c:v>
                </c:pt>
                <c:pt idx="27">
                  <c:v>4.8674296027248021</c:v>
                </c:pt>
                <c:pt idx="28">
                  <c:v>-0.23201866556971981</c:v>
                </c:pt>
                <c:pt idx="29">
                  <c:v>4.5410753180607175</c:v>
                </c:pt>
                <c:pt idx="30">
                  <c:v>2.1954778646968967</c:v>
                </c:pt>
                <c:pt idx="31">
                  <c:v>0</c:v>
                </c:pt>
                <c:pt idx="32">
                  <c:v>1.5086493033380162</c:v>
                </c:pt>
                <c:pt idx="33">
                  <c:v>-1.8349138668196541</c:v>
                </c:pt>
                <c:pt idx="34">
                  <c:v>-8.0496695968436054</c:v>
                </c:pt>
                <c:pt idx="35">
                  <c:v>-4.4666446985569994</c:v>
                </c:pt>
                <c:pt idx="36">
                  <c:v>-5.8466458499963849</c:v>
                </c:pt>
                <c:pt idx="37">
                  <c:v>14.135411830573155</c:v>
                </c:pt>
                <c:pt idx="38">
                  <c:v>-1.1428695823622743</c:v>
                </c:pt>
                <c:pt idx="39">
                  <c:v>4.6049685611328837</c:v>
                </c:pt>
                <c:pt idx="40">
                  <c:v>0.32876741941917081</c:v>
                </c:pt>
                <c:pt idx="41">
                  <c:v>-0.98956277542239612</c:v>
                </c:pt>
                <c:pt idx="42">
                  <c:v>5.482296935147505</c:v>
                </c:pt>
                <c:pt idx="43">
                  <c:v>-3.8384243008315222</c:v>
                </c:pt>
                <c:pt idx="44">
                  <c:v>1.8309612195336253</c:v>
                </c:pt>
                <c:pt idx="45">
                  <c:v>-1.3971210596737951</c:v>
                </c:pt>
                <c:pt idx="46">
                  <c:v>-6.4827163079249166</c:v>
                </c:pt>
                <c:pt idx="47">
                  <c:v>-3.4060838072959752</c:v>
                </c:pt>
                <c:pt idx="48">
                  <c:v>-4.2715462622960851</c:v>
                </c:pt>
                <c:pt idx="49">
                  <c:v>14.160346377516964</c:v>
                </c:pt>
                <c:pt idx="50">
                  <c:v>-7.5274153043904395</c:v>
                </c:pt>
                <c:pt idx="51">
                  <c:v>10.722575285050679</c:v>
                </c:pt>
                <c:pt idx="52">
                  <c:v>-4.6120774188328273</c:v>
                </c:pt>
                <c:pt idx="53">
                  <c:v>2.9207051746266317</c:v>
                </c:pt>
                <c:pt idx="54">
                  <c:v>4.9906405596410703</c:v>
                </c:pt>
                <c:pt idx="55">
                  <c:v>-5.6323539917044103</c:v>
                </c:pt>
                <c:pt idx="56">
                  <c:v>4.5104656312255988</c:v>
                </c:pt>
                <c:pt idx="57">
                  <c:v>-1.6546396114408941</c:v>
                </c:pt>
                <c:pt idx="58">
                  <c:v>-9.7397863234808941</c:v>
                </c:pt>
                <c:pt idx="59">
                  <c:v>0</c:v>
                </c:pt>
                <c:pt idx="60">
                  <c:v>-5.1898438127651367</c:v>
                </c:pt>
                <c:pt idx="61">
                  <c:v>15.449652108956771</c:v>
                </c:pt>
                <c:pt idx="62">
                  <c:v>-6.205198856756641</c:v>
                </c:pt>
                <c:pt idx="63">
                  <c:v>9.7715472605574369</c:v>
                </c:pt>
                <c:pt idx="64">
                  <c:v>-3.0490166757787276</c:v>
                </c:pt>
                <c:pt idx="65">
                  <c:v>2.9488664420697721</c:v>
                </c:pt>
                <c:pt idx="66">
                  <c:v>4.9839332084833199</c:v>
                </c:pt>
                <c:pt idx="67">
                  <c:v>-6.3966711344043752</c:v>
                </c:pt>
                <c:pt idx="68">
                  <c:v>9.1236854416688988</c:v>
                </c:pt>
                <c:pt idx="69">
                  <c:v>-5.1390945869489242</c:v>
                </c:pt>
                <c:pt idx="70">
                  <c:v>-10.059757095327383</c:v>
                </c:pt>
                <c:pt idx="71">
                  <c:v>2.3480267608842449</c:v>
                </c:pt>
                <c:pt idx="72">
                  <c:v>-3.9811604995063505</c:v>
                </c:pt>
                <c:pt idx="73">
                  <c:v>6.9943754782824428</c:v>
                </c:pt>
                <c:pt idx="74">
                  <c:v>1.5236455242089986</c:v>
                </c:pt>
                <c:pt idx="75">
                  <c:v>3.2724784287635709</c:v>
                </c:pt>
                <c:pt idx="76">
                  <c:v>0.77745775471300005</c:v>
                </c:pt>
                <c:pt idx="77">
                  <c:v>4.9112796854921346</c:v>
                </c:pt>
                <c:pt idx="78">
                  <c:v>-1.4856354949514659</c:v>
                </c:pt>
                <c:pt idx="79">
                  <c:v>0.37348316056530828</c:v>
                </c:pt>
                <c:pt idx="80">
                  <c:v>1.0199439368893048</c:v>
                </c:pt>
                <c:pt idx="81">
                  <c:v>-11.939873133388506</c:v>
                </c:pt>
                <c:pt idx="82">
                  <c:v>-19.571648289805267</c:v>
                </c:pt>
                <c:pt idx="83">
                  <c:v>-0.50697193502505111</c:v>
                </c:pt>
                <c:pt idx="84">
                  <c:v>-3.3594890555717507</c:v>
                </c:pt>
                <c:pt idx="85">
                  <c:v>15.208359274339509</c:v>
                </c:pt>
                <c:pt idx="86">
                  <c:v>-3.9130423775765082</c:v>
                </c:pt>
                <c:pt idx="87">
                  <c:v>6.9149353765652606</c:v>
                </c:pt>
                <c:pt idx="88">
                  <c:v>0.98093429616254413</c:v>
                </c:pt>
                <c:pt idx="89">
                  <c:v>5.7941428486188959</c:v>
                </c:pt>
                <c:pt idx="90">
                  <c:v>1.9260605541815436</c:v>
                </c:pt>
                <c:pt idx="91">
                  <c:v>-0.20100509280241119</c:v>
                </c:pt>
                <c:pt idx="92">
                  <c:v>6.0506257609632605</c:v>
                </c:pt>
                <c:pt idx="93">
                  <c:v>-4.0585280115078213</c:v>
                </c:pt>
                <c:pt idx="94">
                  <c:v>-7.4715044565749</c:v>
                </c:pt>
                <c:pt idx="95">
                  <c:v>-3.1303149511048107</c:v>
                </c:pt>
                <c:pt idx="96">
                  <c:v>-2.4418527348145886</c:v>
                </c:pt>
                <c:pt idx="97">
                  <c:v>16.627590815076555</c:v>
                </c:pt>
                <c:pt idx="98">
                  <c:v>-5.6766706831778553</c:v>
                </c:pt>
                <c:pt idx="99">
                  <c:v>4.9125790955599946</c:v>
                </c:pt>
                <c:pt idx="100">
                  <c:v>-1.7408563428263819</c:v>
                </c:pt>
                <c:pt idx="101">
                  <c:v>4.2031019452536711</c:v>
                </c:pt>
                <c:pt idx="102">
                  <c:v>1.1162906614163006</c:v>
                </c:pt>
                <c:pt idx="103">
                  <c:v>-2.1506205220963506</c:v>
                </c:pt>
                <c:pt idx="104">
                  <c:v>1.779906473814393</c:v>
                </c:pt>
                <c:pt idx="105">
                  <c:v>-0.83916576362485129</c:v>
                </c:pt>
                <c:pt idx="106">
                  <c:v>-10.037918530762216</c:v>
                </c:pt>
                <c:pt idx="107">
                  <c:v>-3.5831019526926728</c:v>
                </c:pt>
                <c:pt idx="108">
                  <c:v>2.3330856762695267</c:v>
                </c:pt>
                <c:pt idx="109">
                  <c:v>9.0151096994297486</c:v>
                </c:pt>
                <c:pt idx="110">
                  <c:v>-6.8377297444736849</c:v>
                </c:pt>
                <c:pt idx="111">
                  <c:v>9.3910599449901522</c:v>
                </c:pt>
                <c:pt idx="112">
                  <c:v>-4.0977624432638322</c:v>
                </c:pt>
                <c:pt idx="113">
                  <c:v>3.1596692598872607</c:v>
                </c:pt>
                <c:pt idx="114">
                  <c:v>4.3344728693245962</c:v>
                </c:pt>
                <c:pt idx="115">
                  <c:v>-5.5673002426241638</c:v>
                </c:pt>
                <c:pt idx="116">
                  <c:v>1.4211513460960548</c:v>
                </c:pt>
                <c:pt idx="117">
                  <c:v>-1.9953156028635677</c:v>
                </c:pt>
                <c:pt idx="118">
                  <c:v>-8.5093830860358022</c:v>
                </c:pt>
                <c:pt idx="119">
                  <c:v>-7.5958409143374785</c:v>
                </c:pt>
                <c:pt idx="120">
                  <c:v>1.2325085992620033</c:v>
                </c:pt>
                <c:pt idx="121">
                  <c:v>10.458070165963877</c:v>
                </c:pt>
                <c:pt idx="122">
                  <c:v>-7.1719037175637768</c:v>
                </c:pt>
                <c:pt idx="123">
                  <c:v>9.9416158786307989</c:v>
                </c:pt>
                <c:pt idx="124">
                  <c:v>-4.1838771425342038</c:v>
                </c:pt>
                <c:pt idx="125">
                  <c:v>6.1163044251744862</c:v>
                </c:pt>
                <c:pt idx="126">
                  <c:v>6.4837519495307667</c:v>
                </c:pt>
                <c:pt idx="127">
                  <c:v>-7.5419628825844658</c:v>
                </c:pt>
                <c:pt idx="128">
                  <c:v>7.8106598646669854</c:v>
                </c:pt>
                <c:pt idx="129">
                  <c:v>-6.4657788834056955</c:v>
                </c:pt>
                <c:pt idx="130">
                  <c:v>-12.809364132439352</c:v>
                </c:pt>
                <c:pt idx="131">
                  <c:v>2.4639703937148925</c:v>
                </c:pt>
                <c:pt idx="132">
                  <c:v>-7.0127301557563264</c:v>
                </c:pt>
                <c:pt idx="133">
                  <c:v>10.342902610660323</c:v>
                </c:pt>
                <c:pt idx="134">
                  <c:v>4.1108545067685318</c:v>
                </c:pt>
                <c:pt idx="135">
                  <c:v>3.0950246041101059</c:v>
                </c:pt>
                <c:pt idx="136">
                  <c:v>-3.1933047103009029</c:v>
                </c:pt>
                <c:pt idx="137">
                  <c:v>6.0103924069705306</c:v>
                </c:pt>
                <c:pt idx="138">
                  <c:v>3.6367644170874791</c:v>
                </c:pt>
                <c:pt idx="139">
                  <c:v>-4.2870221658441832</c:v>
                </c:pt>
                <c:pt idx="140">
                  <c:v>4.8213066068937094</c:v>
                </c:pt>
                <c:pt idx="141">
                  <c:v>-5.9459670085652512</c:v>
                </c:pt>
                <c:pt idx="142">
                  <c:v>-16.346188100564525</c:v>
                </c:pt>
                <c:pt idx="143">
                  <c:v>2.7368977037841566</c:v>
                </c:pt>
                <c:pt idx="144">
                  <c:v>-0.32450001433271897</c:v>
                </c:pt>
                <c:pt idx="145">
                  <c:v>5.2754847683152821</c:v>
                </c:pt>
                <c:pt idx="146">
                  <c:v>-1.3450797724123105</c:v>
                </c:pt>
                <c:pt idx="147">
                  <c:v>5.7679111586677987</c:v>
                </c:pt>
                <c:pt idx="148">
                  <c:v>-6.920359743863207</c:v>
                </c:pt>
                <c:pt idx="149">
                  <c:v>9.5405969832656066</c:v>
                </c:pt>
                <c:pt idx="150">
                  <c:v>1.8035609899363723</c:v>
                </c:pt>
                <c:pt idx="151">
                  <c:v>-0.66069140757411748</c:v>
                </c:pt>
                <c:pt idx="152">
                  <c:v>3.4438023910331883</c:v>
                </c:pt>
                <c:pt idx="153">
                  <c:v>-9.0928211865074626</c:v>
                </c:pt>
                <c:pt idx="154">
                  <c:v>-12.924628393928089</c:v>
                </c:pt>
                <c:pt idx="155">
                  <c:v>0.45506335639962892</c:v>
                </c:pt>
                <c:pt idx="156">
                  <c:v>-5.1233555446704067</c:v>
                </c:pt>
                <c:pt idx="157">
                  <c:v>11.924221214398219</c:v>
                </c:pt>
                <c:pt idx="158">
                  <c:v>-6.0094539641287446</c:v>
                </c:pt>
                <c:pt idx="159">
                  <c:v>4.7287534284896902</c:v>
                </c:pt>
                <c:pt idx="160">
                  <c:v>-0.646553976464186</c:v>
                </c:pt>
                <c:pt idx="161">
                  <c:v>3.1917602968304948</c:v>
                </c:pt>
                <c:pt idx="162">
                  <c:v>2.175124593236212</c:v>
                </c:pt>
                <c:pt idx="163">
                  <c:v>-3.439630377963502</c:v>
                </c:pt>
                <c:pt idx="164">
                  <c:v>3.0289521826981729</c:v>
                </c:pt>
                <c:pt idx="165">
                  <c:v>-10.398971352404775</c:v>
                </c:pt>
                <c:pt idx="166">
                  <c:v>-12.638154091161514</c:v>
                </c:pt>
                <c:pt idx="167">
                  <c:v>-1.1726518740319207</c:v>
                </c:pt>
                <c:pt idx="168">
                  <c:v>-0.65746456420853572</c:v>
                </c:pt>
                <c:pt idx="169">
                  <c:v>9.9140684847103628</c:v>
                </c:pt>
                <c:pt idx="170">
                  <c:v>-0.8398369698831718</c:v>
                </c:pt>
                <c:pt idx="171">
                  <c:v>3.8988990292784345</c:v>
                </c:pt>
                <c:pt idx="172">
                  <c:v>1.6092301288755131</c:v>
                </c:pt>
                <c:pt idx="173">
                  <c:v>2.1433420602747244</c:v>
                </c:pt>
                <c:pt idx="174">
                  <c:v>3.7244173172371178</c:v>
                </c:pt>
                <c:pt idx="175">
                  <c:v>-2.504213603216495</c:v>
                </c:pt>
                <c:pt idx="176">
                  <c:v>-0.55279300525129427</c:v>
                </c:pt>
                <c:pt idx="177">
                  <c:v>-4.1885013130744326</c:v>
                </c:pt>
                <c:pt idx="178">
                  <c:v>-11.374495690710315</c:v>
                </c:pt>
                <c:pt idx="179">
                  <c:v>0.90264958459721245</c:v>
                </c:pt>
                <c:pt idx="180">
                  <c:v>-2.6009268475118326</c:v>
                </c:pt>
                <c:pt idx="181">
                  <c:v>11.792941639294002</c:v>
                </c:pt>
                <c:pt idx="182">
                  <c:v>-7.4107972153721962</c:v>
                </c:pt>
                <c:pt idx="183">
                  <c:v>12.768203597348998</c:v>
                </c:pt>
                <c:pt idx="184">
                  <c:v>-1.9048194970694363</c:v>
                </c:pt>
                <c:pt idx="185">
                  <c:v>4.1002973617663265</c:v>
                </c:pt>
                <c:pt idx="186">
                  <c:v>4.8738459197987503</c:v>
                </c:pt>
                <c:pt idx="187">
                  <c:v>-3.901390930599276</c:v>
                </c:pt>
                <c:pt idx="188">
                  <c:v>2.2329476398088577</c:v>
                </c:pt>
                <c:pt idx="189">
                  <c:v>-4.8474756502411021</c:v>
                </c:pt>
                <c:pt idx="190">
                  <c:v>-11.200505837649487</c:v>
                </c:pt>
                <c:pt idx="191">
                  <c:v>1.5921953010585257</c:v>
                </c:pt>
                <c:pt idx="192">
                  <c:v>-6.2677152089647858</c:v>
                </c:pt>
                <c:pt idx="193">
                  <c:v>10.897622207627112</c:v>
                </c:pt>
                <c:pt idx="194">
                  <c:v>0.34742362681862726</c:v>
                </c:pt>
                <c:pt idx="195">
                  <c:v>-2.4577012335922137</c:v>
                </c:pt>
                <c:pt idx="196">
                  <c:v>7.6390402664001016</c:v>
                </c:pt>
                <c:pt idx="197">
                  <c:v>5.0304880710902253</c:v>
                </c:pt>
                <c:pt idx="198">
                  <c:v>2.4743530383605368</c:v>
                </c:pt>
                <c:pt idx="199">
                  <c:v>-7.9448858239329327</c:v>
                </c:pt>
                <c:pt idx="200">
                  <c:v>5.4705327855723951</c:v>
                </c:pt>
                <c:pt idx="201">
                  <c:v>-6.8024059696005086</c:v>
                </c:pt>
                <c:pt idx="202">
                  <c:v>-13.752979859121798</c:v>
                </c:pt>
                <c:pt idx="203">
                  <c:v>3.402974858631147</c:v>
                </c:pt>
                <c:pt idx="204">
                  <c:v>-2.0025700502295027</c:v>
                </c:pt>
                <c:pt idx="205">
                  <c:v>2.3736279898830737</c:v>
                </c:pt>
                <c:pt idx="206">
                  <c:v>2.799939450035819</c:v>
                </c:pt>
                <c:pt idx="207">
                  <c:v>8.8410957344053145</c:v>
                </c:pt>
                <c:pt idx="208">
                  <c:v>-5.8840500022933462</c:v>
                </c:pt>
                <c:pt idx="209">
                  <c:v>8.4872338740880444</c:v>
                </c:pt>
                <c:pt idx="210">
                  <c:v>2.9538012436863874</c:v>
                </c:pt>
                <c:pt idx="211">
                  <c:v>-4.6817060045216028</c:v>
                </c:pt>
                <c:pt idx="212">
                  <c:v>5.5098680876938131</c:v>
                </c:pt>
                <c:pt idx="213">
                  <c:v>-9.7374164025176366</c:v>
                </c:pt>
                <c:pt idx="214">
                  <c:v>-13.483093796660814</c:v>
                </c:pt>
                <c:pt idx="215">
                  <c:v>3.9520758162283198</c:v>
                </c:pt>
                <c:pt idx="216">
                  <c:v>-1.3845406822052981</c:v>
                </c:pt>
                <c:pt idx="217">
                  <c:v>-1.2755274975126014</c:v>
                </c:pt>
                <c:pt idx="218">
                  <c:v>-25.609384914356298</c:v>
                </c:pt>
                <c:pt idx="219">
                  <c:v>16.616071468479046</c:v>
                </c:pt>
                <c:pt idx="220">
                  <c:v>9.6331108938432113</c:v>
                </c:pt>
                <c:pt idx="221">
                  <c:v>14.903557916048776</c:v>
                </c:pt>
                <c:pt idx="222">
                  <c:v>3.1370879697367284</c:v>
                </c:pt>
                <c:pt idx="223">
                  <c:v>1.5848192240023713</c:v>
                </c:pt>
                <c:pt idx="224">
                  <c:v>1.9720410737718495</c:v>
                </c:pt>
                <c:pt idx="225">
                  <c:v>-7.5769562123381347</c:v>
                </c:pt>
                <c:pt idx="226">
                  <c:v>-7.9580877895781015</c:v>
                </c:pt>
                <c:pt idx="227">
                  <c:v>-1.6949558313773205</c:v>
                </c:pt>
                <c:pt idx="228">
                  <c:v>-3.4786116085415655</c:v>
                </c:pt>
                <c:pt idx="229">
                  <c:v>8.4796536660076853</c:v>
                </c:pt>
                <c:pt idx="230">
                  <c:v>-5.7363394879920193</c:v>
                </c:pt>
                <c:pt idx="231">
                  <c:v>8.3725953089832981</c:v>
                </c:pt>
                <c:pt idx="232">
                  <c:v>-0.56721649524664175</c:v>
                </c:pt>
                <c:pt idx="233">
                  <c:v>4.7760325871416818</c:v>
                </c:pt>
                <c:pt idx="234">
                  <c:v>1.2931214672248785</c:v>
                </c:pt>
                <c:pt idx="235">
                  <c:v>-2.0552372953321347</c:v>
                </c:pt>
                <c:pt idx="236">
                  <c:v>-1.9868203216725173</c:v>
                </c:pt>
                <c:pt idx="237">
                  <c:v>-3.8641170975368224</c:v>
                </c:pt>
                <c:pt idx="238">
                  <c:v>-8.5853299269002026</c:v>
                </c:pt>
              </c:numCache>
            </c:numRef>
          </c:val>
          <c:smooth val="0"/>
          <c:extLst>
            <c:ext xmlns:c16="http://schemas.microsoft.com/office/drawing/2014/chart" uri="{C3380CC4-5D6E-409C-BE32-E72D297353CC}">
              <c16:uniqueId val="{00000000-F5BA-42DC-B54A-1BAF6216850D}"/>
            </c:ext>
          </c:extLst>
        </c:ser>
        <c:ser>
          <c:idx val="1"/>
          <c:order val="1"/>
          <c:tx>
            <c:v>Seasonal Factors</c:v>
          </c:tx>
          <c:spPr>
            <a:ln w="19050" cap="rnd">
              <a:solidFill>
                <a:schemeClr val="accent2"/>
              </a:solidFill>
              <a:round/>
            </a:ln>
            <a:effectLst/>
          </c:spPr>
          <c:marker>
            <c:symbol val="none"/>
          </c:marker>
          <c:cat>
            <c:numRef>
              <c:f>SEASFACTOR!$F$9:$F$247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SEASFACTOR!$K$9:$K$297</c:f>
              <c:numCache>
                <c:formatCode>0.0</c:formatCode>
                <c:ptCount val="289"/>
                <c:pt idx="0">
                  <c:v>3.0830593286322228</c:v>
                </c:pt>
                <c:pt idx="1">
                  <c:v>-10.25404340464851</c:v>
                </c:pt>
                <c:pt idx="2">
                  <c:v>4.0661109319364694</c:v>
                </c:pt>
                <c:pt idx="3">
                  <c:v>-6.5188360987815841</c:v>
                </c:pt>
                <c:pt idx="4">
                  <c:v>1.2423937236054154</c:v>
                </c:pt>
                <c:pt idx="5">
                  <c:v>-5.230121980229093</c:v>
                </c:pt>
                <c:pt idx="6">
                  <c:v>-2.8037987156424933</c:v>
                </c:pt>
                <c:pt idx="7">
                  <c:v>2.825211038783249</c:v>
                </c:pt>
                <c:pt idx="8">
                  <c:v>-3.5717329909907445</c:v>
                </c:pt>
                <c:pt idx="9">
                  <c:v>5.542167953994479</c:v>
                </c:pt>
                <c:pt idx="10">
                  <c:v>11.087288334485097</c:v>
                </c:pt>
                <c:pt idx="11">
                  <c:v>0.56031776721630933</c:v>
                </c:pt>
                <c:pt idx="12">
                  <c:v>3.0830593286322228</c:v>
                </c:pt>
                <c:pt idx="13">
                  <c:v>-10.25404340464851</c:v>
                </c:pt>
                <c:pt idx="14">
                  <c:v>4.0661109319364694</c:v>
                </c:pt>
                <c:pt idx="15">
                  <c:v>-6.5188360987815841</c:v>
                </c:pt>
                <c:pt idx="16">
                  <c:v>1.2423937236054154</c:v>
                </c:pt>
                <c:pt idx="17">
                  <c:v>-5.230121980229093</c:v>
                </c:pt>
                <c:pt idx="18">
                  <c:v>-2.8037987156424924</c:v>
                </c:pt>
                <c:pt idx="19">
                  <c:v>2.825211038783249</c:v>
                </c:pt>
                <c:pt idx="20">
                  <c:v>-3.5717329909907445</c:v>
                </c:pt>
                <c:pt idx="21">
                  <c:v>5.542167953994479</c:v>
                </c:pt>
                <c:pt idx="22">
                  <c:v>11.087288334485097</c:v>
                </c:pt>
                <c:pt idx="23">
                  <c:v>0.56031776721630933</c:v>
                </c:pt>
                <c:pt idx="24">
                  <c:v>3.0830593286322228</c:v>
                </c:pt>
                <c:pt idx="25">
                  <c:v>-10.25404340464851</c:v>
                </c:pt>
                <c:pt idx="26">
                  <c:v>4.0661109319364694</c:v>
                </c:pt>
                <c:pt idx="27">
                  <c:v>-6.5188360987815841</c:v>
                </c:pt>
                <c:pt idx="28">
                  <c:v>1.2423937236054152</c:v>
                </c:pt>
                <c:pt idx="29">
                  <c:v>-5.230121980229093</c:v>
                </c:pt>
                <c:pt idx="30">
                  <c:v>-2.8037987156424928</c:v>
                </c:pt>
                <c:pt idx="31">
                  <c:v>2.825211038783249</c:v>
                </c:pt>
                <c:pt idx="32">
                  <c:v>-3.5717329909907445</c:v>
                </c:pt>
                <c:pt idx="33">
                  <c:v>5.542167953994479</c:v>
                </c:pt>
                <c:pt idx="34">
                  <c:v>11.087288334485097</c:v>
                </c:pt>
                <c:pt idx="35">
                  <c:v>0.56031776721630955</c:v>
                </c:pt>
                <c:pt idx="36">
                  <c:v>3.0830593286322228</c:v>
                </c:pt>
                <c:pt idx="37">
                  <c:v>-10.25404340464851</c:v>
                </c:pt>
                <c:pt idx="38">
                  <c:v>4.0661109319364694</c:v>
                </c:pt>
                <c:pt idx="39">
                  <c:v>-6.5188360987815841</c:v>
                </c:pt>
                <c:pt idx="40">
                  <c:v>1.2423937236054152</c:v>
                </c:pt>
                <c:pt idx="41">
                  <c:v>-5.230121980229093</c:v>
                </c:pt>
                <c:pt idx="42">
                  <c:v>-2.8037987156424928</c:v>
                </c:pt>
                <c:pt idx="43">
                  <c:v>2.825211038783249</c:v>
                </c:pt>
                <c:pt idx="44">
                  <c:v>-3.5717329909907445</c:v>
                </c:pt>
                <c:pt idx="45">
                  <c:v>5.542167953994479</c:v>
                </c:pt>
                <c:pt idx="46">
                  <c:v>11.087288334485097</c:v>
                </c:pt>
                <c:pt idx="47">
                  <c:v>0.5603177672163091</c:v>
                </c:pt>
                <c:pt idx="48">
                  <c:v>3.0830593286322228</c:v>
                </c:pt>
                <c:pt idx="49">
                  <c:v>-10.25404340464851</c:v>
                </c:pt>
                <c:pt idx="50">
                  <c:v>4.0661109319364694</c:v>
                </c:pt>
                <c:pt idx="51">
                  <c:v>-6.5188360987815841</c:v>
                </c:pt>
                <c:pt idx="52">
                  <c:v>1.2423937236054154</c:v>
                </c:pt>
                <c:pt idx="53">
                  <c:v>-5.230121980229093</c:v>
                </c:pt>
                <c:pt idx="54">
                  <c:v>-2.8037987156424928</c:v>
                </c:pt>
                <c:pt idx="55">
                  <c:v>2.825211038783249</c:v>
                </c:pt>
                <c:pt idx="56">
                  <c:v>-3.5717329909907445</c:v>
                </c:pt>
                <c:pt idx="57">
                  <c:v>5.542167953994479</c:v>
                </c:pt>
                <c:pt idx="58">
                  <c:v>11.087288334485097</c:v>
                </c:pt>
                <c:pt idx="59">
                  <c:v>0.56031776721630933</c:v>
                </c:pt>
                <c:pt idx="60">
                  <c:v>3.0830593286322228</c:v>
                </c:pt>
                <c:pt idx="61">
                  <c:v>-10.25404340464851</c:v>
                </c:pt>
                <c:pt idx="62">
                  <c:v>4.0661109319364694</c:v>
                </c:pt>
                <c:pt idx="63">
                  <c:v>-6.5188360987815841</c:v>
                </c:pt>
                <c:pt idx="64">
                  <c:v>1.2423937236054152</c:v>
                </c:pt>
                <c:pt idx="65">
                  <c:v>-5.230121980229093</c:v>
                </c:pt>
                <c:pt idx="66">
                  <c:v>-2.8037987156424928</c:v>
                </c:pt>
                <c:pt idx="67">
                  <c:v>2.825211038783249</c:v>
                </c:pt>
                <c:pt idx="68">
                  <c:v>-3.5717329909907445</c:v>
                </c:pt>
                <c:pt idx="69">
                  <c:v>5.542167953994479</c:v>
                </c:pt>
                <c:pt idx="70">
                  <c:v>11.087288334485097</c:v>
                </c:pt>
                <c:pt idx="71">
                  <c:v>0.5603177672163091</c:v>
                </c:pt>
                <c:pt idx="72">
                  <c:v>3.0830593286322228</c:v>
                </c:pt>
                <c:pt idx="73">
                  <c:v>-10.25404340464851</c:v>
                </c:pt>
                <c:pt idx="74">
                  <c:v>4.0661109319364694</c:v>
                </c:pt>
                <c:pt idx="75">
                  <c:v>-6.5188360987815841</c:v>
                </c:pt>
                <c:pt idx="76">
                  <c:v>1.242393723605415</c:v>
                </c:pt>
                <c:pt idx="77">
                  <c:v>-5.230121980229093</c:v>
                </c:pt>
                <c:pt idx="78">
                  <c:v>-2.8037987156424924</c:v>
                </c:pt>
                <c:pt idx="79">
                  <c:v>2.825211038783249</c:v>
                </c:pt>
                <c:pt idx="80">
                  <c:v>-3.5717329909907445</c:v>
                </c:pt>
                <c:pt idx="81">
                  <c:v>5.542167953994479</c:v>
                </c:pt>
                <c:pt idx="82">
                  <c:v>11.087288334485097</c:v>
                </c:pt>
                <c:pt idx="83">
                  <c:v>0.56031776721630933</c:v>
                </c:pt>
                <c:pt idx="84">
                  <c:v>3.0830593286322228</c:v>
                </c:pt>
                <c:pt idx="85">
                  <c:v>-10.25404340464851</c:v>
                </c:pt>
                <c:pt idx="86">
                  <c:v>4.0661109319364694</c:v>
                </c:pt>
                <c:pt idx="87">
                  <c:v>-6.5188360987815841</c:v>
                </c:pt>
                <c:pt idx="88">
                  <c:v>1.242393723605415</c:v>
                </c:pt>
                <c:pt idx="89">
                  <c:v>-5.230121980229093</c:v>
                </c:pt>
                <c:pt idx="90">
                  <c:v>-2.8037987156424928</c:v>
                </c:pt>
                <c:pt idx="91">
                  <c:v>2.825211038783249</c:v>
                </c:pt>
                <c:pt idx="92">
                  <c:v>-3.5717329909907445</c:v>
                </c:pt>
                <c:pt idx="93">
                  <c:v>5.542167953994479</c:v>
                </c:pt>
                <c:pt idx="94">
                  <c:v>11.087288334485097</c:v>
                </c:pt>
                <c:pt idx="95">
                  <c:v>0.5603177672163091</c:v>
                </c:pt>
                <c:pt idx="96">
                  <c:v>3.0830593286322228</c:v>
                </c:pt>
                <c:pt idx="97">
                  <c:v>-10.25404340464851</c:v>
                </c:pt>
                <c:pt idx="98">
                  <c:v>4.0661109319364694</c:v>
                </c:pt>
                <c:pt idx="99">
                  <c:v>-6.5188360987815841</c:v>
                </c:pt>
                <c:pt idx="100">
                  <c:v>1.2423937236054152</c:v>
                </c:pt>
                <c:pt idx="101">
                  <c:v>-5.230121980229093</c:v>
                </c:pt>
                <c:pt idx="102">
                  <c:v>-2.8037987156424928</c:v>
                </c:pt>
                <c:pt idx="103">
                  <c:v>2.825211038783249</c:v>
                </c:pt>
                <c:pt idx="104">
                  <c:v>-3.5717329909907445</c:v>
                </c:pt>
                <c:pt idx="105">
                  <c:v>5.542167953994479</c:v>
                </c:pt>
                <c:pt idx="106">
                  <c:v>11.087288334485097</c:v>
                </c:pt>
                <c:pt idx="107">
                  <c:v>0.5603177672163091</c:v>
                </c:pt>
                <c:pt idx="108">
                  <c:v>3.0830593286322228</c:v>
                </c:pt>
                <c:pt idx="109">
                  <c:v>-10.25404340464851</c:v>
                </c:pt>
                <c:pt idx="110">
                  <c:v>4.0661109319364694</c:v>
                </c:pt>
                <c:pt idx="111">
                  <c:v>-6.5188360987815841</c:v>
                </c:pt>
                <c:pt idx="112">
                  <c:v>1.2423937236054154</c:v>
                </c:pt>
                <c:pt idx="113">
                  <c:v>-5.230121980229093</c:v>
                </c:pt>
                <c:pt idx="114">
                  <c:v>-2.8037987156424928</c:v>
                </c:pt>
                <c:pt idx="115">
                  <c:v>2.825211038783249</c:v>
                </c:pt>
                <c:pt idx="116">
                  <c:v>-3.5717329909907445</c:v>
                </c:pt>
                <c:pt idx="117">
                  <c:v>5.542167953994479</c:v>
                </c:pt>
                <c:pt idx="118">
                  <c:v>11.087288334485097</c:v>
                </c:pt>
                <c:pt idx="119">
                  <c:v>0.56031776721630955</c:v>
                </c:pt>
                <c:pt idx="120">
                  <c:v>3.0830593286322228</c:v>
                </c:pt>
                <c:pt idx="121">
                  <c:v>-10.25404340464851</c:v>
                </c:pt>
                <c:pt idx="122">
                  <c:v>4.0661109319364694</c:v>
                </c:pt>
                <c:pt idx="123">
                  <c:v>-6.5188360987815841</c:v>
                </c:pt>
                <c:pt idx="124">
                  <c:v>1.2423937236054154</c:v>
                </c:pt>
                <c:pt idx="125">
                  <c:v>-5.230121980229093</c:v>
                </c:pt>
                <c:pt idx="126">
                  <c:v>-2.8037987156424928</c:v>
                </c:pt>
                <c:pt idx="127">
                  <c:v>2.825211038783249</c:v>
                </c:pt>
                <c:pt idx="128">
                  <c:v>-3.5717329909907445</c:v>
                </c:pt>
                <c:pt idx="129">
                  <c:v>5.542167953994479</c:v>
                </c:pt>
                <c:pt idx="130">
                  <c:v>11.087288334485097</c:v>
                </c:pt>
                <c:pt idx="131">
                  <c:v>0.56031776721630955</c:v>
                </c:pt>
                <c:pt idx="132">
                  <c:v>3.0830593286322228</c:v>
                </c:pt>
                <c:pt idx="133">
                  <c:v>-10.25404340464851</c:v>
                </c:pt>
                <c:pt idx="134">
                  <c:v>4.0661109319364686</c:v>
                </c:pt>
                <c:pt idx="135">
                  <c:v>-6.5188360987815841</c:v>
                </c:pt>
                <c:pt idx="136">
                  <c:v>1.2423937236054152</c:v>
                </c:pt>
                <c:pt idx="137">
                  <c:v>-5.230121980229093</c:v>
                </c:pt>
                <c:pt idx="138">
                  <c:v>-2.8037987156424928</c:v>
                </c:pt>
                <c:pt idx="139">
                  <c:v>2.825211038783249</c:v>
                </c:pt>
                <c:pt idx="140">
                  <c:v>-3.5717329909907445</c:v>
                </c:pt>
                <c:pt idx="141">
                  <c:v>5.542167953994479</c:v>
                </c:pt>
                <c:pt idx="142">
                  <c:v>11.087288334485097</c:v>
                </c:pt>
                <c:pt idx="143">
                  <c:v>0.5603177672163091</c:v>
                </c:pt>
                <c:pt idx="144">
                  <c:v>3.0830593286322228</c:v>
                </c:pt>
                <c:pt idx="145">
                  <c:v>-10.25404340464851</c:v>
                </c:pt>
                <c:pt idx="146">
                  <c:v>4.0661109319364694</c:v>
                </c:pt>
                <c:pt idx="147">
                  <c:v>-6.5188360987815841</c:v>
                </c:pt>
                <c:pt idx="148">
                  <c:v>1.2423937236054154</c:v>
                </c:pt>
                <c:pt idx="149">
                  <c:v>-5.230121980229093</c:v>
                </c:pt>
                <c:pt idx="150">
                  <c:v>-2.8037987156424928</c:v>
                </c:pt>
                <c:pt idx="151">
                  <c:v>2.825211038783249</c:v>
                </c:pt>
                <c:pt idx="152">
                  <c:v>-3.5717329909907445</c:v>
                </c:pt>
                <c:pt idx="153">
                  <c:v>5.542167953994479</c:v>
                </c:pt>
                <c:pt idx="154">
                  <c:v>11.087288334485097</c:v>
                </c:pt>
                <c:pt idx="155">
                  <c:v>0.56031776721630933</c:v>
                </c:pt>
                <c:pt idx="156">
                  <c:v>3.0830593286322228</c:v>
                </c:pt>
                <c:pt idx="157">
                  <c:v>-10.25404340464851</c:v>
                </c:pt>
                <c:pt idx="158">
                  <c:v>4.0661109319364694</c:v>
                </c:pt>
                <c:pt idx="159">
                  <c:v>-6.5188360987815841</c:v>
                </c:pt>
                <c:pt idx="160">
                  <c:v>1.2423937236054152</c:v>
                </c:pt>
                <c:pt idx="161">
                  <c:v>-5.230121980229093</c:v>
                </c:pt>
                <c:pt idx="162">
                  <c:v>-2.8037987156424928</c:v>
                </c:pt>
                <c:pt idx="163">
                  <c:v>2.825211038783249</c:v>
                </c:pt>
                <c:pt idx="164">
                  <c:v>-3.5717329909907445</c:v>
                </c:pt>
                <c:pt idx="165">
                  <c:v>5.542167953994479</c:v>
                </c:pt>
                <c:pt idx="166">
                  <c:v>11.087288334485097</c:v>
                </c:pt>
                <c:pt idx="167">
                  <c:v>0.56031776721630933</c:v>
                </c:pt>
                <c:pt idx="168">
                  <c:v>3.0830593286322232</c:v>
                </c:pt>
                <c:pt idx="169">
                  <c:v>-10.25404340464851</c:v>
                </c:pt>
                <c:pt idx="170">
                  <c:v>4.0661109319364694</c:v>
                </c:pt>
                <c:pt idx="171">
                  <c:v>-6.5188360987815841</c:v>
                </c:pt>
                <c:pt idx="172">
                  <c:v>1.2423937236054154</c:v>
                </c:pt>
                <c:pt idx="173">
                  <c:v>-5.230121980229093</c:v>
                </c:pt>
                <c:pt idx="174">
                  <c:v>-2.8037987156424928</c:v>
                </c:pt>
                <c:pt idx="175">
                  <c:v>2.825211038783249</c:v>
                </c:pt>
                <c:pt idx="176">
                  <c:v>-3.571732990990744</c:v>
                </c:pt>
                <c:pt idx="177">
                  <c:v>5.542167953994479</c:v>
                </c:pt>
                <c:pt idx="178">
                  <c:v>11.087288334485097</c:v>
                </c:pt>
                <c:pt idx="179">
                  <c:v>0.56031776721630933</c:v>
                </c:pt>
                <c:pt idx="180">
                  <c:v>3.0830593286322228</c:v>
                </c:pt>
                <c:pt idx="181">
                  <c:v>-10.25404340464851</c:v>
                </c:pt>
                <c:pt idx="182">
                  <c:v>4.0661109319364694</c:v>
                </c:pt>
                <c:pt idx="183">
                  <c:v>-6.5188360987815841</c:v>
                </c:pt>
                <c:pt idx="184">
                  <c:v>1.2423937236054152</c:v>
                </c:pt>
                <c:pt idx="185">
                  <c:v>-5.230121980229093</c:v>
                </c:pt>
                <c:pt idx="186">
                  <c:v>-2.8037987156424928</c:v>
                </c:pt>
                <c:pt idx="187">
                  <c:v>2.825211038783249</c:v>
                </c:pt>
                <c:pt idx="188">
                  <c:v>-3.5717329909907445</c:v>
                </c:pt>
                <c:pt idx="189">
                  <c:v>5.542167953994479</c:v>
                </c:pt>
                <c:pt idx="190">
                  <c:v>11.087288334485097</c:v>
                </c:pt>
                <c:pt idx="191">
                  <c:v>0.56031776721630933</c:v>
                </c:pt>
                <c:pt idx="192">
                  <c:v>3.0830593286322228</c:v>
                </c:pt>
                <c:pt idx="193">
                  <c:v>-10.25404340464851</c:v>
                </c:pt>
                <c:pt idx="194">
                  <c:v>4.0661109319364694</c:v>
                </c:pt>
                <c:pt idx="195">
                  <c:v>-6.5188360987815841</c:v>
                </c:pt>
                <c:pt idx="196">
                  <c:v>1.2423937236054154</c:v>
                </c:pt>
                <c:pt idx="197">
                  <c:v>-5.230121980229093</c:v>
                </c:pt>
                <c:pt idx="198">
                  <c:v>-2.8037987156424928</c:v>
                </c:pt>
                <c:pt idx="199">
                  <c:v>2.825211038783249</c:v>
                </c:pt>
                <c:pt idx="200">
                  <c:v>-3.5717329909907445</c:v>
                </c:pt>
                <c:pt idx="201">
                  <c:v>5.542167953994479</c:v>
                </c:pt>
                <c:pt idx="202">
                  <c:v>11.087288334485097</c:v>
                </c:pt>
                <c:pt idx="203">
                  <c:v>0.56031776721630955</c:v>
                </c:pt>
                <c:pt idx="204">
                  <c:v>3.0830593286322228</c:v>
                </c:pt>
                <c:pt idx="205">
                  <c:v>-10.25404340464851</c:v>
                </c:pt>
                <c:pt idx="206">
                  <c:v>4.0661109319364694</c:v>
                </c:pt>
                <c:pt idx="207">
                  <c:v>-6.5188360987815841</c:v>
                </c:pt>
                <c:pt idx="208">
                  <c:v>1.2423937236054154</c:v>
                </c:pt>
                <c:pt idx="209">
                  <c:v>-5.230121980229093</c:v>
                </c:pt>
                <c:pt idx="210">
                  <c:v>-2.8037987156424928</c:v>
                </c:pt>
                <c:pt idx="211">
                  <c:v>2.825211038783249</c:v>
                </c:pt>
                <c:pt idx="212">
                  <c:v>-3.5717329909907445</c:v>
                </c:pt>
                <c:pt idx="213">
                  <c:v>5.542167953994479</c:v>
                </c:pt>
                <c:pt idx="214">
                  <c:v>11.087288334485097</c:v>
                </c:pt>
                <c:pt idx="215">
                  <c:v>0.5603177672163091</c:v>
                </c:pt>
                <c:pt idx="216">
                  <c:v>3.0830593286322228</c:v>
                </c:pt>
                <c:pt idx="217">
                  <c:v>-10.25404340464851</c:v>
                </c:pt>
                <c:pt idx="218">
                  <c:v>4.0661109319364677</c:v>
                </c:pt>
                <c:pt idx="219">
                  <c:v>-6.5188360987815841</c:v>
                </c:pt>
                <c:pt idx="220">
                  <c:v>1.2423937236054154</c:v>
                </c:pt>
                <c:pt idx="221">
                  <c:v>-5.230121980229093</c:v>
                </c:pt>
                <c:pt idx="222">
                  <c:v>-2.8037987156424928</c:v>
                </c:pt>
                <c:pt idx="223">
                  <c:v>2.8252110387832485</c:v>
                </c:pt>
                <c:pt idx="224">
                  <c:v>-3.5717329909907445</c:v>
                </c:pt>
                <c:pt idx="225">
                  <c:v>5.542167953994479</c:v>
                </c:pt>
                <c:pt idx="226">
                  <c:v>11.087288334485097</c:v>
                </c:pt>
                <c:pt idx="227">
                  <c:v>0.56031776721630933</c:v>
                </c:pt>
                <c:pt idx="228">
                  <c:v>3.0830593286322228</c:v>
                </c:pt>
                <c:pt idx="229">
                  <c:v>-10.25404340464851</c:v>
                </c:pt>
                <c:pt idx="230">
                  <c:v>4.0661109319364694</c:v>
                </c:pt>
                <c:pt idx="231">
                  <c:v>-6.5188360987815841</c:v>
                </c:pt>
                <c:pt idx="232">
                  <c:v>1.2423937236054152</c:v>
                </c:pt>
                <c:pt idx="233">
                  <c:v>-5.230121980229093</c:v>
                </c:pt>
                <c:pt idx="234">
                  <c:v>-2.8037987156424928</c:v>
                </c:pt>
                <c:pt idx="235">
                  <c:v>2.825211038783249</c:v>
                </c:pt>
                <c:pt idx="236">
                  <c:v>-3.5717329909907449</c:v>
                </c:pt>
                <c:pt idx="237">
                  <c:v>5.542167953994479</c:v>
                </c:pt>
                <c:pt idx="238">
                  <c:v>11.087288334485097</c:v>
                </c:pt>
              </c:numCache>
            </c:numRef>
          </c:val>
          <c:smooth val="0"/>
          <c:extLst>
            <c:ext xmlns:c16="http://schemas.microsoft.com/office/drawing/2014/chart" uri="{C3380CC4-5D6E-409C-BE32-E72D297353CC}">
              <c16:uniqueId val="{00000001-F5BA-42DC-B54A-1BAF6216850D}"/>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TSOPER!$N$3</c:f>
          <c:strCache>
            <c:ptCount val="1"/>
            <c:pt idx="0">
              <c:v>IBC-Br SA IDX(37622)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19050" cap="rnd">
              <a:solidFill>
                <a:schemeClr val="accent1"/>
              </a:solidFill>
              <a:round/>
            </a:ln>
            <a:effectLst/>
          </c:spPr>
          <c:marker>
            <c:symbol val="none"/>
          </c:marker>
          <c:cat>
            <c:numRef>
              <c:f>TSOPER!$F$10:$F$249</c:f>
              <c:numCache>
                <c:formatCode>[$-416]mmm\-yy;@</c:formatCode>
                <c:ptCount val="24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TSOPER!$J$10:$J$249</c:f>
              <c:numCache>
                <c:formatCode>0.0%</c:formatCode>
                <c:ptCount val="240"/>
                <c:pt idx="0">
                  <c:v>1</c:v>
                </c:pt>
                <c:pt idx="1">
                  <c:v>1.0149328023892483</c:v>
                </c:pt>
                <c:pt idx="2">
                  <c:v>1.0157292185166749</c:v>
                </c:pt>
                <c:pt idx="3">
                  <c:v>1.0046789447486311</c:v>
                </c:pt>
                <c:pt idx="4">
                  <c:v>0.99442508710801392</c:v>
                </c:pt>
                <c:pt idx="5">
                  <c:v>0.99830761572921844</c:v>
                </c:pt>
                <c:pt idx="6">
                  <c:v>0.98626182180189137</c:v>
                </c:pt>
                <c:pt idx="7">
                  <c:v>0.99283225485316073</c:v>
                </c:pt>
                <c:pt idx="8">
                  <c:v>1.0125435540069685</c:v>
                </c:pt>
                <c:pt idx="9">
                  <c:v>1.0142359382777502</c:v>
                </c:pt>
                <c:pt idx="10">
                  <c:v>1.0151319064211051</c:v>
                </c:pt>
                <c:pt idx="11">
                  <c:v>1.0112493777999003</c:v>
                </c:pt>
                <c:pt idx="12">
                  <c:v>1.0310602289696364</c:v>
                </c:pt>
                <c:pt idx="13">
                  <c:v>1.0402190144350423</c:v>
                </c:pt>
                <c:pt idx="14">
                  <c:v>1.0550522648083624</c:v>
                </c:pt>
                <c:pt idx="15">
                  <c:v>1.0593330014932802</c:v>
                </c:pt>
                <c:pt idx="16">
                  <c:v>1.0596316575410651</c:v>
                </c:pt>
                <c:pt idx="17">
                  <c:v>1.0673967147834744</c:v>
                </c:pt>
                <c:pt idx="18">
                  <c:v>1.0733698357391737</c:v>
                </c:pt>
                <c:pt idx="19">
                  <c:v>1.0770532603285217</c:v>
                </c:pt>
                <c:pt idx="20">
                  <c:v>1.0896963663514185</c:v>
                </c:pt>
                <c:pt idx="21">
                  <c:v>1.0824290691886511</c:v>
                </c:pt>
                <c:pt idx="22">
                  <c:v>1.0912891986062718</c:v>
                </c:pt>
                <c:pt idx="23">
                  <c:v>1.0830263812842211</c:v>
                </c:pt>
                <c:pt idx="24">
                  <c:v>1.0912891986062718</c:v>
                </c:pt>
                <c:pt idx="25">
                  <c:v>1.0964659034345445</c:v>
                </c:pt>
                <c:pt idx="26">
                  <c:v>1.099352911896466</c:v>
                </c:pt>
                <c:pt idx="27">
                  <c:v>1.1045296167247387</c:v>
                </c:pt>
                <c:pt idx="28">
                  <c:v>1.104927824788452</c:v>
                </c:pt>
                <c:pt idx="29">
                  <c:v>1.1013439522150323</c:v>
                </c:pt>
                <c:pt idx="30">
                  <c:v>1.1013439522150323</c:v>
                </c:pt>
                <c:pt idx="31">
                  <c:v>1.1079143852663016</c:v>
                </c:pt>
                <c:pt idx="32">
                  <c:v>1.1036336485813838</c:v>
                </c:pt>
                <c:pt idx="33">
                  <c:v>1.1055251368840218</c:v>
                </c:pt>
                <c:pt idx="34">
                  <c:v>1.1130910900945743</c:v>
                </c:pt>
                <c:pt idx="35">
                  <c:v>1.1181682429069189</c:v>
                </c:pt>
                <c:pt idx="36">
                  <c:v>1.128720756595321</c:v>
                </c:pt>
                <c:pt idx="37">
                  <c:v>1.1310104529616725</c:v>
                </c:pt>
                <c:pt idx="38">
                  <c:v>1.1304131408661025</c:v>
                </c:pt>
                <c:pt idx="39">
                  <c:v>1.1371826779492284</c:v>
                </c:pt>
                <c:pt idx="40">
                  <c:v>1.1514186162269786</c:v>
                </c:pt>
                <c:pt idx="41">
                  <c:v>1.1420607267297163</c:v>
                </c:pt>
                <c:pt idx="42">
                  <c:v>1.1641612742658038</c:v>
                </c:pt>
                <c:pt idx="43">
                  <c:v>1.1609756097560975</c:v>
                </c:pt>
                <c:pt idx="44">
                  <c:v>1.1629666500746638</c:v>
                </c:pt>
                <c:pt idx="45">
                  <c:v>1.1754106520657042</c:v>
                </c:pt>
                <c:pt idx="46">
                  <c:v>1.1833748133399702</c:v>
                </c:pt>
                <c:pt idx="47">
                  <c:v>1.1933300149328023</c:v>
                </c:pt>
                <c:pt idx="48">
                  <c:v>1.1912394225983076</c:v>
                </c:pt>
                <c:pt idx="49">
                  <c:v>1.196316575410652</c:v>
                </c:pt>
                <c:pt idx="50">
                  <c:v>1.1886510701841713</c:v>
                </c:pt>
                <c:pt idx="51">
                  <c:v>1.2063713290194127</c:v>
                </c:pt>
                <c:pt idx="52">
                  <c:v>1.2183175709308112</c:v>
                </c:pt>
                <c:pt idx="53">
                  <c:v>1.2285714285714284</c:v>
                </c:pt>
                <c:pt idx="54">
                  <c:v>1.236734693877551</c:v>
                </c:pt>
                <c:pt idx="55">
                  <c:v>1.2378297660527626</c:v>
                </c:pt>
                <c:pt idx="56">
                  <c:v>1.2478845196615231</c:v>
                </c:pt>
                <c:pt idx="57">
                  <c:v>1.2575410652065704</c:v>
                </c:pt>
                <c:pt idx="58">
                  <c:v>1.2560477849676457</c:v>
                </c:pt>
                <c:pt idx="59">
                  <c:v>1.2639123942259829</c:v>
                </c:pt>
                <c:pt idx="60">
                  <c:v>1.2665007466401195</c:v>
                </c:pt>
                <c:pt idx="61">
                  <c:v>1.2626182180189149</c:v>
                </c:pt>
                <c:pt idx="62">
                  <c:v>1.2587356893977102</c:v>
                </c:pt>
                <c:pt idx="63">
                  <c:v>1.2712792434046789</c:v>
                </c:pt>
                <c:pt idx="64">
                  <c:v>1.2882030861124938</c:v>
                </c:pt>
                <c:pt idx="65">
                  <c:v>1.3060228969636634</c:v>
                </c:pt>
                <c:pt idx="66">
                  <c:v>1.3034345445495272</c:v>
                </c:pt>
                <c:pt idx="67">
                  <c:v>1.304031856645097</c:v>
                </c:pt>
                <c:pt idx="68">
                  <c:v>1.3034345445495272</c:v>
                </c:pt>
                <c:pt idx="69">
                  <c:v>1.2761572921851667</c:v>
                </c:pt>
                <c:pt idx="70">
                  <c:v>1.2439024390243902</c:v>
                </c:pt>
                <c:pt idx="71">
                  <c:v>1.2038825286212047</c:v>
                </c:pt>
                <c:pt idx="72">
                  <c:v>1.2027874564459928</c:v>
                </c:pt>
                <c:pt idx="73">
                  <c:v>1.2164260826281732</c:v>
                </c:pt>
                <c:pt idx="74">
                  <c:v>1.2241911398705823</c:v>
                </c:pt>
                <c:pt idx="75">
                  <c:v>1.2308611249377799</c:v>
                </c:pt>
                <c:pt idx="76">
                  <c:v>1.2431060228969637</c:v>
                </c:pt>
                <c:pt idx="77">
                  <c:v>1.2536585365853659</c:v>
                </c:pt>
                <c:pt idx="78">
                  <c:v>1.2572424091587855</c:v>
                </c:pt>
                <c:pt idx="79">
                  <c:v>1.2751617720258834</c:v>
                </c:pt>
                <c:pt idx="80">
                  <c:v>1.2854156296665007</c:v>
                </c:pt>
                <c:pt idx="81">
                  <c:v>1.2920856147336983</c:v>
                </c:pt>
                <c:pt idx="82">
                  <c:v>1.2943753111000498</c:v>
                </c:pt>
                <c:pt idx="83">
                  <c:v>1.3071179691388752</c:v>
                </c:pt>
                <c:pt idx="84">
                  <c:v>1.328720756595321</c:v>
                </c:pt>
                <c:pt idx="85">
                  <c:v>1.3456445993031356</c:v>
                </c:pt>
                <c:pt idx="86">
                  <c:v>1.3597809855649576</c:v>
                </c:pt>
                <c:pt idx="87">
                  <c:v>1.3643603782976605</c:v>
                </c:pt>
                <c:pt idx="88">
                  <c:v>1.3587854654056746</c:v>
                </c:pt>
                <c:pt idx="89">
                  <c:v>1.356197112991538</c:v>
                </c:pt>
                <c:pt idx="90">
                  <c:v>1.3631657541065207</c:v>
                </c:pt>
                <c:pt idx="91">
                  <c:v>1.3705326032852163</c:v>
                </c:pt>
                <c:pt idx="92">
                  <c:v>1.3878546540567447</c:v>
                </c:pt>
                <c:pt idx="93">
                  <c:v>1.3809855649576903</c:v>
                </c:pt>
                <c:pt idx="94">
                  <c:v>1.3946241911398707</c:v>
                </c:pt>
                <c:pt idx="95">
                  <c:v>1.3767048282727723</c:v>
                </c:pt>
                <c:pt idx="96">
                  <c:v>1.3951219512195121</c:v>
                </c:pt>
                <c:pt idx="97">
                  <c:v>1.4008959681433548</c:v>
                </c:pt>
                <c:pt idx="98">
                  <c:v>1.404678944748631</c:v>
                </c:pt>
                <c:pt idx="99">
                  <c:v>1.4020905923344948</c:v>
                </c:pt>
                <c:pt idx="100">
                  <c:v>1.4063713290194126</c:v>
                </c:pt>
                <c:pt idx="101">
                  <c:v>1.4158287705326031</c:v>
                </c:pt>
                <c:pt idx="102">
                  <c:v>1.4161274265803883</c:v>
                </c:pt>
                <c:pt idx="103">
                  <c:v>1.413240418118467</c:v>
                </c:pt>
                <c:pt idx="104">
                  <c:v>1.4115480338476853</c:v>
                </c:pt>
                <c:pt idx="105">
                  <c:v>1.4094574415131906</c:v>
                </c:pt>
                <c:pt idx="106">
                  <c:v>1.4161274265803883</c:v>
                </c:pt>
                <c:pt idx="107">
                  <c:v>1.3982080637132901</c:v>
                </c:pt>
                <c:pt idx="108">
                  <c:v>1.3824788451966152</c:v>
                </c:pt>
                <c:pt idx="109">
                  <c:v>1.3986062717770036</c:v>
                </c:pt>
                <c:pt idx="110">
                  <c:v>1.3943255350920856</c:v>
                </c:pt>
                <c:pt idx="111">
                  <c:v>1.4040816326530612</c:v>
                </c:pt>
                <c:pt idx="112">
                  <c:v>1.4203086112493777</c:v>
                </c:pt>
                <c:pt idx="113">
                  <c:v>1.4291687406669984</c:v>
                </c:pt>
                <c:pt idx="114">
                  <c:v>1.4338476854156297</c:v>
                </c:pt>
                <c:pt idx="115">
                  <c:v>1.4370333499253358</c:v>
                </c:pt>
                <c:pt idx="116">
                  <c:v>1.4306620209059233</c:v>
                </c:pt>
                <c:pt idx="117">
                  <c:v>1.4421105027376806</c:v>
                </c:pt>
                <c:pt idx="118">
                  <c:v>1.4393230462916875</c:v>
                </c:pt>
                <c:pt idx="119">
                  <c:v>1.4351418616226979</c:v>
                </c:pt>
                <c:pt idx="120">
                  <c:v>1.4434046789447488</c:v>
                </c:pt>
                <c:pt idx="121">
                  <c:v>1.4312593330014933</c:v>
                </c:pt>
                <c:pt idx="122">
                  <c:v>1.4430064708810353</c:v>
                </c:pt>
                <c:pt idx="123">
                  <c:v>1.4558486809357889</c:v>
                </c:pt>
                <c:pt idx="124">
                  <c:v>1.46172224987556</c:v>
                </c:pt>
                <c:pt idx="125">
                  <c:v>1.4569437531110003</c:v>
                </c:pt>
                <c:pt idx="126">
                  <c:v>1.4653061224489796</c:v>
                </c:pt>
                <c:pt idx="127">
                  <c:v>1.4645097063215531</c:v>
                </c:pt>
                <c:pt idx="128">
                  <c:v>1.4747635639621701</c:v>
                </c:pt>
                <c:pt idx="129">
                  <c:v>1.4732702837232454</c:v>
                </c:pt>
                <c:pt idx="130">
                  <c:v>1.4767546042807367</c:v>
                </c:pt>
                <c:pt idx="131">
                  <c:v>1.4794425087108014</c:v>
                </c:pt>
                <c:pt idx="132">
                  <c:v>1.4760577401692385</c:v>
                </c:pt>
                <c:pt idx="133">
                  <c:v>1.4718765555002489</c:v>
                </c:pt>
                <c:pt idx="134">
                  <c:v>1.4722747635639619</c:v>
                </c:pt>
                <c:pt idx="135">
                  <c:v>1.4622200099552014</c:v>
                </c:pt>
                <c:pt idx="136">
                  <c:v>1.4564459930313589</c:v>
                </c:pt>
                <c:pt idx="137">
                  <c:v>1.4296665007466403</c:v>
                </c:pt>
                <c:pt idx="138">
                  <c:v>1.4416127426580387</c:v>
                </c:pt>
                <c:pt idx="139">
                  <c:v>1.4492782478845196</c:v>
                </c:pt>
                <c:pt idx="140">
                  <c:v>1.4558486809357889</c:v>
                </c:pt>
                <c:pt idx="141">
                  <c:v>1.4476854156296664</c:v>
                </c:pt>
                <c:pt idx="142">
                  <c:v>1.4490791438526629</c:v>
                </c:pt>
                <c:pt idx="143">
                  <c:v>1.455550024888004</c:v>
                </c:pt>
                <c:pt idx="144">
                  <c:v>1.4431060228969637</c:v>
                </c:pt>
                <c:pt idx="145">
                  <c:v>1.4333499253359878</c:v>
                </c:pt>
                <c:pt idx="146">
                  <c:v>1.4308611249377798</c:v>
                </c:pt>
                <c:pt idx="147">
                  <c:v>1.4174216027874564</c:v>
                </c:pt>
                <c:pt idx="148">
                  <c:v>1.4044798407167747</c:v>
                </c:pt>
                <c:pt idx="149">
                  <c:v>1.3895470383275261</c:v>
                </c:pt>
                <c:pt idx="150">
                  <c:v>1.3804878048780487</c:v>
                </c:pt>
                <c:pt idx="151">
                  <c:v>1.3830761572921852</c:v>
                </c:pt>
                <c:pt idx="152">
                  <c:v>1.3695370831259333</c:v>
                </c:pt>
                <c:pt idx="153">
                  <c:v>1.3788949726231954</c:v>
                </c:pt>
                <c:pt idx="154">
                  <c:v>1.3606769537083125</c:v>
                </c:pt>
                <c:pt idx="155">
                  <c:v>1.3569935291189645</c:v>
                </c:pt>
                <c:pt idx="156">
                  <c:v>1.3491289198606273</c:v>
                </c:pt>
                <c:pt idx="157">
                  <c:v>1.3490293678446987</c:v>
                </c:pt>
                <c:pt idx="158">
                  <c:v>1.3400696864111499</c:v>
                </c:pt>
                <c:pt idx="159">
                  <c:v>1.3412643106022895</c:v>
                </c:pt>
                <c:pt idx="160">
                  <c:v>1.3368840219014433</c:v>
                </c:pt>
                <c:pt idx="161">
                  <c:v>1.3423593827775013</c:v>
                </c:pt>
                <c:pt idx="162">
                  <c:v>1.3400696864111499</c:v>
                </c:pt>
                <c:pt idx="163">
                  <c:v>1.333997013439522</c:v>
                </c:pt>
                <c:pt idx="164">
                  <c:v>1.3315082130413141</c:v>
                </c:pt>
                <c:pt idx="165">
                  <c:v>1.3270283723245397</c:v>
                </c:pt>
                <c:pt idx="166">
                  <c:v>1.3242409158785466</c:v>
                </c:pt>
                <c:pt idx="167">
                  <c:v>1.3176704828272774</c:v>
                </c:pt>
                <c:pt idx="168">
                  <c:v>1.3277252364360379</c:v>
                </c:pt>
                <c:pt idx="169">
                  <c:v>1.3479342956694873</c:v>
                </c:pt>
                <c:pt idx="170">
                  <c:v>1.3504230960676953</c:v>
                </c:pt>
                <c:pt idx="171">
                  <c:v>1.3516177202588353</c:v>
                </c:pt>
                <c:pt idx="172">
                  <c:v>1.3456445993031356</c:v>
                </c:pt>
                <c:pt idx="173">
                  <c:v>1.3543056246888998</c:v>
                </c:pt>
                <c:pt idx="174">
                  <c:v>1.3587854654056746</c:v>
                </c:pt>
                <c:pt idx="175">
                  <c:v>1.3520159283225486</c:v>
                </c:pt>
                <c:pt idx="176">
                  <c:v>1.3488302638128422</c:v>
                </c:pt>
                <c:pt idx="177">
                  <c:v>1.3516177202588353</c:v>
                </c:pt>
                <c:pt idx="178">
                  <c:v>1.3496266799402687</c:v>
                </c:pt>
                <c:pt idx="179">
                  <c:v>1.3681433549029367</c:v>
                </c:pt>
                <c:pt idx="180">
                  <c:v>1.362369337979094</c:v>
                </c:pt>
                <c:pt idx="181">
                  <c:v>1.3602787456445991</c:v>
                </c:pt>
                <c:pt idx="182">
                  <c:v>1.3664509706321553</c:v>
                </c:pt>
                <c:pt idx="183">
                  <c:v>1.3774016923842709</c:v>
                </c:pt>
                <c:pt idx="184">
                  <c:v>1.3279243404678942</c:v>
                </c:pt>
                <c:pt idx="185">
                  <c:v>1.3682429069188651</c:v>
                </c:pt>
                <c:pt idx="186">
                  <c:v>1.3742160278745643</c:v>
                </c:pt>
                <c:pt idx="187">
                  <c:v>1.3869586859133896</c:v>
                </c:pt>
                <c:pt idx="188">
                  <c:v>1.3737182677949229</c:v>
                </c:pt>
                <c:pt idx="189">
                  <c:v>1.3744151319064211</c:v>
                </c:pt>
                <c:pt idx="190">
                  <c:v>1.3724240915878547</c:v>
                </c:pt>
                <c:pt idx="191">
                  <c:v>1.3790940766550523</c:v>
                </c:pt>
                <c:pt idx="192">
                  <c:v>1.3785963165754105</c:v>
                </c:pt>
                <c:pt idx="193">
                  <c:v>1.3676455948232951</c:v>
                </c:pt>
                <c:pt idx="194">
                  <c:v>1.3779990044798405</c:v>
                </c:pt>
                <c:pt idx="195">
                  <c:v>1.374713787954206</c:v>
                </c:pt>
                <c:pt idx="196">
                  <c:v>1.3833748133399701</c:v>
                </c:pt>
                <c:pt idx="197">
                  <c:v>1.3836734693877553</c:v>
                </c:pt>
                <c:pt idx="198">
                  <c:v>1.3793927327028372</c:v>
                </c:pt>
                <c:pt idx="199">
                  <c:v>1.3796913887506221</c:v>
                </c:pt>
                <c:pt idx="200">
                  <c:v>1.3846689895470383</c:v>
                </c:pt>
                <c:pt idx="201">
                  <c:v>1.3933300149328025</c:v>
                </c:pt>
                <c:pt idx="202">
                  <c:v>1.3816824290691885</c:v>
                </c:pt>
                <c:pt idx="203">
                  <c:v>1.374713787954206</c:v>
                </c:pt>
                <c:pt idx="204">
                  <c:v>1.382080637132902</c:v>
                </c:pt>
                <c:pt idx="205">
                  <c:v>1.387356893977103</c:v>
                </c:pt>
                <c:pt idx="206">
                  <c:v>1.3153807864609257</c:v>
                </c:pt>
                <c:pt idx="207">
                  <c:v>1.1844698855151816</c:v>
                </c:pt>
                <c:pt idx="208">
                  <c:v>1.2092583374813339</c:v>
                </c:pt>
                <c:pt idx="209">
                  <c:v>1.2704828272772524</c:v>
                </c:pt>
                <c:pt idx="210">
                  <c:v>1.3116973618715777</c:v>
                </c:pt>
                <c:pt idx="211">
                  <c:v>1.3389746142359382</c:v>
                </c:pt>
                <c:pt idx="212">
                  <c:v>1.3582877053260327</c:v>
                </c:pt>
                <c:pt idx="213">
                  <c:v>1.3774016923842709</c:v>
                </c:pt>
                <c:pt idx="214">
                  <c:v>1.372822299651568</c:v>
                </c:pt>
                <c:pt idx="215">
                  <c:v>1.3757093081134892</c:v>
                </c:pt>
                <c:pt idx="216">
                  <c:v>1.3838725734196116</c:v>
                </c:pt>
                <c:pt idx="217">
                  <c:v>1.404678944748631</c:v>
                </c:pt>
                <c:pt idx="218">
                  <c:v>1.3822797411647585</c:v>
                </c:pt>
                <c:pt idx="219">
                  <c:v>1.3860627177700346</c:v>
                </c:pt>
                <c:pt idx="220">
                  <c:v>1.3865604778496765</c:v>
                </c:pt>
                <c:pt idx="221">
                  <c:v>1.3890492782478845</c:v>
                </c:pt>
                <c:pt idx="222">
                  <c:v>1.387356893977103</c:v>
                </c:pt>
                <c:pt idx="223">
                  <c:v>1.3887506222000996</c:v>
                </c:pt>
                <c:pt idx="224">
                  <c:v>1.3807864609258336</c:v>
                </c:pt>
                <c:pt idx="225">
                  <c:v>1.3814833250373322</c:v>
                </c:pt>
                <c:pt idx="226">
                  <c:v>1.3877551020408163</c:v>
                </c:pt>
                <c:pt idx="227">
                  <c:v>1.3922349427575909</c:v>
                </c:pt>
                <c:pt idx="228">
                  <c:v>1.382080637132902</c:v>
                </c:pt>
                <c:pt idx="229">
                  <c:v>1.3867595818815333</c:v>
                </c:pt>
              </c:numCache>
            </c:numRef>
          </c:val>
          <c:smooth val="0"/>
          <c:extLst>
            <c:ext xmlns:c16="http://schemas.microsoft.com/office/drawing/2014/chart" uri="{C3380CC4-5D6E-409C-BE32-E72D297353CC}">
              <c16:uniqueId val="{00000000-EA99-4096-AC1D-255E686524FF}"/>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APPLYCOLS!$O$3</c:f>
          <c:strCache>
            <c:ptCount val="1"/>
            <c:pt idx="0">
              <c:v>IBC-Br SA IDX(37622)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19050" cap="rnd">
              <a:solidFill>
                <a:schemeClr val="accent1"/>
              </a:solidFill>
              <a:round/>
            </a:ln>
            <a:effectLst/>
          </c:spPr>
          <c:marker>
            <c:symbol val="none"/>
          </c:marker>
          <c:cat>
            <c:numRef>
              <c:f>APPLYCOLS!$F$14:$F$247</c:f>
              <c:numCache>
                <c:formatCode>[$-416]mmm\-yy;@</c:formatCode>
                <c:ptCount val="234"/>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APPLYCOLS!$K$14:$K$247</c:f>
              <c:numCache>
                <c:formatCode>0.0%</c:formatCode>
                <c:ptCount val="234"/>
                <c:pt idx="0">
                  <c:v>1</c:v>
                </c:pt>
                <c:pt idx="1">
                  <c:v>1.0149328023892483</c:v>
                </c:pt>
                <c:pt idx="2">
                  <c:v>1.0157292185166749</c:v>
                </c:pt>
                <c:pt idx="3">
                  <c:v>1.0046789447486311</c:v>
                </c:pt>
                <c:pt idx="4">
                  <c:v>0.99442508710801392</c:v>
                </c:pt>
                <c:pt idx="5">
                  <c:v>0.99830761572921844</c:v>
                </c:pt>
                <c:pt idx="6">
                  <c:v>0.98626182180189137</c:v>
                </c:pt>
                <c:pt idx="7">
                  <c:v>0.99283225485316073</c:v>
                </c:pt>
                <c:pt idx="8">
                  <c:v>1.0125435540069685</c:v>
                </c:pt>
                <c:pt idx="9">
                  <c:v>1.0142359382777502</c:v>
                </c:pt>
                <c:pt idx="10">
                  <c:v>1.0151319064211051</c:v>
                </c:pt>
                <c:pt idx="11">
                  <c:v>1.0112493777999003</c:v>
                </c:pt>
                <c:pt idx="12">
                  <c:v>1.0310602289696364</c:v>
                </c:pt>
                <c:pt idx="13">
                  <c:v>1.0402190144350423</c:v>
                </c:pt>
                <c:pt idx="14">
                  <c:v>1.0550522648083624</c:v>
                </c:pt>
                <c:pt idx="15">
                  <c:v>1.0593330014932802</c:v>
                </c:pt>
                <c:pt idx="16">
                  <c:v>1.0596316575410651</c:v>
                </c:pt>
                <c:pt idx="17">
                  <c:v>1.0673967147834744</c:v>
                </c:pt>
                <c:pt idx="18">
                  <c:v>1.0733698357391737</c:v>
                </c:pt>
                <c:pt idx="19">
                  <c:v>1.0770532603285217</c:v>
                </c:pt>
                <c:pt idx="20">
                  <c:v>1.0896963663514185</c:v>
                </c:pt>
                <c:pt idx="21">
                  <c:v>1.0824290691886511</c:v>
                </c:pt>
                <c:pt idx="22">
                  <c:v>1.0912891986062718</c:v>
                </c:pt>
                <c:pt idx="23">
                  <c:v>1.0830263812842211</c:v>
                </c:pt>
                <c:pt idx="24">
                  <c:v>1.0912891986062718</c:v>
                </c:pt>
                <c:pt idx="25">
                  <c:v>1.0964659034345445</c:v>
                </c:pt>
                <c:pt idx="26">
                  <c:v>1.099352911896466</c:v>
                </c:pt>
                <c:pt idx="27">
                  <c:v>1.1045296167247387</c:v>
                </c:pt>
                <c:pt idx="28">
                  <c:v>1.104927824788452</c:v>
                </c:pt>
                <c:pt idx="29">
                  <c:v>1.1013439522150323</c:v>
                </c:pt>
                <c:pt idx="30">
                  <c:v>1.1013439522150323</c:v>
                </c:pt>
                <c:pt idx="31">
                  <c:v>1.1079143852663016</c:v>
                </c:pt>
                <c:pt idx="32">
                  <c:v>1.1036336485813838</c:v>
                </c:pt>
                <c:pt idx="33">
                  <c:v>1.1055251368840218</c:v>
                </c:pt>
                <c:pt idx="34">
                  <c:v>1.1130910900945743</c:v>
                </c:pt>
                <c:pt idx="35">
                  <c:v>1.1181682429069189</c:v>
                </c:pt>
                <c:pt idx="36">
                  <c:v>1.128720756595321</c:v>
                </c:pt>
                <c:pt idx="37">
                  <c:v>1.1310104529616725</c:v>
                </c:pt>
                <c:pt idx="38">
                  <c:v>1.1304131408661025</c:v>
                </c:pt>
                <c:pt idx="39">
                  <c:v>1.1371826779492284</c:v>
                </c:pt>
                <c:pt idx="40">
                  <c:v>1.1514186162269786</c:v>
                </c:pt>
                <c:pt idx="41">
                  <c:v>1.1420607267297163</c:v>
                </c:pt>
                <c:pt idx="42">
                  <c:v>1.1641612742658038</c:v>
                </c:pt>
                <c:pt idx="43">
                  <c:v>1.1609756097560975</c:v>
                </c:pt>
                <c:pt idx="44">
                  <c:v>1.1629666500746638</c:v>
                </c:pt>
                <c:pt idx="45">
                  <c:v>1.1754106520657042</c:v>
                </c:pt>
                <c:pt idx="46">
                  <c:v>1.1833748133399702</c:v>
                </c:pt>
                <c:pt idx="47">
                  <c:v>1.1933300149328023</c:v>
                </c:pt>
                <c:pt idx="48">
                  <c:v>1.1912394225983076</c:v>
                </c:pt>
                <c:pt idx="49">
                  <c:v>1.196316575410652</c:v>
                </c:pt>
                <c:pt idx="50">
                  <c:v>1.1886510701841713</c:v>
                </c:pt>
                <c:pt idx="51">
                  <c:v>1.2063713290194127</c:v>
                </c:pt>
                <c:pt idx="52">
                  <c:v>1.2183175709308112</c:v>
                </c:pt>
                <c:pt idx="53">
                  <c:v>1.2285714285714284</c:v>
                </c:pt>
                <c:pt idx="54">
                  <c:v>1.236734693877551</c:v>
                </c:pt>
                <c:pt idx="55">
                  <c:v>1.2378297660527626</c:v>
                </c:pt>
                <c:pt idx="56">
                  <c:v>1.2478845196615231</c:v>
                </c:pt>
                <c:pt idx="57">
                  <c:v>1.2575410652065704</c:v>
                </c:pt>
                <c:pt idx="58">
                  <c:v>1.2560477849676457</c:v>
                </c:pt>
                <c:pt idx="59">
                  <c:v>1.2639123942259829</c:v>
                </c:pt>
                <c:pt idx="60">
                  <c:v>1.2665007466401195</c:v>
                </c:pt>
                <c:pt idx="61">
                  <c:v>1.2626182180189149</c:v>
                </c:pt>
                <c:pt idx="62">
                  <c:v>1.2587356893977102</c:v>
                </c:pt>
                <c:pt idx="63">
                  <c:v>1.2712792434046789</c:v>
                </c:pt>
                <c:pt idx="64">
                  <c:v>1.2882030861124938</c:v>
                </c:pt>
                <c:pt idx="65">
                  <c:v>1.3060228969636634</c:v>
                </c:pt>
                <c:pt idx="66">
                  <c:v>1.3034345445495272</c:v>
                </c:pt>
                <c:pt idx="67">
                  <c:v>1.304031856645097</c:v>
                </c:pt>
                <c:pt idx="68">
                  <c:v>1.3034345445495272</c:v>
                </c:pt>
                <c:pt idx="69">
                  <c:v>1.2761572921851667</c:v>
                </c:pt>
                <c:pt idx="70">
                  <c:v>1.2439024390243902</c:v>
                </c:pt>
                <c:pt idx="71">
                  <c:v>1.2038825286212047</c:v>
                </c:pt>
                <c:pt idx="72">
                  <c:v>1.2027874564459928</c:v>
                </c:pt>
                <c:pt idx="73">
                  <c:v>1.2164260826281732</c:v>
                </c:pt>
                <c:pt idx="74">
                  <c:v>1.2241911398705823</c:v>
                </c:pt>
                <c:pt idx="75">
                  <c:v>1.2308611249377799</c:v>
                </c:pt>
                <c:pt idx="76">
                  <c:v>1.2431060228969637</c:v>
                </c:pt>
                <c:pt idx="77">
                  <c:v>1.2536585365853659</c:v>
                </c:pt>
                <c:pt idx="78">
                  <c:v>1.2572424091587855</c:v>
                </c:pt>
                <c:pt idx="79">
                  <c:v>1.2751617720258834</c:v>
                </c:pt>
                <c:pt idx="80">
                  <c:v>1.2854156296665007</c:v>
                </c:pt>
                <c:pt idx="81">
                  <c:v>1.2920856147336983</c:v>
                </c:pt>
                <c:pt idx="82">
                  <c:v>1.2943753111000498</c:v>
                </c:pt>
                <c:pt idx="83">
                  <c:v>1.3071179691388752</c:v>
                </c:pt>
                <c:pt idx="84">
                  <c:v>1.328720756595321</c:v>
                </c:pt>
                <c:pt idx="85">
                  <c:v>1.3456445993031356</c:v>
                </c:pt>
                <c:pt idx="86">
                  <c:v>1.3597809855649576</c:v>
                </c:pt>
                <c:pt idx="87">
                  <c:v>1.3643603782976605</c:v>
                </c:pt>
                <c:pt idx="88">
                  <c:v>1.3587854654056746</c:v>
                </c:pt>
                <c:pt idx="89">
                  <c:v>1.356197112991538</c:v>
                </c:pt>
                <c:pt idx="90">
                  <c:v>1.3631657541065207</c:v>
                </c:pt>
                <c:pt idx="91">
                  <c:v>1.3705326032852163</c:v>
                </c:pt>
                <c:pt idx="92">
                  <c:v>1.3878546540567447</c:v>
                </c:pt>
                <c:pt idx="93">
                  <c:v>1.3809855649576903</c:v>
                </c:pt>
                <c:pt idx="94">
                  <c:v>1.3946241911398707</c:v>
                </c:pt>
                <c:pt idx="95">
                  <c:v>1.3767048282727723</c:v>
                </c:pt>
                <c:pt idx="96">
                  <c:v>1.3951219512195121</c:v>
                </c:pt>
                <c:pt idx="97">
                  <c:v>1.4008959681433548</c:v>
                </c:pt>
                <c:pt idx="98">
                  <c:v>1.404678944748631</c:v>
                </c:pt>
                <c:pt idx="99">
                  <c:v>1.4020905923344948</c:v>
                </c:pt>
                <c:pt idx="100">
                  <c:v>1.4063713290194126</c:v>
                </c:pt>
                <c:pt idx="101">
                  <c:v>1.4158287705326031</c:v>
                </c:pt>
                <c:pt idx="102">
                  <c:v>1.4161274265803883</c:v>
                </c:pt>
                <c:pt idx="103">
                  <c:v>1.413240418118467</c:v>
                </c:pt>
                <c:pt idx="104">
                  <c:v>1.4115480338476853</c:v>
                </c:pt>
                <c:pt idx="105">
                  <c:v>1.4094574415131906</c:v>
                </c:pt>
                <c:pt idx="106">
                  <c:v>1.4161274265803883</c:v>
                </c:pt>
                <c:pt idx="107">
                  <c:v>1.3982080637132901</c:v>
                </c:pt>
                <c:pt idx="108">
                  <c:v>1.3824788451966152</c:v>
                </c:pt>
                <c:pt idx="109">
                  <c:v>1.3986062717770036</c:v>
                </c:pt>
                <c:pt idx="110">
                  <c:v>1.3943255350920856</c:v>
                </c:pt>
                <c:pt idx="111">
                  <c:v>1.4040816326530612</c:v>
                </c:pt>
                <c:pt idx="112">
                  <c:v>1.4203086112493777</c:v>
                </c:pt>
                <c:pt idx="113">
                  <c:v>1.4291687406669984</c:v>
                </c:pt>
                <c:pt idx="114">
                  <c:v>1.4338476854156297</c:v>
                </c:pt>
                <c:pt idx="115">
                  <c:v>1.4370333499253358</c:v>
                </c:pt>
                <c:pt idx="116">
                  <c:v>1.4306620209059233</c:v>
                </c:pt>
                <c:pt idx="117">
                  <c:v>1.4421105027376806</c:v>
                </c:pt>
                <c:pt idx="118">
                  <c:v>1.4393230462916875</c:v>
                </c:pt>
                <c:pt idx="119">
                  <c:v>1.4351418616226979</c:v>
                </c:pt>
                <c:pt idx="120">
                  <c:v>1.4434046789447488</c:v>
                </c:pt>
                <c:pt idx="121">
                  <c:v>1.4312593330014933</c:v>
                </c:pt>
                <c:pt idx="122">
                  <c:v>1.4430064708810353</c:v>
                </c:pt>
                <c:pt idx="123">
                  <c:v>1.4558486809357889</c:v>
                </c:pt>
                <c:pt idx="124">
                  <c:v>1.46172224987556</c:v>
                </c:pt>
                <c:pt idx="125">
                  <c:v>1.4569437531110003</c:v>
                </c:pt>
                <c:pt idx="126">
                  <c:v>1.4653061224489796</c:v>
                </c:pt>
                <c:pt idx="127">
                  <c:v>1.4645097063215531</c:v>
                </c:pt>
                <c:pt idx="128">
                  <c:v>1.4747635639621701</c:v>
                </c:pt>
                <c:pt idx="129">
                  <c:v>1.4732702837232454</c:v>
                </c:pt>
                <c:pt idx="130">
                  <c:v>1.4767546042807367</c:v>
                </c:pt>
                <c:pt idx="131">
                  <c:v>1.4794425087108014</c:v>
                </c:pt>
                <c:pt idx="132">
                  <c:v>1.4760577401692385</c:v>
                </c:pt>
                <c:pt idx="133">
                  <c:v>1.4718765555002489</c:v>
                </c:pt>
                <c:pt idx="134">
                  <c:v>1.4722747635639619</c:v>
                </c:pt>
                <c:pt idx="135">
                  <c:v>1.4622200099552014</c:v>
                </c:pt>
                <c:pt idx="136">
                  <c:v>1.4564459930313589</c:v>
                </c:pt>
                <c:pt idx="137">
                  <c:v>1.4296665007466403</c:v>
                </c:pt>
                <c:pt idx="138">
                  <c:v>1.4416127426580387</c:v>
                </c:pt>
                <c:pt idx="139">
                  <c:v>1.4492782478845196</c:v>
                </c:pt>
                <c:pt idx="140">
                  <c:v>1.4558486809357889</c:v>
                </c:pt>
                <c:pt idx="141">
                  <c:v>1.4476854156296664</c:v>
                </c:pt>
                <c:pt idx="142">
                  <c:v>1.4490791438526629</c:v>
                </c:pt>
                <c:pt idx="143">
                  <c:v>1.455550024888004</c:v>
                </c:pt>
                <c:pt idx="144">
                  <c:v>1.4431060228969637</c:v>
                </c:pt>
                <c:pt idx="145">
                  <c:v>1.4333499253359878</c:v>
                </c:pt>
                <c:pt idx="146">
                  <c:v>1.4308611249377798</c:v>
                </c:pt>
                <c:pt idx="147">
                  <c:v>1.4174216027874564</c:v>
                </c:pt>
                <c:pt idx="148">
                  <c:v>1.4044798407167747</c:v>
                </c:pt>
                <c:pt idx="149">
                  <c:v>1.3895470383275261</c:v>
                </c:pt>
                <c:pt idx="150">
                  <c:v>1.3804878048780487</c:v>
                </c:pt>
                <c:pt idx="151">
                  <c:v>1.3830761572921852</c:v>
                </c:pt>
                <c:pt idx="152">
                  <c:v>1.3695370831259333</c:v>
                </c:pt>
                <c:pt idx="153">
                  <c:v>1.3788949726231954</c:v>
                </c:pt>
                <c:pt idx="154">
                  <c:v>1.3606769537083125</c:v>
                </c:pt>
                <c:pt idx="155">
                  <c:v>1.3569935291189645</c:v>
                </c:pt>
                <c:pt idx="156">
                  <c:v>1.3491289198606273</c:v>
                </c:pt>
                <c:pt idx="157">
                  <c:v>1.3490293678446987</c:v>
                </c:pt>
                <c:pt idx="158">
                  <c:v>1.3400696864111499</c:v>
                </c:pt>
                <c:pt idx="159">
                  <c:v>1.3412643106022895</c:v>
                </c:pt>
                <c:pt idx="160">
                  <c:v>1.3368840219014433</c:v>
                </c:pt>
                <c:pt idx="161">
                  <c:v>1.3423593827775013</c:v>
                </c:pt>
                <c:pt idx="162">
                  <c:v>1.3400696864111499</c:v>
                </c:pt>
                <c:pt idx="163">
                  <c:v>1.333997013439522</c:v>
                </c:pt>
                <c:pt idx="164">
                  <c:v>1.3315082130413141</c:v>
                </c:pt>
                <c:pt idx="165">
                  <c:v>1.3270283723245397</c:v>
                </c:pt>
                <c:pt idx="166">
                  <c:v>1.3242409158785466</c:v>
                </c:pt>
                <c:pt idx="167">
                  <c:v>1.3176704828272774</c:v>
                </c:pt>
                <c:pt idx="168">
                  <c:v>1.3277252364360379</c:v>
                </c:pt>
                <c:pt idx="169">
                  <c:v>1.3479342956694873</c:v>
                </c:pt>
                <c:pt idx="170">
                  <c:v>1.3504230960676953</c:v>
                </c:pt>
                <c:pt idx="171">
                  <c:v>1.3516177202588353</c:v>
                </c:pt>
                <c:pt idx="172">
                  <c:v>1.3456445993031356</c:v>
                </c:pt>
                <c:pt idx="173">
                  <c:v>1.3543056246888998</c:v>
                </c:pt>
                <c:pt idx="174">
                  <c:v>1.3587854654056746</c:v>
                </c:pt>
                <c:pt idx="175">
                  <c:v>1.3520159283225486</c:v>
                </c:pt>
                <c:pt idx="176">
                  <c:v>1.3488302638128422</c:v>
                </c:pt>
                <c:pt idx="177">
                  <c:v>1.3516177202588353</c:v>
                </c:pt>
                <c:pt idx="178">
                  <c:v>1.3496266799402687</c:v>
                </c:pt>
                <c:pt idx="179">
                  <c:v>1.3681433549029367</c:v>
                </c:pt>
                <c:pt idx="180">
                  <c:v>1.362369337979094</c:v>
                </c:pt>
                <c:pt idx="181">
                  <c:v>1.3602787456445991</c:v>
                </c:pt>
                <c:pt idx="182">
                  <c:v>1.3664509706321553</c:v>
                </c:pt>
                <c:pt idx="183">
                  <c:v>1.3774016923842709</c:v>
                </c:pt>
                <c:pt idx="184">
                  <c:v>1.3279243404678942</c:v>
                </c:pt>
                <c:pt idx="185">
                  <c:v>1.3682429069188651</c:v>
                </c:pt>
                <c:pt idx="186">
                  <c:v>1.3742160278745643</c:v>
                </c:pt>
                <c:pt idx="187">
                  <c:v>1.3869586859133896</c:v>
                </c:pt>
                <c:pt idx="188">
                  <c:v>1.3737182677949229</c:v>
                </c:pt>
                <c:pt idx="189">
                  <c:v>1.3744151319064211</c:v>
                </c:pt>
                <c:pt idx="190">
                  <c:v>1.3724240915878547</c:v>
                </c:pt>
                <c:pt idx="191">
                  <c:v>1.3790940766550523</c:v>
                </c:pt>
                <c:pt idx="192">
                  <c:v>1.3785963165754105</c:v>
                </c:pt>
                <c:pt idx="193">
                  <c:v>1.3676455948232951</c:v>
                </c:pt>
                <c:pt idx="194">
                  <c:v>1.3779990044798405</c:v>
                </c:pt>
                <c:pt idx="195">
                  <c:v>1.374713787954206</c:v>
                </c:pt>
                <c:pt idx="196">
                  <c:v>1.3833748133399701</c:v>
                </c:pt>
                <c:pt idx="197">
                  <c:v>1.3836734693877553</c:v>
                </c:pt>
                <c:pt idx="198">
                  <c:v>1.3793927327028372</c:v>
                </c:pt>
                <c:pt idx="199">
                  <c:v>1.3796913887506221</c:v>
                </c:pt>
                <c:pt idx="200">
                  <c:v>1.3846689895470383</c:v>
                </c:pt>
                <c:pt idx="201">
                  <c:v>1.3933300149328025</c:v>
                </c:pt>
                <c:pt idx="202">
                  <c:v>1.3816824290691885</c:v>
                </c:pt>
                <c:pt idx="203">
                  <c:v>1.374713787954206</c:v>
                </c:pt>
                <c:pt idx="204">
                  <c:v>1.382080637132902</c:v>
                </c:pt>
                <c:pt idx="205">
                  <c:v>1.387356893977103</c:v>
                </c:pt>
                <c:pt idx="206">
                  <c:v>1.3153807864609257</c:v>
                </c:pt>
                <c:pt idx="207">
                  <c:v>1.1844698855151816</c:v>
                </c:pt>
                <c:pt idx="208">
                  <c:v>1.2092583374813339</c:v>
                </c:pt>
                <c:pt idx="209">
                  <c:v>1.2704828272772524</c:v>
                </c:pt>
                <c:pt idx="210">
                  <c:v>1.3116973618715777</c:v>
                </c:pt>
                <c:pt idx="211">
                  <c:v>1.3389746142359382</c:v>
                </c:pt>
                <c:pt idx="212">
                  <c:v>1.3582877053260327</c:v>
                </c:pt>
                <c:pt idx="213">
                  <c:v>1.3774016923842709</c:v>
                </c:pt>
                <c:pt idx="214">
                  <c:v>1.372822299651568</c:v>
                </c:pt>
                <c:pt idx="215">
                  <c:v>1.3757093081134892</c:v>
                </c:pt>
                <c:pt idx="216">
                  <c:v>1.3838725734196116</c:v>
                </c:pt>
                <c:pt idx="217">
                  <c:v>1.404678944748631</c:v>
                </c:pt>
                <c:pt idx="218">
                  <c:v>1.3822797411647585</c:v>
                </c:pt>
                <c:pt idx="219">
                  <c:v>1.3860627177700346</c:v>
                </c:pt>
                <c:pt idx="220">
                  <c:v>1.3865604778496765</c:v>
                </c:pt>
                <c:pt idx="221">
                  <c:v>1.3890492782478845</c:v>
                </c:pt>
                <c:pt idx="222">
                  <c:v>1.387356893977103</c:v>
                </c:pt>
                <c:pt idx="223">
                  <c:v>1.3887506222000996</c:v>
                </c:pt>
                <c:pt idx="224">
                  <c:v>1.3807864609258336</c:v>
                </c:pt>
                <c:pt idx="225">
                  <c:v>1.3814833250373322</c:v>
                </c:pt>
                <c:pt idx="226">
                  <c:v>1.3877551020408163</c:v>
                </c:pt>
                <c:pt idx="227">
                  <c:v>1.3922349427575909</c:v>
                </c:pt>
                <c:pt idx="228">
                  <c:v>1.382080637132902</c:v>
                </c:pt>
                <c:pt idx="229">
                  <c:v>1.3867595818815333</c:v>
                </c:pt>
              </c:numCache>
            </c:numRef>
          </c:val>
          <c:smooth val="0"/>
          <c:extLst>
            <c:ext xmlns:c16="http://schemas.microsoft.com/office/drawing/2014/chart" uri="{C3380CC4-5D6E-409C-BE32-E72D297353CC}">
              <c16:uniqueId val="{00000000-5A91-4CA7-90E8-AB6D393BF189}"/>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Time</a:t>
            </a:r>
            <a:r>
              <a:rPr lang="en-US" baseline="0"/>
              <a:t> series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28575" cap="rnd">
              <a:solidFill>
                <a:schemeClr val="accent1"/>
              </a:solidFill>
              <a:round/>
            </a:ln>
            <a:effectLst/>
          </c:spPr>
          <c:marker>
            <c:symbol val="none"/>
          </c:marker>
          <c:cat>
            <c:numRef>
              <c:f>AGGREGBYDATE!$L$16:$L$70</c:f>
              <c:numCache>
                <c:formatCode>m/d/yyyy</c:formatCode>
                <c:ptCount val="55"/>
                <c:pt idx="1">
                  <c:v>24838</c:v>
                </c:pt>
                <c:pt idx="2">
                  <c:v>25204</c:v>
                </c:pt>
                <c:pt idx="3">
                  <c:v>25569</c:v>
                </c:pt>
                <c:pt idx="4">
                  <c:v>25934</c:v>
                </c:pt>
                <c:pt idx="5">
                  <c:v>26299</c:v>
                </c:pt>
                <c:pt idx="6">
                  <c:v>26665</c:v>
                </c:pt>
                <c:pt idx="7">
                  <c:v>27030</c:v>
                </c:pt>
                <c:pt idx="8">
                  <c:v>27395</c:v>
                </c:pt>
                <c:pt idx="9">
                  <c:v>27760</c:v>
                </c:pt>
                <c:pt idx="10">
                  <c:v>28126</c:v>
                </c:pt>
                <c:pt idx="11">
                  <c:v>28491</c:v>
                </c:pt>
                <c:pt idx="12">
                  <c:v>28856</c:v>
                </c:pt>
                <c:pt idx="13">
                  <c:v>29221</c:v>
                </c:pt>
                <c:pt idx="14">
                  <c:v>29587</c:v>
                </c:pt>
                <c:pt idx="15">
                  <c:v>29952</c:v>
                </c:pt>
                <c:pt idx="16">
                  <c:v>30317</c:v>
                </c:pt>
                <c:pt idx="17">
                  <c:v>30682</c:v>
                </c:pt>
                <c:pt idx="18">
                  <c:v>31048</c:v>
                </c:pt>
                <c:pt idx="19">
                  <c:v>31413</c:v>
                </c:pt>
                <c:pt idx="20">
                  <c:v>31778</c:v>
                </c:pt>
                <c:pt idx="21">
                  <c:v>32143</c:v>
                </c:pt>
                <c:pt idx="22">
                  <c:v>32509</c:v>
                </c:pt>
                <c:pt idx="23">
                  <c:v>32874</c:v>
                </c:pt>
                <c:pt idx="24">
                  <c:v>33239</c:v>
                </c:pt>
                <c:pt idx="25">
                  <c:v>33604</c:v>
                </c:pt>
                <c:pt idx="26">
                  <c:v>33970</c:v>
                </c:pt>
                <c:pt idx="27">
                  <c:v>34335</c:v>
                </c:pt>
                <c:pt idx="28">
                  <c:v>34700</c:v>
                </c:pt>
                <c:pt idx="29">
                  <c:v>35065</c:v>
                </c:pt>
                <c:pt idx="30">
                  <c:v>35431</c:v>
                </c:pt>
                <c:pt idx="31">
                  <c:v>35796</c:v>
                </c:pt>
                <c:pt idx="32">
                  <c:v>36161</c:v>
                </c:pt>
                <c:pt idx="33">
                  <c:v>36526</c:v>
                </c:pt>
                <c:pt idx="34">
                  <c:v>36892</c:v>
                </c:pt>
                <c:pt idx="35">
                  <c:v>37257</c:v>
                </c:pt>
                <c:pt idx="36">
                  <c:v>37622</c:v>
                </c:pt>
                <c:pt idx="37">
                  <c:v>37987</c:v>
                </c:pt>
                <c:pt idx="38">
                  <c:v>38353</c:v>
                </c:pt>
                <c:pt idx="39">
                  <c:v>38718</c:v>
                </c:pt>
                <c:pt idx="40">
                  <c:v>39083</c:v>
                </c:pt>
                <c:pt idx="41">
                  <c:v>39448</c:v>
                </c:pt>
                <c:pt idx="42">
                  <c:v>39814</c:v>
                </c:pt>
                <c:pt idx="43">
                  <c:v>40179</c:v>
                </c:pt>
                <c:pt idx="44">
                  <c:v>40544</c:v>
                </c:pt>
                <c:pt idx="45">
                  <c:v>40909</c:v>
                </c:pt>
                <c:pt idx="46">
                  <c:v>41275</c:v>
                </c:pt>
                <c:pt idx="47">
                  <c:v>41640</c:v>
                </c:pt>
                <c:pt idx="48">
                  <c:v>42005</c:v>
                </c:pt>
                <c:pt idx="49">
                  <c:v>42370</c:v>
                </c:pt>
                <c:pt idx="50">
                  <c:v>42736</c:v>
                </c:pt>
                <c:pt idx="51">
                  <c:v>43101</c:v>
                </c:pt>
                <c:pt idx="52">
                  <c:v>43466</c:v>
                </c:pt>
                <c:pt idx="53">
                  <c:v>43831</c:v>
                </c:pt>
                <c:pt idx="54">
                  <c:v>44197</c:v>
                </c:pt>
              </c:numCache>
            </c:numRef>
          </c:cat>
          <c:val>
            <c:numRef>
              <c:f>AGGREGBYDATE!$M$16:$M$70</c:f>
              <c:numCache>
                <c:formatCode>General</c:formatCode>
                <c:ptCount val="55"/>
                <c:pt idx="1">
                  <c:v>4.6117472168333338</c:v>
                </c:pt>
                <c:pt idx="2">
                  <c:v>6.3776569617499996</c:v>
                </c:pt>
                <c:pt idx="3">
                  <c:v>7.0800523682500005</c:v>
                </c:pt>
                <c:pt idx="4">
                  <c:v>5.1329448944166671</c:v>
                </c:pt>
                <c:pt idx="5">
                  <c:v>3.5712195252499992</c:v>
                </c:pt>
                <c:pt idx="6">
                  <c:v>3.6103678129166661</c:v>
                </c:pt>
                <c:pt idx="7">
                  <c:v>8.8286598818333335</c:v>
                </c:pt>
                <c:pt idx="8">
                  <c:v>9.9582386160833334</c:v>
                </c:pt>
                <c:pt idx="9">
                  <c:v>7.0692856911666659</c:v>
                </c:pt>
                <c:pt idx="10">
                  <c:v>6.7075894542500007</c:v>
                </c:pt>
                <c:pt idx="11">
                  <c:v>8.0957684430000008</c:v>
                </c:pt>
                <c:pt idx="12">
                  <c:v>10.595650194416667</c:v>
                </c:pt>
                <c:pt idx="13">
                  <c:v>13.887196271583333</c:v>
                </c:pt>
                <c:pt idx="14">
                  <c:v>10.789840377166664</c:v>
                </c:pt>
                <c:pt idx="15">
                  <c:v>7.6841269871666666</c:v>
                </c:pt>
                <c:pt idx="16">
                  <c:v>3.7056909053333329</c:v>
                </c:pt>
                <c:pt idx="17">
                  <c:v>4.8335659735833323</c:v>
                </c:pt>
                <c:pt idx="18">
                  <c:v>4.9301578615000006</c:v>
                </c:pt>
                <c:pt idx="19">
                  <c:v>5.001338704666666</c:v>
                </c:pt>
                <c:pt idx="20">
                  <c:v>4.3196375290000004</c:v>
                </c:pt>
                <c:pt idx="21">
                  <c:v>4.5864143740000012</c:v>
                </c:pt>
                <c:pt idx="22">
                  <c:v>4.7807034300833333</c:v>
                </c:pt>
                <c:pt idx="23">
                  <c:v>5.4553513410833325</c:v>
                </c:pt>
                <c:pt idx="24">
                  <c:v>4.94934712375</c:v>
                </c:pt>
                <c:pt idx="25">
                  <c:v>3.7854164745833327</c:v>
                </c:pt>
                <c:pt idx="26">
                  <c:v>3.5075261400833333</c:v>
                </c:pt>
                <c:pt idx="27">
                  <c:v>3.272151669249999</c:v>
                </c:pt>
                <c:pt idx="28">
                  <c:v>3.3182595421666665</c:v>
                </c:pt>
                <c:pt idx="29">
                  <c:v>3.0975148798333336</c:v>
                </c:pt>
                <c:pt idx="30">
                  <c:v>2.7571370443333336</c:v>
                </c:pt>
                <c:pt idx="31">
                  <c:v>2.6113656545833339</c:v>
                </c:pt>
                <c:pt idx="32">
                  <c:v>2.1803319249999999</c:v>
                </c:pt>
                <c:pt idx="33">
                  <c:v>2.6893860833333325</c:v>
                </c:pt>
                <c:pt idx="34">
                  <c:v>3.2341506916666671</c:v>
                </c:pt>
                <c:pt idx="35">
                  <c:v>3.2359565583333332</c:v>
                </c:pt>
                <c:pt idx="36">
                  <c:v>2.3300123500000001</c:v>
                </c:pt>
                <c:pt idx="37">
                  <c:v>2.2195945999999998</c:v>
                </c:pt>
                <c:pt idx="38">
                  <c:v>2.3142403083333334</c:v>
                </c:pt>
                <c:pt idx="39">
                  <c:v>2.9271037416666665</c:v>
                </c:pt>
                <c:pt idx="40">
                  <c:v>2.7630326000000003</c:v>
                </c:pt>
                <c:pt idx="41">
                  <c:v>2.8358705749999999</c:v>
                </c:pt>
                <c:pt idx="42">
                  <c:v>1.9872083500000002</c:v>
                </c:pt>
                <c:pt idx="43">
                  <c:v>0.83963542833333349</c:v>
                </c:pt>
                <c:pt idx="44">
                  <c:v>1.4652805608333332</c:v>
                </c:pt>
                <c:pt idx="45">
                  <c:v>2.1707786666666671</c:v>
                </c:pt>
                <c:pt idx="46">
                  <c:v>1.9449664416666668</c:v>
                </c:pt>
                <c:pt idx="47">
                  <c:v>1.9772887499999998</c:v>
                </c:pt>
                <c:pt idx="48">
                  <c:v>2.1673172916666665</c:v>
                </c:pt>
                <c:pt idx="49">
                  <c:v>2.5651574416666669</c:v>
                </c:pt>
                <c:pt idx="50">
                  <c:v>2.2593830833333333</c:v>
                </c:pt>
                <c:pt idx="51">
                  <c:v>2.41924275</c:v>
                </c:pt>
                <c:pt idx="52">
                  <c:v>2.5271332499999999</c:v>
                </c:pt>
                <c:pt idx="53">
                  <c:v>2.2242969166666668</c:v>
                </c:pt>
                <c:pt idx="54">
                  <c:v>2.4396640833333336</c:v>
                </c:pt>
              </c:numCache>
            </c:numRef>
          </c:val>
          <c:smooth val="0"/>
          <c:extLst>
            <c:ext xmlns:c16="http://schemas.microsoft.com/office/drawing/2014/chart" uri="{C3380CC4-5D6E-409C-BE32-E72D297353CC}">
              <c16:uniqueId val="{00000000-3857-4747-8477-389C5F55BD8C}"/>
            </c:ext>
          </c:extLst>
        </c:ser>
        <c:dLbls>
          <c:showLegendKey val="0"/>
          <c:showVal val="0"/>
          <c:showCatName val="0"/>
          <c:showSerName val="0"/>
          <c:showPercent val="0"/>
          <c:showBubbleSize val="0"/>
        </c:dLbls>
        <c:smooth val="0"/>
        <c:axId val="275725344"/>
        <c:axId val="275741568"/>
      </c:lineChart>
      <c:dateAx>
        <c:axId val="275725344"/>
        <c:scaling>
          <c:orientation val="minMax"/>
        </c:scaling>
        <c:delete val="0"/>
        <c:axPos val="b"/>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75741568"/>
        <c:crosses val="autoZero"/>
        <c:auto val="1"/>
        <c:lblOffset val="100"/>
        <c:baseTimeUnit val="months"/>
      </c:dateAx>
      <c:valAx>
        <c:axId val="275741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75725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Finding roots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28575" cap="rnd">
              <a:solidFill>
                <a:schemeClr val="accent1"/>
              </a:solidFill>
              <a:round/>
            </a:ln>
            <a:effectLst/>
          </c:spPr>
          <c:marker>
            <c:symbol val="none"/>
          </c:marker>
          <c:cat>
            <c:numRef>
              <c:f>FZERO!$L$14:$L$1014</c:f>
              <c:numCache>
                <c:formatCode>General</c:formatCode>
                <c:ptCount val="1001"/>
                <c:pt idx="0" formatCode="0.00">
                  <c:v>-5</c:v>
                </c:pt>
                <c:pt idx="1">
                  <c:v>-4.99</c:v>
                </c:pt>
                <c:pt idx="2">
                  <c:v>-4.9800000000000004</c:v>
                </c:pt>
                <c:pt idx="3">
                  <c:v>-4.97</c:v>
                </c:pt>
                <c:pt idx="4">
                  <c:v>-4.96</c:v>
                </c:pt>
                <c:pt idx="5">
                  <c:v>-4.95</c:v>
                </c:pt>
                <c:pt idx="6">
                  <c:v>-4.9400000000000004</c:v>
                </c:pt>
                <c:pt idx="7">
                  <c:v>-4.93</c:v>
                </c:pt>
                <c:pt idx="8">
                  <c:v>-4.92</c:v>
                </c:pt>
                <c:pt idx="9">
                  <c:v>-4.91</c:v>
                </c:pt>
                <c:pt idx="10">
                  <c:v>-4.9000000000000004</c:v>
                </c:pt>
                <c:pt idx="11">
                  <c:v>-4.8899999999999997</c:v>
                </c:pt>
                <c:pt idx="12">
                  <c:v>-4.88</c:v>
                </c:pt>
                <c:pt idx="13">
                  <c:v>-4.87</c:v>
                </c:pt>
                <c:pt idx="14">
                  <c:v>-4.8600000000000003</c:v>
                </c:pt>
                <c:pt idx="15">
                  <c:v>-4.8499999999999996</c:v>
                </c:pt>
                <c:pt idx="16">
                  <c:v>-4.84</c:v>
                </c:pt>
                <c:pt idx="17">
                  <c:v>-4.83</c:v>
                </c:pt>
                <c:pt idx="18">
                  <c:v>-4.82</c:v>
                </c:pt>
                <c:pt idx="19">
                  <c:v>-4.8099999999999996</c:v>
                </c:pt>
                <c:pt idx="20">
                  <c:v>-4.8</c:v>
                </c:pt>
                <c:pt idx="21">
                  <c:v>-4.79</c:v>
                </c:pt>
                <c:pt idx="22">
                  <c:v>-4.78</c:v>
                </c:pt>
                <c:pt idx="23">
                  <c:v>-4.7699999999999996</c:v>
                </c:pt>
                <c:pt idx="24">
                  <c:v>-4.76</c:v>
                </c:pt>
                <c:pt idx="25">
                  <c:v>-4.75</c:v>
                </c:pt>
                <c:pt idx="26">
                  <c:v>-4.74</c:v>
                </c:pt>
                <c:pt idx="27">
                  <c:v>-4.7300000000000004</c:v>
                </c:pt>
                <c:pt idx="28">
                  <c:v>-4.72</c:v>
                </c:pt>
                <c:pt idx="29">
                  <c:v>-4.71</c:v>
                </c:pt>
                <c:pt idx="30">
                  <c:v>-4.7</c:v>
                </c:pt>
                <c:pt idx="31">
                  <c:v>-4.6900000000000004</c:v>
                </c:pt>
                <c:pt idx="32">
                  <c:v>-4.68</c:v>
                </c:pt>
                <c:pt idx="33">
                  <c:v>-4.67</c:v>
                </c:pt>
                <c:pt idx="34">
                  <c:v>-4.66</c:v>
                </c:pt>
                <c:pt idx="35">
                  <c:v>-4.6500000000000004</c:v>
                </c:pt>
                <c:pt idx="36">
                  <c:v>-4.6399999999999997</c:v>
                </c:pt>
                <c:pt idx="37">
                  <c:v>-4.63</c:v>
                </c:pt>
                <c:pt idx="38">
                  <c:v>-4.62</c:v>
                </c:pt>
                <c:pt idx="39">
                  <c:v>-4.6100000000000003</c:v>
                </c:pt>
                <c:pt idx="40">
                  <c:v>-4.5999999999999996</c:v>
                </c:pt>
                <c:pt idx="41">
                  <c:v>-4.59</c:v>
                </c:pt>
                <c:pt idx="42">
                  <c:v>-4.58</c:v>
                </c:pt>
                <c:pt idx="43">
                  <c:v>-4.57</c:v>
                </c:pt>
                <c:pt idx="44">
                  <c:v>-4.5599999999999996</c:v>
                </c:pt>
                <c:pt idx="45">
                  <c:v>-4.55</c:v>
                </c:pt>
                <c:pt idx="46">
                  <c:v>-4.54</c:v>
                </c:pt>
                <c:pt idx="47">
                  <c:v>-4.53</c:v>
                </c:pt>
                <c:pt idx="48">
                  <c:v>-4.5199999999999996</c:v>
                </c:pt>
                <c:pt idx="49">
                  <c:v>-4.51</c:v>
                </c:pt>
                <c:pt idx="50">
                  <c:v>-4.5</c:v>
                </c:pt>
                <c:pt idx="51">
                  <c:v>-4.49</c:v>
                </c:pt>
                <c:pt idx="52">
                  <c:v>-4.4800000000000004</c:v>
                </c:pt>
                <c:pt idx="53">
                  <c:v>-4.47</c:v>
                </c:pt>
                <c:pt idx="54">
                  <c:v>-4.46</c:v>
                </c:pt>
                <c:pt idx="55">
                  <c:v>-4.45</c:v>
                </c:pt>
                <c:pt idx="56">
                  <c:v>-4.4399999999999995</c:v>
                </c:pt>
                <c:pt idx="57">
                  <c:v>-4.43</c:v>
                </c:pt>
                <c:pt idx="58">
                  <c:v>-4.42</c:v>
                </c:pt>
                <c:pt idx="59">
                  <c:v>-4.41</c:v>
                </c:pt>
                <c:pt idx="60">
                  <c:v>-4.4000000000000004</c:v>
                </c:pt>
                <c:pt idx="61">
                  <c:v>-4.3899999999999997</c:v>
                </c:pt>
                <c:pt idx="62">
                  <c:v>-4.38</c:v>
                </c:pt>
                <c:pt idx="63">
                  <c:v>-4.37</c:v>
                </c:pt>
                <c:pt idx="64">
                  <c:v>-4.3600000000000003</c:v>
                </c:pt>
                <c:pt idx="65">
                  <c:v>-4.3499999999999996</c:v>
                </c:pt>
                <c:pt idx="66">
                  <c:v>-4.34</c:v>
                </c:pt>
                <c:pt idx="67">
                  <c:v>-4.33</c:v>
                </c:pt>
                <c:pt idx="68">
                  <c:v>-4.32</c:v>
                </c:pt>
                <c:pt idx="69">
                  <c:v>-4.3099999999999996</c:v>
                </c:pt>
                <c:pt idx="70">
                  <c:v>-4.3</c:v>
                </c:pt>
                <c:pt idx="71">
                  <c:v>-4.29</c:v>
                </c:pt>
                <c:pt idx="72">
                  <c:v>-4.28</c:v>
                </c:pt>
                <c:pt idx="73">
                  <c:v>-4.2699999999999996</c:v>
                </c:pt>
                <c:pt idx="74">
                  <c:v>-4.26</c:v>
                </c:pt>
                <c:pt idx="75">
                  <c:v>-4.25</c:v>
                </c:pt>
                <c:pt idx="76">
                  <c:v>-4.24</c:v>
                </c:pt>
                <c:pt idx="77">
                  <c:v>-4.2300000000000004</c:v>
                </c:pt>
                <c:pt idx="78">
                  <c:v>-4.22</c:v>
                </c:pt>
                <c:pt idx="79">
                  <c:v>-4.21</c:v>
                </c:pt>
                <c:pt idx="80">
                  <c:v>-4.2</c:v>
                </c:pt>
                <c:pt idx="81">
                  <c:v>-4.1899999999999995</c:v>
                </c:pt>
                <c:pt idx="82">
                  <c:v>-4.18</c:v>
                </c:pt>
                <c:pt idx="83">
                  <c:v>-4.17</c:v>
                </c:pt>
                <c:pt idx="84">
                  <c:v>-4.16</c:v>
                </c:pt>
                <c:pt idx="85">
                  <c:v>-4.1500000000000004</c:v>
                </c:pt>
                <c:pt idx="86">
                  <c:v>-4.1399999999999997</c:v>
                </c:pt>
                <c:pt idx="87">
                  <c:v>-4.13</c:v>
                </c:pt>
                <c:pt idx="88">
                  <c:v>-4.12</c:v>
                </c:pt>
                <c:pt idx="89">
                  <c:v>-4.1100000000000003</c:v>
                </c:pt>
                <c:pt idx="90">
                  <c:v>-4.0999999999999996</c:v>
                </c:pt>
                <c:pt idx="91">
                  <c:v>-4.09</c:v>
                </c:pt>
                <c:pt idx="92">
                  <c:v>-4.08</c:v>
                </c:pt>
                <c:pt idx="93">
                  <c:v>-4.07</c:v>
                </c:pt>
                <c:pt idx="94">
                  <c:v>-4.0599999999999996</c:v>
                </c:pt>
                <c:pt idx="95">
                  <c:v>-4.05</c:v>
                </c:pt>
                <c:pt idx="96">
                  <c:v>-4.04</c:v>
                </c:pt>
                <c:pt idx="97">
                  <c:v>-4.03</c:v>
                </c:pt>
                <c:pt idx="98">
                  <c:v>-4.0199999999999996</c:v>
                </c:pt>
                <c:pt idx="99">
                  <c:v>-4.01</c:v>
                </c:pt>
                <c:pt idx="100">
                  <c:v>-4</c:v>
                </c:pt>
                <c:pt idx="101">
                  <c:v>-3.99</c:v>
                </c:pt>
                <c:pt idx="102">
                  <c:v>-3.98</c:v>
                </c:pt>
                <c:pt idx="103">
                  <c:v>-3.9699999999999998</c:v>
                </c:pt>
                <c:pt idx="104">
                  <c:v>-3.96</c:v>
                </c:pt>
                <c:pt idx="105">
                  <c:v>-3.95</c:v>
                </c:pt>
                <c:pt idx="106">
                  <c:v>-3.94</c:v>
                </c:pt>
                <c:pt idx="107">
                  <c:v>-3.9299999999999997</c:v>
                </c:pt>
                <c:pt idx="108">
                  <c:v>-3.92</c:v>
                </c:pt>
                <c:pt idx="109">
                  <c:v>-3.91</c:v>
                </c:pt>
                <c:pt idx="110">
                  <c:v>-3.9</c:v>
                </c:pt>
                <c:pt idx="111">
                  <c:v>-3.8899999999999997</c:v>
                </c:pt>
                <c:pt idx="112">
                  <c:v>-3.88</c:v>
                </c:pt>
                <c:pt idx="113">
                  <c:v>-3.87</c:v>
                </c:pt>
                <c:pt idx="114">
                  <c:v>-3.86</c:v>
                </c:pt>
                <c:pt idx="115">
                  <c:v>-3.8499999999999996</c:v>
                </c:pt>
                <c:pt idx="116">
                  <c:v>-3.84</c:v>
                </c:pt>
                <c:pt idx="117">
                  <c:v>-3.83</c:v>
                </c:pt>
                <c:pt idx="118">
                  <c:v>-3.8200000000000003</c:v>
                </c:pt>
                <c:pt idx="119">
                  <c:v>-3.81</c:v>
                </c:pt>
                <c:pt idx="120">
                  <c:v>-3.8</c:v>
                </c:pt>
                <c:pt idx="121">
                  <c:v>-3.79</c:v>
                </c:pt>
                <c:pt idx="122">
                  <c:v>-3.7800000000000002</c:v>
                </c:pt>
                <c:pt idx="123">
                  <c:v>-3.77</c:v>
                </c:pt>
                <c:pt idx="124">
                  <c:v>-3.76</c:v>
                </c:pt>
                <c:pt idx="125">
                  <c:v>-3.75</c:v>
                </c:pt>
                <c:pt idx="126">
                  <c:v>-3.74</c:v>
                </c:pt>
                <c:pt idx="127">
                  <c:v>-3.73</c:v>
                </c:pt>
                <c:pt idx="128">
                  <c:v>-3.7199999999999998</c:v>
                </c:pt>
                <c:pt idx="129">
                  <c:v>-3.71</c:v>
                </c:pt>
                <c:pt idx="130">
                  <c:v>-3.7</c:v>
                </c:pt>
                <c:pt idx="131">
                  <c:v>-3.69</c:v>
                </c:pt>
                <c:pt idx="132">
                  <c:v>-3.6799999999999997</c:v>
                </c:pt>
                <c:pt idx="133">
                  <c:v>-3.67</c:v>
                </c:pt>
                <c:pt idx="134">
                  <c:v>-3.66</c:v>
                </c:pt>
                <c:pt idx="135">
                  <c:v>-3.65</c:v>
                </c:pt>
                <c:pt idx="136">
                  <c:v>-3.6399999999999997</c:v>
                </c:pt>
                <c:pt idx="137">
                  <c:v>-3.63</c:v>
                </c:pt>
                <c:pt idx="138">
                  <c:v>-3.62</c:v>
                </c:pt>
                <c:pt idx="139">
                  <c:v>-3.61</c:v>
                </c:pt>
                <c:pt idx="140">
                  <c:v>-3.5999999999999996</c:v>
                </c:pt>
                <c:pt idx="141">
                  <c:v>-3.59</c:v>
                </c:pt>
                <c:pt idx="142">
                  <c:v>-3.58</c:v>
                </c:pt>
                <c:pt idx="143">
                  <c:v>-3.5700000000000003</c:v>
                </c:pt>
                <c:pt idx="144">
                  <c:v>-3.56</c:v>
                </c:pt>
                <c:pt idx="145">
                  <c:v>-3.55</c:v>
                </c:pt>
                <c:pt idx="146">
                  <c:v>-3.54</c:v>
                </c:pt>
                <c:pt idx="147">
                  <c:v>-3.5300000000000002</c:v>
                </c:pt>
                <c:pt idx="148">
                  <c:v>-3.52</c:v>
                </c:pt>
                <c:pt idx="149">
                  <c:v>-3.51</c:v>
                </c:pt>
                <c:pt idx="150">
                  <c:v>-3.5</c:v>
                </c:pt>
                <c:pt idx="151">
                  <c:v>-3.49</c:v>
                </c:pt>
                <c:pt idx="152">
                  <c:v>-3.48</c:v>
                </c:pt>
                <c:pt idx="153">
                  <c:v>-3.4699999999999998</c:v>
                </c:pt>
                <c:pt idx="154">
                  <c:v>-3.46</c:v>
                </c:pt>
                <c:pt idx="155">
                  <c:v>-3.45</c:v>
                </c:pt>
                <c:pt idx="156">
                  <c:v>-3.44</c:v>
                </c:pt>
                <c:pt idx="157">
                  <c:v>-3.4299999999999997</c:v>
                </c:pt>
                <c:pt idx="158">
                  <c:v>-3.42</c:v>
                </c:pt>
                <c:pt idx="159">
                  <c:v>-3.41</c:v>
                </c:pt>
                <c:pt idx="160">
                  <c:v>-3.4</c:v>
                </c:pt>
                <c:pt idx="161">
                  <c:v>-3.3899999999999997</c:v>
                </c:pt>
                <c:pt idx="162">
                  <c:v>-3.38</c:v>
                </c:pt>
                <c:pt idx="163">
                  <c:v>-3.37</c:v>
                </c:pt>
                <c:pt idx="164">
                  <c:v>-3.36</c:v>
                </c:pt>
                <c:pt idx="165">
                  <c:v>-3.3499999999999996</c:v>
                </c:pt>
                <c:pt idx="166">
                  <c:v>-3.34</c:v>
                </c:pt>
                <c:pt idx="167">
                  <c:v>-3.33</c:v>
                </c:pt>
                <c:pt idx="168">
                  <c:v>-3.3200000000000003</c:v>
                </c:pt>
                <c:pt idx="169">
                  <c:v>-3.31</c:v>
                </c:pt>
                <c:pt idx="170">
                  <c:v>-3.3</c:v>
                </c:pt>
                <c:pt idx="171">
                  <c:v>-3.29</c:v>
                </c:pt>
                <c:pt idx="172">
                  <c:v>-3.2800000000000002</c:v>
                </c:pt>
                <c:pt idx="173">
                  <c:v>-3.27</c:v>
                </c:pt>
                <c:pt idx="174">
                  <c:v>-3.26</c:v>
                </c:pt>
                <c:pt idx="175">
                  <c:v>-3.25</c:v>
                </c:pt>
                <c:pt idx="176">
                  <c:v>-3.24</c:v>
                </c:pt>
                <c:pt idx="177">
                  <c:v>-3.23</c:v>
                </c:pt>
                <c:pt idx="178">
                  <c:v>-3.2199999999999998</c:v>
                </c:pt>
                <c:pt idx="179">
                  <c:v>-3.21</c:v>
                </c:pt>
                <c:pt idx="180">
                  <c:v>-3.2</c:v>
                </c:pt>
                <c:pt idx="181">
                  <c:v>-3.19</c:v>
                </c:pt>
                <c:pt idx="182">
                  <c:v>-3.1799999999999997</c:v>
                </c:pt>
                <c:pt idx="183">
                  <c:v>-3.17</c:v>
                </c:pt>
                <c:pt idx="184">
                  <c:v>-3.16</c:v>
                </c:pt>
                <c:pt idx="185">
                  <c:v>-3.15</c:v>
                </c:pt>
                <c:pt idx="186">
                  <c:v>-3.1399999999999997</c:v>
                </c:pt>
                <c:pt idx="187">
                  <c:v>-3.13</c:v>
                </c:pt>
                <c:pt idx="188">
                  <c:v>-3.12</c:v>
                </c:pt>
                <c:pt idx="189">
                  <c:v>-3.11</c:v>
                </c:pt>
                <c:pt idx="190">
                  <c:v>-3.0999999999999996</c:v>
                </c:pt>
                <c:pt idx="191">
                  <c:v>-3.09</c:v>
                </c:pt>
                <c:pt idx="192">
                  <c:v>-3.08</c:v>
                </c:pt>
                <c:pt idx="193">
                  <c:v>-3.0700000000000003</c:v>
                </c:pt>
                <c:pt idx="194">
                  <c:v>-3.06</c:v>
                </c:pt>
                <c:pt idx="195">
                  <c:v>-3.05</c:v>
                </c:pt>
                <c:pt idx="196">
                  <c:v>-3.04</c:v>
                </c:pt>
                <c:pt idx="197">
                  <c:v>-3.0300000000000002</c:v>
                </c:pt>
                <c:pt idx="198">
                  <c:v>-3.02</c:v>
                </c:pt>
                <c:pt idx="199">
                  <c:v>-3.01</c:v>
                </c:pt>
                <c:pt idx="200">
                  <c:v>-3</c:v>
                </c:pt>
                <c:pt idx="201">
                  <c:v>-2.9899999999999998</c:v>
                </c:pt>
                <c:pt idx="202">
                  <c:v>-2.98</c:v>
                </c:pt>
                <c:pt idx="203">
                  <c:v>-2.9699999999999998</c:v>
                </c:pt>
                <c:pt idx="204">
                  <c:v>-2.96</c:v>
                </c:pt>
                <c:pt idx="205">
                  <c:v>-2.95</c:v>
                </c:pt>
                <c:pt idx="206">
                  <c:v>-2.94</c:v>
                </c:pt>
                <c:pt idx="207">
                  <c:v>-2.93</c:v>
                </c:pt>
                <c:pt idx="208">
                  <c:v>-2.92</c:v>
                </c:pt>
                <c:pt idx="209">
                  <c:v>-2.91</c:v>
                </c:pt>
                <c:pt idx="210">
                  <c:v>-2.9</c:v>
                </c:pt>
                <c:pt idx="211">
                  <c:v>-2.89</c:v>
                </c:pt>
                <c:pt idx="212">
                  <c:v>-2.88</c:v>
                </c:pt>
                <c:pt idx="213">
                  <c:v>-2.87</c:v>
                </c:pt>
                <c:pt idx="214">
                  <c:v>-2.86</c:v>
                </c:pt>
                <c:pt idx="215">
                  <c:v>-2.85</c:v>
                </c:pt>
                <c:pt idx="216">
                  <c:v>-2.84</c:v>
                </c:pt>
                <c:pt idx="217">
                  <c:v>-2.83</c:v>
                </c:pt>
                <c:pt idx="218">
                  <c:v>-2.82</c:v>
                </c:pt>
                <c:pt idx="219">
                  <c:v>-2.81</c:v>
                </c:pt>
                <c:pt idx="220">
                  <c:v>-2.8</c:v>
                </c:pt>
                <c:pt idx="221">
                  <c:v>-2.79</c:v>
                </c:pt>
                <c:pt idx="222">
                  <c:v>-2.78</c:v>
                </c:pt>
                <c:pt idx="223">
                  <c:v>-2.77</c:v>
                </c:pt>
                <c:pt idx="224">
                  <c:v>-2.76</c:v>
                </c:pt>
                <c:pt idx="225">
                  <c:v>-2.75</c:v>
                </c:pt>
                <c:pt idx="226">
                  <c:v>-2.7399999999999998</c:v>
                </c:pt>
                <c:pt idx="227">
                  <c:v>-2.73</c:v>
                </c:pt>
                <c:pt idx="228">
                  <c:v>-2.7199999999999998</c:v>
                </c:pt>
                <c:pt idx="229">
                  <c:v>-2.71</c:v>
                </c:pt>
                <c:pt idx="230">
                  <c:v>-2.6999999999999997</c:v>
                </c:pt>
                <c:pt idx="231">
                  <c:v>-2.69</c:v>
                </c:pt>
                <c:pt idx="232">
                  <c:v>-2.68</c:v>
                </c:pt>
                <c:pt idx="233">
                  <c:v>-2.67</c:v>
                </c:pt>
                <c:pt idx="234">
                  <c:v>-2.66</c:v>
                </c:pt>
                <c:pt idx="235">
                  <c:v>-2.65</c:v>
                </c:pt>
                <c:pt idx="236">
                  <c:v>-2.64</c:v>
                </c:pt>
                <c:pt idx="237">
                  <c:v>-2.63</c:v>
                </c:pt>
                <c:pt idx="238">
                  <c:v>-2.62</c:v>
                </c:pt>
                <c:pt idx="239">
                  <c:v>-2.61</c:v>
                </c:pt>
                <c:pt idx="240">
                  <c:v>-2.6</c:v>
                </c:pt>
                <c:pt idx="241">
                  <c:v>-2.59</c:v>
                </c:pt>
                <c:pt idx="242">
                  <c:v>-2.58</c:v>
                </c:pt>
                <c:pt idx="243">
                  <c:v>-2.57</c:v>
                </c:pt>
                <c:pt idx="244">
                  <c:v>-2.56</c:v>
                </c:pt>
                <c:pt idx="245">
                  <c:v>-2.5499999999999998</c:v>
                </c:pt>
                <c:pt idx="246">
                  <c:v>-2.54</c:v>
                </c:pt>
                <c:pt idx="247">
                  <c:v>-2.5299999999999998</c:v>
                </c:pt>
                <c:pt idx="248">
                  <c:v>-2.52</c:v>
                </c:pt>
                <c:pt idx="249">
                  <c:v>-2.5099999999999998</c:v>
                </c:pt>
                <c:pt idx="250">
                  <c:v>-2.5</c:v>
                </c:pt>
                <c:pt idx="251">
                  <c:v>-2.4899999999999998</c:v>
                </c:pt>
                <c:pt idx="252">
                  <c:v>-2.48</c:v>
                </c:pt>
                <c:pt idx="253">
                  <c:v>-2.4699999999999998</c:v>
                </c:pt>
                <c:pt idx="254">
                  <c:v>-2.46</c:v>
                </c:pt>
                <c:pt idx="255">
                  <c:v>-2.4499999999999997</c:v>
                </c:pt>
                <c:pt idx="256">
                  <c:v>-2.44</c:v>
                </c:pt>
                <c:pt idx="257">
                  <c:v>-2.4300000000000002</c:v>
                </c:pt>
                <c:pt idx="258">
                  <c:v>-2.42</c:v>
                </c:pt>
                <c:pt idx="259">
                  <c:v>-2.41</c:v>
                </c:pt>
                <c:pt idx="260">
                  <c:v>-2.4</c:v>
                </c:pt>
                <c:pt idx="261">
                  <c:v>-2.39</c:v>
                </c:pt>
                <c:pt idx="262">
                  <c:v>-2.38</c:v>
                </c:pt>
                <c:pt idx="263">
                  <c:v>-2.37</c:v>
                </c:pt>
                <c:pt idx="264">
                  <c:v>-2.36</c:v>
                </c:pt>
                <c:pt idx="265">
                  <c:v>-2.35</c:v>
                </c:pt>
                <c:pt idx="266">
                  <c:v>-2.34</c:v>
                </c:pt>
                <c:pt idx="267">
                  <c:v>-2.33</c:v>
                </c:pt>
                <c:pt idx="268">
                  <c:v>-2.3199999999999998</c:v>
                </c:pt>
                <c:pt idx="269">
                  <c:v>-2.31</c:v>
                </c:pt>
                <c:pt idx="270">
                  <c:v>-2.2999999999999998</c:v>
                </c:pt>
                <c:pt idx="271">
                  <c:v>-2.29</c:v>
                </c:pt>
                <c:pt idx="272">
                  <c:v>-2.2799999999999998</c:v>
                </c:pt>
                <c:pt idx="273">
                  <c:v>-2.27</c:v>
                </c:pt>
                <c:pt idx="274">
                  <c:v>-2.2599999999999998</c:v>
                </c:pt>
                <c:pt idx="275">
                  <c:v>-2.25</c:v>
                </c:pt>
                <c:pt idx="276">
                  <c:v>-2.2399999999999998</c:v>
                </c:pt>
                <c:pt idx="277">
                  <c:v>-2.23</c:v>
                </c:pt>
                <c:pt idx="278">
                  <c:v>-2.2199999999999998</c:v>
                </c:pt>
                <c:pt idx="279">
                  <c:v>-2.21</c:v>
                </c:pt>
                <c:pt idx="280">
                  <c:v>-2.1999999999999997</c:v>
                </c:pt>
                <c:pt idx="281">
                  <c:v>-2.19</c:v>
                </c:pt>
                <c:pt idx="282">
                  <c:v>-2.1800000000000002</c:v>
                </c:pt>
                <c:pt idx="283">
                  <c:v>-2.17</c:v>
                </c:pt>
                <c:pt idx="284">
                  <c:v>-2.16</c:v>
                </c:pt>
                <c:pt idx="285">
                  <c:v>-2.15</c:v>
                </c:pt>
                <c:pt idx="286">
                  <c:v>-2.14</c:v>
                </c:pt>
                <c:pt idx="287">
                  <c:v>-2.13</c:v>
                </c:pt>
                <c:pt idx="288">
                  <c:v>-2.12</c:v>
                </c:pt>
                <c:pt idx="289">
                  <c:v>-2.11</c:v>
                </c:pt>
                <c:pt idx="290">
                  <c:v>-2.1</c:v>
                </c:pt>
                <c:pt idx="291">
                  <c:v>-2.09</c:v>
                </c:pt>
                <c:pt idx="292">
                  <c:v>-2.08</c:v>
                </c:pt>
                <c:pt idx="293">
                  <c:v>-2.0699999999999998</c:v>
                </c:pt>
                <c:pt idx="294">
                  <c:v>-2.06</c:v>
                </c:pt>
                <c:pt idx="295">
                  <c:v>-2.0499999999999998</c:v>
                </c:pt>
                <c:pt idx="296">
                  <c:v>-2.04</c:v>
                </c:pt>
                <c:pt idx="297">
                  <c:v>-2.0299999999999998</c:v>
                </c:pt>
                <c:pt idx="298">
                  <c:v>-2.02</c:v>
                </c:pt>
                <c:pt idx="299">
                  <c:v>-2.0099999999999998</c:v>
                </c:pt>
                <c:pt idx="300">
                  <c:v>-2</c:v>
                </c:pt>
                <c:pt idx="301">
                  <c:v>-1.9899999999999998</c:v>
                </c:pt>
                <c:pt idx="302">
                  <c:v>-1.98</c:v>
                </c:pt>
                <c:pt idx="303">
                  <c:v>-1.9699999999999998</c:v>
                </c:pt>
                <c:pt idx="304">
                  <c:v>-1.96</c:v>
                </c:pt>
                <c:pt idx="305">
                  <c:v>-1.9499999999999997</c:v>
                </c:pt>
                <c:pt idx="306">
                  <c:v>-1.94</c:v>
                </c:pt>
                <c:pt idx="307">
                  <c:v>-1.9299999999999997</c:v>
                </c:pt>
                <c:pt idx="308">
                  <c:v>-1.92</c:v>
                </c:pt>
                <c:pt idx="309">
                  <c:v>-1.9100000000000001</c:v>
                </c:pt>
                <c:pt idx="310">
                  <c:v>-1.9</c:v>
                </c:pt>
                <c:pt idx="311">
                  <c:v>-1.8900000000000001</c:v>
                </c:pt>
                <c:pt idx="312">
                  <c:v>-1.88</c:v>
                </c:pt>
                <c:pt idx="313">
                  <c:v>-1.87</c:v>
                </c:pt>
                <c:pt idx="314">
                  <c:v>-1.8599999999999999</c:v>
                </c:pt>
                <c:pt idx="315">
                  <c:v>-1.85</c:v>
                </c:pt>
                <c:pt idx="316">
                  <c:v>-1.8399999999999999</c:v>
                </c:pt>
                <c:pt idx="317">
                  <c:v>-1.83</c:v>
                </c:pt>
                <c:pt idx="318">
                  <c:v>-1.8199999999999998</c:v>
                </c:pt>
                <c:pt idx="319">
                  <c:v>-1.81</c:v>
                </c:pt>
                <c:pt idx="320">
                  <c:v>-1.7999999999999998</c:v>
                </c:pt>
                <c:pt idx="321">
                  <c:v>-1.79</c:v>
                </c:pt>
                <c:pt idx="322">
                  <c:v>-1.7799999999999998</c:v>
                </c:pt>
                <c:pt idx="323">
                  <c:v>-1.77</c:v>
                </c:pt>
                <c:pt idx="324">
                  <c:v>-1.7599999999999998</c:v>
                </c:pt>
                <c:pt idx="325">
                  <c:v>-1.75</c:v>
                </c:pt>
                <c:pt idx="326">
                  <c:v>-1.7399999999999998</c:v>
                </c:pt>
                <c:pt idx="327">
                  <c:v>-1.73</c:v>
                </c:pt>
                <c:pt idx="328">
                  <c:v>-1.7199999999999998</c:v>
                </c:pt>
                <c:pt idx="329">
                  <c:v>-1.71</c:v>
                </c:pt>
                <c:pt idx="330">
                  <c:v>-1.6999999999999997</c:v>
                </c:pt>
                <c:pt idx="331">
                  <c:v>-1.69</c:v>
                </c:pt>
                <c:pt idx="332">
                  <c:v>-1.6799999999999997</c:v>
                </c:pt>
                <c:pt idx="333">
                  <c:v>-1.67</c:v>
                </c:pt>
                <c:pt idx="334">
                  <c:v>-1.6600000000000001</c:v>
                </c:pt>
                <c:pt idx="335">
                  <c:v>-1.65</c:v>
                </c:pt>
                <c:pt idx="336">
                  <c:v>-1.6400000000000001</c:v>
                </c:pt>
                <c:pt idx="337">
                  <c:v>-1.63</c:v>
                </c:pt>
                <c:pt idx="338">
                  <c:v>-1.62</c:v>
                </c:pt>
                <c:pt idx="339">
                  <c:v>-1.6099999999999999</c:v>
                </c:pt>
                <c:pt idx="340">
                  <c:v>-1.6</c:v>
                </c:pt>
                <c:pt idx="341">
                  <c:v>-1.5899999999999999</c:v>
                </c:pt>
                <c:pt idx="342">
                  <c:v>-1.58</c:v>
                </c:pt>
                <c:pt idx="343">
                  <c:v>-1.5699999999999998</c:v>
                </c:pt>
                <c:pt idx="344">
                  <c:v>-1.56</c:v>
                </c:pt>
                <c:pt idx="345">
                  <c:v>-1.5499999999999998</c:v>
                </c:pt>
                <c:pt idx="346">
                  <c:v>-1.54</c:v>
                </c:pt>
                <c:pt idx="347">
                  <c:v>-1.5299999999999998</c:v>
                </c:pt>
                <c:pt idx="348">
                  <c:v>-1.52</c:v>
                </c:pt>
                <c:pt idx="349">
                  <c:v>-1.5099999999999998</c:v>
                </c:pt>
                <c:pt idx="350">
                  <c:v>-1.5</c:v>
                </c:pt>
                <c:pt idx="351">
                  <c:v>-1.4899999999999998</c:v>
                </c:pt>
                <c:pt idx="352">
                  <c:v>-1.48</c:v>
                </c:pt>
                <c:pt idx="353">
                  <c:v>-1.4699999999999998</c:v>
                </c:pt>
                <c:pt idx="354">
                  <c:v>-1.46</c:v>
                </c:pt>
                <c:pt idx="355">
                  <c:v>-1.4499999999999997</c:v>
                </c:pt>
                <c:pt idx="356">
                  <c:v>-1.44</c:v>
                </c:pt>
                <c:pt idx="357">
                  <c:v>-1.4299999999999997</c:v>
                </c:pt>
                <c:pt idx="358">
                  <c:v>-1.42</c:v>
                </c:pt>
                <c:pt idx="359">
                  <c:v>-1.4100000000000001</c:v>
                </c:pt>
                <c:pt idx="360">
                  <c:v>-1.4</c:v>
                </c:pt>
                <c:pt idx="361">
                  <c:v>-1.3900000000000001</c:v>
                </c:pt>
                <c:pt idx="362">
                  <c:v>-1.38</c:v>
                </c:pt>
                <c:pt idx="363">
                  <c:v>-1.37</c:v>
                </c:pt>
                <c:pt idx="364">
                  <c:v>-1.3599999999999999</c:v>
                </c:pt>
                <c:pt idx="365">
                  <c:v>-1.35</c:v>
                </c:pt>
                <c:pt idx="366">
                  <c:v>-1.3399999999999999</c:v>
                </c:pt>
                <c:pt idx="367">
                  <c:v>-1.33</c:v>
                </c:pt>
                <c:pt idx="368">
                  <c:v>-1.3199999999999998</c:v>
                </c:pt>
                <c:pt idx="369">
                  <c:v>-1.31</c:v>
                </c:pt>
                <c:pt idx="370">
                  <c:v>-1.2999999999999998</c:v>
                </c:pt>
                <c:pt idx="371">
                  <c:v>-1.29</c:v>
                </c:pt>
                <c:pt idx="372">
                  <c:v>-1.2799999999999998</c:v>
                </c:pt>
                <c:pt idx="373">
                  <c:v>-1.27</c:v>
                </c:pt>
                <c:pt idx="374">
                  <c:v>-1.2599999999999998</c:v>
                </c:pt>
                <c:pt idx="375">
                  <c:v>-1.25</c:v>
                </c:pt>
                <c:pt idx="376">
                  <c:v>-1.2399999999999998</c:v>
                </c:pt>
                <c:pt idx="377">
                  <c:v>-1.23</c:v>
                </c:pt>
                <c:pt idx="378">
                  <c:v>-1.2199999999999998</c:v>
                </c:pt>
                <c:pt idx="379">
                  <c:v>-1.21</c:v>
                </c:pt>
                <c:pt idx="380">
                  <c:v>-1.1999999999999997</c:v>
                </c:pt>
                <c:pt idx="381">
                  <c:v>-1.19</c:v>
                </c:pt>
                <c:pt idx="382">
                  <c:v>-1.1799999999999997</c:v>
                </c:pt>
                <c:pt idx="383">
                  <c:v>-1.17</c:v>
                </c:pt>
                <c:pt idx="384">
                  <c:v>-1.1600000000000001</c:v>
                </c:pt>
                <c:pt idx="385">
                  <c:v>-1.1499999999999999</c:v>
                </c:pt>
                <c:pt idx="386">
                  <c:v>-1.1400000000000001</c:v>
                </c:pt>
                <c:pt idx="387">
                  <c:v>-1.1299999999999999</c:v>
                </c:pt>
                <c:pt idx="388">
                  <c:v>-1.1200000000000001</c:v>
                </c:pt>
                <c:pt idx="389">
                  <c:v>-1.1099999999999999</c:v>
                </c:pt>
                <c:pt idx="390">
                  <c:v>-1.1000000000000001</c:v>
                </c:pt>
                <c:pt idx="391">
                  <c:v>-1.0899999999999999</c:v>
                </c:pt>
                <c:pt idx="392">
                  <c:v>-1.08</c:v>
                </c:pt>
                <c:pt idx="393">
                  <c:v>-1.0699999999999998</c:v>
                </c:pt>
                <c:pt idx="394">
                  <c:v>-1.06</c:v>
                </c:pt>
                <c:pt idx="395">
                  <c:v>-1.0499999999999998</c:v>
                </c:pt>
                <c:pt idx="396">
                  <c:v>-1.04</c:v>
                </c:pt>
                <c:pt idx="397">
                  <c:v>-1.0299999999999998</c:v>
                </c:pt>
                <c:pt idx="398">
                  <c:v>-1.02</c:v>
                </c:pt>
                <c:pt idx="399">
                  <c:v>-1.0099999999999998</c:v>
                </c:pt>
                <c:pt idx="400">
                  <c:v>-1</c:v>
                </c:pt>
                <c:pt idx="401">
                  <c:v>-0.99000000000000021</c:v>
                </c:pt>
                <c:pt idx="402">
                  <c:v>-0.97999999999999954</c:v>
                </c:pt>
                <c:pt idx="403">
                  <c:v>-0.96999999999999975</c:v>
                </c:pt>
                <c:pt idx="404">
                  <c:v>-0.96</c:v>
                </c:pt>
                <c:pt idx="405">
                  <c:v>-0.95000000000000018</c:v>
                </c:pt>
                <c:pt idx="406">
                  <c:v>-0.9399999999999995</c:v>
                </c:pt>
                <c:pt idx="407">
                  <c:v>-0.92999999999999972</c:v>
                </c:pt>
                <c:pt idx="408">
                  <c:v>-0.91999999999999993</c:v>
                </c:pt>
                <c:pt idx="409">
                  <c:v>-0.91000000000000014</c:v>
                </c:pt>
                <c:pt idx="410">
                  <c:v>-0.90000000000000036</c:v>
                </c:pt>
                <c:pt idx="411">
                  <c:v>-0.88999999999999968</c:v>
                </c:pt>
                <c:pt idx="412">
                  <c:v>-0.87999999999999989</c:v>
                </c:pt>
                <c:pt idx="413">
                  <c:v>-0.87000000000000011</c:v>
                </c:pt>
                <c:pt idx="414">
                  <c:v>-0.86000000000000032</c:v>
                </c:pt>
                <c:pt idx="415">
                  <c:v>-0.84999999999999964</c:v>
                </c:pt>
                <c:pt idx="416">
                  <c:v>-0.83999999999999986</c:v>
                </c:pt>
                <c:pt idx="417">
                  <c:v>-0.83000000000000007</c:v>
                </c:pt>
                <c:pt idx="418">
                  <c:v>-0.82000000000000028</c:v>
                </c:pt>
                <c:pt idx="419">
                  <c:v>-0.80999999999999961</c:v>
                </c:pt>
                <c:pt idx="420">
                  <c:v>-0.79999999999999982</c:v>
                </c:pt>
                <c:pt idx="421">
                  <c:v>-0.79</c:v>
                </c:pt>
                <c:pt idx="422">
                  <c:v>-0.78000000000000025</c:v>
                </c:pt>
                <c:pt idx="423">
                  <c:v>-0.76999999999999957</c:v>
                </c:pt>
                <c:pt idx="424">
                  <c:v>-0.75999999999999979</c:v>
                </c:pt>
                <c:pt idx="425">
                  <c:v>-0.75</c:v>
                </c:pt>
                <c:pt idx="426">
                  <c:v>-0.74000000000000021</c:v>
                </c:pt>
                <c:pt idx="427">
                  <c:v>-0.72999999999999954</c:v>
                </c:pt>
                <c:pt idx="428">
                  <c:v>-0.71999999999999975</c:v>
                </c:pt>
                <c:pt idx="429">
                  <c:v>-0.71</c:v>
                </c:pt>
                <c:pt idx="430">
                  <c:v>-0.70000000000000018</c:v>
                </c:pt>
                <c:pt idx="431">
                  <c:v>-0.6899999999999995</c:v>
                </c:pt>
                <c:pt idx="432">
                  <c:v>-0.67999999999999972</c:v>
                </c:pt>
                <c:pt idx="433">
                  <c:v>-0.66999999999999993</c:v>
                </c:pt>
                <c:pt idx="434">
                  <c:v>-0.66000000000000014</c:v>
                </c:pt>
                <c:pt idx="435">
                  <c:v>-0.64999999999999947</c:v>
                </c:pt>
                <c:pt idx="436">
                  <c:v>-0.63999999999999968</c:v>
                </c:pt>
                <c:pt idx="437">
                  <c:v>-0.62999999999999989</c:v>
                </c:pt>
                <c:pt idx="438">
                  <c:v>-0.62000000000000011</c:v>
                </c:pt>
                <c:pt idx="439">
                  <c:v>-0.61000000000000032</c:v>
                </c:pt>
                <c:pt idx="440">
                  <c:v>-0.59999999999999964</c:v>
                </c:pt>
                <c:pt idx="441">
                  <c:v>-0.58999999999999986</c:v>
                </c:pt>
                <c:pt idx="442">
                  <c:v>-0.58000000000000007</c:v>
                </c:pt>
                <c:pt idx="443">
                  <c:v>-0.57000000000000028</c:v>
                </c:pt>
                <c:pt idx="444">
                  <c:v>-0.55999999999999961</c:v>
                </c:pt>
                <c:pt idx="445">
                  <c:v>-0.54999999999999982</c:v>
                </c:pt>
                <c:pt idx="446">
                  <c:v>-0.54</c:v>
                </c:pt>
                <c:pt idx="447">
                  <c:v>-0.53000000000000025</c:v>
                </c:pt>
                <c:pt idx="448">
                  <c:v>-0.51999999999999957</c:v>
                </c:pt>
                <c:pt idx="449">
                  <c:v>-0.50999999999999979</c:v>
                </c:pt>
                <c:pt idx="450">
                  <c:v>-0.5</c:v>
                </c:pt>
                <c:pt idx="451">
                  <c:v>-0.49000000000000021</c:v>
                </c:pt>
                <c:pt idx="452">
                  <c:v>-0.47999999999999954</c:v>
                </c:pt>
                <c:pt idx="453">
                  <c:v>-0.46999999999999975</c:v>
                </c:pt>
                <c:pt idx="454">
                  <c:v>-0.45999999999999996</c:v>
                </c:pt>
                <c:pt idx="455">
                  <c:v>-0.45000000000000018</c:v>
                </c:pt>
                <c:pt idx="456">
                  <c:v>-0.4399999999999995</c:v>
                </c:pt>
                <c:pt idx="457">
                  <c:v>-0.42999999999999972</c:v>
                </c:pt>
                <c:pt idx="458">
                  <c:v>-0.41999999999999993</c:v>
                </c:pt>
                <c:pt idx="459">
                  <c:v>-0.41000000000000014</c:v>
                </c:pt>
                <c:pt idx="460">
                  <c:v>-0.39999999999999947</c:v>
                </c:pt>
                <c:pt idx="461">
                  <c:v>-0.38999999999999968</c:v>
                </c:pt>
                <c:pt idx="462">
                  <c:v>-0.37999999999999989</c:v>
                </c:pt>
                <c:pt idx="463">
                  <c:v>-0.37000000000000011</c:v>
                </c:pt>
                <c:pt idx="464">
                  <c:v>-0.36000000000000032</c:v>
                </c:pt>
                <c:pt idx="465">
                  <c:v>-0.34999999999999964</c:v>
                </c:pt>
                <c:pt idx="466">
                  <c:v>-0.33999999999999986</c:v>
                </c:pt>
                <c:pt idx="467">
                  <c:v>-0.33000000000000007</c:v>
                </c:pt>
                <c:pt idx="468">
                  <c:v>-0.32000000000000028</c:v>
                </c:pt>
                <c:pt idx="469">
                  <c:v>-0.30999999999999961</c:v>
                </c:pt>
                <c:pt idx="470">
                  <c:v>-0.29999999999999982</c:v>
                </c:pt>
                <c:pt idx="471">
                  <c:v>-0.29000000000000004</c:v>
                </c:pt>
                <c:pt idx="472">
                  <c:v>-0.28000000000000025</c:v>
                </c:pt>
                <c:pt idx="473">
                  <c:v>-0.26999999999999957</c:v>
                </c:pt>
                <c:pt idx="474">
                  <c:v>-0.25999999999999979</c:v>
                </c:pt>
                <c:pt idx="475">
                  <c:v>-0.25</c:v>
                </c:pt>
                <c:pt idx="476">
                  <c:v>-0.24000000000000021</c:v>
                </c:pt>
                <c:pt idx="477">
                  <c:v>-0.22999999999999954</c:v>
                </c:pt>
                <c:pt idx="478">
                  <c:v>-0.21999999999999975</c:v>
                </c:pt>
                <c:pt idx="479">
                  <c:v>-0.20999999999999996</c:v>
                </c:pt>
                <c:pt idx="480">
                  <c:v>-0.20000000000000018</c:v>
                </c:pt>
                <c:pt idx="481">
                  <c:v>-0.1899999999999995</c:v>
                </c:pt>
                <c:pt idx="482">
                  <c:v>-0.17999999999999972</c:v>
                </c:pt>
                <c:pt idx="483">
                  <c:v>-0.16999999999999993</c:v>
                </c:pt>
                <c:pt idx="484">
                  <c:v>-0.16000000000000014</c:v>
                </c:pt>
                <c:pt idx="485">
                  <c:v>-0.14999999999999947</c:v>
                </c:pt>
                <c:pt idx="486">
                  <c:v>-0.13999999999999968</c:v>
                </c:pt>
                <c:pt idx="487">
                  <c:v>-0.12999999999999989</c:v>
                </c:pt>
                <c:pt idx="488">
                  <c:v>-0.12000000000000011</c:v>
                </c:pt>
                <c:pt idx="489">
                  <c:v>-0.11000000000000032</c:v>
                </c:pt>
                <c:pt idx="490">
                  <c:v>-9.9999999999999645E-2</c:v>
                </c:pt>
                <c:pt idx="491">
                  <c:v>-8.9999999999999858E-2</c:v>
                </c:pt>
                <c:pt idx="492">
                  <c:v>-8.0000000000000071E-2</c:v>
                </c:pt>
                <c:pt idx="493">
                  <c:v>-7.0000000000000284E-2</c:v>
                </c:pt>
                <c:pt idx="494">
                  <c:v>-5.9999999999999609E-2</c:v>
                </c:pt>
                <c:pt idx="495">
                  <c:v>-4.9999999999999822E-2</c:v>
                </c:pt>
                <c:pt idx="496">
                  <c:v>-4.0000000000000036E-2</c:v>
                </c:pt>
                <c:pt idx="497">
                  <c:v>-3.0000000000000249E-2</c:v>
                </c:pt>
                <c:pt idx="498">
                  <c:v>-1.9999999999999574E-2</c:v>
                </c:pt>
                <c:pt idx="499">
                  <c:v>-9.9999999999997868E-3</c:v>
                </c:pt>
                <c:pt idx="500">
                  <c:v>0</c:v>
                </c:pt>
                <c:pt idx="501">
                  <c:v>9.9999999999997868E-3</c:v>
                </c:pt>
                <c:pt idx="502">
                  <c:v>2.0000000000000462E-2</c:v>
                </c:pt>
                <c:pt idx="503">
                  <c:v>3.0000000000000249E-2</c:v>
                </c:pt>
                <c:pt idx="504">
                  <c:v>4.0000000000000036E-2</c:v>
                </c:pt>
                <c:pt idx="505">
                  <c:v>4.9999999999999822E-2</c:v>
                </c:pt>
                <c:pt idx="506">
                  <c:v>6.0000000000000497E-2</c:v>
                </c:pt>
                <c:pt idx="507">
                  <c:v>7.0000000000000284E-2</c:v>
                </c:pt>
                <c:pt idx="508">
                  <c:v>8.0000000000000071E-2</c:v>
                </c:pt>
                <c:pt idx="509">
                  <c:v>8.9999999999999858E-2</c:v>
                </c:pt>
                <c:pt idx="510">
                  <c:v>0.10000000000000053</c:v>
                </c:pt>
                <c:pt idx="511">
                  <c:v>0.11000000000000032</c:v>
                </c:pt>
                <c:pt idx="512">
                  <c:v>0.12000000000000011</c:v>
                </c:pt>
                <c:pt idx="513">
                  <c:v>0.12999999999999989</c:v>
                </c:pt>
                <c:pt idx="514">
                  <c:v>0.13999999999999968</c:v>
                </c:pt>
                <c:pt idx="515">
                  <c:v>0.15000000000000036</c:v>
                </c:pt>
                <c:pt idx="516">
                  <c:v>0.16000000000000014</c:v>
                </c:pt>
                <c:pt idx="517">
                  <c:v>0.16999999999999993</c:v>
                </c:pt>
                <c:pt idx="518">
                  <c:v>0.17999999999999972</c:v>
                </c:pt>
                <c:pt idx="519">
                  <c:v>0.19000000000000039</c:v>
                </c:pt>
                <c:pt idx="520">
                  <c:v>0.20000000000000018</c:v>
                </c:pt>
                <c:pt idx="521">
                  <c:v>0.20999999999999996</c:v>
                </c:pt>
                <c:pt idx="522">
                  <c:v>0.21999999999999975</c:v>
                </c:pt>
                <c:pt idx="523">
                  <c:v>0.23000000000000043</c:v>
                </c:pt>
                <c:pt idx="524">
                  <c:v>0.24000000000000021</c:v>
                </c:pt>
                <c:pt idx="525">
                  <c:v>0.25</c:v>
                </c:pt>
                <c:pt idx="526">
                  <c:v>0.25999999999999979</c:v>
                </c:pt>
                <c:pt idx="527">
                  <c:v>0.27000000000000046</c:v>
                </c:pt>
                <c:pt idx="528">
                  <c:v>0.28000000000000025</c:v>
                </c:pt>
                <c:pt idx="529">
                  <c:v>0.29000000000000004</c:v>
                </c:pt>
                <c:pt idx="530">
                  <c:v>0.29999999999999982</c:v>
                </c:pt>
                <c:pt idx="531">
                  <c:v>0.3100000000000005</c:v>
                </c:pt>
                <c:pt idx="532">
                  <c:v>0.32000000000000028</c:v>
                </c:pt>
                <c:pt idx="533">
                  <c:v>0.33000000000000007</c:v>
                </c:pt>
                <c:pt idx="534">
                  <c:v>0.33999999999999986</c:v>
                </c:pt>
                <c:pt idx="535">
                  <c:v>0.35000000000000053</c:v>
                </c:pt>
                <c:pt idx="536">
                  <c:v>0.36000000000000032</c:v>
                </c:pt>
                <c:pt idx="537">
                  <c:v>0.37000000000000011</c:v>
                </c:pt>
                <c:pt idx="538">
                  <c:v>0.37999999999999989</c:v>
                </c:pt>
                <c:pt idx="539">
                  <c:v>0.38999999999999968</c:v>
                </c:pt>
                <c:pt idx="540">
                  <c:v>0.40000000000000036</c:v>
                </c:pt>
                <c:pt idx="541">
                  <c:v>0.41000000000000014</c:v>
                </c:pt>
                <c:pt idx="542">
                  <c:v>0.41999999999999993</c:v>
                </c:pt>
                <c:pt idx="543">
                  <c:v>0.42999999999999972</c:v>
                </c:pt>
                <c:pt idx="544">
                  <c:v>0.44000000000000039</c:v>
                </c:pt>
                <c:pt idx="545">
                  <c:v>0.45000000000000018</c:v>
                </c:pt>
                <c:pt idx="546">
                  <c:v>0.45999999999999996</c:v>
                </c:pt>
                <c:pt idx="547">
                  <c:v>0.46999999999999975</c:v>
                </c:pt>
                <c:pt idx="548">
                  <c:v>0.48000000000000043</c:v>
                </c:pt>
                <c:pt idx="549">
                  <c:v>0.49000000000000021</c:v>
                </c:pt>
                <c:pt idx="550">
                  <c:v>0.5</c:v>
                </c:pt>
                <c:pt idx="551">
                  <c:v>0.50999999999999979</c:v>
                </c:pt>
                <c:pt idx="552">
                  <c:v>0.52000000000000046</c:v>
                </c:pt>
                <c:pt idx="553">
                  <c:v>0.53000000000000025</c:v>
                </c:pt>
                <c:pt idx="554">
                  <c:v>0.54</c:v>
                </c:pt>
                <c:pt idx="555">
                  <c:v>0.54999999999999982</c:v>
                </c:pt>
                <c:pt idx="556">
                  <c:v>0.5600000000000005</c:v>
                </c:pt>
                <c:pt idx="557">
                  <c:v>0.57000000000000028</c:v>
                </c:pt>
                <c:pt idx="558">
                  <c:v>0.58000000000000007</c:v>
                </c:pt>
                <c:pt idx="559">
                  <c:v>0.58999999999999986</c:v>
                </c:pt>
                <c:pt idx="560">
                  <c:v>0.60000000000000053</c:v>
                </c:pt>
                <c:pt idx="561">
                  <c:v>0.61000000000000032</c:v>
                </c:pt>
                <c:pt idx="562">
                  <c:v>0.62000000000000011</c:v>
                </c:pt>
                <c:pt idx="563">
                  <c:v>0.62999999999999989</c:v>
                </c:pt>
                <c:pt idx="564">
                  <c:v>0.63999999999999968</c:v>
                </c:pt>
                <c:pt idx="565">
                  <c:v>0.65000000000000036</c:v>
                </c:pt>
                <c:pt idx="566">
                  <c:v>0.66000000000000014</c:v>
                </c:pt>
                <c:pt idx="567">
                  <c:v>0.66999999999999993</c:v>
                </c:pt>
                <c:pt idx="568">
                  <c:v>0.67999999999999972</c:v>
                </c:pt>
                <c:pt idx="569">
                  <c:v>0.69000000000000039</c:v>
                </c:pt>
                <c:pt idx="570">
                  <c:v>0.70000000000000018</c:v>
                </c:pt>
                <c:pt idx="571">
                  <c:v>0.71</c:v>
                </c:pt>
                <c:pt idx="572">
                  <c:v>0.71999999999999975</c:v>
                </c:pt>
                <c:pt idx="573">
                  <c:v>0.73000000000000043</c:v>
                </c:pt>
                <c:pt idx="574">
                  <c:v>0.74000000000000021</c:v>
                </c:pt>
                <c:pt idx="575">
                  <c:v>0.75</c:v>
                </c:pt>
                <c:pt idx="576">
                  <c:v>0.75999999999999979</c:v>
                </c:pt>
                <c:pt idx="577">
                  <c:v>0.77000000000000046</c:v>
                </c:pt>
                <c:pt idx="578">
                  <c:v>0.78000000000000025</c:v>
                </c:pt>
                <c:pt idx="579">
                  <c:v>0.79</c:v>
                </c:pt>
                <c:pt idx="580">
                  <c:v>0.79999999999999982</c:v>
                </c:pt>
                <c:pt idx="581">
                  <c:v>0.8100000000000005</c:v>
                </c:pt>
                <c:pt idx="582">
                  <c:v>0.82000000000000028</c:v>
                </c:pt>
                <c:pt idx="583">
                  <c:v>0.83000000000000007</c:v>
                </c:pt>
                <c:pt idx="584">
                  <c:v>0.83999999999999986</c:v>
                </c:pt>
                <c:pt idx="585">
                  <c:v>0.85000000000000053</c:v>
                </c:pt>
                <c:pt idx="586">
                  <c:v>0.86000000000000032</c:v>
                </c:pt>
                <c:pt idx="587">
                  <c:v>0.87000000000000011</c:v>
                </c:pt>
                <c:pt idx="588">
                  <c:v>0.87999999999999989</c:v>
                </c:pt>
                <c:pt idx="589">
                  <c:v>0.88999999999999968</c:v>
                </c:pt>
                <c:pt idx="590">
                  <c:v>0.90000000000000036</c:v>
                </c:pt>
                <c:pt idx="591">
                  <c:v>0.91000000000000014</c:v>
                </c:pt>
                <c:pt idx="592">
                  <c:v>0.91999999999999993</c:v>
                </c:pt>
                <c:pt idx="593">
                  <c:v>0.92999999999999972</c:v>
                </c:pt>
                <c:pt idx="594">
                  <c:v>0.94000000000000039</c:v>
                </c:pt>
                <c:pt idx="595">
                  <c:v>0.95000000000000018</c:v>
                </c:pt>
                <c:pt idx="596">
                  <c:v>0.96</c:v>
                </c:pt>
                <c:pt idx="597">
                  <c:v>0.96999999999999975</c:v>
                </c:pt>
                <c:pt idx="598">
                  <c:v>0.98000000000000043</c:v>
                </c:pt>
                <c:pt idx="599">
                  <c:v>0.99000000000000021</c:v>
                </c:pt>
                <c:pt idx="600">
                  <c:v>1</c:v>
                </c:pt>
                <c:pt idx="601">
                  <c:v>1.0099999999999998</c:v>
                </c:pt>
                <c:pt idx="602">
                  <c:v>1.0200000000000005</c:v>
                </c:pt>
                <c:pt idx="603">
                  <c:v>1.0300000000000002</c:v>
                </c:pt>
                <c:pt idx="604">
                  <c:v>1.04</c:v>
                </c:pt>
                <c:pt idx="605">
                  <c:v>1.0499999999999998</c:v>
                </c:pt>
                <c:pt idx="606">
                  <c:v>1.0600000000000005</c:v>
                </c:pt>
                <c:pt idx="607">
                  <c:v>1.0700000000000003</c:v>
                </c:pt>
                <c:pt idx="608">
                  <c:v>1.08</c:v>
                </c:pt>
                <c:pt idx="609">
                  <c:v>1.0899999999999999</c:v>
                </c:pt>
                <c:pt idx="610">
                  <c:v>1.1000000000000005</c:v>
                </c:pt>
                <c:pt idx="611">
                  <c:v>1.1100000000000003</c:v>
                </c:pt>
                <c:pt idx="612">
                  <c:v>1.1200000000000001</c:v>
                </c:pt>
                <c:pt idx="613">
                  <c:v>1.1299999999999999</c:v>
                </c:pt>
                <c:pt idx="614">
                  <c:v>1.1400000000000006</c:v>
                </c:pt>
                <c:pt idx="615">
                  <c:v>1.1500000000000004</c:v>
                </c:pt>
                <c:pt idx="616">
                  <c:v>1.1600000000000001</c:v>
                </c:pt>
                <c:pt idx="617">
                  <c:v>1.17</c:v>
                </c:pt>
                <c:pt idx="618">
                  <c:v>1.1799999999999997</c:v>
                </c:pt>
                <c:pt idx="619">
                  <c:v>1.1900000000000004</c:v>
                </c:pt>
                <c:pt idx="620">
                  <c:v>1.2000000000000002</c:v>
                </c:pt>
                <c:pt idx="621">
                  <c:v>1.21</c:v>
                </c:pt>
                <c:pt idx="622">
                  <c:v>1.2199999999999998</c:v>
                </c:pt>
                <c:pt idx="623">
                  <c:v>1.2300000000000004</c:v>
                </c:pt>
                <c:pt idx="624">
                  <c:v>1.2400000000000002</c:v>
                </c:pt>
                <c:pt idx="625">
                  <c:v>1.25</c:v>
                </c:pt>
                <c:pt idx="626">
                  <c:v>1.2599999999999998</c:v>
                </c:pt>
                <c:pt idx="627">
                  <c:v>1.2700000000000005</c:v>
                </c:pt>
                <c:pt idx="628">
                  <c:v>1.2800000000000002</c:v>
                </c:pt>
                <c:pt idx="629">
                  <c:v>1.29</c:v>
                </c:pt>
                <c:pt idx="630">
                  <c:v>1.2999999999999998</c:v>
                </c:pt>
                <c:pt idx="631">
                  <c:v>1.3100000000000005</c:v>
                </c:pt>
                <c:pt idx="632">
                  <c:v>1.3200000000000003</c:v>
                </c:pt>
                <c:pt idx="633">
                  <c:v>1.33</c:v>
                </c:pt>
                <c:pt idx="634">
                  <c:v>1.3399999999999999</c:v>
                </c:pt>
                <c:pt idx="635">
                  <c:v>1.3500000000000005</c:v>
                </c:pt>
                <c:pt idx="636">
                  <c:v>1.3600000000000003</c:v>
                </c:pt>
                <c:pt idx="637">
                  <c:v>1.37</c:v>
                </c:pt>
                <c:pt idx="638">
                  <c:v>1.38</c:v>
                </c:pt>
                <c:pt idx="639">
                  <c:v>1.3900000000000006</c:v>
                </c:pt>
                <c:pt idx="640">
                  <c:v>1.4000000000000004</c:v>
                </c:pt>
                <c:pt idx="641">
                  <c:v>1.4100000000000001</c:v>
                </c:pt>
                <c:pt idx="642">
                  <c:v>1.42</c:v>
                </c:pt>
                <c:pt idx="643">
                  <c:v>1.4299999999999997</c:v>
                </c:pt>
                <c:pt idx="644">
                  <c:v>1.4400000000000004</c:v>
                </c:pt>
                <c:pt idx="645">
                  <c:v>1.4500000000000002</c:v>
                </c:pt>
                <c:pt idx="646">
                  <c:v>1.46</c:v>
                </c:pt>
                <c:pt idx="647">
                  <c:v>1.4699999999999998</c:v>
                </c:pt>
                <c:pt idx="648">
                  <c:v>1.4800000000000004</c:v>
                </c:pt>
                <c:pt idx="649">
                  <c:v>1.4900000000000002</c:v>
                </c:pt>
                <c:pt idx="650">
                  <c:v>1.5</c:v>
                </c:pt>
                <c:pt idx="651">
                  <c:v>1.5099999999999998</c:v>
                </c:pt>
                <c:pt idx="652">
                  <c:v>1.5200000000000005</c:v>
                </c:pt>
                <c:pt idx="653">
                  <c:v>1.5300000000000002</c:v>
                </c:pt>
                <c:pt idx="654">
                  <c:v>1.54</c:v>
                </c:pt>
                <c:pt idx="655">
                  <c:v>1.5499999999999998</c:v>
                </c:pt>
                <c:pt idx="656">
                  <c:v>1.5600000000000005</c:v>
                </c:pt>
                <c:pt idx="657">
                  <c:v>1.5700000000000003</c:v>
                </c:pt>
                <c:pt idx="658">
                  <c:v>1.58</c:v>
                </c:pt>
                <c:pt idx="659">
                  <c:v>1.5899999999999999</c:v>
                </c:pt>
                <c:pt idx="660">
                  <c:v>1.6000000000000005</c:v>
                </c:pt>
                <c:pt idx="661">
                  <c:v>1.6100000000000003</c:v>
                </c:pt>
                <c:pt idx="662">
                  <c:v>1.62</c:v>
                </c:pt>
                <c:pt idx="663">
                  <c:v>1.63</c:v>
                </c:pt>
                <c:pt idx="664">
                  <c:v>1.6400000000000006</c:v>
                </c:pt>
                <c:pt idx="665">
                  <c:v>1.6500000000000004</c:v>
                </c:pt>
                <c:pt idx="666">
                  <c:v>1.6600000000000001</c:v>
                </c:pt>
                <c:pt idx="667">
                  <c:v>1.67</c:v>
                </c:pt>
                <c:pt idx="668">
                  <c:v>1.6799999999999997</c:v>
                </c:pt>
                <c:pt idx="669">
                  <c:v>1.6900000000000004</c:v>
                </c:pt>
                <c:pt idx="670">
                  <c:v>1.7000000000000002</c:v>
                </c:pt>
                <c:pt idx="671">
                  <c:v>1.71</c:v>
                </c:pt>
                <c:pt idx="672">
                  <c:v>1.7199999999999998</c:v>
                </c:pt>
                <c:pt idx="673">
                  <c:v>1.7300000000000004</c:v>
                </c:pt>
                <c:pt idx="674">
                  <c:v>1.7400000000000002</c:v>
                </c:pt>
                <c:pt idx="675">
                  <c:v>1.75</c:v>
                </c:pt>
                <c:pt idx="676">
                  <c:v>1.7599999999999998</c:v>
                </c:pt>
                <c:pt idx="677">
                  <c:v>1.7700000000000005</c:v>
                </c:pt>
                <c:pt idx="678">
                  <c:v>1.7800000000000002</c:v>
                </c:pt>
                <c:pt idx="679">
                  <c:v>1.79</c:v>
                </c:pt>
                <c:pt idx="680">
                  <c:v>1.7999999999999998</c:v>
                </c:pt>
                <c:pt idx="681">
                  <c:v>1.8100000000000005</c:v>
                </c:pt>
                <c:pt idx="682">
                  <c:v>1.8200000000000003</c:v>
                </c:pt>
                <c:pt idx="683">
                  <c:v>1.83</c:v>
                </c:pt>
                <c:pt idx="684">
                  <c:v>1.8399999999999999</c:v>
                </c:pt>
                <c:pt idx="685">
                  <c:v>1.8500000000000005</c:v>
                </c:pt>
                <c:pt idx="686">
                  <c:v>1.8600000000000003</c:v>
                </c:pt>
                <c:pt idx="687">
                  <c:v>1.87</c:v>
                </c:pt>
                <c:pt idx="688">
                  <c:v>1.88</c:v>
                </c:pt>
                <c:pt idx="689">
                  <c:v>1.8900000000000006</c:v>
                </c:pt>
                <c:pt idx="690">
                  <c:v>1.9000000000000004</c:v>
                </c:pt>
                <c:pt idx="691">
                  <c:v>1.9100000000000001</c:v>
                </c:pt>
                <c:pt idx="692">
                  <c:v>1.92</c:v>
                </c:pt>
                <c:pt idx="693">
                  <c:v>1.9299999999999997</c:v>
                </c:pt>
                <c:pt idx="694">
                  <c:v>1.9400000000000004</c:v>
                </c:pt>
                <c:pt idx="695">
                  <c:v>1.9500000000000002</c:v>
                </c:pt>
                <c:pt idx="696">
                  <c:v>1.96</c:v>
                </c:pt>
                <c:pt idx="697">
                  <c:v>1.9699999999999998</c:v>
                </c:pt>
                <c:pt idx="698">
                  <c:v>1.9800000000000004</c:v>
                </c:pt>
                <c:pt idx="699">
                  <c:v>1.9900000000000002</c:v>
                </c:pt>
                <c:pt idx="700">
                  <c:v>2</c:v>
                </c:pt>
                <c:pt idx="701">
                  <c:v>2.0099999999999998</c:v>
                </c:pt>
                <c:pt idx="702">
                  <c:v>2.0200000000000005</c:v>
                </c:pt>
                <c:pt idx="703">
                  <c:v>2.0300000000000002</c:v>
                </c:pt>
                <c:pt idx="704">
                  <c:v>2.04</c:v>
                </c:pt>
                <c:pt idx="705">
                  <c:v>2.0499999999999998</c:v>
                </c:pt>
                <c:pt idx="706">
                  <c:v>2.0600000000000005</c:v>
                </c:pt>
                <c:pt idx="707">
                  <c:v>2.0700000000000003</c:v>
                </c:pt>
                <c:pt idx="708">
                  <c:v>2.08</c:v>
                </c:pt>
                <c:pt idx="709">
                  <c:v>2.09</c:v>
                </c:pt>
                <c:pt idx="710">
                  <c:v>2.1000000000000005</c:v>
                </c:pt>
                <c:pt idx="711">
                  <c:v>2.1100000000000003</c:v>
                </c:pt>
                <c:pt idx="712">
                  <c:v>2.12</c:v>
                </c:pt>
                <c:pt idx="713">
                  <c:v>2.13</c:v>
                </c:pt>
                <c:pt idx="714">
                  <c:v>2.1400000000000006</c:v>
                </c:pt>
                <c:pt idx="715">
                  <c:v>2.1500000000000004</c:v>
                </c:pt>
                <c:pt idx="716">
                  <c:v>2.16</c:v>
                </c:pt>
                <c:pt idx="717">
                  <c:v>2.17</c:v>
                </c:pt>
                <c:pt idx="718">
                  <c:v>2.1799999999999997</c:v>
                </c:pt>
                <c:pt idx="719">
                  <c:v>2.1900000000000004</c:v>
                </c:pt>
                <c:pt idx="720">
                  <c:v>2.2000000000000002</c:v>
                </c:pt>
                <c:pt idx="721">
                  <c:v>2.21</c:v>
                </c:pt>
                <c:pt idx="722">
                  <c:v>2.2199999999999998</c:v>
                </c:pt>
                <c:pt idx="723">
                  <c:v>2.2300000000000004</c:v>
                </c:pt>
                <c:pt idx="724">
                  <c:v>2.2400000000000002</c:v>
                </c:pt>
                <c:pt idx="725">
                  <c:v>2.25</c:v>
                </c:pt>
                <c:pt idx="726">
                  <c:v>2.2599999999999998</c:v>
                </c:pt>
                <c:pt idx="727">
                  <c:v>2.2700000000000005</c:v>
                </c:pt>
                <c:pt idx="728">
                  <c:v>2.2800000000000002</c:v>
                </c:pt>
                <c:pt idx="729">
                  <c:v>2.29</c:v>
                </c:pt>
                <c:pt idx="730">
                  <c:v>2.2999999999999998</c:v>
                </c:pt>
                <c:pt idx="731">
                  <c:v>2.3100000000000005</c:v>
                </c:pt>
                <c:pt idx="732">
                  <c:v>2.3200000000000003</c:v>
                </c:pt>
                <c:pt idx="733">
                  <c:v>2.33</c:v>
                </c:pt>
                <c:pt idx="734">
                  <c:v>2.34</c:v>
                </c:pt>
                <c:pt idx="735">
                  <c:v>2.3500000000000005</c:v>
                </c:pt>
                <c:pt idx="736">
                  <c:v>2.3600000000000003</c:v>
                </c:pt>
                <c:pt idx="737">
                  <c:v>2.37</c:v>
                </c:pt>
                <c:pt idx="738">
                  <c:v>2.38</c:v>
                </c:pt>
                <c:pt idx="739">
                  <c:v>2.3900000000000006</c:v>
                </c:pt>
                <c:pt idx="740">
                  <c:v>2.4000000000000004</c:v>
                </c:pt>
                <c:pt idx="741">
                  <c:v>2.41</c:v>
                </c:pt>
                <c:pt idx="742">
                  <c:v>2.42</c:v>
                </c:pt>
                <c:pt idx="743">
                  <c:v>2.4299999999999997</c:v>
                </c:pt>
                <c:pt idx="744">
                  <c:v>2.4400000000000004</c:v>
                </c:pt>
                <c:pt idx="745">
                  <c:v>2.4500000000000002</c:v>
                </c:pt>
                <c:pt idx="746">
                  <c:v>2.46</c:v>
                </c:pt>
                <c:pt idx="747">
                  <c:v>2.4699999999999998</c:v>
                </c:pt>
                <c:pt idx="748">
                  <c:v>2.4800000000000004</c:v>
                </c:pt>
                <c:pt idx="749">
                  <c:v>2.4900000000000002</c:v>
                </c:pt>
                <c:pt idx="750">
                  <c:v>2.5</c:v>
                </c:pt>
                <c:pt idx="751">
                  <c:v>2.5099999999999998</c:v>
                </c:pt>
                <c:pt idx="752">
                  <c:v>2.5200000000000005</c:v>
                </c:pt>
                <c:pt idx="753">
                  <c:v>2.5300000000000002</c:v>
                </c:pt>
                <c:pt idx="754">
                  <c:v>2.54</c:v>
                </c:pt>
                <c:pt idx="755">
                  <c:v>2.5499999999999998</c:v>
                </c:pt>
                <c:pt idx="756">
                  <c:v>2.5600000000000005</c:v>
                </c:pt>
                <c:pt idx="757">
                  <c:v>2.5700000000000003</c:v>
                </c:pt>
                <c:pt idx="758">
                  <c:v>2.58</c:v>
                </c:pt>
                <c:pt idx="759">
                  <c:v>2.59</c:v>
                </c:pt>
                <c:pt idx="760">
                  <c:v>2.6000000000000005</c:v>
                </c:pt>
                <c:pt idx="761">
                  <c:v>2.6100000000000003</c:v>
                </c:pt>
                <c:pt idx="762">
                  <c:v>2.62</c:v>
                </c:pt>
                <c:pt idx="763">
                  <c:v>2.63</c:v>
                </c:pt>
                <c:pt idx="764">
                  <c:v>2.6400000000000006</c:v>
                </c:pt>
                <c:pt idx="765">
                  <c:v>2.6500000000000004</c:v>
                </c:pt>
                <c:pt idx="766">
                  <c:v>2.66</c:v>
                </c:pt>
                <c:pt idx="767">
                  <c:v>2.67</c:v>
                </c:pt>
                <c:pt idx="768">
                  <c:v>2.6799999999999997</c:v>
                </c:pt>
                <c:pt idx="769">
                  <c:v>2.6900000000000004</c:v>
                </c:pt>
                <c:pt idx="770">
                  <c:v>2.7</c:v>
                </c:pt>
                <c:pt idx="771">
                  <c:v>2.71</c:v>
                </c:pt>
                <c:pt idx="772">
                  <c:v>2.7199999999999998</c:v>
                </c:pt>
                <c:pt idx="773">
                  <c:v>2.7300000000000004</c:v>
                </c:pt>
                <c:pt idx="774">
                  <c:v>2.74</c:v>
                </c:pt>
                <c:pt idx="775">
                  <c:v>2.75</c:v>
                </c:pt>
                <c:pt idx="776">
                  <c:v>2.76</c:v>
                </c:pt>
                <c:pt idx="777">
                  <c:v>2.7700000000000005</c:v>
                </c:pt>
                <c:pt idx="778">
                  <c:v>2.7800000000000002</c:v>
                </c:pt>
                <c:pt idx="779">
                  <c:v>2.79</c:v>
                </c:pt>
                <c:pt idx="780">
                  <c:v>2.8</c:v>
                </c:pt>
                <c:pt idx="781">
                  <c:v>2.8100000000000005</c:v>
                </c:pt>
                <c:pt idx="782">
                  <c:v>2.8200000000000003</c:v>
                </c:pt>
                <c:pt idx="783">
                  <c:v>2.83</c:v>
                </c:pt>
                <c:pt idx="784">
                  <c:v>2.84</c:v>
                </c:pt>
                <c:pt idx="785">
                  <c:v>2.8500000000000005</c:v>
                </c:pt>
                <c:pt idx="786">
                  <c:v>2.8600000000000003</c:v>
                </c:pt>
                <c:pt idx="787">
                  <c:v>2.87</c:v>
                </c:pt>
                <c:pt idx="788">
                  <c:v>2.88</c:v>
                </c:pt>
                <c:pt idx="789">
                  <c:v>2.8900000000000006</c:v>
                </c:pt>
                <c:pt idx="790">
                  <c:v>2.9000000000000004</c:v>
                </c:pt>
                <c:pt idx="791">
                  <c:v>2.91</c:v>
                </c:pt>
                <c:pt idx="792">
                  <c:v>2.92</c:v>
                </c:pt>
                <c:pt idx="793">
                  <c:v>2.9300000000000006</c:v>
                </c:pt>
                <c:pt idx="794">
                  <c:v>2.9400000000000004</c:v>
                </c:pt>
                <c:pt idx="795">
                  <c:v>2.95</c:v>
                </c:pt>
                <c:pt idx="796">
                  <c:v>2.96</c:v>
                </c:pt>
                <c:pt idx="797">
                  <c:v>2.9699999999999998</c:v>
                </c:pt>
                <c:pt idx="798">
                  <c:v>2.9800000000000004</c:v>
                </c:pt>
                <c:pt idx="799">
                  <c:v>2.99</c:v>
                </c:pt>
                <c:pt idx="800">
                  <c:v>3</c:v>
                </c:pt>
                <c:pt idx="801">
                  <c:v>3.01</c:v>
                </c:pt>
                <c:pt idx="802">
                  <c:v>3.0199999999999996</c:v>
                </c:pt>
                <c:pt idx="803">
                  <c:v>3.0299999999999994</c:v>
                </c:pt>
                <c:pt idx="804">
                  <c:v>3.0400000000000009</c:v>
                </c:pt>
                <c:pt idx="805">
                  <c:v>3.0500000000000007</c:v>
                </c:pt>
                <c:pt idx="806">
                  <c:v>3.0600000000000005</c:v>
                </c:pt>
                <c:pt idx="807">
                  <c:v>3.0700000000000003</c:v>
                </c:pt>
                <c:pt idx="808">
                  <c:v>3.08</c:v>
                </c:pt>
                <c:pt idx="809">
                  <c:v>3.09</c:v>
                </c:pt>
                <c:pt idx="810">
                  <c:v>3.0999999999999996</c:v>
                </c:pt>
                <c:pt idx="811">
                  <c:v>3.1099999999999994</c:v>
                </c:pt>
                <c:pt idx="812">
                  <c:v>3.120000000000001</c:v>
                </c:pt>
                <c:pt idx="813">
                  <c:v>3.1300000000000008</c:v>
                </c:pt>
                <c:pt idx="814">
                  <c:v>3.1400000000000006</c:v>
                </c:pt>
                <c:pt idx="815">
                  <c:v>3.1500000000000004</c:v>
                </c:pt>
                <c:pt idx="816">
                  <c:v>3.16</c:v>
                </c:pt>
                <c:pt idx="817">
                  <c:v>3.17</c:v>
                </c:pt>
                <c:pt idx="818">
                  <c:v>3.1799999999999997</c:v>
                </c:pt>
                <c:pt idx="819">
                  <c:v>3.1899999999999995</c:v>
                </c:pt>
                <c:pt idx="820">
                  <c:v>3.1999999999999993</c:v>
                </c:pt>
                <c:pt idx="821">
                  <c:v>3.2100000000000009</c:v>
                </c:pt>
                <c:pt idx="822">
                  <c:v>3.2200000000000006</c:v>
                </c:pt>
                <c:pt idx="823">
                  <c:v>3.2300000000000004</c:v>
                </c:pt>
                <c:pt idx="824">
                  <c:v>3.24</c:v>
                </c:pt>
                <c:pt idx="825">
                  <c:v>3.25</c:v>
                </c:pt>
                <c:pt idx="826">
                  <c:v>3.26</c:v>
                </c:pt>
                <c:pt idx="827">
                  <c:v>3.2699999999999996</c:v>
                </c:pt>
                <c:pt idx="828">
                  <c:v>3.2799999999999994</c:v>
                </c:pt>
                <c:pt idx="829">
                  <c:v>3.2900000000000009</c:v>
                </c:pt>
                <c:pt idx="830">
                  <c:v>3.3000000000000007</c:v>
                </c:pt>
                <c:pt idx="831">
                  <c:v>3.3100000000000005</c:v>
                </c:pt>
                <c:pt idx="832">
                  <c:v>3.3200000000000003</c:v>
                </c:pt>
                <c:pt idx="833">
                  <c:v>3.33</c:v>
                </c:pt>
                <c:pt idx="834">
                  <c:v>3.34</c:v>
                </c:pt>
                <c:pt idx="835">
                  <c:v>3.3499999999999996</c:v>
                </c:pt>
                <c:pt idx="836">
                  <c:v>3.3599999999999994</c:v>
                </c:pt>
                <c:pt idx="837">
                  <c:v>3.370000000000001</c:v>
                </c:pt>
                <c:pt idx="838">
                  <c:v>3.3800000000000008</c:v>
                </c:pt>
                <c:pt idx="839">
                  <c:v>3.3900000000000006</c:v>
                </c:pt>
                <c:pt idx="840">
                  <c:v>3.4000000000000004</c:v>
                </c:pt>
                <c:pt idx="841">
                  <c:v>3.41</c:v>
                </c:pt>
                <c:pt idx="842">
                  <c:v>3.42</c:v>
                </c:pt>
                <c:pt idx="843">
                  <c:v>3.4299999999999997</c:v>
                </c:pt>
                <c:pt idx="844">
                  <c:v>3.4399999999999995</c:v>
                </c:pt>
                <c:pt idx="845">
                  <c:v>3.4499999999999993</c:v>
                </c:pt>
                <c:pt idx="846">
                  <c:v>3.4600000000000009</c:v>
                </c:pt>
                <c:pt idx="847">
                  <c:v>3.4700000000000006</c:v>
                </c:pt>
                <c:pt idx="848">
                  <c:v>3.4800000000000004</c:v>
                </c:pt>
                <c:pt idx="849">
                  <c:v>3.49</c:v>
                </c:pt>
                <c:pt idx="850">
                  <c:v>3.5</c:v>
                </c:pt>
                <c:pt idx="851">
                  <c:v>3.51</c:v>
                </c:pt>
                <c:pt idx="852">
                  <c:v>3.5199999999999996</c:v>
                </c:pt>
                <c:pt idx="853">
                  <c:v>3.5299999999999994</c:v>
                </c:pt>
                <c:pt idx="854">
                  <c:v>3.5400000000000009</c:v>
                </c:pt>
                <c:pt idx="855">
                  <c:v>3.5500000000000007</c:v>
                </c:pt>
                <c:pt idx="856">
                  <c:v>3.5600000000000005</c:v>
                </c:pt>
                <c:pt idx="857">
                  <c:v>3.5700000000000003</c:v>
                </c:pt>
                <c:pt idx="858">
                  <c:v>3.58</c:v>
                </c:pt>
                <c:pt idx="859">
                  <c:v>3.59</c:v>
                </c:pt>
                <c:pt idx="860">
                  <c:v>3.5999999999999996</c:v>
                </c:pt>
                <c:pt idx="861">
                  <c:v>3.6099999999999994</c:v>
                </c:pt>
                <c:pt idx="862">
                  <c:v>3.620000000000001</c:v>
                </c:pt>
                <c:pt idx="863">
                  <c:v>3.6300000000000008</c:v>
                </c:pt>
                <c:pt idx="864">
                  <c:v>3.6400000000000006</c:v>
                </c:pt>
                <c:pt idx="865">
                  <c:v>3.6500000000000004</c:v>
                </c:pt>
                <c:pt idx="866">
                  <c:v>3.66</c:v>
                </c:pt>
                <c:pt idx="867">
                  <c:v>3.67</c:v>
                </c:pt>
                <c:pt idx="868">
                  <c:v>3.6799999999999997</c:v>
                </c:pt>
                <c:pt idx="869">
                  <c:v>3.6899999999999995</c:v>
                </c:pt>
                <c:pt idx="870">
                  <c:v>3.7000000000000011</c:v>
                </c:pt>
                <c:pt idx="871">
                  <c:v>3.7100000000000009</c:v>
                </c:pt>
                <c:pt idx="872">
                  <c:v>3.7200000000000006</c:v>
                </c:pt>
                <c:pt idx="873">
                  <c:v>3.7300000000000004</c:v>
                </c:pt>
                <c:pt idx="874">
                  <c:v>3.74</c:v>
                </c:pt>
                <c:pt idx="875">
                  <c:v>3.75</c:v>
                </c:pt>
                <c:pt idx="876">
                  <c:v>3.76</c:v>
                </c:pt>
                <c:pt idx="877">
                  <c:v>3.7699999999999996</c:v>
                </c:pt>
                <c:pt idx="878">
                  <c:v>3.7799999999999994</c:v>
                </c:pt>
                <c:pt idx="879">
                  <c:v>3.7900000000000009</c:v>
                </c:pt>
                <c:pt idx="880">
                  <c:v>3.8000000000000007</c:v>
                </c:pt>
                <c:pt idx="881">
                  <c:v>3.8100000000000005</c:v>
                </c:pt>
                <c:pt idx="882">
                  <c:v>3.8200000000000003</c:v>
                </c:pt>
                <c:pt idx="883">
                  <c:v>3.83</c:v>
                </c:pt>
                <c:pt idx="884">
                  <c:v>3.84</c:v>
                </c:pt>
                <c:pt idx="885">
                  <c:v>3.8499999999999996</c:v>
                </c:pt>
                <c:pt idx="886">
                  <c:v>3.8599999999999994</c:v>
                </c:pt>
                <c:pt idx="887">
                  <c:v>3.870000000000001</c:v>
                </c:pt>
                <c:pt idx="888">
                  <c:v>3.8800000000000008</c:v>
                </c:pt>
                <c:pt idx="889">
                  <c:v>3.8900000000000006</c:v>
                </c:pt>
                <c:pt idx="890">
                  <c:v>3.9000000000000004</c:v>
                </c:pt>
                <c:pt idx="891">
                  <c:v>3.91</c:v>
                </c:pt>
                <c:pt idx="892">
                  <c:v>3.92</c:v>
                </c:pt>
                <c:pt idx="893">
                  <c:v>3.9299999999999997</c:v>
                </c:pt>
                <c:pt idx="894">
                  <c:v>3.9399999999999995</c:v>
                </c:pt>
                <c:pt idx="895">
                  <c:v>3.9500000000000011</c:v>
                </c:pt>
                <c:pt idx="896">
                  <c:v>3.9600000000000009</c:v>
                </c:pt>
                <c:pt idx="897">
                  <c:v>3.9700000000000006</c:v>
                </c:pt>
                <c:pt idx="898">
                  <c:v>3.9800000000000004</c:v>
                </c:pt>
                <c:pt idx="899">
                  <c:v>3.99</c:v>
                </c:pt>
                <c:pt idx="900">
                  <c:v>4</c:v>
                </c:pt>
                <c:pt idx="901">
                  <c:v>4.01</c:v>
                </c:pt>
                <c:pt idx="902">
                  <c:v>4.0199999999999996</c:v>
                </c:pt>
                <c:pt idx="903">
                  <c:v>4.0299999999999994</c:v>
                </c:pt>
                <c:pt idx="904">
                  <c:v>4.0400000000000009</c:v>
                </c:pt>
                <c:pt idx="905">
                  <c:v>4.0500000000000007</c:v>
                </c:pt>
                <c:pt idx="906">
                  <c:v>4.0600000000000005</c:v>
                </c:pt>
                <c:pt idx="907">
                  <c:v>4.07</c:v>
                </c:pt>
                <c:pt idx="908">
                  <c:v>4.08</c:v>
                </c:pt>
                <c:pt idx="909">
                  <c:v>4.09</c:v>
                </c:pt>
                <c:pt idx="910">
                  <c:v>4.0999999999999996</c:v>
                </c:pt>
                <c:pt idx="911">
                  <c:v>4.1099999999999994</c:v>
                </c:pt>
                <c:pt idx="912">
                  <c:v>4.120000000000001</c:v>
                </c:pt>
                <c:pt idx="913">
                  <c:v>4.1300000000000008</c:v>
                </c:pt>
                <c:pt idx="914">
                  <c:v>4.1400000000000006</c:v>
                </c:pt>
                <c:pt idx="915">
                  <c:v>4.1500000000000004</c:v>
                </c:pt>
                <c:pt idx="916">
                  <c:v>4.16</c:v>
                </c:pt>
                <c:pt idx="917">
                  <c:v>4.17</c:v>
                </c:pt>
                <c:pt idx="918">
                  <c:v>4.18</c:v>
                </c:pt>
                <c:pt idx="919">
                  <c:v>4.1899999999999995</c:v>
                </c:pt>
                <c:pt idx="920">
                  <c:v>4.2000000000000011</c:v>
                </c:pt>
                <c:pt idx="921">
                  <c:v>4.2100000000000009</c:v>
                </c:pt>
                <c:pt idx="922">
                  <c:v>4.2200000000000006</c:v>
                </c:pt>
                <c:pt idx="923">
                  <c:v>4.2300000000000004</c:v>
                </c:pt>
                <c:pt idx="924">
                  <c:v>4.24</c:v>
                </c:pt>
                <c:pt idx="925">
                  <c:v>4.25</c:v>
                </c:pt>
                <c:pt idx="926">
                  <c:v>4.26</c:v>
                </c:pt>
                <c:pt idx="927">
                  <c:v>4.2699999999999996</c:v>
                </c:pt>
                <c:pt idx="928">
                  <c:v>4.2799999999999994</c:v>
                </c:pt>
                <c:pt idx="929">
                  <c:v>4.2900000000000009</c:v>
                </c:pt>
                <c:pt idx="930">
                  <c:v>4.3000000000000007</c:v>
                </c:pt>
                <c:pt idx="931">
                  <c:v>4.3100000000000005</c:v>
                </c:pt>
                <c:pt idx="932">
                  <c:v>4.32</c:v>
                </c:pt>
                <c:pt idx="933">
                  <c:v>4.33</c:v>
                </c:pt>
                <c:pt idx="934">
                  <c:v>4.34</c:v>
                </c:pt>
                <c:pt idx="935">
                  <c:v>4.3499999999999996</c:v>
                </c:pt>
                <c:pt idx="936">
                  <c:v>4.3599999999999994</c:v>
                </c:pt>
                <c:pt idx="937">
                  <c:v>4.370000000000001</c:v>
                </c:pt>
                <c:pt idx="938">
                  <c:v>4.3800000000000008</c:v>
                </c:pt>
                <c:pt idx="939">
                  <c:v>4.3900000000000006</c:v>
                </c:pt>
                <c:pt idx="940">
                  <c:v>4.4000000000000004</c:v>
                </c:pt>
                <c:pt idx="941">
                  <c:v>4.41</c:v>
                </c:pt>
                <c:pt idx="942">
                  <c:v>4.42</c:v>
                </c:pt>
                <c:pt idx="943">
                  <c:v>4.43</c:v>
                </c:pt>
                <c:pt idx="944">
                  <c:v>4.4399999999999995</c:v>
                </c:pt>
                <c:pt idx="945">
                  <c:v>4.4500000000000011</c:v>
                </c:pt>
                <c:pt idx="946">
                  <c:v>4.4600000000000009</c:v>
                </c:pt>
                <c:pt idx="947">
                  <c:v>4.4700000000000006</c:v>
                </c:pt>
                <c:pt idx="948">
                  <c:v>4.4800000000000004</c:v>
                </c:pt>
                <c:pt idx="949">
                  <c:v>4.49</c:v>
                </c:pt>
                <c:pt idx="950">
                  <c:v>4.5</c:v>
                </c:pt>
                <c:pt idx="951">
                  <c:v>4.51</c:v>
                </c:pt>
                <c:pt idx="952">
                  <c:v>4.5199999999999996</c:v>
                </c:pt>
                <c:pt idx="953">
                  <c:v>4.5299999999999994</c:v>
                </c:pt>
                <c:pt idx="954">
                  <c:v>4.5400000000000009</c:v>
                </c:pt>
                <c:pt idx="955">
                  <c:v>4.5500000000000007</c:v>
                </c:pt>
                <c:pt idx="956">
                  <c:v>4.5600000000000005</c:v>
                </c:pt>
                <c:pt idx="957">
                  <c:v>4.57</c:v>
                </c:pt>
                <c:pt idx="958">
                  <c:v>4.58</c:v>
                </c:pt>
                <c:pt idx="959">
                  <c:v>4.59</c:v>
                </c:pt>
                <c:pt idx="960">
                  <c:v>4.5999999999999996</c:v>
                </c:pt>
                <c:pt idx="961">
                  <c:v>4.6099999999999994</c:v>
                </c:pt>
                <c:pt idx="962">
                  <c:v>4.620000000000001</c:v>
                </c:pt>
                <c:pt idx="963">
                  <c:v>4.6300000000000008</c:v>
                </c:pt>
                <c:pt idx="964">
                  <c:v>4.6400000000000006</c:v>
                </c:pt>
                <c:pt idx="965">
                  <c:v>4.6500000000000004</c:v>
                </c:pt>
                <c:pt idx="966">
                  <c:v>4.66</c:v>
                </c:pt>
                <c:pt idx="967">
                  <c:v>4.67</c:v>
                </c:pt>
                <c:pt idx="968">
                  <c:v>4.68</c:v>
                </c:pt>
                <c:pt idx="969">
                  <c:v>4.6899999999999995</c:v>
                </c:pt>
                <c:pt idx="970">
                  <c:v>4.7000000000000011</c:v>
                </c:pt>
                <c:pt idx="971">
                  <c:v>4.7100000000000009</c:v>
                </c:pt>
                <c:pt idx="972">
                  <c:v>4.7200000000000006</c:v>
                </c:pt>
                <c:pt idx="973">
                  <c:v>4.7300000000000004</c:v>
                </c:pt>
                <c:pt idx="974">
                  <c:v>4.74</c:v>
                </c:pt>
                <c:pt idx="975">
                  <c:v>4.75</c:v>
                </c:pt>
                <c:pt idx="976">
                  <c:v>4.76</c:v>
                </c:pt>
                <c:pt idx="977">
                  <c:v>4.7699999999999996</c:v>
                </c:pt>
                <c:pt idx="978">
                  <c:v>4.7799999999999994</c:v>
                </c:pt>
                <c:pt idx="979">
                  <c:v>4.7900000000000009</c:v>
                </c:pt>
                <c:pt idx="980">
                  <c:v>4.8000000000000007</c:v>
                </c:pt>
                <c:pt idx="981">
                  <c:v>4.8100000000000005</c:v>
                </c:pt>
                <c:pt idx="982">
                  <c:v>4.82</c:v>
                </c:pt>
                <c:pt idx="983">
                  <c:v>4.83</c:v>
                </c:pt>
                <c:pt idx="984">
                  <c:v>4.84</c:v>
                </c:pt>
                <c:pt idx="985">
                  <c:v>4.8499999999999996</c:v>
                </c:pt>
                <c:pt idx="986">
                  <c:v>4.8599999999999994</c:v>
                </c:pt>
                <c:pt idx="987">
                  <c:v>4.870000000000001</c:v>
                </c:pt>
                <c:pt idx="988">
                  <c:v>4.8800000000000008</c:v>
                </c:pt>
                <c:pt idx="989">
                  <c:v>4.8900000000000006</c:v>
                </c:pt>
                <c:pt idx="990">
                  <c:v>4.9000000000000004</c:v>
                </c:pt>
                <c:pt idx="991">
                  <c:v>4.91</c:v>
                </c:pt>
                <c:pt idx="992">
                  <c:v>4.92</c:v>
                </c:pt>
                <c:pt idx="993">
                  <c:v>4.93</c:v>
                </c:pt>
                <c:pt idx="994">
                  <c:v>4.9399999999999995</c:v>
                </c:pt>
                <c:pt idx="995">
                  <c:v>4.9500000000000011</c:v>
                </c:pt>
                <c:pt idx="996">
                  <c:v>4.9600000000000009</c:v>
                </c:pt>
                <c:pt idx="997">
                  <c:v>4.9700000000000006</c:v>
                </c:pt>
                <c:pt idx="998">
                  <c:v>4.9800000000000004</c:v>
                </c:pt>
                <c:pt idx="999">
                  <c:v>4.99</c:v>
                </c:pt>
                <c:pt idx="1000">
                  <c:v>5</c:v>
                </c:pt>
              </c:numCache>
            </c:numRef>
          </c:cat>
          <c:val>
            <c:numRef>
              <c:f>FZERO!$M$14:$M$1014</c:f>
              <c:numCache>
                <c:formatCode>0.0</c:formatCode>
                <c:ptCount val="1001"/>
                <c:pt idx="0">
                  <c:v>-116</c:v>
                </c:pt>
                <c:pt idx="1">
                  <c:v>-115.27149900000001</c:v>
                </c:pt>
                <c:pt idx="2">
                  <c:v>-114.54599200000001</c:v>
                </c:pt>
                <c:pt idx="3">
                  <c:v>-113.82347299999998</c:v>
                </c:pt>
                <c:pt idx="4">
                  <c:v>-113.103936</c:v>
                </c:pt>
                <c:pt idx="5">
                  <c:v>-112.38737500000001</c:v>
                </c:pt>
                <c:pt idx="6">
                  <c:v>-111.67378400000004</c:v>
                </c:pt>
                <c:pt idx="7">
                  <c:v>-110.96315699999998</c:v>
                </c:pt>
                <c:pt idx="8">
                  <c:v>-110.25548799999999</c:v>
                </c:pt>
                <c:pt idx="9">
                  <c:v>-109.550771</c:v>
                </c:pt>
                <c:pt idx="10">
                  <c:v>-108.84900000000003</c:v>
                </c:pt>
                <c:pt idx="11">
                  <c:v>-108.15016899999996</c:v>
                </c:pt>
                <c:pt idx="12">
                  <c:v>-107.45427199999999</c:v>
                </c:pt>
                <c:pt idx="13">
                  <c:v>-106.76130300000003</c:v>
                </c:pt>
                <c:pt idx="14">
                  <c:v>-106.07125600000002</c:v>
                </c:pt>
                <c:pt idx="15">
                  <c:v>-105.38412499999997</c:v>
                </c:pt>
                <c:pt idx="16">
                  <c:v>-104.699904</c:v>
                </c:pt>
                <c:pt idx="17">
                  <c:v>-104.01858700000001</c:v>
                </c:pt>
                <c:pt idx="18">
                  <c:v>-103.34016800000002</c:v>
                </c:pt>
                <c:pt idx="19">
                  <c:v>-102.66464099999996</c:v>
                </c:pt>
                <c:pt idx="20">
                  <c:v>-101.992</c:v>
                </c:pt>
                <c:pt idx="21">
                  <c:v>-101.322239</c:v>
                </c:pt>
                <c:pt idx="22">
                  <c:v>-100.65535200000001</c:v>
                </c:pt>
                <c:pt idx="23">
                  <c:v>-99.991332999999969</c:v>
                </c:pt>
                <c:pt idx="24">
                  <c:v>-99.330175999999994</c:v>
                </c:pt>
                <c:pt idx="25">
                  <c:v>-98.671875</c:v>
                </c:pt>
                <c:pt idx="26">
                  <c:v>-98.016424000000001</c:v>
                </c:pt>
                <c:pt idx="27">
                  <c:v>-97.36381700000004</c:v>
                </c:pt>
                <c:pt idx="28">
                  <c:v>-96.714047999999991</c:v>
                </c:pt>
                <c:pt idx="29">
                  <c:v>-96.067110999999997</c:v>
                </c:pt>
                <c:pt idx="30">
                  <c:v>-95.423000000000016</c:v>
                </c:pt>
                <c:pt idx="31">
                  <c:v>-94.781709000000021</c:v>
                </c:pt>
                <c:pt idx="32">
                  <c:v>-94.143231999999983</c:v>
                </c:pt>
                <c:pt idx="33">
                  <c:v>-93.50756299999999</c:v>
                </c:pt>
                <c:pt idx="34">
                  <c:v>-92.874696</c:v>
                </c:pt>
                <c:pt idx="35">
                  <c:v>-92.244625000000028</c:v>
                </c:pt>
                <c:pt idx="36">
                  <c:v>-91.617343999999989</c:v>
                </c:pt>
                <c:pt idx="37">
                  <c:v>-90.992846999999983</c:v>
                </c:pt>
                <c:pt idx="38">
                  <c:v>-90.371128000000013</c:v>
                </c:pt>
                <c:pt idx="39">
                  <c:v>-89.752181000000022</c:v>
                </c:pt>
                <c:pt idx="40">
                  <c:v>-89.135999999999967</c:v>
                </c:pt>
                <c:pt idx="41">
                  <c:v>-88.522578999999979</c:v>
                </c:pt>
                <c:pt idx="42">
                  <c:v>-87.911912000000015</c:v>
                </c:pt>
                <c:pt idx="43">
                  <c:v>-87.30399300000002</c:v>
                </c:pt>
                <c:pt idx="44">
                  <c:v>-86.698815999999979</c:v>
                </c:pt>
                <c:pt idx="45">
                  <c:v>-86.096374999999995</c:v>
                </c:pt>
                <c:pt idx="46">
                  <c:v>-85.496663999999996</c:v>
                </c:pt>
                <c:pt idx="47">
                  <c:v>-84.899677000000011</c:v>
                </c:pt>
                <c:pt idx="48">
                  <c:v>-84.305407999999971</c:v>
                </c:pt>
                <c:pt idx="49">
                  <c:v>-83.713850999999991</c:v>
                </c:pt>
                <c:pt idx="50">
                  <c:v>-83.125</c:v>
                </c:pt>
                <c:pt idx="51">
                  <c:v>-82.538849000000013</c:v>
                </c:pt>
                <c:pt idx="52">
                  <c:v>-81.955392000000018</c:v>
                </c:pt>
                <c:pt idx="53">
                  <c:v>-81.374622999999985</c:v>
                </c:pt>
                <c:pt idx="54">
                  <c:v>-80.796536000000003</c:v>
                </c:pt>
                <c:pt idx="55">
                  <c:v>-80.221125000000001</c:v>
                </c:pt>
                <c:pt idx="56">
                  <c:v>-79.648384000000021</c:v>
                </c:pt>
                <c:pt idx="57">
                  <c:v>-79.078306999999981</c:v>
                </c:pt>
                <c:pt idx="58">
                  <c:v>-78.510887999999994</c:v>
                </c:pt>
                <c:pt idx="59">
                  <c:v>-77.946121000000005</c:v>
                </c:pt>
                <c:pt idx="60">
                  <c:v>-77.384000000000029</c:v>
                </c:pt>
                <c:pt idx="61">
                  <c:v>-76.824518999999981</c:v>
                </c:pt>
                <c:pt idx="62">
                  <c:v>-76.26767199999999</c:v>
                </c:pt>
                <c:pt idx="63">
                  <c:v>-75.713453000000015</c:v>
                </c:pt>
                <c:pt idx="64">
                  <c:v>-75.161856000000014</c:v>
                </c:pt>
                <c:pt idx="65">
                  <c:v>-74.612874999999974</c:v>
                </c:pt>
                <c:pt idx="66">
                  <c:v>-74.066504000000009</c:v>
                </c:pt>
                <c:pt idx="67">
                  <c:v>-73.522737000000006</c:v>
                </c:pt>
                <c:pt idx="68">
                  <c:v>-72.98156800000001</c:v>
                </c:pt>
                <c:pt idx="69">
                  <c:v>-72.442990999999978</c:v>
                </c:pt>
                <c:pt idx="70">
                  <c:v>-71.906999999999996</c:v>
                </c:pt>
                <c:pt idx="71">
                  <c:v>-71.373588999999996</c:v>
                </c:pt>
                <c:pt idx="72">
                  <c:v>-70.842752000000004</c:v>
                </c:pt>
                <c:pt idx="73">
                  <c:v>-70.314482999999967</c:v>
                </c:pt>
                <c:pt idx="74">
                  <c:v>-69.788775999999984</c:v>
                </c:pt>
                <c:pt idx="75">
                  <c:v>-69.265625</c:v>
                </c:pt>
                <c:pt idx="76">
                  <c:v>-68.745024000000015</c:v>
                </c:pt>
                <c:pt idx="77">
                  <c:v>-68.22696700000003</c:v>
                </c:pt>
                <c:pt idx="78">
                  <c:v>-67.71144799999999</c:v>
                </c:pt>
                <c:pt idx="79">
                  <c:v>-67.198460999999995</c:v>
                </c:pt>
                <c:pt idx="80">
                  <c:v>-66.688000000000002</c:v>
                </c:pt>
                <c:pt idx="81">
                  <c:v>-66.180059000000028</c:v>
                </c:pt>
                <c:pt idx="82">
                  <c:v>-65.674631999999988</c:v>
                </c:pt>
                <c:pt idx="83">
                  <c:v>-65.171712999999997</c:v>
                </c:pt>
                <c:pt idx="84">
                  <c:v>-64.671296000000012</c:v>
                </c:pt>
                <c:pt idx="85">
                  <c:v>-64.173375000000021</c:v>
                </c:pt>
                <c:pt idx="86">
                  <c:v>-63.677943999999982</c:v>
                </c:pt>
                <c:pt idx="87">
                  <c:v>-63.184996999999989</c:v>
                </c:pt>
                <c:pt idx="88">
                  <c:v>-62.694527999999998</c:v>
                </c:pt>
                <c:pt idx="89">
                  <c:v>-62.206531000000012</c:v>
                </c:pt>
                <c:pt idx="90">
                  <c:v>-61.720999999999989</c:v>
                </c:pt>
                <c:pt idx="91">
                  <c:v>-61.237928999999987</c:v>
                </c:pt>
                <c:pt idx="92">
                  <c:v>-60.757311999999999</c:v>
                </c:pt>
                <c:pt idx="93">
                  <c:v>-60.279143000000005</c:v>
                </c:pt>
                <c:pt idx="94">
                  <c:v>-59.803415999999977</c:v>
                </c:pt>
                <c:pt idx="95">
                  <c:v>-59.330124999999988</c:v>
                </c:pt>
                <c:pt idx="96">
                  <c:v>-58.859263999999996</c:v>
                </c:pt>
                <c:pt idx="97">
                  <c:v>-58.390827000000016</c:v>
                </c:pt>
                <c:pt idx="98">
                  <c:v>-57.924807999999977</c:v>
                </c:pt>
                <c:pt idx="99">
                  <c:v>-57.461200999999988</c:v>
                </c:pt>
                <c:pt idx="100">
                  <c:v>-57</c:v>
                </c:pt>
                <c:pt idx="101">
                  <c:v>-56.541199000000006</c:v>
                </c:pt>
                <c:pt idx="102">
                  <c:v>-56.084792</c:v>
                </c:pt>
                <c:pt idx="103">
                  <c:v>-55.630773000000012</c:v>
                </c:pt>
                <c:pt idx="104">
                  <c:v>-55.179135999999993</c:v>
                </c:pt>
                <c:pt idx="105">
                  <c:v>-54.729875000000007</c:v>
                </c:pt>
                <c:pt idx="106">
                  <c:v>-54.282983999999999</c:v>
                </c:pt>
                <c:pt idx="107">
                  <c:v>-53.838457000000005</c:v>
                </c:pt>
                <c:pt idx="108">
                  <c:v>-53.396287999999998</c:v>
                </c:pt>
                <c:pt idx="109">
                  <c:v>-52.956471000000008</c:v>
                </c:pt>
                <c:pt idx="110">
                  <c:v>-52.518999999999998</c:v>
                </c:pt>
                <c:pt idx="111">
                  <c:v>-52.083869000000007</c:v>
                </c:pt>
                <c:pt idx="112">
                  <c:v>-51.651071999999999</c:v>
                </c:pt>
                <c:pt idx="113">
                  <c:v>-51.220603000000004</c:v>
                </c:pt>
                <c:pt idx="114">
                  <c:v>-50.792455999999994</c:v>
                </c:pt>
                <c:pt idx="115">
                  <c:v>-50.366625000000006</c:v>
                </c:pt>
                <c:pt idx="116">
                  <c:v>-49.943103999999998</c:v>
                </c:pt>
                <c:pt idx="117">
                  <c:v>-49.521887000000007</c:v>
                </c:pt>
                <c:pt idx="118">
                  <c:v>-49.102967999999997</c:v>
                </c:pt>
                <c:pt idx="119">
                  <c:v>-48.686341000000006</c:v>
                </c:pt>
                <c:pt idx="120">
                  <c:v>-48.271999999999991</c:v>
                </c:pt>
                <c:pt idx="121">
                  <c:v>-47.859939000000004</c:v>
                </c:pt>
                <c:pt idx="122">
                  <c:v>-47.450151999999996</c:v>
                </c:pt>
                <c:pt idx="123">
                  <c:v>-47.042633000000002</c:v>
                </c:pt>
                <c:pt idx="124">
                  <c:v>-46.637375999999989</c:v>
                </c:pt>
                <c:pt idx="125">
                  <c:v>-46.234375</c:v>
                </c:pt>
                <c:pt idx="126">
                  <c:v>-45.833624000000015</c:v>
                </c:pt>
                <c:pt idx="127">
                  <c:v>-45.435116999999998</c:v>
                </c:pt>
                <c:pt idx="128">
                  <c:v>-45.038848000000009</c:v>
                </c:pt>
                <c:pt idx="129">
                  <c:v>-44.644810999999997</c:v>
                </c:pt>
                <c:pt idx="130">
                  <c:v>-44.253000000000007</c:v>
                </c:pt>
                <c:pt idx="131">
                  <c:v>-43.863408999999997</c:v>
                </c:pt>
                <c:pt idx="132">
                  <c:v>-43.476032000000004</c:v>
                </c:pt>
                <c:pt idx="133">
                  <c:v>-43.090862999999999</c:v>
                </c:pt>
                <c:pt idx="134">
                  <c:v>-42.707896000000005</c:v>
                </c:pt>
                <c:pt idx="135">
                  <c:v>-42.327125000000002</c:v>
                </c:pt>
                <c:pt idx="136">
                  <c:v>-41.948544000000005</c:v>
                </c:pt>
                <c:pt idx="137">
                  <c:v>-41.572147000000001</c:v>
                </c:pt>
                <c:pt idx="138">
                  <c:v>-41.197927999999997</c:v>
                </c:pt>
                <c:pt idx="139">
                  <c:v>-40.825880999999995</c:v>
                </c:pt>
                <c:pt idx="140">
                  <c:v>-40.456000000000003</c:v>
                </c:pt>
                <c:pt idx="141">
                  <c:v>-40.088279</c:v>
                </c:pt>
                <c:pt idx="142">
                  <c:v>-39.722712000000001</c:v>
                </c:pt>
                <c:pt idx="143">
                  <c:v>-39.359292999999994</c:v>
                </c:pt>
                <c:pt idx="144">
                  <c:v>-38.998016000000007</c:v>
                </c:pt>
                <c:pt idx="145">
                  <c:v>-38.638874999999992</c:v>
                </c:pt>
                <c:pt idx="146">
                  <c:v>-38.281864000000006</c:v>
                </c:pt>
                <c:pt idx="147">
                  <c:v>-37.926976999999994</c:v>
                </c:pt>
                <c:pt idx="148">
                  <c:v>-37.574207999999999</c:v>
                </c:pt>
                <c:pt idx="149">
                  <c:v>-37.223550999999986</c:v>
                </c:pt>
                <c:pt idx="150">
                  <c:v>-36.875</c:v>
                </c:pt>
                <c:pt idx="151">
                  <c:v>-36.528549000000012</c:v>
                </c:pt>
                <c:pt idx="152">
                  <c:v>-36.184192000000003</c:v>
                </c:pt>
                <c:pt idx="153">
                  <c:v>-35.841923000000008</c:v>
                </c:pt>
                <c:pt idx="154">
                  <c:v>-35.501736000000001</c:v>
                </c:pt>
                <c:pt idx="155">
                  <c:v>-35.16362500000001</c:v>
                </c:pt>
                <c:pt idx="156">
                  <c:v>-34.827583999999995</c:v>
                </c:pt>
                <c:pt idx="157">
                  <c:v>-34.493607000000004</c:v>
                </c:pt>
                <c:pt idx="158">
                  <c:v>-34.161687999999998</c:v>
                </c:pt>
                <c:pt idx="159">
                  <c:v>-33.831821000000005</c:v>
                </c:pt>
                <c:pt idx="160">
                  <c:v>-33.503999999999998</c:v>
                </c:pt>
                <c:pt idx="161">
                  <c:v>-33.178219000000006</c:v>
                </c:pt>
                <c:pt idx="162">
                  <c:v>-32.854471999999994</c:v>
                </c:pt>
                <c:pt idx="163">
                  <c:v>-32.532753000000007</c:v>
                </c:pt>
                <c:pt idx="164">
                  <c:v>-32.213055999999995</c:v>
                </c:pt>
                <c:pt idx="165">
                  <c:v>-31.895375000000005</c:v>
                </c:pt>
                <c:pt idx="166">
                  <c:v>-31.579704</c:v>
                </c:pt>
                <c:pt idx="167">
                  <c:v>-31.266037000000001</c:v>
                </c:pt>
                <c:pt idx="168">
                  <c:v>-30.954367999999995</c:v>
                </c:pt>
                <c:pt idx="169">
                  <c:v>-30.644691000000005</c:v>
                </c:pt>
                <c:pt idx="170">
                  <c:v>-30.336999999999996</c:v>
                </c:pt>
                <c:pt idx="171">
                  <c:v>-30.031289000000001</c:v>
                </c:pt>
                <c:pt idx="172">
                  <c:v>-29.727551999999992</c:v>
                </c:pt>
                <c:pt idx="173">
                  <c:v>-29.425783000000003</c:v>
                </c:pt>
                <c:pt idx="174">
                  <c:v>-29.125975999999998</c:v>
                </c:pt>
                <c:pt idx="175">
                  <c:v>-28.828125</c:v>
                </c:pt>
                <c:pt idx="176">
                  <c:v>-28.53222400000001</c:v>
                </c:pt>
                <c:pt idx="177">
                  <c:v>-28.238267</c:v>
                </c:pt>
                <c:pt idx="178">
                  <c:v>-27.946248000000008</c:v>
                </c:pt>
                <c:pt idx="179">
                  <c:v>-27.656160999999997</c:v>
                </c:pt>
                <c:pt idx="180">
                  <c:v>-27.368000000000009</c:v>
                </c:pt>
                <c:pt idx="181">
                  <c:v>-27.081759000000002</c:v>
                </c:pt>
                <c:pt idx="182">
                  <c:v>-26.797432000000008</c:v>
                </c:pt>
                <c:pt idx="183">
                  <c:v>-26.515013</c:v>
                </c:pt>
                <c:pt idx="184">
                  <c:v>-26.234496000000007</c:v>
                </c:pt>
                <c:pt idx="185">
                  <c:v>-25.955874999999995</c:v>
                </c:pt>
                <c:pt idx="186">
                  <c:v>-25.679144000000001</c:v>
                </c:pt>
                <c:pt idx="187">
                  <c:v>-25.404297</c:v>
                </c:pt>
                <c:pt idx="188">
                  <c:v>-25.131328000000003</c:v>
                </c:pt>
                <c:pt idx="189">
                  <c:v>-24.860230999999995</c:v>
                </c:pt>
                <c:pt idx="190">
                  <c:v>-24.591000000000005</c:v>
                </c:pt>
                <c:pt idx="191">
                  <c:v>-24.323628999999997</c:v>
                </c:pt>
                <c:pt idx="192">
                  <c:v>-24.058112000000001</c:v>
                </c:pt>
                <c:pt idx="193">
                  <c:v>-23.794442999999994</c:v>
                </c:pt>
                <c:pt idx="194">
                  <c:v>-23.532616000000001</c:v>
                </c:pt>
                <c:pt idx="195">
                  <c:v>-23.272624999999991</c:v>
                </c:pt>
                <c:pt idx="196">
                  <c:v>-23.014464000000004</c:v>
                </c:pt>
                <c:pt idx="197">
                  <c:v>-22.758126999999998</c:v>
                </c:pt>
                <c:pt idx="198">
                  <c:v>-22.503608</c:v>
                </c:pt>
                <c:pt idx="199">
                  <c:v>-22.250900999999995</c:v>
                </c:pt>
                <c:pt idx="200">
                  <c:v>-22</c:v>
                </c:pt>
                <c:pt idx="201">
                  <c:v>-21.750899000000004</c:v>
                </c:pt>
                <c:pt idx="202">
                  <c:v>-21.503591999999998</c:v>
                </c:pt>
                <c:pt idx="203">
                  <c:v>-21.258073000000007</c:v>
                </c:pt>
                <c:pt idx="204">
                  <c:v>-21.014336</c:v>
                </c:pt>
                <c:pt idx="205">
                  <c:v>-20.772375000000004</c:v>
                </c:pt>
                <c:pt idx="206">
                  <c:v>-20.532183999999997</c:v>
                </c:pt>
                <c:pt idx="207">
                  <c:v>-20.293757000000006</c:v>
                </c:pt>
                <c:pt idx="208">
                  <c:v>-20.057087999999997</c:v>
                </c:pt>
                <c:pt idx="209">
                  <c:v>-19.822171000000004</c:v>
                </c:pt>
                <c:pt idx="210">
                  <c:v>-19.588999999999999</c:v>
                </c:pt>
                <c:pt idx="211">
                  <c:v>-19.357569000000002</c:v>
                </c:pt>
                <c:pt idx="212">
                  <c:v>-19.127871999999996</c:v>
                </c:pt>
                <c:pt idx="213">
                  <c:v>-18.899903000000002</c:v>
                </c:pt>
                <c:pt idx="214">
                  <c:v>-18.673655999999998</c:v>
                </c:pt>
                <c:pt idx="215">
                  <c:v>-18.449125000000002</c:v>
                </c:pt>
                <c:pt idx="216">
                  <c:v>-18.226303999999999</c:v>
                </c:pt>
                <c:pt idx="217">
                  <c:v>-18.005187000000003</c:v>
                </c:pt>
                <c:pt idx="218">
                  <c:v>-17.785767999999994</c:v>
                </c:pt>
                <c:pt idx="219">
                  <c:v>-17.568041000000001</c:v>
                </c:pt>
                <c:pt idx="220">
                  <c:v>-17.351999999999997</c:v>
                </c:pt>
                <c:pt idx="221">
                  <c:v>-17.137639</c:v>
                </c:pt>
                <c:pt idx="222">
                  <c:v>-16.924951999999998</c:v>
                </c:pt>
                <c:pt idx="223">
                  <c:v>-16.713933000000001</c:v>
                </c:pt>
                <c:pt idx="224">
                  <c:v>-16.504575999999997</c:v>
                </c:pt>
                <c:pt idx="225">
                  <c:v>-16.296875</c:v>
                </c:pt>
                <c:pt idx="226">
                  <c:v>-16.090824000000005</c:v>
                </c:pt>
                <c:pt idx="227">
                  <c:v>-15.886416999999998</c:v>
                </c:pt>
                <c:pt idx="228">
                  <c:v>-15.683648000000005</c:v>
                </c:pt>
                <c:pt idx="229">
                  <c:v>-15.482511000000001</c:v>
                </c:pt>
                <c:pt idx="230">
                  <c:v>-15.283000000000003</c:v>
                </c:pt>
                <c:pt idx="231">
                  <c:v>-15.085108999999999</c:v>
                </c:pt>
                <c:pt idx="232">
                  <c:v>-14.888832000000004</c:v>
                </c:pt>
                <c:pt idx="233">
                  <c:v>-14.694163</c:v>
                </c:pt>
                <c:pt idx="234">
                  <c:v>-14.501096</c:v>
                </c:pt>
                <c:pt idx="235">
                  <c:v>-14.309624999999997</c:v>
                </c:pt>
                <c:pt idx="236">
                  <c:v>-14.119744000000001</c:v>
                </c:pt>
                <c:pt idx="237">
                  <c:v>-13.931446999999997</c:v>
                </c:pt>
                <c:pt idx="238">
                  <c:v>-13.744728000000004</c:v>
                </c:pt>
                <c:pt idx="239">
                  <c:v>-13.559580999999998</c:v>
                </c:pt>
                <c:pt idx="240">
                  <c:v>-13.376000000000005</c:v>
                </c:pt>
                <c:pt idx="241">
                  <c:v>-13.193978999999995</c:v>
                </c:pt>
                <c:pt idx="242">
                  <c:v>-13.013512000000002</c:v>
                </c:pt>
                <c:pt idx="243">
                  <c:v>-12.834592999999995</c:v>
                </c:pt>
                <c:pt idx="244">
                  <c:v>-12.657216000000002</c:v>
                </c:pt>
                <c:pt idx="245">
                  <c:v>-12.481374999999998</c:v>
                </c:pt>
                <c:pt idx="246">
                  <c:v>-12.307063999999999</c:v>
                </c:pt>
                <c:pt idx="247">
                  <c:v>-12.134276999999997</c:v>
                </c:pt>
                <c:pt idx="248">
                  <c:v>-11.963008000000002</c:v>
                </c:pt>
                <c:pt idx="249">
                  <c:v>-11.793250999999996</c:v>
                </c:pt>
                <c:pt idx="250">
                  <c:v>-11.625</c:v>
                </c:pt>
                <c:pt idx="251">
                  <c:v>-11.458249000000002</c:v>
                </c:pt>
                <c:pt idx="252">
                  <c:v>-11.292992000000002</c:v>
                </c:pt>
                <c:pt idx="253">
                  <c:v>-11.129223000000003</c:v>
                </c:pt>
                <c:pt idx="254">
                  <c:v>-10.966935999999999</c:v>
                </c:pt>
                <c:pt idx="255">
                  <c:v>-10.806125000000003</c:v>
                </c:pt>
                <c:pt idx="256">
                  <c:v>-10.646784</c:v>
                </c:pt>
                <c:pt idx="257">
                  <c:v>-10.488907000000001</c:v>
                </c:pt>
                <c:pt idx="258">
                  <c:v>-10.332488</c:v>
                </c:pt>
                <c:pt idx="259">
                  <c:v>-10.177521000000002</c:v>
                </c:pt>
                <c:pt idx="260">
                  <c:v>-10.024000000000001</c:v>
                </c:pt>
                <c:pt idx="261">
                  <c:v>-9.8719190000000019</c:v>
                </c:pt>
                <c:pt idx="262">
                  <c:v>-9.721271999999999</c:v>
                </c:pt>
                <c:pt idx="263">
                  <c:v>-9.5720530000000004</c:v>
                </c:pt>
                <c:pt idx="264">
                  <c:v>-9.4242559999999997</c:v>
                </c:pt>
                <c:pt idx="265">
                  <c:v>-9.2778750000000016</c:v>
                </c:pt>
                <c:pt idx="266">
                  <c:v>-9.1329039999999981</c:v>
                </c:pt>
                <c:pt idx="267">
                  <c:v>-8.9893370000000008</c:v>
                </c:pt>
                <c:pt idx="268">
                  <c:v>-8.8471679999999999</c:v>
                </c:pt>
                <c:pt idx="269">
                  <c:v>-8.706391</c:v>
                </c:pt>
                <c:pt idx="270">
                  <c:v>-8.5669999999999966</c:v>
                </c:pt>
                <c:pt idx="271">
                  <c:v>-8.4289890000000014</c:v>
                </c:pt>
                <c:pt idx="272">
                  <c:v>-8.2923519999999975</c:v>
                </c:pt>
                <c:pt idx="273">
                  <c:v>-8.1570830000000001</c:v>
                </c:pt>
                <c:pt idx="274">
                  <c:v>-8.0231759999999959</c:v>
                </c:pt>
                <c:pt idx="275">
                  <c:v>-7.890625</c:v>
                </c:pt>
                <c:pt idx="276">
                  <c:v>-7.7594240000000028</c:v>
                </c:pt>
                <c:pt idx="277">
                  <c:v>-7.6295670000000007</c:v>
                </c:pt>
                <c:pt idx="278">
                  <c:v>-7.5010480000000017</c:v>
                </c:pt>
                <c:pt idx="279">
                  <c:v>-7.3738609999999998</c:v>
                </c:pt>
                <c:pt idx="280">
                  <c:v>-7.2480000000000029</c:v>
                </c:pt>
                <c:pt idx="281">
                  <c:v>-7.1234589999999995</c:v>
                </c:pt>
                <c:pt idx="282">
                  <c:v>-7.0002320000000013</c:v>
                </c:pt>
                <c:pt idx="283">
                  <c:v>-6.8783130000000003</c:v>
                </c:pt>
                <c:pt idx="284">
                  <c:v>-6.757696000000001</c:v>
                </c:pt>
                <c:pt idx="285">
                  <c:v>-6.638374999999999</c:v>
                </c:pt>
                <c:pt idx="286">
                  <c:v>-6.5203440000000006</c:v>
                </c:pt>
                <c:pt idx="287">
                  <c:v>-6.4035969999999978</c:v>
                </c:pt>
                <c:pt idx="288">
                  <c:v>-6.2881280000000022</c:v>
                </c:pt>
                <c:pt idx="289">
                  <c:v>-6.1739309999999987</c:v>
                </c:pt>
                <c:pt idx="290">
                  <c:v>-6.0610000000000008</c:v>
                </c:pt>
                <c:pt idx="291">
                  <c:v>-5.9493289999999988</c:v>
                </c:pt>
                <c:pt idx="292">
                  <c:v>-5.8389120000000005</c:v>
                </c:pt>
                <c:pt idx="293">
                  <c:v>-5.7297429999999983</c:v>
                </c:pt>
                <c:pt idx="294">
                  <c:v>-5.6218159999999999</c:v>
                </c:pt>
                <c:pt idx="295">
                  <c:v>-5.5151249999999994</c:v>
                </c:pt>
                <c:pt idx="296">
                  <c:v>-5.4096639999999994</c:v>
                </c:pt>
                <c:pt idx="297">
                  <c:v>-5.3054269999999972</c:v>
                </c:pt>
                <c:pt idx="298">
                  <c:v>-5.2024079999999993</c:v>
                </c:pt>
                <c:pt idx="299">
                  <c:v>-5.1006009999999975</c:v>
                </c:pt>
                <c:pt idx="300">
                  <c:v>-5</c:v>
                </c:pt>
                <c:pt idx="301">
                  <c:v>-4.9005989999999997</c:v>
                </c:pt>
                <c:pt idx="302">
                  <c:v>-4.8023919999999993</c:v>
                </c:pt>
                <c:pt idx="303">
                  <c:v>-4.7053729999999998</c:v>
                </c:pt>
                <c:pt idx="304">
                  <c:v>-4.6095359999999994</c:v>
                </c:pt>
                <c:pt idx="305">
                  <c:v>-4.514875</c:v>
                </c:pt>
                <c:pt idx="306">
                  <c:v>-4.4213839999999998</c:v>
                </c:pt>
                <c:pt idx="307">
                  <c:v>-4.3290569999999988</c:v>
                </c:pt>
                <c:pt idx="308">
                  <c:v>-4.2378879999999999</c:v>
                </c:pt>
                <c:pt idx="309">
                  <c:v>-4.1478710000000003</c:v>
                </c:pt>
                <c:pt idx="310">
                  <c:v>-4.0589999999999993</c:v>
                </c:pt>
                <c:pt idx="311">
                  <c:v>-3.9712689999999999</c:v>
                </c:pt>
                <c:pt idx="312">
                  <c:v>-3.8846719999999992</c:v>
                </c:pt>
                <c:pt idx="313">
                  <c:v>-3.7992030000000012</c:v>
                </c:pt>
                <c:pt idx="314">
                  <c:v>-3.7148560000000006</c:v>
                </c:pt>
                <c:pt idx="315">
                  <c:v>-3.6316250000000005</c:v>
                </c:pt>
                <c:pt idx="316">
                  <c:v>-3.5495040000000002</c:v>
                </c:pt>
                <c:pt idx="317">
                  <c:v>-3.4684870000000005</c:v>
                </c:pt>
                <c:pt idx="318">
                  <c:v>-3.3885680000000007</c:v>
                </c:pt>
                <c:pt idx="319">
                  <c:v>-3.3097409999999998</c:v>
                </c:pt>
                <c:pt idx="320">
                  <c:v>-3.2320000000000007</c:v>
                </c:pt>
                <c:pt idx="321">
                  <c:v>-3.1553389999999997</c:v>
                </c:pt>
                <c:pt idx="322">
                  <c:v>-3.0797520000000005</c:v>
                </c:pt>
                <c:pt idx="323">
                  <c:v>-3.0052330000000005</c:v>
                </c:pt>
                <c:pt idx="324">
                  <c:v>-2.9317759999999997</c:v>
                </c:pt>
                <c:pt idx="325">
                  <c:v>-2.859375</c:v>
                </c:pt>
                <c:pt idx="326">
                  <c:v>-2.7880240000000005</c:v>
                </c:pt>
                <c:pt idx="327">
                  <c:v>-2.7177170000000004</c:v>
                </c:pt>
                <c:pt idx="328">
                  <c:v>-2.6484479999999997</c:v>
                </c:pt>
                <c:pt idx="329">
                  <c:v>-2.5802109999999994</c:v>
                </c:pt>
                <c:pt idx="330">
                  <c:v>-2.5129999999999995</c:v>
                </c:pt>
                <c:pt idx="331">
                  <c:v>-2.4468089999999991</c:v>
                </c:pt>
                <c:pt idx="332">
                  <c:v>-2.3816319999999993</c:v>
                </c:pt>
                <c:pt idx="333">
                  <c:v>-2.3174630000000001</c:v>
                </c:pt>
                <c:pt idx="334">
                  <c:v>-2.2542959999999996</c:v>
                </c:pt>
                <c:pt idx="335">
                  <c:v>-2.1921249999999999</c:v>
                </c:pt>
                <c:pt idx="336">
                  <c:v>-2.1309439999999991</c:v>
                </c:pt>
                <c:pt idx="337">
                  <c:v>-2.0707469999999999</c:v>
                </c:pt>
                <c:pt idx="338">
                  <c:v>-2.0115280000000011</c:v>
                </c:pt>
                <c:pt idx="339">
                  <c:v>-1.9532810000000009</c:v>
                </c:pt>
                <c:pt idx="340">
                  <c:v>-1.8960000000000008</c:v>
                </c:pt>
                <c:pt idx="341">
                  <c:v>-1.8396790000000007</c:v>
                </c:pt>
                <c:pt idx="342">
                  <c:v>-1.7843120000000008</c:v>
                </c:pt>
                <c:pt idx="343">
                  <c:v>-1.7298930000000001</c:v>
                </c:pt>
                <c:pt idx="344">
                  <c:v>-1.6764160000000001</c:v>
                </c:pt>
                <c:pt idx="345">
                  <c:v>-1.6238750000000004</c:v>
                </c:pt>
                <c:pt idx="346">
                  <c:v>-1.5722640000000001</c:v>
                </c:pt>
                <c:pt idx="347">
                  <c:v>-1.5215770000000002</c:v>
                </c:pt>
                <c:pt idx="348">
                  <c:v>-1.4718080000000002</c:v>
                </c:pt>
                <c:pt idx="349">
                  <c:v>-1.4229509999999999</c:v>
                </c:pt>
                <c:pt idx="350">
                  <c:v>-1.375</c:v>
                </c:pt>
                <c:pt idx="351">
                  <c:v>-1.3279489999999998</c:v>
                </c:pt>
                <c:pt idx="352">
                  <c:v>-1.2817919999999998</c:v>
                </c:pt>
                <c:pt idx="353">
                  <c:v>-1.2365229999999996</c:v>
                </c:pt>
                <c:pt idx="354">
                  <c:v>-1.1921359999999996</c:v>
                </c:pt>
                <c:pt idx="355">
                  <c:v>-1.148625</c:v>
                </c:pt>
                <c:pt idx="356">
                  <c:v>-1.1059839999999999</c:v>
                </c:pt>
                <c:pt idx="357">
                  <c:v>-1.0642069999999997</c:v>
                </c:pt>
                <c:pt idx="358">
                  <c:v>-1.023288</c:v>
                </c:pt>
                <c:pt idx="359">
                  <c:v>-0.98322099999999946</c:v>
                </c:pt>
                <c:pt idx="360">
                  <c:v>-0.94399999999999951</c:v>
                </c:pt>
                <c:pt idx="361">
                  <c:v>-0.90561899999999973</c:v>
                </c:pt>
                <c:pt idx="362">
                  <c:v>-0.86807199999999973</c:v>
                </c:pt>
                <c:pt idx="363">
                  <c:v>-0.83135300000000045</c:v>
                </c:pt>
                <c:pt idx="364">
                  <c:v>-0.79545600000000061</c:v>
                </c:pt>
                <c:pt idx="365">
                  <c:v>-0.76037500000000025</c:v>
                </c:pt>
                <c:pt idx="366">
                  <c:v>-0.7261040000000003</c:v>
                </c:pt>
                <c:pt idx="367">
                  <c:v>-0.69263699999999995</c:v>
                </c:pt>
                <c:pt idx="368">
                  <c:v>-0.65996800000000011</c:v>
                </c:pt>
                <c:pt idx="369">
                  <c:v>-0.6280910000000004</c:v>
                </c:pt>
                <c:pt idx="370">
                  <c:v>-0.59700000000000042</c:v>
                </c:pt>
                <c:pt idx="371">
                  <c:v>-0.56668900000000022</c:v>
                </c:pt>
                <c:pt idx="372">
                  <c:v>-0.5371520000000003</c:v>
                </c:pt>
                <c:pt idx="373">
                  <c:v>-0.50838299999999981</c:v>
                </c:pt>
                <c:pt idx="374">
                  <c:v>-0.48037600000000014</c:v>
                </c:pt>
                <c:pt idx="375">
                  <c:v>-0.453125</c:v>
                </c:pt>
                <c:pt idx="376">
                  <c:v>-0.42662400000000011</c:v>
                </c:pt>
                <c:pt idx="377">
                  <c:v>-0.40086699999999986</c:v>
                </c:pt>
                <c:pt idx="378">
                  <c:v>-0.37584799999999996</c:v>
                </c:pt>
                <c:pt idx="379">
                  <c:v>-0.35156100000000001</c:v>
                </c:pt>
                <c:pt idx="380">
                  <c:v>-0.32800000000000007</c:v>
                </c:pt>
                <c:pt idx="381">
                  <c:v>-0.30515899999999996</c:v>
                </c:pt>
                <c:pt idx="382">
                  <c:v>-0.28303199999999995</c:v>
                </c:pt>
                <c:pt idx="383">
                  <c:v>-0.26161299999999987</c:v>
                </c:pt>
                <c:pt idx="384">
                  <c:v>-0.240896</c:v>
                </c:pt>
                <c:pt idx="385">
                  <c:v>-0.22087499999999971</c:v>
                </c:pt>
                <c:pt idx="386">
                  <c:v>-0.20154399999999995</c:v>
                </c:pt>
                <c:pt idx="387">
                  <c:v>-0.18289699999999964</c:v>
                </c:pt>
                <c:pt idx="388">
                  <c:v>-0.16492800000000019</c:v>
                </c:pt>
                <c:pt idx="389">
                  <c:v>-0.14763100000000007</c:v>
                </c:pt>
                <c:pt idx="390">
                  <c:v>-0.13100000000000023</c:v>
                </c:pt>
                <c:pt idx="391">
                  <c:v>-0.11502900000000005</c:v>
                </c:pt>
                <c:pt idx="392">
                  <c:v>-9.9712000000000023E-2</c:v>
                </c:pt>
                <c:pt idx="393">
                  <c:v>-8.504299999999998E-2</c:v>
                </c:pt>
                <c:pt idx="394">
                  <c:v>-7.101600000000019E-2</c:v>
                </c:pt>
                <c:pt idx="395">
                  <c:v>-5.7625000000000037E-2</c:v>
                </c:pt>
                <c:pt idx="396">
                  <c:v>-4.4864000000000015E-2</c:v>
                </c:pt>
                <c:pt idx="397">
                  <c:v>-3.2726999999999951E-2</c:v>
                </c:pt>
                <c:pt idx="398">
                  <c:v>-2.1207999999999894E-2</c:v>
                </c:pt>
                <c:pt idx="399">
                  <c:v>-1.0300999999999894E-2</c:v>
                </c:pt>
                <c:pt idx="400">
                  <c:v>0</c:v>
                </c:pt>
                <c:pt idx="401">
                  <c:v>9.7010000000001817E-3</c:v>
                </c:pt>
                <c:pt idx="402">
                  <c:v>1.8807999999999936E-2</c:v>
                </c:pt>
                <c:pt idx="403">
                  <c:v>2.7327000000000101E-2</c:v>
                </c:pt>
                <c:pt idx="404">
                  <c:v>3.5263999999999962E-2</c:v>
                </c:pt>
                <c:pt idx="405">
                  <c:v>4.2625000000000135E-2</c:v>
                </c:pt>
                <c:pt idx="406">
                  <c:v>4.9415999999999904E-2</c:v>
                </c:pt>
                <c:pt idx="407">
                  <c:v>5.5642999999999887E-2</c:v>
                </c:pt>
                <c:pt idx="408">
                  <c:v>6.1312000000000033E-2</c:v>
                </c:pt>
                <c:pt idx="409">
                  <c:v>6.6428999999999849E-2</c:v>
                </c:pt>
                <c:pt idx="410">
                  <c:v>7.0999999999999952E-2</c:v>
                </c:pt>
                <c:pt idx="411">
                  <c:v>7.503100000000007E-2</c:v>
                </c:pt>
                <c:pt idx="412">
                  <c:v>7.8527999999999931E-2</c:v>
                </c:pt>
                <c:pt idx="413">
                  <c:v>8.1496999999999931E-2</c:v>
                </c:pt>
                <c:pt idx="414">
                  <c:v>8.3944000000000019E-2</c:v>
                </c:pt>
                <c:pt idx="415">
                  <c:v>8.5875000000000146E-2</c:v>
                </c:pt>
                <c:pt idx="416">
                  <c:v>8.729600000000004E-2</c:v>
                </c:pt>
                <c:pt idx="417">
                  <c:v>8.8213000000000097E-2</c:v>
                </c:pt>
                <c:pt idx="418">
                  <c:v>8.8632000000000044E-2</c:v>
                </c:pt>
                <c:pt idx="419">
                  <c:v>8.8559000000000054E-2</c:v>
                </c:pt>
                <c:pt idx="420">
                  <c:v>8.8000000000000078E-2</c:v>
                </c:pt>
                <c:pt idx="421">
                  <c:v>8.6961000000000066E-2</c:v>
                </c:pt>
                <c:pt idx="422">
                  <c:v>8.5447999999999968E-2</c:v>
                </c:pt>
                <c:pt idx="423">
                  <c:v>8.3466999999999958E-2</c:v>
                </c:pt>
                <c:pt idx="424">
                  <c:v>8.1023999999999985E-2</c:v>
                </c:pt>
                <c:pt idx="425">
                  <c:v>7.8125E-2</c:v>
                </c:pt>
                <c:pt idx="426">
                  <c:v>7.4775999999999954E-2</c:v>
                </c:pt>
                <c:pt idx="427">
                  <c:v>7.0983000000000018E-2</c:v>
                </c:pt>
                <c:pt idx="428">
                  <c:v>6.6751999999999923E-2</c:v>
                </c:pt>
                <c:pt idx="429">
                  <c:v>6.2088999999999839E-2</c:v>
                </c:pt>
                <c:pt idx="430">
                  <c:v>5.699999999999994E-2</c:v>
                </c:pt>
                <c:pt idx="431">
                  <c:v>5.1490999999999953E-2</c:v>
                </c:pt>
                <c:pt idx="432">
                  <c:v>4.5568000000000053E-2</c:v>
                </c:pt>
                <c:pt idx="433">
                  <c:v>3.9236999999999966E-2</c:v>
                </c:pt>
                <c:pt idx="434">
                  <c:v>3.2504000000000088E-2</c:v>
                </c:pt>
                <c:pt idx="435">
                  <c:v>2.5374999999999259E-2</c:v>
                </c:pt>
                <c:pt idx="436">
                  <c:v>1.7856000000000094E-2</c:v>
                </c:pt>
                <c:pt idx="437">
                  <c:v>9.9529999999998786E-3</c:v>
                </c:pt>
                <c:pt idx="438">
                  <c:v>1.6719999999998958E-3</c:v>
                </c:pt>
                <c:pt idx="439">
                  <c:v>-6.981000000000015E-3</c:v>
                </c:pt>
                <c:pt idx="440">
                  <c:v>-1.6000000000000014E-2</c:v>
                </c:pt>
                <c:pt idx="441">
                  <c:v>-2.537900000000004E-2</c:v>
                </c:pt>
                <c:pt idx="442">
                  <c:v>-3.5112000000000032E-2</c:v>
                </c:pt>
                <c:pt idx="443">
                  <c:v>-4.5193000000000039E-2</c:v>
                </c:pt>
                <c:pt idx="444">
                  <c:v>-5.5615999999999888E-2</c:v>
                </c:pt>
                <c:pt idx="445">
                  <c:v>-6.6374999999999962E-2</c:v>
                </c:pt>
                <c:pt idx="446">
                  <c:v>-7.7463999999999977E-2</c:v>
                </c:pt>
                <c:pt idx="447">
                  <c:v>-8.8876999999999984E-2</c:v>
                </c:pt>
                <c:pt idx="448">
                  <c:v>-0.10060800000000003</c:v>
                </c:pt>
                <c:pt idx="449">
                  <c:v>-0.11265099999999995</c:v>
                </c:pt>
                <c:pt idx="450">
                  <c:v>-0.125</c:v>
                </c:pt>
                <c:pt idx="451">
                  <c:v>-0.13764900000000002</c:v>
                </c:pt>
                <c:pt idx="452">
                  <c:v>-0.15059200000000006</c:v>
                </c:pt>
                <c:pt idx="453">
                  <c:v>-0.16382300000000005</c:v>
                </c:pt>
                <c:pt idx="454">
                  <c:v>-0.17733599999999994</c:v>
                </c:pt>
                <c:pt idx="455">
                  <c:v>-0.19112499999999999</c:v>
                </c:pt>
                <c:pt idx="456">
                  <c:v>-0.20518400000000003</c:v>
                </c:pt>
                <c:pt idx="457">
                  <c:v>-0.21950700000000001</c:v>
                </c:pt>
                <c:pt idx="458">
                  <c:v>-0.23408800000000007</c:v>
                </c:pt>
                <c:pt idx="459">
                  <c:v>-0.24892100000000006</c:v>
                </c:pt>
                <c:pt idx="460">
                  <c:v>-0.26400000000000146</c:v>
                </c:pt>
                <c:pt idx="461">
                  <c:v>-0.27931899999999998</c:v>
                </c:pt>
                <c:pt idx="462">
                  <c:v>-0.29487200000000002</c:v>
                </c:pt>
                <c:pt idx="463">
                  <c:v>-0.31065299999999996</c:v>
                </c:pt>
                <c:pt idx="464">
                  <c:v>-0.32665600000000006</c:v>
                </c:pt>
                <c:pt idx="465">
                  <c:v>-0.34287500000000004</c:v>
                </c:pt>
                <c:pt idx="466">
                  <c:v>-0.35930399999999996</c:v>
                </c:pt>
                <c:pt idx="467">
                  <c:v>-0.37593699999999997</c:v>
                </c:pt>
                <c:pt idx="468">
                  <c:v>-0.39276800000000001</c:v>
                </c:pt>
                <c:pt idx="469">
                  <c:v>-0.40979100000000002</c:v>
                </c:pt>
                <c:pt idx="470">
                  <c:v>-0.42700000000000005</c:v>
                </c:pt>
                <c:pt idx="471">
                  <c:v>-0.44438900000000003</c:v>
                </c:pt>
                <c:pt idx="472">
                  <c:v>-0.46195199999999992</c:v>
                </c:pt>
                <c:pt idx="473">
                  <c:v>-0.47968299999999997</c:v>
                </c:pt>
                <c:pt idx="474">
                  <c:v>-0.49757600000000002</c:v>
                </c:pt>
                <c:pt idx="475">
                  <c:v>-0.515625</c:v>
                </c:pt>
                <c:pt idx="476">
                  <c:v>-0.53382400000000008</c:v>
                </c:pt>
                <c:pt idx="477">
                  <c:v>-0.55216699999999996</c:v>
                </c:pt>
                <c:pt idx="478">
                  <c:v>-0.57064800000000004</c:v>
                </c:pt>
                <c:pt idx="479">
                  <c:v>-0.58926100000000003</c:v>
                </c:pt>
                <c:pt idx="480">
                  <c:v>-0.60799999999999998</c:v>
                </c:pt>
                <c:pt idx="481">
                  <c:v>-0.62685900000000006</c:v>
                </c:pt>
                <c:pt idx="482">
                  <c:v>-0.64583199999999996</c:v>
                </c:pt>
                <c:pt idx="483">
                  <c:v>-0.66491299999999998</c:v>
                </c:pt>
                <c:pt idx="484">
                  <c:v>-0.68409600000000004</c:v>
                </c:pt>
                <c:pt idx="485">
                  <c:v>-0.70337500000000186</c:v>
                </c:pt>
                <c:pt idx="486">
                  <c:v>-0.72274400000000005</c:v>
                </c:pt>
                <c:pt idx="487">
                  <c:v>-0.742197</c:v>
                </c:pt>
                <c:pt idx="488">
                  <c:v>-0.76172799999999996</c:v>
                </c:pt>
                <c:pt idx="489">
                  <c:v>-0.781331</c:v>
                </c:pt>
                <c:pt idx="490">
                  <c:v>-0.80100000000000082</c:v>
                </c:pt>
                <c:pt idx="491">
                  <c:v>-0.82072900000000026</c:v>
                </c:pt>
                <c:pt idx="492">
                  <c:v>-0.84051199999999981</c:v>
                </c:pt>
                <c:pt idx="493">
                  <c:v>-0.86034299999999941</c:v>
                </c:pt>
                <c:pt idx="494">
                  <c:v>-0.88021600000000078</c:v>
                </c:pt>
                <c:pt idx="495">
                  <c:v>-0.9001250000000004</c:v>
                </c:pt>
                <c:pt idx="496">
                  <c:v>-0.92006399999999999</c:v>
                </c:pt>
                <c:pt idx="497">
                  <c:v>-0.94002699999999961</c:v>
                </c:pt>
                <c:pt idx="498">
                  <c:v>-0.96000800000000075</c:v>
                </c:pt>
                <c:pt idx="499">
                  <c:v>-0.98000100000000046</c:v>
                </c:pt>
                <c:pt idx="500">
                  <c:v>-1</c:v>
                </c:pt>
                <c:pt idx="501">
                  <c:v>-1.0199989999999997</c:v>
                </c:pt>
                <c:pt idx="502">
                  <c:v>-1.0399920000000009</c:v>
                </c:pt>
                <c:pt idx="503">
                  <c:v>-1.0599730000000005</c:v>
                </c:pt>
                <c:pt idx="504">
                  <c:v>-1.079936</c:v>
                </c:pt>
                <c:pt idx="505">
                  <c:v>-1.0998749999999995</c:v>
                </c:pt>
                <c:pt idx="506">
                  <c:v>-1.119784000000001</c:v>
                </c:pt>
                <c:pt idx="507">
                  <c:v>-1.1396570000000006</c:v>
                </c:pt>
                <c:pt idx="508">
                  <c:v>-1.1594880000000001</c:v>
                </c:pt>
                <c:pt idx="509">
                  <c:v>-1.1792709999999997</c:v>
                </c:pt>
                <c:pt idx="510">
                  <c:v>-1.1990000000000021</c:v>
                </c:pt>
                <c:pt idx="511">
                  <c:v>-1.218669</c:v>
                </c:pt>
                <c:pt idx="512">
                  <c:v>-1.238272</c:v>
                </c:pt>
                <c:pt idx="513">
                  <c:v>-1.257803</c:v>
                </c:pt>
                <c:pt idx="514">
                  <c:v>-1.2772559999999999</c:v>
                </c:pt>
                <c:pt idx="515">
                  <c:v>-1.2966249999999999</c:v>
                </c:pt>
                <c:pt idx="516">
                  <c:v>-1.315904</c:v>
                </c:pt>
                <c:pt idx="517">
                  <c:v>-1.3350870000000001</c:v>
                </c:pt>
                <c:pt idx="518">
                  <c:v>-1.354168</c:v>
                </c:pt>
                <c:pt idx="519">
                  <c:v>-1.3731409999999999</c:v>
                </c:pt>
                <c:pt idx="520">
                  <c:v>-1.3919999999999999</c:v>
                </c:pt>
                <c:pt idx="521">
                  <c:v>-1.410739</c:v>
                </c:pt>
                <c:pt idx="522">
                  <c:v>-1.429352</c:v>
                </c:pt>
                <c:pt idx="523">
                  <c:v>-1.4478330000000001</c:v>
                </c:pt>
                <c:pt idx="524">
                  <c:v>-1.4661759999999999</c:v>
                </c:pt>
                <c:pt idx="525">
                  <c:v>-1.484375</c:v>
                </c:pt>
                <c:pt idx="526">
                  <c:v>-1.502424</c:v>
                </c:pt>
                <c:pt idx="527">
                  <c:v>-1.5203169999999999</c:v>
                </c:pt>
                <c:pt idx="528">
                  <c:v>-1.5380480000000001</c:v>
                </c:pt>
                <c:pt idx="529">
                  <c:v>-1.5556109999999999</c:v>
                </c:pt>
                <c:pt idx="530">
                  <c:v>-1.573</c:v>
                </c:pt>
                <c:pt idx="531">
                  <c:v>-1.590209</c:v>
                </c:pt>
                <c:pt idx="532">
                  <c:v>-1.607232</c:v>
                </c:pt>
                <c:pt idx="533">
                  <c:v>-1.624063</c:v>
                </c:pt>
                <c:pt idx="534">
                  <c:v>-1.6406960000000002</c:v>
                </c:pt>
                <c:pt idx="535">
                  <c:v>-1.6571250000000015</c:v>
                </c:pt>
                <c:pt idx="536">
                  <c:v>-1.6733439999999999</c:v>
                </c:pt>
                <c:pt idx="537">
                  <c:v>-1.6893470000000002</c:v>
                </c:pt>
                <c:pt idx="538">
                  <c:v>-1.705128</c:v>
                </c:pt>
                <c:pt idx="539">
                  <c:v>-1.7206809999999999</c:v>
                </c:pt>
                <c:pt idx="540">
                  <c:v>-1.736</c:v>
                </c:pt>
                <c:pt idx="541">
                  <c:v>-1.7510789999999998</c:v>
                </c:pt>
                <c:pt idx="542">
                  <c:v>-1.7659119999999999</c:v>
                </c:pt>
                <c:pt idx="543">
                  <c:v>-1.7804929999999999</c:v>
                </c:pt>
                <c:pt idx="544">
                  <c:v>-1.794816</c:v>
                </c:pt>
                <c:pt idx="545">
                  <c:v>-1.808875</c:v>
                </c:pt>
                <c:pt idx="546">
                  <c:v>-1.8226640000000001</c:v>
                </c:pt>
                <c:pt idx="547">
                  <c:v>-1.8361769999999999</c:v>
                </c:pt>
                <c:pt idx="548">
                  <c:v>-1.8494079999999999</c:v>
                </c:pt>
                <c:pt idx="549">
                  <c:v>-1.8623509999999999</c:v>
                </c:pt>
                <c:pt idx="550">
                  <c:v>-1.875</c:v>
                </c:pt>
                <c:pt idx="551">
                  <c:v>-1.8873489999999999</c:v>
                </c:pt>
                <c:pt idx="552">
                  <c:v>-1.899392</c:v>
                </c:pt>
                <c:pt idx="553">
                  <c:v>-1.9111229999999999</c:v>
                </c:pt>
                <c:pt idx="554">
                  <c:v>-1.922536</c:v>
                </c:pt>
                <c:pt idx="555">
                  <c:v>-1.9336250000000001</c:v>
                </c:pt>
                <c:pt idx="556">
                  <c:v>-1.9443840000000001</c:v>
                </c:pt>
                <c:pt idx="557">
                  <c:v>-1.954807</c:v>
                </c:pt>
                <c:pt idx="558">
                  <c:v>-1.964888</c:v>
                </c:pt>
                <c:pt idx="559">
                  <c:v>-1.974621</c:v>
                </c:pt>
                <c:pt idx="560">
                  <c:v>-1.9840000000000009</c:v>
                </c:pt>
                <c:pt idx="561">
                  <c:v>-1.9930189999999999</c:v>
                </c:pt>
                <c:pt idx="562">
                  <c:v>-2.0016720000000001</c:v>
                </c:pt>
                <c:pt idx="563">
                  <c:v>-2.0099529999999999</c:v>
                </c:pt>
                <c:pt idx="564">
                  <c:v>-2.0178560000000001</c:v>
                </c:pt>
                <c:pt idx="565">
                  <c:v>-2.0253749999999999</c:v>
                </c:pt>
                <c:pt idx="566">
                  <c:v>-2.0325040000000003</c:v>
                </c:pt>
                <c:pt idx="567">
                  <c:v>-2.039237</c:v>
                </c:pt>
                <c:pt idx="568">
                  <c:v>-2.0455680000000003</c:v>
                </c:pt>
                <c:pt idx="569">
                  <c:v>-2.051491</c:v>
                </c:pt>
                <c:pt idx="570">
                  <c:v>-2.0569999999999999</c:v>
                </c:pt>
                <c:pt idx="571">
                  <c:v>-2.0620889999999998</c:v>
                </c:pt>
                <c:pt idx="572">
                  <c:v>-2.0667520000000001</c:v>
                </c:pt>
                <c:pt idx="573">
                  <c:v>-2.070983</c:v>
                </c:pt>
                <c:pt idx="574">
                  <c:v>-2.074776</c:v>
                </c:pt>
                <c:pt idx="575">
                  <c:v>-2.078125</c:v>
                </c:pt>
                <c:pt idx="576">
                  <c:v>-2.0810240000000002</c:v>
                </c:pt>
                <c:pt idx="577">
                  <c:v>-2.0834669999999997</c:v>
                </c:pt>
                <c:pt idx="578">
                  <c:v>-2.085448</c:v>
                </c:pt>
                <c:pt idx="579">
                  <c:v>-2.0869610000000001</c:v>
                </c:pt>
                <c:pt idx="580">
                  <c:v>-2.0880000000000001</c:v>
                </c:pt>
                <c:pt idx="581">
                  <c:v>-2.0885590000000001</c:v>
                </c:pt>
                <c:pt idx="582">
                  <c:v>-2.088632</c:v>
                </c:pt>
                <c:pt idx="583">
                  <c:v>-2.0882130000000001</c:v>
                </c:pt>
                <c:pt idx="584">
                  <c:v>-2.0872960000000003</c:v>
                </c:pt>
                <c:pt idx="585">
                  <c:v>-2.0858749999999997</c:v>
                </c:pt>
                <c:pt idx="586">
                  <c:v>-2.0839439999999998</c:v>
                </c:pt>
                <c:pt idx="587">
                  <c:v>-2.0814969999999997</c:v>
                </c:pt>
                <c:pt idx="588">
                  <c:v>-2.0785279999999999</c:v>
                </c:pt>
                <c:pt idx="589">
                  <c:v>-2.0750310000000001</c:v>
                </c:pt>
                <c:pt idx="590">
                  <c:v>-2.0709999999999997</c:v>
                </c:pt>
                <c:pt idx="591">
                  <c:v>-2.0664289999999998</c:v>
                </c:pt>
                <c:pt idx="592">
                  <c:v>-2.061312</c:v>
                </c:pt>
                <c:pt idx="593">
                  <c:v>-2.0556429999999999</c:v>
                </c:pt>
                <c:pt idx="594">
                  <c:v>-2.0494159999999999</c:v>
                </c:pt>
                <c:pt idx="595">
                  <c:v>-2.0426250000000001</c:v>
                </c:pt>
                <c:pt idx="596">
                  <c:v>-2.0352639999999997</c:v>
                </c:pt>
                <c:pt idx="597">
                  <c:v>-2.0273270000000001</c:v>
                </c:pt>
                <c:pt idx="598">
                  <c:v>-2.0188079999999999</c:v>
                </c:pt>
                <c:pt idx="599">
                  <c:v>-2.0097010000000002</c:v>
                </c:pt>
                <c:pt idx="600">
                  <c:v>-2</c:v>
                </c:pt>
                <c:pt idx="601">
                  <c:v>-1.9896990000000001</c:v>
                </c:pt>
                <c:pt idx="602">
                  <c:v>-1.9787920000000001</c:v>
                </c:pt>
                <c:pt idx="603">
                  <c:v>-1.967273</c:v>
                </c:pt>
                <c:pt idx="604">
                  <c:v>-1.955136</c:v>
                </c:pt>
                <c:pt idx="605">
                  <c:v>-1.942375</c:v>
                </c:pt>
                <c:pt idx="606">
                  <c:v>-1.9289839999999998</c:v>
                </c:pt>
                <c:pt idx="607">
                  <c:v>-1.914957</c:v>
                </c:pt>
                <c:pt idx="608">
                  <c:v>-1.900288</c:v>
                </c:pt>
                <c:pt idx="609">
                  <c:v>-1.884971</c:v>
                </c:pt>
                <c:pt idx="610">
                  <c:v>-1.8689999999999998</c:v>
                </c:pt>
                <c:pt idx="611">
                  <c:v>-1.8523689999999999</c:v>
                </c:pt>
                <c:pt idx="612">
                  <c:v>-1.8350719999999998</c:v>
                </c:pt>
                <c:pt idx="613">
                  <c:v>-1.8171030000000004</c:v>
                </c:pt>
                <c:pt idx="614">
                  <c:v>-1.7984560000000001</c:v>
                </c:pt>
                <c:pt idx="615">
                  <c:v>-1.7791250000000003</c:v>
                </c:pt>
                <c:pt idx="616">
                  <c:v>-1.759104</c:v>
                </c:pt>
                <c:pt idx="617">
                  <c:v>-1.7383870000000001</c:v>
                </c:pt>
                <c:pt idx="618">
                  <c:v>-1.716968</c:v>
                </c:pt>
                <c:pt idx="619">
                  <c:v>-1.694841</c:v>
                </c:pt>
                <c:pt idx="620">
                  <c:v>-1.6719999999999999</c:v>
                </c:pt>
                <c:pt idx="621">
                  <c:v>-1.648439</c:v>
                </c:pt>
                <c:pt idx="622">
                  <c:v>-1.624152</c:v>
                </c:pt>
                <c:pt idx="623">
                  <c:v>-1.5991330000000001</c:v>
                </c:pt>
                <c:pt idx="624">
                  <c:v>-1.5733759999999999</c:v>
                </c:pt>
                <c:pt idx="625">
                  <c:v>-1.546875</c:v>
                </c:pt>
                <c:pt idx="626">
                  <c:v>-1.5196239999999999</c:v>
                </c:pt>
                <c:pt idx="627">
                  <c:v>-1.4916170000000002</c:v>
                </c:pt>
                <c:pt idx="628">
                  <c:v>-1.4628479999999997</c:v>
                </c:pt>
                <c:pt idx="629">
                  <c:v>-1.4333109999999998</c:v>
                </c:pt>
                <c:pt idx="630">
                  <c:v>-1.4029999999999996</c:v>
                </c:pt>
                <c:pt idx="631">
                  <c:v>-1.3719089999999996</c:v>
                </c:pt>
                <c:pt idx="632">
                  <c:v>-1.3400319999999999</c:v>
                </c:pt>
                <c:pt idx="633">
                  <c:v>-1.3073630000000001</c:v>
                </c:pt>
                <c:pt idx="634">
                  <c:v>-1.2738959999999997</c:v>
                </c:pt>
                <c:pt idx="635">
                  <c:v>-1.2396249999999998</c:v>
                </c:pt>
                <c:pt idx="636">
                  <c:v>-1.2045439999999994</c:v>
                </c:pt>
                <c:pt idx="637">
                  <c:v>-1.1686469999999995</c:v>
                </c:pt>
                <c:pt idx="638">
                  <c:v>-1.1319280000000003</c:v>
                </c:pt>
                <c:pt idx="639">
                  <c:v>-1.0943810000000003</c:v>
                </c:pt>
                <c:pt idx="640">
                  <c:v>-1.0560000000000005</c:v>
                </c:pt>
                <c:pt idx="641">
                  <c:v>-1.0167790000000005</c:v>
                </c:pt>
                <c:pt idx="642">
                  <c:v>-0.97671200000000002</c:v>
                </c:pt>
                <c:pt idx="643">
                  <c:v>-0.93579300000000032</c:v>
                </c:pt>
                <c:pt idx="644">
                  <c:v>-0.89401600000000014</c:v>
                </c:pt>
                <c:pt idx="645">
                  <c:v>-0.85137499999999999</c:v>
                </c:pt>
                <c:pt idx="646">
                  <c:v>-0.80786400000000036</c:v>
                </c:pt>
                <c:pt idx="647">
                  <c:v>-0.76347700000000041</c:v>
                </c:pt>
                <c:pt idx="648">
                  <c:v>-0.71820800000000018</c:v>
                </c:pt>
                <c:pt idx="649">
                  <c:v>-0.67205100000000018</c:v>
                </c:pt>
                <c:pt idx="650">
                  <c:v>-0.625</c:v>
                </c:pt>
                <c:pt idx="651">
                  <c:v>-0.57704900000000015</c:v>
                </c:pt>
                <c:pt idx="652">
                  <c:v>-0.52819199999999977</c:v>
                </c:pt>
                <c:pt idx="653">
                  <c:v>-0.47842299999999982</c:v>
                </c:pt>
                <c:pt idx="654">
                  <c:v>-0.42773599999999989</c:v>
                </c:pt>
                <c:pt idx="655">
                  <c:v>-0.3761249999999996</c:v>
                </c:pt>
                <c:pt idx="656">
                  <c:v>-0.32358399999999987</c:v>
                </c:pt>
                <c:pt idx="657">
                  <c:v>-0.27010699999999987</c:v>
                </c:pt>
                <c:pt idx="658">
                  <c:v>-0.21568799999999921</c:v>
                </c:pt>
                <c:pt idx="659">
                  <c:v>-0.16032099999999927</c:v>
                </c:pt>
                <c:pt idx="660">
                  <c:v>-0.1039999999999992</c:v>
                </c:pt>
                <c:pt idx="661">
                  <c:v>-4.6718999999999067E-2</c:v>
                </c:pt>
                <c:pt idx="662">
                  <c:v>1.1528000000001093E-2</c:v>
                </c:pt>
                <c:pt idx="663">
                  <c:v>7.0746999999999893E-2</c:v>
                </c:pt>
                <c:pt idx="664">
                  <c:v>0.13094399999999906</c:v>
                </c:pt>
                <c:pt idx="665">
                  <c:v>0.19212499999999988</c:v>
                </c:pt>
                <c:pt idx="666">
                  <c:v>0.25429599999999963</c:v>
                </c:pt>
                <c:pt idx="667">
                  <c:v>0.31746300000000005</c:v>
                </c:pt>
                <c:pt idx="668">
                  <c:v>0.38163199999999931</c:v>
                </c:pt>
                <c:pt idx="669">
                  <c:v>0.44680899999999912</c:v>
                </c:pt>
                <c:pt idx="670">
                  <c:v>0.51299999999999946</c:v>
                </c:pt>
                <c:pt idx="671">
                  <c:v>0.58021099999999937</c:v>
                </c:pt>
                <c:pt idx="672">
                  <c:v>0.64844799999999969</c:v>
                </c:pt>
                <c:pt idx="673">
                  <c:v>0.71771700000000038</c:v>
                </c:pt>
                <c:pt idx="674">
                  <c:v>0.7880240000000005</c:v>
                </c:pt>
                <c:pt idx="675">
                  <c:v>0.859375</c:v>
                </c:pt>
                <c:pt idx="676">
                  <c:v>0.93177599999999972</c:v>
                </c:pt>
                <c:pt idx="677">
                  <c:v>1.0052330000000005</c:v>
                </c:pt>
                <c:pt idx="678">
                  <c:v>1.0797520000000005</c:v>
                </c:pt>
                <c:pt idx="679">
                  <c:v>1.1553389999999997</c:v>
                </c:pt>
                <c:pt idx="680">
                  <c:v>1.2320000000000007</c:v>
                </c:pt>
                <c:pt idx="681">
                  <c:v>1.3097409999999998</c:v>
                </c:pt>
                <c:pt idx="682">
                  <c:v>1.3885680000000007</c:v>
                </c:pt>
                <c:pt idx="683">
                  <c:v>1.4684870000000005</c:v>
                </c:pt>
                <c:pt idx="684">
                  <c:v>1.5495040000000002</c:v>
                </c:pt>
                <c:pt idx="685">
                  <c:v>1.6316250000000005</c:v>
                </c:pt>
                <c:pt idx="686">
                  <c:v>1.7148560000000006</c:v>
                </c:pt>
                <c:pt idx="687">
                  <c:v>1.7992030000000012</c:v>
                </c:pt>
                <c:pt idx="688">
                  <c:v>1.8846719999999992</c:v>
                </c:pt>
                <c:pt idx="689">
                  <c:v>1.9712689999999999</c:v>
                </c:pt>
                <c:pt idx="690">
                  <c:v>2.0589999999999993</c:v>
                </c:pt>
                <c:pt idx="691">
                  <c:v>2.1478709999999999</c:v>
                </c:pt>
                <c:pt idx="692">
                  <c:v>2.2378879999999999</c:v>
                </c:pt>
                <c:pt idx="693">
                  <c:v>2.3290569999999993</c:v>
                </c:pt>
                <c:pt idx="694">
                  <c:v>2.4213839999999998</c:v>
                </c:pt>
                <c:pt idx="695">
                  <c:v>2.5148749999999995</c:v>
                </c:pt>
                <c:pt idx="696">
                  <c:v>2.6095359999999994</c:v>
                </c:pt>
                <c:pt idx="697">
                  <c:v>2.7053730000000002</c:v>
                </c:pt>
                <c:pt idx="698">
                  <c:v>2.8023919999999993</c:v>
                </c:pt>
                <c:pt idx="699">
                  <c:v>2.9005990000000001</c:v>
                </c:pt>
                <c:pt idx="700">
                  <c:v>3</c:v>
                </c:pt>
                <c:pt idx="701">
                  <c:v>3.1006009999999975</c:v>
                </c:pt>
                <c:pt idx="702">
                  <c:v>3.2024079999999993</c:v>
                </c:pt>
                <c:pt idx="703">
                  <c:v>3.3054269999999972</c:v>
                </c:pt>
                <c:pt idx="704">
                  <c:v>3.4096639999999994</c:v>
                </c:pt>
                <c:pt idx="705">
                  <c:v>3.5151249999999994</c:v>
                </c:pt>
                <c:pt idx="706">
                  <c:v>3.6218159999999999</c:v>
                </c:pt>
                <c:pt idx="707">
                  <c:v>3.7297429999999983</c:v>
                </c:pt>
                <c:pt idx="708">
                  <c:v>3.8389120000000005</c:v>
                </c:pt>
                <c:pt idx="709">
                  <c:v>3.9493289999999988</c:v>
                </c:pt>
                <c:pt idx="710">
                  <c:v>4.0610000000000008</c:v>
                </c:pt>
                <c:pt idx="711">
                  <c:v>4.1739309999999987</c:v>
                </c:pt>
                <c:pt idx="712">
                  <c:v>4.2881280000000022</c:v>
                </c:pt>
                <c:pt idx="713">
                  <c:v>4.4035969999999978</c:v>
                </c:pt>
                <c:pt idx="714">
                  <c:v>4.5203440000000006</c:v>
                </c:pt>
                <c:pt idx="715">
                  <c:v>4.638374999999999</c:v>
                </c:pt>
                <c:pt idx="716">
                  <c:v>4.757696000000001</c:v>
                </c:pt>
                <c:pt idx="717">
                  <c:v>4.8783130000000003</c:v>
                </c:pt>
                <c:pt idx="718">
                  <c:v>5.0002320000000013</c:v>
                </c:pt>
                <c:pt idx="719">
                  <c:v>5.1234589999999995</c:v>
                </c:pt>
                <c:pt idx="720">
                  <c:v>5.2480000000000029</c:v>
                </c:pt>
                <c:pt idx="721">
                  <c:v>5.3738609999999998</c:v>
                </c:pt>
                <c:pt idx="722">
                  <c:v>5.5010480000000017</c:v>
                </c:pt>
                <c:pt idx="723">
                  <c:v>5.6295670000000007</c:v>
                </c:pt>
                <c:pt idx="724">
                  <c:v>5.7594240000000028</c:v>
                </c:pt>
                <c:pt idx="725">
                  <c:v>5.890625</c:v>
                </c:pt>
                <c:pt idx="726">
                  <c:v>6.0231759999999959</c:v>
                </c:pt>
                <c:pt idx="727">
                  <c:v>6.1570829999999992</c:v>
                </c:pt>
                <c:pt idx="728">
                  <c:v>6.2923519999999984</c:v>
                </c:pt>
                <c:pt idx="729">
                  <c:v>6.4289890000000014</c:v>
                </c:pt>
                <c:pt idx="730">
                  <c:v>6.5669999999999966</c:v>
                </c:pt>
                <c:pt idx="731">
                  <c:v>6.7063910000000009</c:v>
                </c:pt>
                <c:pt idx="732">
                  <c:v>6.847167999999999</c:v>
                </c:pt>
                <c:pt idx="733">
                  <c:v>6.9893370000000008</c:v>
                </c:pt>
                <c:pt idx="734">
                  <c:v>7.1329039999999981</c:v>
                </c:pt>
                <c:pt idx="735">
                  <c:v>7.2778750000000016</c:v>
                </c:pt>
                <c:pt idx="736">
                  <c:v>7.4242559999999997</c:v>
                </c:pt>
                <c:pt idx="737">
                  <c:v>7.5720530000000004</c:v>
                </c:pt>
                <c:pt idx="738">
                  <c:v>7.721271999999999</c:v>
                </c:pt>
                <c:pt idx="739">
                  <c:v>7.8719190000000019</c:v>
                </c:pt>
                <c:pt idx="740">
                  <c:v>8.0240000000000009</c:v>
                </c:pt>
                <c:pt idx="741">
                  <c:v>8.1775210000000023</c:v>
                </c:pt>
                <c:pt idx="742">
                  <c:v>8.3324879999999997</c:v>
                </c:pt>
                <c:pt idx="743">
                  <c:v>8.4889070000000011</c:v>
                </c:pt>
                <c:pt idx="744">
                  <c:v>8.6467840000000002</c:v>
                </c:pt>
                <c:pt idx="745">
                  <c:v>8.8061250000000033</c:v>
                </c:pt>
                <c:pt idx="746">
                  <c:v>8.9669359999999987</c:v>
                </c:pt>
                <c:pt idx="747">
                  <c:v>9.1292230000000032</c:v>
                </c:pt>
                <c:pt idx="748">
                  <c:v>9.2929920000000017</c:v>
                </c:pt>
                <c:pt idx="749">
                  <c:v>9.4582490000000021</c:v>
                </c:pt>
                <c:pt idx="750">
                  <c:v>9.625</c:v>
                </c:pt>
                <c:pt idx="751">
                  <c:v>9.7932509999999962</c:v>
                </c:pt>
                <c:pt idx="752">
                  <c:v>9.9630080000000021</c:v>
                </c:pt>
                <c:pt idx="753">
                  <c:v>10.134276999999997</c:v>
                </c:pt>
                <c:pt idx="754">
                  <c:v>10.307063999999999</c:v>
                </c:pt>
                <c:pt idx="755">
                  <c:v>10.481374999999998</c:v>
                </c:pt>
                <c:pt idx="756">
                  <c:v>10.657216000000002</c:v>
                </c:pt>
                <c:pt idx="757">
                  <c:v>10.834592999999995</c:v>
                </c:pt>
                <c:pt idx="758">
                  <c:v>11.013512000000002</c:v>
                </c:pt>
                <c:pt idx="759">
                  <c:v>11.193978999999995</c:v>
                </c:pt>
                <c:pt idx="760">
                  <c:v>11.376000000000005</c:v>
                </c:pt>
                <c:pt idx="761">
                  <c:v>11.559580999999998</c:v>
                </c:pt>
                <c:pt idx="762">
                  <c:v>11.744728000000004</c:v>
                </c:pt>
                <c:pt idx="763">
                  <c:v>11.931446999999997</c:v>
                </c:pt>
                <c:pt idx="764">
                  <c:v>12.119744000000001</c:v>
                </c:pt>
                <c:pt idx="765">
                  <c:v>12.309624999999997</c:v>
                </c:pt>
                <c:pt idx="766">
                  <c:v>12.501096</c:v>
                </c:pt>
                <c:pt idx="767">
                  <c:v>12.694163</c:v>
                </c:pt>
                <c:pt idx="768">
                  <c:v>12.888832000000004</c:v>
                </c:pt>
                <c:pt idx="769">
                  <c:v>13.085108999999999</c:v>
                </c:pt>
                <c:pt idx="770">
                  <c:v>13.283000000000003</c:v>
                </c:pt>
                <c:pt idx="771">
                  <c:v>13.482511000000001</c:v>
                </c:pt>
                <c:pt idx="772">
                  <c:v>13.683648000000005</c:v>
                </c:pt>
                <c:pt idx="773">
                  <c:v>13.886416999999998</c:v>
                </c:pt>
                <c:pt idx="774">
                  <c:v>14.090824000000005</c:v>
                </c:pt>
                <c:pt idx="775">
                  <c:v>14.296875</c:v>
                </c:pt>
                <c:pt idx="776">
                  <c:v>14.504575999999997</c:v>
                </c:pt>
                <c:pt idx="777">
                  <c:v>14.713933000000001</c:v>
                </c:pt>
                <c:pt idx="778">
                  <c:v>14.924951999999998</c:v>
                </c:pt>
                <c:pt idx="779">
                  <c:v>15.137639</c:v>
                </c:pt>
                <c:pt idx="780">
                  <c:v>15.351999999999997</c:v>
                </c:pt>
                <c:pt idx="781">
                  <c:v>15.568041000000001</c:v>
                </c:pt>
                <c:pt idx="782">
                  <c:v>15.785767999999994</c:v>
                </c:pt>
                <c:pt idx="783">
                  <c:v>16.005187000000003</c:v>
                </c:pt>
                <c:pt idx="784">
                  <c:v>16.226303999999999</c:v>
                </c:pt>
                <c:pt idx="785">
                  <c:v>16.449125000000002</c:v>
                </c:pt>
                <c:pt idx="786">
                  <c:v>16.673655999999998</c:v>
                </c:pt>
                <c:pt idx="787">
                  <c:v>16.899903000000002</c:v>
                </c:pt>
                <c:pt idx="788">
                  <c:v>17.127871999999996</c:v>
                </c:pt>
                <c:pt idx="789">
                  <c:v>17.357569000000002</c:v>
                </c:pt>
                <c:pt idx="790">
                  <c:v>17.588999999999999</c:v>
                </c:pt>
                <c:pt idx="791">
                  <c:v>17.822171000000004</c:v>
                </c:pt>
                <c:pt idx="792">
                  <c:v>18.057087999999997</c:v>
                </c:pt>
                <c:pt idx="793">
                  <c:v>18.293757000000006</c:v>
                </c:pt>
                <c:pt idx="794">
                  <c:v>18.532183999999997</c:v>
                </c:pt>
                <c:pt idx="795">
                  <c:v>18.772375000000004</c:v>
                </c:pt>
                <c:pt idx="796">
                  <c:v>19.014336</c:v>
                </c:pt>
                <c:pt idx="797">
                  <c:v>19.258073000000007</c:v>
                </c:pt>
                <c:pt idx="798">
                  <c:v>19.503591999999998</c:v>
                </c:pt>
                <c:pt idx="799">
                  <c:v>19.750899000000004</c:v>
                </c:pt>
                <c:pt idx="800">
                  <c:v>20</c:v>
                </c:pt>
                <c:pt idx="801">
                  <c:v>20.250900999999995</c:v>
                </c:pt>
                <c:pt idx="802">
                  <c:v>20.503608</c:v>
                </c:pt>
                <c:pt idx="803">
                  <c:v>20.758126999999998</c:v>
                </c:pt>
                <c:pt idx="804">
                  <c:v>21.014464000000004</c:v>
                </c:pt>
                <c:pt idx="805">
                  <c:v>21.272624999999991</c:v>
                </c:pt>
                <c:pt idx="806">
                  <c:v>21.532616000000001</c:v>
                </c:pt>
                <c:pt idx="807">
                  <c:v>21.794442999999994</c:v>
                </c:pt>
                <c:pt idx="808">
                  <c:v>22.058112000000001</c:v>
                </c:pt>
                <c:pt idx="809">
                  <c:v>22.323628999999997</c:v>
                </c:pt>
                <c:pt idx="810">
                  <c:v>22.591000000000005</c:v>
                </c:pt>
                <c:pt idx="811">
                  <c:v>22.860230999999995</c:v>
                </c:pt>
                <c:pt idx="812">
                  <c:v>23.131328000000003</c:v>
                </c:pt>
                <c:pt idx="813">
                  <c:v>23.404297</c:v>
                </c:pt>
                <c:pt idx="814">
                  <c:v>23.679144000000001</c:v>
                </c:pt>
                <c:pt idx="815">
                  <c:v>23.955874999999995</c:v>
                </c:pt>
                <c:pt idx="816">
                  <c:v>24.234496000000007</c:v>
                </c:pt>
                <c:pt idx="817">
                  <c:v>24.515013</c:v>
                </c:pt>
                <c:pt idx="818">
                  <c:v>24.797432000000008</c:v>
                </c:pt>
                <c:pt idx="819">
                  <c:v>25.081759000000002</c:v>
                </c:pt>
                <c:pt idx="820">
                  <c:v>25.368000000000009</c:v>
                </c:pt>
                <c:pt idx="821">
                  <c:v>25.656160999999997</c:v>
                </c:pt>
                <c:pt idx="822">
                  <c:v>25.946248000000008</c:v>
                </c:pt>
                <c:pt idx="823">
                  <c:v>26.238267</c:v>
                </c:pt>
                <c:pt idx="824">
                  <c:v>26.53222400000001</c:v>
                </c:pt>
                <c:pt idx="825">
                  <c:v>26.828125</c:v>
                </c:pt>
                <c:pt idx="826">
                  <c:v>27.125975999999998</c:v>
                </c:pt>
                <c:pt idx="827">
                  <c:v>27.425783000000003</c:v>
                </c:pt>
                <c:pt idx="828">
                  <c:v>27.727551999999992</c:v>
                </c:pt>
                <c:pt idx="829">
                  <c:v>28.031289000000001</c:v>
                </c:pt>
                <c:pt idx="830">
                  <c:v>28.336999999999996</c:v>
                </c:pt>
                <c:pt idx="831">
                  <c:v>28.644691000000005</c:v>
                </c:pt>
                <c:pt idx="832">
                  <c:v>28.954367999999995</c:v>
                </c:pt>
                <c:pt idx="833">
                  <c:v>29.266037000000001</c:v>
                </c:pt>
                <c:pt idx="834">
                  <c:v>29.579704</c:v>
                </c:pt>
                <c:pt idx="835">
                  <c:v>29.895375000000005</c:v>
                </c:pt>
                <c:pt idx="836">
                  <c:v>30.213055999999995</c:v>
                </c:pt>
                <c:pt idx="837">
                  <c:v>30.532753000000007</c:v>
                </c:pt>
                <c:pt idx="838">
                  <c:v>30.854471999999994</c:v>
                </c:pt>
                <c:pt idx="839">
                  <c:v>31.178219000000006</c:v>
                </c:pt>
                <c:pt idx="840">
                  <c:v>31.503999999999998</c:v>
                </c:pt>
                <c:pt idx="841">
                  <c:v>31.831821000000005</c:v>
                </c:pt>
                <c:pt idx="842">
                  <c:v>32.161687999999998</c:v>
                </c:pt>
                <c:pt idx="843">
                  <c:v>32.493607000000004</c:v>
                </c:pt>
                <c:pt idx="844">
                  <c:v>32.827583999999995</c:v>
                </c:pt>
                <c:pt idx="845">
                  <c:v>33.16362500000001</c:v>
                </c:pt>
                <c:pt idx="846">
                  <c:v>33.501736000000001</c:v>
                </c:pt>
                <c:pt idx="847">
                  <c:v>33.841923000000008</c:v>
                </c:pt>
                <c:pt idx="848">
                  <c:v>34.184192000000003</c:v>
                </c:pt>
                <c:pt idx="849">
                  <c:v>34.528549000000012</c:v>
                </c:pt>
                <c:pt idx="850">
                  <c:v>34.875</c:v>
                </c:pt>
                <c:pt idx="851">
                  <c:v>35.223550999999986</c:v>
                </c:pt>
                <c:pt idx="852">
                  <c:v>35.574207999999999</c:v>
                </c:pt>
                <c:pt idx="853">
                  <c:v>35.926976999999994</c:v>
                </c:pt>
                <c:pt idx="854">
                  <c:v>36.281864000000006</c:v>
                </c:pt>
                <c:pt idx="855">
                  <c:v>36.638874999999992</c:v>
                </c:pt>
                <c:pt idx="856">
                  <c:v>36.998016000000007</c:v>
                </c:pt>
                <c:pt idx="857">
                  <c:v>37.359292999999994</c:v>
                </c:pt>
                <c:pt idx="858">
                  <c:v>37.722712000000001</c:v>
                </c:pt>
                <c:pt idx="859">
                  <c:v>38.088279</c:v>
                </c:pt>
                <c:pt idx="860">
                  <c:v>38.456000000000003</c:v>
                </c:pt>
                <c:pt idx="861">
                  <c:v>38.825880999999995</c:v>
                </c:pt>
                <c:pt idx="862">
                  <c:v>39.197927999999997</c:v>
                </c:pt>
                <c:pt idx="863">
                  <c:v>39.572147000000001</c:v>
                </c:pt>
                <c:pt idx="864">
                  <c:v>39.948544000000005</c:v>
                </c:pt>
                <c:pt idx="865">
                  <c:v>40.327125000000002</c:v>
                </c:pt>
                <c:pt idx="866">
                  <c:v>40.707896000000005</c:v>
                </c:pt>
                <c:pt idx="867">
                  <c:v>41.090862999999999</c:v>
                </c:pt>
                <c:pt idx="868">
                  <c:v>41.476032000000004</c:v>
                </c:pt>
                <c:pt idx="869">
                  <c:v>41.863408999999997</c:v>
                </c:pt>
                <c:pt idx="870">
                  <c:v>42.253000000000007</c:v>
                </c:pt>
                <c:pt idx="871">
                  <c:v>42.644810999999997</c:v>
                </c:pt>
                <c:pt idx="872">
                  <c:v>43.038848000000009</c:v>
                </c:pt>
                <c:pt idx="873">
                  <c:v>43.435116999999998</c:v>
                </c:pt>
                <c:pt idx="874">
                  <c:v>43.833624000000015</c:v>
                </c:pt>
                <c:pt idx="875">
                  <c:v>44.234375</c:v>
                </c:pt>
                <c:pt idx="876">
                  <c:v>44.637375999999989</c:v>
                </c:pt>
                <c:pt idx="877">
                  <c:v>45.042633000000002</c:v>
                </c:pt>
                <c:pt idx="878">
                  <c:v>45.450151999999996</c:v>
                </c:pt>
                <c:pt idx="879">
                  <c:v>45.859939000000004</c:v>
                </c:pt>
                <c:pt idx="880">
                  <c:v>46.271999999999991</c:v>
                </c:pt>
                <c:pt idx="881">
                  <c:v>46.686341000000006</c:v>
                </c:pt>
                <c:pt idx="882">
                  <c:v>47.102967999999997</c:v>
                </c:pt>
                <c:pt idx="883">
                  <c:v>47.521887000000007</c:v>
                </c:pt>
                <c:pt idx="884">
                  <c:v>47.943103999999998</c:v>
                </c:pt>
                <c:pt idx="885">
                  <c:v>48.366625000000006</c:v>
                </c:pt>
                <c:pt idx="886">
                  <c:v>48.792455999999994</c:v>
                </c:pt>
                <c:pt idx="887">
                  <c:v>49.220603000000004</c:v>
                </c:pt>
                <c:pt idx="888">
                  <c:v>49.651071999999999</c:v>
                </c:pt>
                <c:pt idx="889">
                  <c:v>50.083869000000007</c:v>
                </c:pt>
                <c:pt idx="890">
                  <c:v>50.518999999999998</c:v>
                </c:pt>
                <c:pt idx="891">
                  <c:v>50.956471000000008</c:v>
                </c:pt>
                <c:pt idx="892">
                  <c:v>51.396287999999998</c:v>
                </c:pt>
                <c:pt idx="893">
                  <c:v>51.838457000000005</c:v>
                </c:pt>
                <c:pt idx="894">
                  <c:v>52.282983999999999</c:v>
                </c:pt>
                <c:pt idx="895">
                  <c:v>52.729875000000007</c:v>
                </c:pt>
                <c:pt idx="896">
                  <c:v>53.179135999999993</c:v>
                </c:pt>
                <c:pt idx="897">
                  <c:v>53.630773000000012</c:v>
                </c:pt>
                <c:pt idx="898">
                  <c:v>54.084792</c:v>
                </c:pt>
                <c:pt idx="899">
                  <c:v>54.541199000000006</c:v>
                </c:pt>
                <c:pt idx="900">
                  <c:v>55</c:v>
                </c:pt>
                <c:pt idx="901">
                  <c:v>55.461200999999988</c:v>
                </c:pt>
                <c:pt idx="902">
                  <c:v>55.924807999999977</c:v>
                </c:pt>
                <c:pt idx="903">
                  <c:v>56.390827000000016</c:v>
                </c:pt>
                <c:pt idx="904">
                  <c:v>56.859263999999996</c:v>
                </c:pt>
                <c:pt idx="905">
                  <c:v>57.330124999999988</c:v>
                </c:pt>
                <c:pt idx="906">
                  <c:v>57.803415999999977</c:v>
                </c:pt>
                <c:pt idx="907">
                  <c:v>58.279143000000005</c:v>
                </c:pt>
                <c:pt idx="908">
                  <c:v>58.757311999999999</c:v>
                </c:pt>
                <c:pt idx="909">
                  <c:v>59.237928999999987</c:v>
                </c:pt>
                <c:pt idx="910">
                  <c:v>59.720999999999989</c:v>
                </c:pt>
                <c:pt idx="911">
                  <c:v>60.206531000000012</c:v>
                </c:pt>
                <c:pt idx="912">
                  <c:v>60.694527999999998</c:v>
                </c:pt>
                <c:pt idx="913">
                  <c:v>61.184996999999989</c:v>
                </c:pt>
                <c:pt idx="914">
                  <c:v>61.677943999999982</c:v>
                </c:pt>
                <c:pt idx="915">
                  <c:v>62.173375000000021</c:v>
                </c:pt>
                <c:pt idx="916">
                  <c:v>62.671296000000005</c:v>
                </c:pt>
                <c:pt idx="917">
                  <c:v>63.171712999999997</c:v>
                </c:pt>
                <c:pt idx="918">
                  <c:v>63.674631999999988</c:v>
                </c:pt>
                <c:pt idx="919">
                  <c:v>64.180059000000028</c:v>
                </c:pt>
                <c:pt idx="920">
                  <c:v>64.688000000000002</c:v>
                </c:pt>
                <c:pt idx="921">
                  <c:v>65.198460999999995</c:v>
                </c:pt>
                <c:pt idx="922">
                  <c:v>65.71144799999999</c:v>
                </c:pt>
                <c:pt idx="923">
                  <c:v>66.22696700000003</c:v>
                </c:pt>
                <c:pt idx="924">
                  <c:v>66.745024000000015</c:v>
                </c:pt>
                <c:pt idx="925">
                  <c:v>67.265625</c:v>
                </c:pt>
                <c:pt idx="926">
                  <c:v>67.788775999999984</c:v>
                </c:pt>
                <c:pt idx="927">
                  <c:v>68.314482999999967</c:v>
                </c:pt>
                <c:pt idx="928">
                  <c:v>68.842752000000004</c:v>
                </c:pt>
                <c:pt idx="929">
                  <c:v>69.373588999999996</c:v>
                </c:pt>
                <c:pt idx="930">
                  <c:v>69.906999999999996</c:v>
                </c:pt>
                <c:pt idx="931">
                  <c:v>70.442990999999978</c:v>
                </c:pt>
                <c:pt idx="932">
                  <c:v>70.98156800000001</c:v>
                </c:pt>
                <c:pt idx="933">
                  <c:v>71.522737000000006</c:v>
                </c:pt>
                <c:pt idx="934">
                  <c:v>72.066504000000009</c:v>
                </c:pt>
                <c:pt idx="935">
                  <c:v>72.612874999999974</c:v>
                </c:pt>
                <c:pt idx="936">
                  <c:v>73.161856000000014</c:v>
                </c:pt>
                <c:pt idx="937">
                  <c:v>73.713453000000015</c:v>
                </c:pt>
                <c:pt idx="938">
                  <c:v>74.26767199999999</c:v>
                </c:pt>
                <c:pt idx="939">
                  <c:v>74.824518999999981</c:v>
                </c:pt>
                <c:pt idx="940">
                  <c:v>75.384000000000029</c:v>
                </c:pt>
                <c:pt idx="941">
                  <c:v>75.946121000000005</c:v>
                </c:pt>
                <c:pt idx="942">
                  <c:v>76.510887999999994</c:v>
                </c:pt>
                <c:pt idx="943">
                  <c:v>77.078306999999981</c:v>
                </c:pt>
                <c:pt idx="944">
                  <c:v>77.648384000000021</c:v>
                </c:pt>
                <c:pt idx="945">
                  <c:v>78.221125000000001</c:v>
                </c:pt>
                <c:pt idx="946">
                  <c:v>78.796536000000003</c:v>
                </c:pt>
                <c:pt idx="947">
                  <c:v>79.374622999999985</c:v>
                </c:pt>
                <c:pt idx="948">
                  <c:v>79.955392000000018</c:v>
                </c:pt>
                <c:pt idx="949">
                  <c:v>80.538849000000013</c:v>
                </c:pt>
                <c:pt idx="950">
                  <c:v>81.125</c:v>
                </c:pt>
                <c:pt idx="951">
                  <c:v>81.713850999999991</c:v>
                </c:pt>
                <c:pt idx="952">
                  <c:v>82.305407999999971</c:v>
                </c:pt>
                <c:pt idx="953">
                  <c:v>82.899677000000011</c:v>
                </c:pt>
                <c:pt idx="954">
                  <c:v>83.496663999999996</c:v>
                </c:pt>
                <c:pt idx="955">
                  <c:v>84.096374999999995</c:v>
                </c:pt>
                <c:pt idx="956">
                  <c:v>84.698815999999979</c:v>
                </c:pt>
                <c:pt idx="957">
                  <c:v>85.30399300000002</c:v>
                </c:pt>
                <c:pt idx="958">
                  <c:v>85.911912000000015</c:v>
                </c:pt>
                <c:pt idx="959">
                  <c:v>86.522578999999979</c:v>
                </c:pt>
                <c:pt idx="960">
                  <c:v>87.135999999999967</c:v>
                </c:pt>
                <c:pt idx="961">
                  <c:v>87.752181000000022</c:v>
                </c:pt>
                <c:pt idx="962">
                  <c:v>88.371128000000013</c:v>
                </c:pt>
                <c:pt idx="963">
                  <c:v>88.992846999999983</c:v>
                </c:pt>
                <c:pt idx="964">
                  <c:v>89.617343999999989</c:v>
                </c:pt>
                <c:pt idx="965">
                  <c:v>90.244625000000028</c:v>
                </c:pt>
                <c:pt idx="966">
                  <c:v>90.874696</c:v>
                </c:pt>
                <c:pt idx="967">
                  <c:v>91.50756299999999</c:v>
                </c:pt>
                <c:pt idx="968">
                  <c:v>92.143231999999983</c:v>
                </c:pt>
                <c:pt idx="969">
                  <c:v>92.781709000000021</c:v>
                </c:pt>
                <c:pt idx="970">
                  <c:v>93.423000000000016</c:v>
                </c:pt>
                <c:pt idx="971">
                  <c:v>94.067110999999997</c:v>
                </c:pt>
                <c:pt idx="972">
                  <c:v>94.714047999999991</c:v>
                </c:pt>
                <c:pt idx="973">
                  <c:v>95.36381700000004</c:v>
                </c:pt>
                <c:pt idx="974">
                  <c:v>96.016424000000001</c:v>
                </c:pt>
                <c:pt idx="975">
                  <c:v>96.671875</c:v>
                </c:pt>
                <c:pt idx="976">
                  <c:v>97.330175999999994</c:v>
                </c:pt>
                <c:pt idx="977">
                  <c:v>97.991332999999969</c:v>
                </c:pt>
                <c:pt idx="978">
                  <c:v>98.655352000000008</c:v>
                </c:pt>
                <c:pt idx="979">
                  <c:v>99.322238999999996</c:v>
                </c:pt>
                <c:pt idx="980">
                  <c:v>99.992000000000004</c:v>
                </c:pt>
                <c:pt idx="981">
                  <c:v>100.66464099999996</c:v>
                </c:pt>
                <c:pt idx="982">
                  <c:v>101.34016800000002</c:v>
                </c:pt>
                <c:pt idx="983">
                  <c:v>102.01858700000001</c:v>
                </c:pt>
                <c:pt idx="984">
                  <c:v>102.699904</c:v>
                </c:pt>
                <c:pt idx="985">
                  <c:v>103.38412499999997</c:v>
                </c:pt>
                <c:pt idx="986">
                  <c:v>104.07125600000002</c:v>
                </c:pt>
                <c:pt idx="987">
                  <c:v>104.76130300000003</c:v>
                </c:pt>
                <c:pt idx="988">
                  <c:v>105.45427199999999</c:v>
                </c:pt>
                <c:pt idx="989">
                  <c:v>106.15016899999996</c:v>
                </c:pt>
                <c:pt idx="990">
                  <c:v>106.84900000000003</c:v>
                </c:pt>
                <c:pt idx="991">
                  <c:v>107.550771</c:v>
                </c:pt>
                <c:pt idx="992">
                  <c:v>108.25548799999999</c:v>
                </c:pt>
                <c:pt idx="993">
                  <c:v>108.96315699999998</c:v>
                </c:pt>
                <c:pt idx="994">
                  <c:v>109.67378400000004</c:v>
                </c:pt>
                <c:pt idx="995">
                  <c:v>110.38737500000001</c:v>
                </c:pt>
                <c:pt idx="996">
                  <c:v>111.103936</c:v>
                </c:pt>
                <c:pt idx="997">
                  <c:v>111.82347299999998</c:v>
                </c:pt>
                <c:pt idx="998">
                  <c:v>112.54599200000001</c:v>
                </c:pt>
                <c:pt idx="999">
                  <c:v>113.27149900000001</c:v>
                </c:pt>
                <c:pt idx="1000">
                  <c:v>114</c:v>
                </c:pt>
              </c:numCache>
            </c:numRef>
          </c:val>
          <c:smooth val="0"/>
          <c:extLst>
            <c:ext xmlns:c16="http://schemas.microsoft.com/office/drawing/2014/chart" uri="{C3380CC4-5D6E-409C-BE32-E72D297353CC}">
              <c16:uniqueId val="{00000000-E4BC-4921-A713-C8F8DC476A68}"/>
            </c:ext>
          </c:extLst>
        </c:ser>
        <c:dLbls>
          <c:showLegendKey val="0"/>
          <c:showVal val="0"/>
          <c:showCatName val="0"/>
          <c:showSerName val="0"/>
          <c:showPercent val="0"/>
          <c:showBubbleSize val="0"/>
        </c:dLbls>
        <c:smooth val="0"/>
        <c:axId val="1954061487"/>
        <c:axId val="1954062319"/>
      </c:lineChart>
      <c:catAx>
        <c:axId val="1954061487"/>
        <c:scaling>
          <c:orientation val="minMax"/>
        </c:scaling>
        <c:delete val="0"/>
        <c:axPos val="b"/>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crossAx val="1954062319"/>
        <c:crosses val="autoZero"/>
        <c:auto val="1"/>
        <c:lblAlgn val="ctr"/>
        <c:lblOffset val="100"/>
        <c:tickLblSkip val="100"/>
        <c:tickMarkSkip val="1"/>
        <c:noMultiLvlLbl val="0"/>
      </c:catAx>
      <c:valAx>
        <c:axId val="1954062319"/>
        <c:scaling>
          <c:orientation val="minMax"/>
          <c:max val="10"/>
          <c:min val="-1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pt-BR"/>
          </a:p>
        </c:txPr>
        <c:crossAx val="1954061487"/>
        <c:crosses val="autoZero"/>
        <c:crossBetween val="between"/>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Contagion</a:t>
            </a:r>
            <a:r>
              <a:rPr lang="pt-BR" baseline="0"/>
              <a:t> Test</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Sample 1 (lhs)</c:v>
          </c:tx>
          <c:spPr>
            <a:ln w="12700" cap="rnd">
              <a:solidFill>
                <a:schemeClr val="accent1"/>
              </a:solidFill>
              <a:round/>
            </a:ln>
            <a:effectLst/>
          </c:spPr>
          <c:marker>
            <c:symbol val="none"/>
          </c:marker>
          <c:cat>
            <c:numRef>
              <c:f>(CONTAGION_FORBESRIGOBON!$F$18:$F$317,CONTAGION_FORBESRIGOBON!$F$320:$F$525)</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(CONTAGION_FORBESRIGOBON!$I$19:$I$317,CONTAGION_FORBESRIGOBON!$I$320:$I$525)</c:f>
              <c:numCache>
                <c:formatCode>0.00%</c:formatCode>
                <c:ptCount val="505"/>
                <c:pt idx="0">
                  <c:v>1.0401020398713712E-3</c:v>
                </c:pt>
                <c:pt idx="1">
                  <c:v>-2.3862705373286275E-2</c:v>
                </c:pt>
                <c:pt idx="2">
                  <c:v>3.3495821843755103E-2</c:v>
                </c:pt>
                <c:pt idx="3">
                  <c:v>7.8845418126225475E-3</c:v>
                </c:pt>
                <c:pt idx="4">
                  <c:v>9.3954088050747231E-3</c:v>
                </c:pt>
                <c:pt idx="5">
                  <c:v>4.6735411159004592E-3</c:v>
                </c:pt>
                <c:pt idx="6">
                  <c:v>3.5275112473489578E-3</c:v>
                </c:pt>
                <c:pt idx="7">
                  <c:v>3.8612950131367008E-4</c:v>
                </c:pt>
                <c:pt idx="8">
                  <c:v>-6.1008157559502285E-3</c:v>
                </c:pt>
                <c:pt idx="9">
                  <c:v>1.146073275757753E-2</c:v>
                </c:pt>
                <c:pt idx="10">
                  <c:v>2.4199718704258633E-3</c:v>
                </c:pt>
                <c:pt idx="11">
                  <c:v>7.5866511593374319E-3</c:v>
                </c:pt>
                <c:pt idx="12">
                  <c:v>1.3310135378014287E-2</c:v>
                </c:pt>
                <c:pt idx="13">
                  <c:v>-1.3510752838921114E-2</c:v>
                </c:pt>
                <c:pt idx="14">
                  <c:v>2.0925841602441597E-3</c:v>
                </c:pt>
                <c:pt idx="15">
                  <c:v>5.3149405925601023E-4</c:v>
                </c:pt>
                <c:pt idx="16">
                  <c:v>8.4614186766645005E-3</c:v>
                </c:pt>
                <c:pt idx="17">
                  <c:v>-7.6000445111905623E-3</c:v>
                </c:pt>
                <c:pt idx="18">
                  <c:v>-1.3272208463369628E-3</c:v>
                </c:pt>
                <c:pt idx="19">
                  <c:v>1.5830700348449023E-2</c:v>
                </c:pt>
                <c:pt idx="20">
                  <c:v>8.7825320484122837E-3</c:v>
                </c:pt>
                <c:pt idx="21">
                  <c:v>4.8137480130061583E-4</c:v>
                </c:pt>
                <c:pt idx="22">
                  <c:v>7.0356554904722479E-3</c:v>
                </c:pt>
                <c:pt idx="23">
                  <c:v>4.191934326261304E-3</c:v>
                </c:pt>
                <c:pt idx="24">
                  <c:v>-1.3182013435087958E-3</c:v>
                </c:pt>
                <c:pt idx="25">
                  <c:v>-9.5329681151019585E-3</c:v>
                </c:pt>
                <c:pt idx="26">
                  <c:v>1.22149760609358E-3</c:v>
                </c:pt>
                <c:pt idx="27">
                  <c:v>5.5476436142676278E-4</c:v>
                </c:pt>
                <c:pt idx="28">
                  <c:v>1.2859498691850657E-2</c:v>
                </c:pt>
                <c:pt idx="29">
                  <c:v>3.2467989017432863E-3</c:v>
                </c:pt>
                <c:pt idx="30">
                  <c:v>-2.2182995178979814E-3</c:v>
                </c:pt>
                <c:pt idx="31">
                  <c:v>1.0897416949031236E-2</c:v>
                </c:pt>
                <c:pt idx="32">
                  <c:v>1.7305056305265687E-3</c:v>
                </c:pt>
                <c:pt idx="33">
                  <c:v>2.0153765271693214E-3</c:v>
                </c:pt>
                <c:pt idx="34">
                  <c:v>-3.5559907265417801E-3</c:v>
                </c:pt>
                <c:pt idx="35">
                  <c:v>6.2001313059003582E-3</c:v>
                </c:pt>
                <c:pt idx="36">
                  <c:v>1.3611375611564114E-3</c:v>
                </c:pt>
                <c:pt idx="37">
                  <c:v>-7.1535343108619642E-4</c:v>
                </c:pt>
                <c:pt idx="38">
                  <c:v>-4.2940145551551012E-4</c:v>
                </c:pt>
                <c:pt idx="39">
                  <c:v>-1.8627512856356221E-3</c:v>
                </c:pt>
                <c:pt idx="40">
                  <c:v>6.2434952404508692E-3</c:v>
                </c:pt>
                <c:pt idx="41">
                  <c:v>-3.6371682973985742E-3</c:v>
                </c:pt>
                <c:pt idx="42">
                  <c:v>-1.3601044178247479E-3</c:v>
                </c:pt>
                <c:pt idx="43">
                  <c:v>-6.0566721292807379E-3</c:v>
                </c:pt>
                <c:pt idx="44">
                  <c:v>-8.3657303445855424E-3</c:v>
                </c:pt>
                <c:pt idx="45">
                  <c:v>-1.9996589865043379E-3</c:v>
                </c:pt>
                <c:pt idx="46">
                  <c:v>1.4501051794384434E-2</c:v>
                </c:pt>
                <c:pt idx="47">
                  <c:v>3.7710424020158673E-3</c:v>
                </c:pt>
                <c:pt idx="48">
                  <c:v>6.6192952240662351E-3</c:v>
                </c:pt>
                <c:pt idx="49">
                  <c:v>-6.4011385772566598E-4</c:v>
                </c:pt>
                <c:pt idx="50">
                  <c:v>4.9407854813812158E-3</c:v>
                </c:pt>
                <c:pt idx="51">
                  <c:v>3.6259244519276645E-3</c:v>
                </c:pt>
                <c:pt idx="52">
                  <c:v>2.4777257972807831E-4</c:v>
                </c:pt>
                <c:pt idx="53">
                  <c:v>-3.0097881592702214E-3</c:v>
                </c:pt>
                <c:pt idx="54">
                  <c:v>1.1294477654773205E-2</c:v>
                </c:pt>
                <c:pt idx="55">
                  <c:v>-1.9246241735327185E-2</c:v>
                </c:pt>
                <c:pt idx="56">
                  <c:v>-7.520955273396801E-4</c:v>
                </c:pt>
                <c:pt idx="57">
                  <c:v>7.4543462764620205E-3</c:v>
                </c:pt>
                <c:pt idx="58">
                  <c:v>-5.22907599256206E-3</c:v>
                </c:pt>
                <c:pt idx="59">
                  <c:v>3.7904084473492361E-3</c:v>
                </c:pt>
                <c:pt idx="60">
                  <c:v>6.3054809643483534E-3</c:v>
                </c:pt>
                <c:pt idx="61">
                  <c:v>1.1859033571406385E-2</c:v>
                </c:pt>
                <c:pt idx="62">
                  <c:v>4.8993149853537865E-4</c:v>
                </c:pt>
                <c:pt idx="63">
                  <c:v>1.5738922371808517E-3</c:v>
                </c:pt>
                <c:pt idx="64">
                  <c:v>2.6531245249579172E-3</c:v>
                </c:pt>
                <c:pt idx="65">
                  <c:v>4.8402018360047538E-3</c:v>
                </c:pt>
                <c:pt idx="66">
                  <c:v>7.6224487857978751E-4</c:v>
                </c:pt>
                <c:pt idx="67">
                  <c:v>-5.1246112442856484E-3</c:v>
                </c:pt>
                <c:pt idx="68">
                  <c:v>3.4109460016957804E-3</c:v>
                </c:pt>
                <c:pt idx="69">
                  <c:v>-2.7768471705424957E-4</c:v>
                </c:pt>
                <c:pt idx="70">
                  <c:v>6.7662181925096654E-3</c:v>
                </c:pt>
                <c:pt idx="71">
                  <c:v>-6.5498400304764282E-4</c:v>
                </c:pt>
                <c:pt idx="72">
                  <c:v>6.554132882667929E-4</c:v>
                </c:pt>
                <c:pt idx="73">
                  <c:v>-2.4471210783273412E-3</c:v>
                </c:pt>
                <c:pt idx="74">
                  <c:v>1.969095795856024E-3</c:v>
                </c:pt>
                <c:pt idx="75">
                  <c:v>8.6212537184171545E-4</c:v>
                </c:pt>
                <c:pt idx="76">
                  <c:v>8.9917610117338231E-3</c:v>
                </c:pt>
                <c:pt idx="77">
                  <c:v>-2.2193714674311193E-3</c:v>
                </c:pt>
                <c:pt idx="78">
                  <c:v>-6.1622301709629568E-4</c:v>
                </c:pt>
                <c:pt idx="79">
                  <c:v>4.6568521271241892E-3</c:v>
                </c:pt>
                <c:pt idx="80">
                  <c:v>1.5678513825985174E-3</c:v>
                </c:pt>
                <c:pt idx="81">
                  <c:v>5.1023396247829034E-4</c:v>
                </c:pt>
                <c:pt idx="82">
                  <c:v>-7.5162675746810459E-3</c:v>
                </c:pt>
                <c:pt idx="83">
                  <c:v>-2.1590625331597835E-3</c:v>
                </c:pt>
                <c:pt idx="84">
                  <c:v>9.7878837274871788E-3</c:v>
                </c:pt>
                <c:pt idx="85">
                  <c:v>-4.1154269318457448E-3</c:v>
                </c:pt>
                <c:pt idx="86">
                  <c:v>-1.6699420690646893E-2</c:v>
                </c:pt>
                <c:pt idx="87">
                  <c:v>-1.3893685879040607E-3</c:v>
                </c:pt>
                <c:pt idx="88">
                  <c:v>-3.0258911543242784E-3</c:v>
                </c:pt>
                <c:pt idx="89">
                  <c:v>5.0236774462599776E-3</c:v>
                </c:pt>
                <c:pt idx="90">
                  <c:v>-2.5130579523941265E-2</c:v>
                </c:pt>
                <c:pt idx="91">
                  <c:v>9.0439561247741551E-3</c:v>
                </c:pt>
                <c:pt idx="92">
                  <c:v>5.8573823021945692E-3</c:v>
                </c:pt>
                <c:pt idx="93">
                  <c:v>9.2611425035160622E-3</c:v>
                </c:pt>
                <c:pt idx="94">
                  <c:v>-6.4649667095842966E-3</c:v>
                </c:pt>
                <c:pt idx="95">
                  <c:v>-6.6120150424300306E-3</c:v>
                </c:pt>
                <c:pt idx="96">
                  <c:v>9.0157603784457585E-3</c:v>
                </c:pt>
                <c:pt idx="97">
                  <c:v>-3.0714620104941304E-3</c:v>
                </c:pt>
                <c:pt idx="98">
                  <c:v>-1.221852285532099E-2</c:v>
                </c:pt>
                <c:pt idx="99">
                  <c:v>2.2679391845987773E-3</c:v>
                </c:pt>
                <c:pt idx="100">
                  <c:v>-9.3003272691258854E-3</c:v>
                </c:pt>
                <c:pt idx="101">
                  <c:v>-6.7107235583429015E-3</c:v>
                </c:pt>
                <c:pt idx="102">
                  <c:v>2.7314155884416991E-3</c:v>
                </c:pt>
                <c:pt idx="103">
                  <c:v>-1.3475308923069473E-2</c:v>
                </c:pt>
                <c:pt idx="104">
                  <c:v>-2.5430398929512377E-3</c:v>
                </c:pt>
                <c:pt idx="105">
                  <c:v>2.1706592904030764E-2</c:v>
                </c:pt>
                <c:pt idx="106">
                  <c:v>8.6621411697758166E-3</c:v>
                </c:pt>
                <c:pt idx="107">
                  <c:v>6.5027928689886938E-3</c:v>
                </c:pt>
                <c:pt idx="108">
                  <c:v>1.0006919500294309E-2</c:v>
                </c:pt>
                <c:pt idx="109">
                  <c:v>4.5888775961673289E-3</c:v>
                </c:pt>
                <c:pt idx="110">
                  <c:v>-2.4207556964828125E-4</c:v>
                </c:pt>
                <c:pt idx="111">
                  <c:v>-1.7654460366652858E-3</c:v>
                </c:pt>
                <c:pt idx="112">
                  <c:v>4.1262068327951873E-3</c:v>
                </c:pt>
                <c:pt idx="113">
                  <c:v>-1.1047805460784321E-3</c:v>
                </c:pt>
                <c:pt idx="114">
                  <c:v>3.8004405313252221E-4</c:v>
                </c:pt>
                <c:pt idx="115">
                  <c:v>1.0470976044758995E-2</c:v>
                </c:pt>
                <c:pt idx="116">
                  <c:v>2.2572227148951463E-3</c:v>
                </c:pt>
                <c:pt idx="117">
                  <c:v>9.5543274147442681E-3</c:v>
                </c:pt>
                <c:pt idx="118">
                  <c:v>-1.4533352061634197E-3</c:v>
                </c:pt>
                <c:pt idx="119">
                  <c:v>-1.2244892460424595E-3</c:v>
                </c:pt>
                <c:pt idx="120">
                  <c:v>-9.8079308784824182E-3</c:v>
                </c:pt>
                <c:pt idx="121">
                  <c:v>-9.9748941822219717E-4</c:v>
                </c:pt>
                <c:pt idx="122">
                  <c:v>3.5459876382137878E-3</c:v>
                </c:pt>
                <c:pt idx="123">
                  <c:v>5.1459671354525671E-3</c:v>
                </c:pt>
                <c:pt idx="124">
                  <c:v>9.0782985721908904E-3</c:v>
                </c:pt>
                <c:pt idx="125">
                  <c:v>2.6043377025681824E-3</c:v>
                </c:pt>
                <c:pt idx="126">
                  <c:v>7.9948451963010037E-3</c:v>
                </c:pt>
                <c:pt idx="127">
                  <c:v>-1.1375420355421717E-3</c:v>
                </c:pt>
                <c:pt idx="128">
                  <c:v>-5.4949505137057431E-3</c:v>
                </c:pt>
                <c:pt idx="129">
                  <c:v>1.2465012718207991E-3</c:v>
                </c:pt>
                <c:pt idx="130">
                  <c:v>4.7781841226932631E-3</c:v>
                </c:pt>
                <c:pt idx="131">
                  <c:v>2.3439608848043747E-3</c:v>
                </c:pt>
                <c:pt idx="132">
                  <c:v>4.477307785043072E-3</c:v>
                </c:pt>
                <c:pt idx="133">
                  <c:v>3.3259706314914261E-4</c:v>
                </c:pt>
                <c:pt idx="134">
                  <c:v>-3.2253357584542952E-3</c:v>
                </c:pt>
                <c:pt idx="135">
                  <c:v>-6.8050996848206813E-3</c:v>
                </c:pt>
                <c:pt idx="136">
                  <c:v>3.6609765666177907E-3</c:v>
                </c:pt>
                <c:pt idx="137">
                  <c:v>-5.5549816592371792E-3</c:v>
                </c:pt>
                <c:pt idx="138">
                  <c:v>2.4564605027042052E-3</c:v>
                </c:pt>
                <c:pt idx="139">
                  <c:v>7.149973304838575E-3</c:v>
                </c:pt>
                <c:pt idx="140">
                  <c:v>4.6995605016622033E-3</c:v>
                </c:pt>
                <c:pt idx="141">
                  <c:v>-4.7769669998497521E-3</c:v>
                </c:pt>
                <c:pt idx="142">
                  <c:v>6.6999255780335609E-3</c:v>
                </c:pt>
                <c:pt idx="143">
                  <c:v>-1.8210360816482973E-3</c:v>
                </c:pt>
                <c:pt idx="144">
                  <c:v>-2.4547395484526557E-3</c:v>
                </c:pt>
                <c:pt idx="145">
                  <c:v>-1.0940405133010422E-2</c:v>
                </c:pt>
                <c:pt idx="146">
                  <c:v>-8.7080546608183651E-3</c:v>
                </c:pt>
                <c:pt idx="147">
                  <c:v>-7.5294596759712951E-3</c:v>
                </c:pt>
                <c:pt idx="148">
                  <c:v>-3.0073296832209273E-2</c:v>
                </c:pt>
                <c:pt idx="149">
                  <c:v>1.4023230890322758E-2</c:v>
                </c:pt>
                <c:pt idx="150">
                  <c:v>5.9045276939562186E-4</c:v>
                </c:pt>
                <c:pt idx="151">
                  <c:v>1.9620516067926808E-2</c:v>
                </c:pt>
                <c:pt idx="152">
                  <c:v>-6.8117097712169228E-3</c:v>
                </c:pt>
                <c:pt idx="153">
                  <c:v>-1.2173503432607369E-2</c:v>
                </c:pt>
                <c:pt idx="154">
                  <c:v>1.5551598490313845E-2</c:v>
                </c:pt>
                <c:pt idx="155">
                  <c:v>-2.956746111953068E-2</c:v>
                </c:pt>
                <c:pt idx="156">
                  <c:v>2.6418608781879627E-3</c:v>
                </c:pt>
                <c:pt idx="157">
                  <c:v>1.4754971812207085E-2</c:v>
                </c:pt>
                <c:pt idx="158">
                  <c:v>1.2047558359721489E-2</c:v>
                </c:pt>
                <c:pt idx="159">
                  <c:v>-7.6624308938766372E-3</c:v>
                </c:pt>
                <c:pt idx="160">
                  <c:v>8.1357083343238656E-3</c:v>
                </c:pt>
                <c:pt idx="161">
                  <c:v>-3.0799552515858863E-4</c:v>
                </c:pt>
                <c:pt idx="162">
                  <c:v>-2.5687531493255311E-2</c:v>
                </c:pt>
                <c:pt idx="163">
                  <c:v>1.1058318121464294E-2</c:v>
                </c:pt>
                <c:pt idx="164">
                  <c:v>-3.9232680005929499E-3</c:v>
                </c:pt>
                <c:pt idx="165">
                  <c:v>7.0414989153324559E-3</c:v>
                </c:pt>
                <c:pt idx="166">
                  <c:v>1.2772839888606224E-2</c:v>
                </c:pt>
                <c:pt idx="167">
                  <c:v>-4.4405747265807705E-4</c:v>
                </c:pt>
                <c:pt idx="168">
                  <c:v>-5.8474608788504634E-3</c:v>
                </c:pt>
                <c:pt idx="169">
                  <c:v>1.1350524166945153E-2</c:v>
                </c:pt>
                <c:pt idx="170">
                  <c:v>1.2855343936802432E-2</c:v>
                </c:pt>
                <c:pt idx="171">
                  <c:v>7.7210870531607689E-4</c:v>
                </c:pt>
                <c:pt idx="172">
                  <c:v>5.0313408929425485E-4</c:v>
                </c:pt>
                <c:pt idx="173">
                  <c:v>-2.3442402756190805E-4</c:v>
                </c:pt>
                <c:pt idx="174">
                  <c:v>7.1110659993987024E-3</c:v>
                </c:pt>
                <c:pt idx="175">
                  <c:v>3.4636396230398603E-3</c:v>
                </c:pt>
                <c:pt idx="176">
                  <c:v>-6.6377772347936403E-4</c:v>
                </c:pt>
                <c:pt idx="177">
                  <c:v>-3.0888066794428903E-3</c:v>
                </c:pt>
                <c:pt idx="178">
                  <c:v>2.5320226140375102E-3</c:v>
                </c:pt>
                <c:pt idx="179">
                  <c:v>5.9832556261696368E-4</c:v>
                </c:pt>
                <c:pt idx="180">
                  <c:v>-6.665424090834815E-5</c:v>
                </c:pt>
                <c:pt idx="181">
                  <c:v>-4.7246061420072039E-3</c:v>
                </c:pt>
                <c:pt idx="182">
                  <c:v>-2.3490237828327487E-4</c:v>
                </c:pt>
                <c:pt idx="183">
                  <c:v>-7.8467316343948657E-3</c:v>
                </c:pt>
                <c:pt idx="184">
                  <c:v>5.914872502925661E-3</c:v>
                </c:pt>
                <c:pt idx="185">
                  <c:v>-2.0833618018182287E-3</c:v>
                </c:pt>
                <c:pt idx="186">
                  <c:v>-5.3872885137526971E-3</c:v>
                </c:pt>
                <c:pt idx="187">
                  <c:v>4.6379085305425782E-3</c:v>
                </c:pt>
                <c:pt idx="188">
                  <c:v>-1.1894685434576502E-2</c:v>
                </c:pt>
                <c:pt idx="189">
                  <c:v>-1.7664723724882592E-2</c:v>
                </c:pt>
                <c:pt idx="190">
                  <c:v>8.19268067600043E-3</c:v>
                </c:pt>
                <c:pt idx="191">
                  <c:v>1.3532433293560908E-2</c:v>
                </c:pt>
                <c:pt idx="192">
                  <c:v>-4.3149860914807325E-3</c:v>
                </c:pt>
                <c:pt idx="193">
                  <c:v>-1.5524594215198473E-2</c:v>
                </c:pt>
                <c:pt idx="194">
                  <c:v>9.4962299172727249E-3</c:v>
                </c:pt>
                <c:pt idx="195">
                  <c:v>6.7636483545621129E-3</c:v>
                </c:pt>
                <c:pt idx="196">
                  <c:v>1.0366933239633003E-2</c:v>
                </c:pt>
                <c:pt idx="197">
                  <c:v>-1.1137145108082169E-3</c:v>
                </c:pt>
                <c:pt idx="198">
                  <c:v>9.9002461816455334E-3</c:v>
                </c:pt>
                <c:pt idx="199">
                  <c:v>-1.6060418292435097E-3</c:v>
                </c:pt>
                <c:pt idx="200">
                  <c:v>2.9491258654614771E-3</c:v>
                </c:pt>
                <c:pt idx="201">
                  <c:v>-4.377303717420733E-3</c:v>
                </c:pt>
                <c:pt idx="202">
                  <c:v>6.7792308327232487E-3</c:v>
                </c:pt>
                <c:pt idx="203">
                  <c:v>-3.2667921957212354E-3</c:v>
                </c:pt>
                <c:pt idx="204">
                  <c:v>2.9098642355620541E-3</c:v>
                </c:pt>
                <c:pt idx="205">
                  <c:v>1.6338349044284772E-3</c:v>
                </c:pt>
                <c:pt idx="206">
                  <c:v>4.0947370085677726E-3</c:v>
                </c:pt>
                <c:pt idx="207">
                  <c:v>5.6368497805041606E-3</c:v>
                </c:pt>
                <c:pt idx="208">
                  <c:v>-2.9698879450412718E-4</c:v>
                </c:pt>
                <c:pt idx="209">
                  <c:v>3.0674352534953986E-3</c:v>
                </c:pt>
                <c:pt idx="210">
                  <c:v>-2.6633055816749351E-3</c:v>
                </c:pt>
                <c:pt idx="211">
                  <c:v>9.2636755713975116E-3</c:v>
                </c:pt>
                <c:pt idx="212">
                  <c:v>4.017875200641452E-3</c:v>
                </c:pt>
                <c:pt idx="213">
                  <c:v>-1.1062875779210835E-3</c:v>
                </c:pt>
                <c:pt idx="214">
                  <c:v>2.2799855959121373E-4</c:v>
                </c:pt>
                <c:pt idx="215">
                  <c:v>3.5168431404257738E-3</c:v>
                </c:pt>
                <c:pt idx="216">
                  <c:v>2.4660645934493353E-3</c:v>
                </c:pt>
                <c:pt idx="217">
                  <c:v>-1.9096652667247582E-3</c:v>
                </c:pt>
                <c:pt idx="218">
                  <c:v>2.1080006190454803E-3</c:v>
                </c:pt>
                <c:pt idx="219">
                  <c:v>3.236809560953624E-4</c:v>
                </c:pt>
                <c:pt idx="220">
                  <c:v>1.4558355069576034E-3</c:v>
                </c:pt>
                <c:pt idx="221">
                  <c:v>7.236274515079133E-3</c:v>
                </c:pt>
                <c:pt idx="222">
                  <c:v>7.3752484978029109E-4</c:v>
                </c:pt>
                <c:pt idx="223">
                  <c:v>-2.8848284766291865E-4</c:v>
                </c:pt>
                <c:pt idx="224">
                  <c:v>-3.7185716147317693E-3</c:v>
                </c:pt>
                <c:pt idx="225">
                  <c:v>-1.6087732119962617E-3</c:v>
                </c:pt>
                <c:pt idx="226">
                  <c:v>2.2237294880016467E-3</c:v>
                </c:pt>
                <c:pt idx="227">
                  <c:v>7.7500138778536787E-3</c:v>
                </c:pt>
                <c:pt idx="228">
                  <c:v>2.2657915328754274E-3</c:v>
                </c:pt>
                <c:pt idx="229">
                  <c:v>4.4575313753276724E-3</c:v>
                </c:pt>
                <c:pt idx="230">
                  <c:v>-3.7085441386669471E-3</c:v>
                </c:pt>
                <c:pt idx="231">
                  <c:v>-8.4949273196489594E-3</c:v>
                </c:pt>
                <c:pt idx="232">
                  <c:v>-6.7063858748162009E-3</c:v>
                </c:pt>
                <c:pt idx="233">
                  <c:v>6.1701979268837803E-3</c:v>
                </c:pt>
                <c:pt idx="234">
                  <c:v>1.7978453088527413E-3</c:v>
                </c:pt>
                <c:pt idx="235">
                  <c:v>9.1341403618585559E-3</c:v>
                </c:pt>
                <c:pt idx="236">
                  <c:v>-3.144186464518306E-3</c:v>
                </c:pt>
                <c:pt idx="237">
                  <c:v>-1.1151172735409665E-3</c:v>
                </c:pt>
                <c:pt idx="238">
                  <c:v>2.8390305445218367E-3</c:v>
                </c:pt>
                <c:pt idx="239">
                  <c:v>8.618726328923465E-3</c:v>
                </c:pt>
                <c:pt idx="240">
                  <c:v>5.993204860199608E-4</c:v>
                </c:pt>
                <c:pt idx="241">
                  <c:v>6.8699023549014804E-3</c:v>
                </c:pt>
                <c:pt idx="242">
                  <c:v>2.1900081360515244E-4</c:v>
                </c:pt>
                <c:pt idx="243">
                  <c:v>6.2513193051172422E-5</c:v>
                </c:pt>
                <c:pt idx="244">
                  <c:v>4.0990304747494655E-3</c:v>
                </c:pt>
                <c:pt idx="245">
                  <c:v>4.384146144083001E-3</c:v>
                </c:pt>
                <c:pt idx="246">
                  <c:v>1.5279367411606959E-3</c:v>
                </c:pt>
                <c:pt idx="247">
                  <c:v>3.1291696136248603E-5</c:v>
                </c:pt>
                <c:pt idx="248">
                  <c:v>5.3230009570153225E-3</c:v>
                </c:pt>
                <c:pt idx="249">
                  <c:v>-2.477269805444271E-4</c:v>
                </c:pt>
                <c:pt idx="250">
                  <c:v>-5.5131741409409907E-3</c:v>
                </c:pt>
                <c:pt idx="251">
                  <c:v>2.429284132216436E-3</c:v>
                </c:pt>
                <c:pt idx="252">
                  <c:v>9.3519476053978146E-3</c:v>
                </c:pt>
                <c:pt idx="253">
                  <c:v>-7.5723684143397252E-3</c:v>
                </c:pt>
                <c:pt idx="254">
                  <c:v>3.8151221524171941E-3</c:v>
                </c:pt>
                <c:pt idx="255">
                  <c:v>-2.8116664694741722E-3</c:v>
                </c:pt>
                <c:pt idx="256">
                  <c:v>5.3294063013271664E-3</c:v>
                </c:pt>
                <c:pt idx="257">
                  <c:v>6.7805888254892643E-3</c:v>
                </c:pt>
                <c:pt idx="258">
                  <c:v>-2.8775877164930463E-3</c:v>
                </c:pt>
                <c:pt idx="259">
                  <c:v>6.8773101429462358E-3</c:v>
                </c:pt>
                <c:pt idx="260">
                  <c:v>-1.5245543019364316E-3</c:v>
                </c:pt>
                <c:pt idx="261">
                  <c:v>2.2598238469915266E-3</c:v>
                </c:pt>
                <c:pt idx="262">
                  <c:v>8.3183513046241053E-3</c:v>
                </c:pt>
                <c:pt idx="263">
                  <c:v>3.1125841844226176E-3</c:v>
                </c:pt>
                <c:pt idx="264">
                  <c:v>-1.9582914541771412E-3</c:v>
                </c:pt>
                <c:pt idx="265">
                  <c:v>1.2088041649360726E-4</c:v>
                </c:pt>
                <c:pt idx="266">
                  <c:v>1.1468400632714815E-3</c:v>
                </c:pt>
                <c:pt idx="267">
                  <c:v>-8.893020757739345E-3</c:v>
                </c:pt>
                <c:pt idx="268">
                  <c:v>-1.6029449982491228E-2</c:v>
                </c:pt>
                <c:pt idx="269">
                  <c:v>1.0479167156578262E-2</c:v>
                </c:pt>
                <c:pt idx="270">
                  <c:v>-8.2605585334016851E-4</c:v>
                </c:pt>
                <c:pt idx="271">
                  <c:v>3.2453036616320041E-3</c:v>
                </c:pt>
                <c:pt idx="272">
                  <c:v>-1.8157733271125243E-2</c:v>
                </c:pt>
                <c:pt idx="273">
                  <c:v>7.4283563475028291E-3</c:v>
                </c:pt>
                <c:pt idx="274">
                  <c:v>1.5241411206402766E-2</c:v>
                </c:pt>
                <c:pt idx="275">
                  <c:v>1.1547949040223271E-2</c:v>
                </c:pt>
                <c:pt idx="276">
                  <c:v>3.3646949694974282E-3</c:v>
                </c:pt>
                <c:pt idx="277">
                  <c:v>-5.3294194193188593E-3</c:v>
                </c:pt>
                <c:pt idx="278">
                  <c:v>7.4653180454942181E-3</c:v>
                </c:pt>
                <c:pt idx="279">
                  <c:v>1.7329344383234524E-3</c:v>
                </c:pt>
                <c:pt idx="280">
                  <c:v>6.442883956364609E-3</c:v>
                </c:pt>
                <c:pt idx="281">
                  <c:v>-1.067065733103334E-3</c:v>
                </c:pt>
                <c:pt idx="282">
                  <c:v>1.6019769180690702E-3</c:v>
                </c:pt>
                <c:pt idx="283">
                  <c:v>-2.5769673576750973E-3</c:v>
                </c:pt>
                <c:pt idx="284">
                  <c:v>4.7813606495197281E-3</c:v>
                </c:pt>
                <c:pt idx="285">
                  <c:v>-4.1082056198763484E-3</c:v>
                </c:pt>
                <c:pt idx="286">
                  <c:v>-1.0298487506935738E-2</c:v>
                </c:pt>
                <c:pt idx="287">
                  <c:v>-3.316529144442959E-2</c:v>
                </c:pt>
                <c:pt idx="288">
                  <c:v>-3.0302182711582137E-2</c:v>
                </c:pt>
                <c:pt idx="289">
                  <c:v>-3.67803345316009E-3</c:v>
                </c:pt>
                <c:pt idx="290">
                  <c:v>-4.49117397460993E-2</c:v>
                </c:pt>
                <c:pt idx="291">
                  <c:v>-4.2014654718900424E-3</c:v>
                </c:pt>
                <c:pt idx="292">
                  <c:v>4.3306509016265649E-2</c:v>
                </c:pt>
                <c:pt idx="293">
                  <c:v>-2.863257294479471E-2</c:v>
                </c:pt>
                <c:pt idx="294">
                  <c:v>4.2033197005585166E-2</c:v>
                </c:pt>
                <c:pt idx="295">
                  <c:v>-3.3241639322092342E-2</c:v>
                </c:pt>
                <c:pt idx="296">
                  <c:v>-1.6531234885791668E-2</c:v>
                </c:pt>
                <c:pt idx="297">
                  <c:v>-7.809431477042228E-2</c:v>
                </c:pt>
                <c:pt idx="298">
                  <c:v>5.1744610896743204E-2</c:v>
                </c:pt>
                <c:pt idx="299">
                  <c:v>-4.8748644923318873E-2</c:v>
                </c:pt>
                <c:pt idx="300">
                  <c:v>-9.5676968124166484E-2</c:v>
                </c:pt>
                <c:pt idx="301">
                  <c:v>8.5486278138590777E-2</c:v>
                </c:pt>
                <c:pt idx="302">
                  <c:v>-0.10942372079277363</c:v>
                </c:pt>
                <c:pt idx="303">
                  <c:v>5.3992231433475091E-2</c:v>
                </c:pt>
                <c:pt idx="304">
                  <c:v>-5.0632934346107938E-2</c:v>
                </c:pt>
                <c:pt idx="305">
                  <c:v>2.1248587816524722E-3</c:v>
                </c:pt>
                <c:pt idx="306">
                  <c:v>-4.3094152764281524E-2</c:v>
                </c:pt>
                <c:pt idx="307">
                  <c:v>-2.5568231295662658E-2</c:v>
                </c:pt>
                <c:pt idx="308">
                  <c:v>9.0603173390269021E-2</c:v>
                </c:pt>
                <c:pt idx="309">
                  <c:v>1.4970367197915779E-2</c:v>
                </c:pt>
                <c:pt idx="310">
                  <c:v>5.8389675049631329E-2</c:v>
                </c:pt>
                <c:pt idx="311">
                  <c:v>-2.9785631870702156E-2</c:v>
                </c:pt>
                <c:pt idx="312">
                  <c:v>3.247570114420717E-2</c:v>
                </c:pt>
                <c:pt idx="313">
                  <c:v>-1.4905396626175849E-2</c:v>
                </c:pt>
                <c:pt idx="314">
                  <c:v>-4.5004889117887692E-2</c:v>
                </c:pt>
                <c:pt idx="315">
                  <c:v>2.3075417412981913E-2</c:v>
                </c:pt>
                <c:pt idx="316">
                  <c:v>-1.445418113920216E-2</c:v>
                </c:pt>
                <c:pt idx="317">
                  <c:v>6.7166103351828266E-2</c:v>
                </c:pt>
                <c:pt idx="318">
                  <c:v>1.0195662079719447E-3</c:v>
                </c:pt>
                <c:pt idx="319">
                  <c:v>3.3568277977527483E-2</c:v>
                </c:pt>
                <c:pt idx="320">
                  <c:v>1.521757144493896E-2</c:v>
                </c:pt>
                <c:pt idx="321">
                  <c:v>-9.1304112559082995E-3</c:v>
                </c:pt>
                <c:pt idx="322">
                  <c:v>2.949318803992762E-2</c:v>
                </c:pt>
                <c:pt idx="323">
                  <c:v>-2.1248334917558176E-2</c:v>
                </c:pt>
                <c:pt idx="324">
                  <c:v>4.8244014919918143E-3</c:v>
                </c:pt>
                <c:pt idx="325">
                  <c:v>2.7015323180031192E-2</c:v>
                </c:pt>
                <c:pt idx="326">
                  <c:v>-1.7617885070112749E-2</c:v>
                </c:pt>
                <c:pt idx="327">
                  <c:v>-3.0363185873587106E-2</c:v>
                </c:pt>
                <c:pt idx="328">
                  <c:v>2.2194484986830076E-2</c:v>
                </c:pt>
                <c:pt idx="329">
                  <c:v>-7.1610751411377294E-5</c:v>
                </c:pt>
                <c:pt idx="330">
                  <c:v>1.3938666150070667E-2</c:v>
                </c:pt>
                <c:pt idx="331">
                  <c:v>1.4418503793647286E-2</c:v>
                </c:pt>
                <c:pt idx="332">
                  <c:v>-4.5984161758955144E-3</c:v>
                </c:pt>
                <c:pt idx="333">
                  <c:v>2.6178396589441766E-2</c:v>
                </c:pt>
                <c:pt idx="334">
                  <c:v>-9.3106847157256034E-3</c:v>
                </c:pt>
                <c:pt idx="335">
                  <c:v>-2.6473434614380675E-2</c:v>
                </c:pt>
                <c:pt idx="336">
                  <c:v>2.7581839698547217E-3</c:v>
                </c:pt>
                <c:pt idx="337">
                  <c:v>9.2393223075446507E-3</c:v>
                </c:pt>
                <c:pt idx="338">
                  <c:v>-6.7786188044510753E-3</c:v>
                </c:pt>
                <c:pt idx="339">
                  <c:v>1.2066707504521768E-2</c:v>
                </c:pt>
                <c:pt idx="340">
                  <c:v>1.6546250256828987E-2</c:v>
                </c:pt>
                <c:pt idx="341">
                  <c:v>2.0525351794287161E-4</c:v>
                </c:pt>
                <c:pt idx="342">
                  <c:v>-1.9931764438237076E-2</c:v>
                </c:pt>
                <c:pt idx="343">
                  <c:v>-1.7685869532278908E-2</c:v>
                </c:pt>
                <c:pt idx="344">
                  <c:v>1.1967449132084251E-2</c:v>
                </c:pt>
                <c:pt idx="345">
                  <c:v>4.5969105308356628E-3</c:v>
                </c:pt>
                <c:pt idx="346">
                  <c:v>3.0459738870395325E-2</c:v>
                </c:pt>
                <c:pt idx="347">
                  <c:v>-1.0271423472739571E-2</c:v>
                </c:pt>
                <c:pt idx="348">
                  <c:v>1.6988332640760939E-2</c:v>
                </c:pt>
                <c:pt idx="349">
                  <c:v>-6.9039681366674932E-3</c:v>
                </c:pt>
                <c:pt idx="350">
                  <c:v>1.8992088695075626E-3</c:v>
                </c:pt>
                <c:pt idx="351">
                  <c:v>1.232032001094896E-2</c:v>
                </c:pt>
                <c:pt idx="352">
                  <c:v>1.4878998564581858E-2</c:v>
                </c:pt>
                <c:pt idx="353">
                  <c:v>-1.84487583286852E-3</c:v>
                </c:pt>
                <c:pt idx="354">
                  <c:v>4.4557372155122899E-3</c:v>
                </c:pt>
                <c:pt idx="355">
                  <c:v>4.0419148579609043E-3</c:v>
                </c:pt>
                <c:pt idx="356">
                  <c:v>8.279915927419168E-3</c:v>
                </c:pt>
                <c:pt idx="357">
                  <c:v>1.3308512660076266E-2</c:v>
                </c:pt>
                <c:pt idx="358">
                  <c:v>-2.6267651816855864E-3</c:v>
                </c:pt>
                <c:pt idx="359">
                  <c:v>2.5629600938956276E-2</c:v>
                </c:pt>
                <c:pt idx="360">
                  <c:v>1.2087405804400042E-2</c:v>
                </c:pt>
                <c:pt idx="361">
                  <c:v>-7.4566104845250614E-3</c:v>
                </c:pt>
                <c:pt idx="362">
                  <c:v>-5.5800065642890306E-3</c:v>
                </c:pt>
                <c:pt idx="363">
                  <c:v>-5.7649086209779044E-2</c:v>
                </c:pt>
                <c:pt idx="364">
                  <c:v>1.1975780154728222E-2</c:v>
                </c:pt>
                <c:pt idx="365">
                  <c:v>9.3356800993726896E-3</c:v>
                </c:pt>
                <c:pt idx="366">
                  <c:v>1.92476355416209E-2</c:v>
                </c:pt>
                <c:pt idx="367">
                  <c:v>-4.1538465706363326E-3</c:v>
                </c:pt>
                <c:pt idx="368">
                  <c:v>3.8487660475250429E-4</c:v>
                </c:pt>
                <c:pt idx="369">
                  <c:v>-5.7148208956896429E-3</c:v>
                </c:pt>
                <c:pt idx="370">
                  <c:v>6.4153997017057929E-3</c:v>
                </c:pt>
                <c:pt idx="371">
                  <c:v>4.6034039348983313E-3</c:v>
                </c:pt>
                <c:pt idx="372">
                  <c:v>-2.5508816051501793E-2</c:v>
                </c:pt>
                <c:pt idx="373">
                  <c:v>1.0720578135614334E-2</c:v>
                </c:pt>
                <c:pt idx="374">
                  <c:v>-2.375132013600123E-2</c:v>
                </c:pt>
                <c:pt idx="375">
                  <c:v>1.4697485290460222E-2</c:v>
                </c:pt>
                <c:pt idx="376">
                  <c:v>1.2809426603906937E-2</c:v>
                </c:pt>
                <c:pt idx="377">
                  <c:v>7.0049919797676719E-3</c:v>
                </c:pt>
                <c:pt idx="378">
                  <c:v>5.5069486597416617E-3</c:v>
                </c:pt>
                <c:pt idx="379">
                  <c:v>1.5437245461707549E-2</c:v>
                </c:pt>
                <c:pt idx="380">
                  <c:v>-1.0313733360423849E-2</c:v>
                </c:pt>
                <c:pt idx="381">
                  <c:v>7.6487346792095678E-3</c:v>
                </c:pt>
                <c:pt idx="382">
                  <c:v>-5.6929845453245198E-3</c:v>
                </c:pt>
                <c:pt idx="383">
                  <c:v>1.0210430238554391E-2</c:v>
                </c:pt>
                <c:pt idx="384">
                  <c:v>-8.658948363955421E-3</c:v>
                </c:pt>
                <c:pt idx="385">
                  <c:v>1.295906202646524E-2</c:v>
                </c:pt>
                <c:pt idx="386">
                  <c:v>9.1872724542343409E-3</c:v>
                </c:pt>
                <c:pt idx="387">
                  <c:v>-3.2933727796681245E-3</c:v>
                </c:pt>
                <c:pt idx="388">
                  <c:v>2.8988786437762482E-3</c:v>
                </c:pt>
                <c:pt idx="389">
                  <c:v>8.0815411882357857E-3</c:v>
                </c:pt>
                <c:pt idx="390">
                  <c:v>2.1278272971125833E-3</c:v>
                </c:pt>
                <c:pt idx="391">
                  <c:v>5.6918631014402088E-3</c:v>
                </c:pt>
                <c:pt idx="392">
                  <c:v>-1.193168044074322E-2</c:v>
                </c:pt>
                <c:pt idx="393">
                  <c:v>-6.4402905510494435E-3</c:v>
                </c:pt>
                <c:pt idx="394">
                  <c:v>7.292364554599251E-3</c:v>
                </c:pt>
                <c:pt idx="395">
                  <c:v>-6.3425647412930219E-3</c:v>
                </c:pt>
                <c:pt idx="396">
                  <c:v>1.2298753320890254E-2</c:v>
                </c:pt>
                <c:pt idx="397">
                  <c:v>-3.5677373103053522E-3</c:v>
                </c:pt>
                <c:pt idx="398">
                  <c:v>7.9019311780266221E-3</c:v>
                </c:pt>
                <c:pt idx="399">
                  <c:v>6.952424166833282E-3</c:v>
                </c:pt>
                <c:pt idx="400">
                  <c:v>3.8624238846853842E-3</c:v>
                </c:pt>
                <c:pt idx="401">
                  <c:v>6.2112231296855835E-3</c:v>
                </c:pt>
                <c:pt idx="402">
                  <c:v>6.6843685246342766E-3</c:v>
                </c:pt>
                <c:pt idx="403">
                  <c:v>7.1783078183740301E-4</c:v>
                </c:pt>
                <c:pt idx="404">
                  <c:v>2.9889764682098363E-3</c:v>
                </c:pt>
                <c:pt idx="405">
                  <c:v>-8.2545811931474811E-3</c:v>
                </c:pt>
                <c:pt idx="406">
                  <c:v>1.3942188661090427E-2</c:v>
                </c:pt>
                <c:pt idx="407">
                  <c:v>-1.8077118692871874E-3</c:v>
                </c:pt>
                <c:pt idx="408">
                  <c:v>2.9728210360957519E-5</c:v>
                </c:pt>
                <c:pt idx="409">
                  <c:v>3.1767242652422922E-3</c:v>
                </c:pt>
                <c:pt idx="410">
                  <c:v>2.1604052080028691E-3</c:v>
                </c:pt>
                <c:pt idx="411">
                  <c:v>-4.1638393928231654E-3</c:v>
                </c:pt>
                <c:pt idx="412">
                  <c:v>3.1135750070379054E-3</c:v>
                </c:pt>
                <c:pt idx="413">
                  <c:v>3.5473392851324004E-3</c:v>
                </c:pt>
                <c:pt idx="414">
                  <c:v>1.0133324577059399E-2</c:v>
                </c:pt>
                <c:pt idx="415">
                  <c:v>3.4992493651837542E-3</c:v>
                </c:pt>
                <c:pt idx="416">
                  <c:v>1.0025603872449329E-2</c:v>
                </c:pt>
                <c:pt idx="417">
                  <c:v>2.1865091370856238E-3</c:v>
                </c:pt>
                <c:pt idx="418">
                  <c:v>6.4593515923945244E-3</c:v>
                </c:pt>
                <c:pt idx="419">
                  <c:v>-3.6225394267189737E-3</c:v>
                </c:pt>
                <c:pt idx="420">
                  <c:v>9.4184637463441412E-3</c:v>
                </c:pt>
                <c:pt idx="421">
                  <c:v>1.4464114562413144E-2</c:v>
                </c:pt>
                <c:pt idx="422">
                  <c:v>-3.4414294048789706E-2</c:v>
                </c:pt>
                <c:pt idx="423">
                  <c:v>-8.1647476389468121E-3</c:v>
                </c:pt>
                <c:pt idx="424">
                  <c:v>-2.7322770896333393E-2</c:v>
                </c:pt>
                <c:pt idx="425">
                  <c:v>1.9747179391700787E-2</c:v>
                </c:pt>
                <c:pt idx="426">
                  <c:v>-1.7363572610475275E-2</c:v>
                </c:pt>
                <c:pt idx="427">
                  <c:v>5.0923557109960882E-4</c:v>
                </c:pt>
                <c:pt idx="428">
                  <c:v>1.3171189351432355E-2</c:v>
                </c:pt>
                <c:pt idx="429">
                  <c:v>5.0525348238807943E-3</c:v>
                </c:pt>
                <c:pt idx="430">
                  <c:v>-3.9688746858660418E-3</c:v>
                </c:pt>
                <c:pt idx="431">
                  <c:v>-8.79534446521546E-3</c:v>
                </c:pt>
                <c:pt idx="432">
                  <c:v>-1.151262919765339E-2</c:v>
                </c:pt>
                <c:pt idx="433">
                  <c:v>-1.1129386900808003E-2</c:v>
                </c:pt>
                <c:pt idx="434">
                  <c:v>1.0184302329772299E-2</c:v>
                </c:pt>
                <c:pt idx="435">
                  <c:v>-2.3190933877250353E-2</c:v>
                </c:pt>
                <c:pt idx="436">
                  <c:v>2.6652507178661633E-3</c:v>
                </c:pt>
                <c:pt idx="437">
                  <c:v>1.6167026376602722E-2</c:v>
                </c:pt>
                <c:pt idx="438">
                  <c:v>1.6609314095046512E-2</c:v>
                </c:pt>
                <c:pt idx="439">
                  <c:v>-5.4460159500625549E-3</c:v>
                </c:pt>
                <c:pt idx="440">
                  <c:v>7.581928774354818E-3</c:v>
                </c:pt>
                <c:pt idx="441">
                  <c:v>6.4200032845178612E-3</c:v>
                </c:pt>
                <c:pt idx="442">
                  <c:v>-9.4944139916489645E-3</c:v>
                </c:pt>
                <c:pt idx="443">
                  <c:v>1.7733135478033457E-2</c:v>
                </c:pt>
                <c:pt idx="444">
                  <c:v>-1.4215853333956918E-2</c:v>
                </c:pt>
                <c:pt idx="445">
                  <c:v>1.740649670567751E-2</c:v>
                </c:pt>
                <c:pt idx="446">
                  <c:v>8.8627572308157543E-3</c:v>
                </c:pt>
                <c:pt idx="447">
                  <c:v>8.9298579172683024E-3</c:v>
                </c:pt>
                <c:pt idx="448">
                  <c:v>1.608765387308897E-2</c:v>
                </c:pt>
                <c:pt idx="449">
                  <c:v>-6.5259418269143499E-3</c:v>
                </c:pt>
                <c:pt idx="450">
                  <c:v>-6.2834285511884636E-3</c:v>
                </c:pt>
                <c:pt idx="451">
                  <c:v>-1.2359882917148957E-3</c:v>
                </c:pt>
                <c:pt idx="452">
                  <c:v>-6.0431789816506321E-4</c:v>
                </c:pt>
                <c:pt idx="453">
                  <c:v>-1.5203319971800577E-2</c:v>
                </c:pt>
                <c:pt idx="454">
                  <c:v>4.0056974321642791E-3</c:v>
                </c:pt>
                <c:pt idx="455">
                  <c:v>-1.8930668382398652E-3</c:v>
                </c:pt>
                <c:pt idx="456">
                  <c:v>5.4853640330010389E-3</c:v>
                </c:pt>
                <c:pt idx="457">
                  <c:v>3.3954004435843288E-3</c:v>
                </c:pt>
                <c:pt idx="458">
                  <c:v>-1.8480018393658981E-2</c:v>
                </c:pt>
                <c:pt idx="459">
                  <c:v>-3.4473425110700395E-3</c:v>
                </c:pt>
                <c:pt idx="460">
                  <c:v>-3.4178922648210652E-2</c:v>
                </c:pt>
                <c:pt idx="461">
                  <c:v>1.0163436131759074E-2</c:v>
                </c:pt>
                <c:pt idx="462">
                  <c:v>-1.042490629153503E-2</c:v>
                </c:pt>
                <c:pt idx="463">
                  <c:v>1.1208475494422609E-2</c:v>
                </c:pt>
                <c:pt idx="464">
                  <c:v>1.7655932427571353E-2</c:v>
                </c:pt>
                <c:pt idx="465">
                  <c:v>2.2349169965382609E-2</c:v>
                </c:pt>
                <c:pt idx="466">
                  <c:v>1.9502929590644147E-2</c:v>
                </c:pt>
                <c:pt idx="467">
                  <c:v>-2.2851945269286578E-4</c:v>
                </c:pt>
                <c:pt idx="468">
                  <c:v>1.2565606819357811E-2</c:v>
                </c:pt>
                <c:pt idx="469">
                  <c:v>-1.4665597339570402E-3</c:v>
                </c:pt>
                <c:pt idx="470">
                  <c:v>7.4286052707084327E-3</c:v>
                </c:pt>
                <c:pt idx="471">
                  <c:v>-9.700988501003982E-3</c:v>
                </c:pt>
                <c:pt idx="472">
                  <c:v>1.3844561449388282E-2</c:v>
                </c:pt>
                <c:pt idx="473">
                  <c:v>1.2482558170378466E-2</c:v>
                </c:pt>
                <c:pt idx="474">
                  <c:v>-5.3784449746822061E-3</c:v>
                </c:pt>
                <c:pt idx="475">
                  <c:v>-1.2034678771105756E-2</c:v>
                </c:pt>
                <c:pt idx="476">
                  <c:v>4.2102181329668475E-3</c:v>
                </c:pt>
                <c:pt idx="477">
                  <c:v>-6.847884652961489E-3</c:v>
                </c:pt>
                <c:pt idx="478">
                  <c:v>5.994565649161343E-3</c:v>
                </c:pt>
                <c:pt idx="479">
                  <c:v>1.611365943348253E-2</c:v>
                </c:pt>
                <c:pt idx="480">
                  <c:v>-1.5417685533732906E-3</c:v>
                </c:pt>
                <c:pt idx="481">
                  <c:v>2.7851057234840049E-3</c:v>
                </c:pt>
                <c:pt idx="482">
                  <c:v>-4.4271845340466687E-3</c:v>
                </c:pt>
                <c:pt idx="483">
                  <c:v>1.0937222472905406E-2</c:v>
                </c:pt>
                <c:pt idx="484">
                  <c:v>2.1038025125887927E-3</c:v>
                </c:pt>
                <c:pt idx="485">
                  <c:v>-2.7267522785101583E-4</c:v>
                </c:pt>
                <c:pt idx="486">
                  <c:v>8.6178365304656612E-3</c:v>
                </c:pt>
                <c:pt idx="487">
                  <c:v>-2.0550498116275184E-3</c:v>
                </c:pt>
                <c:pt idx="488">
                  <c:v>2.9261579402954929E-3</c:v>
                </c:pt>
                <c:pt idx="489">
                  <c:v>-8.9688204984695874E-3</c:v>
                </c:pt>
                <c:pt idx="490">
                  <c:v>-3.2725765390118067E-4</c:v>
                </c:pt>
                <c:pt idx="491">
                  <c:v>-1.1723674397928763E-3</c:v>
                </c:pt>
                <c:pt idx="492">
                  <c:v>-4.4771625747747068E-3</c:v>
                </c:pt>
                <c:pt idx="493">
                  <c:v>1.351933097405067E-2</c:v>
                </c:pt>
                <c:pt idx="494">
                  <c:v>1.5693338864144479E-3</c:v>
                </c:pt>
                <c:pt idx="495">
                  <c:v>5.5919146289677979E-3</c:v>
                </c:pt>
                <c:pt idx="496">
                  <c:v>-3.9929056757369574E-3</c:v>
                </c:pt>
                <c:pt idx="497">
                  <c:v>-3.5755494664578835E-3</c:v>
                </c:pt>
                <c:pt idx="498">
                  <c:v>-1.6853497505238124E-3</c:v>
                </c:pt>
                <c:pt idx="499">
                  <c:v>8.9869286658483816E-4</c:v>
                </c:pt>
                <c:pt idx="500">
                  <c:v>3.8903637545384395E-3</c:v>
                </c:pt>
                <c:pt idx="501">
                  <c:v>8.5908137835792875E-3</c:v>
                </c:pt>
                <c:pt idx="502">
                  <c:v>-1.9076701567345422E-3</c:v>
                </c:pt>
                <c:pt idx="503">
                  <c:v>1.4266350002845041E-3</c:v>
                </c:pt>
                <c:pt idx="504">
                  <c:v>5.0808532531914086E-3</c:v>
                </c:pt>
              </c:numCache>
            </c:numRef>
          </c:val>
          <c:smooth val="0"/>
          <c:extLst>
            <c:ext xmlns:c16="http://schemas.microsoft.com/office/drawing/2014/chart" uri="{C3380CC4-5D6E-409C-BE32-E72D297353CC}">
              <c16:uniqueId val="{00000000-54F1-49B6-B2AF-6C2D753F6BF3}"/>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1"/>
          <c:order val="1"/>
          <c:tx>
            <c:v>Sample 2 (rhs)</c:v>
          </c:tx>
          <c:spPr>
            <a:ln w="12700" cap="rnd">
              <a:solidFill>
                <a:schemeClr val="accent2"/>
              </a:solidFill>
              <a:round/>
            </a:ln>
            <a:effectLst/>
          </c:spPr>
          <c:marker>
            <c:symbol val="none"/>
          </c:marker>
          <c:cat>
            <c:numRef>
              <c:f>(CONTAGION_FORBESRIGOBON!$F$18:$F$317,CONTAGION_FORBESRIGOBON!$F$320:$F$525)</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(CONTAGION_FORBESRIGOBON!$J$19:$J$317,CONTAGION_FORBESRIGOBON!$J$320:$J$525)</c:f>
              <c:numCache>
                <c:formatCode>0.00%</c:formatCode>
                <c:ptCount val="505"/>
                <c:pt idx="0">
                  <c:v>-1.0932312016076473E-4</c:v>
                </c:pt>
                <c:pt idx="1">
                  <c:v>3.2817541684604379E-4</c:v>
                </c:pt>
                <c:pt idx="2">
                  <c:v>1.0929920370039703E-4</c:v>
                </c:pt>
                <c:pt idx="3">
                  <c:v>0</c:v>
                </c:pt>
                <c:pt idx="4">
                  <c:v>0</c:v>
                </c:pt>
                <c:pt idx="5">
                  <c:v>0</c:v>
                </c:pt>
                <c:pt idx="6">
                  <c:v>1.0928725869008282E-4</c:v>
                </c:pt>
                <c:pt idx="7">
                  <c:v>2.1845991002655829E-4</c:v>
                </c:pt>
                <c:pt idx="8">
                  <c:v>-1.0916074648947838E-4</c:v>
                </c:pt>
                <c:pt idx="9">
                  <c:v>2.1877621276433779E-4</c:v>
                </c:pt>
                <c:pt idx="10">
                  <c:v>1.0880868670137822E-4</c:v>
                </c:pt>
                <c:pt idx="11">
                  <c:v>2.1871589861222063E-4</c:v>
                </c:pt>
                <c:pt idx="12">
                  <c:v>0</c:v>
                </c:pt>
                <c:pt idx="13">
                  <c:v>1.0928303821855501E-4</c:v>
                </c:pt>
                <c:pt idx="14">
                  <c:v>0</c:v>
                </c:pt>
                <c:pt idx="15">
                  <c:v>3.2731469764235577E-4</c:v>
                </c:pt>
                <c:pt idx="16">
                  <c:v>-1.0897479974747437E-4</c:v>
                </c:pt>
                <c:pt idx="17">
                  <c:v>1.0898667654868355E-4</c:v>
                </c:pt>
                <c:pt idx="18">
                  <c:v>0</c:v>
                </c:pt>
                <c:pt idx="19">
                  <c:v>2.1840271716544457E-4</c:v>
                </c:pt>
                <c:pt idx="20">
                  <c:v>0</c:v>
                </c:pt>
                <c:pt idx="21">
                  <c:v>9.8497597358582212E-5</c:v>
                </c:pt>
                <c:pt idx="22">
                  <c:v>1.094725187795742E-4</c:v>
                </c:pt>
                <c:pt idx="23">
                  <c:v>0</c:v>
                </c:pt>
                <c:pt idx="24">
                  <c:v>2.1881916369892451E-4</c:v>
                </c:pt>
                <c:pt idx="25">
                  <c:v>0</c:v>
                </c:pt>
                <c:pt idx="26">
                  <c:v>2.18341108176201E-4</c:v>
                </c:pt>
                <c:pt idx="27">
                  <c:v>-1.0932215442716053E-4</c:v>
                </c:pt>
                <c:pt idx="28">
                  <c:v>2.1875876935339988E-4</c:v>
                </c:pt>
                <c:pt idx="29">
                  <c:v>0</c:v>
                </c:pt>
                <c:pt idx="30">
                  <c:v>2.1877882598042575E-4</c:v>
                </c:pt>
                <c:pt idx="31">
                  <c:v>0</c:v>
                </c:pt>
                <c:pt idx="32">
                  <c:v>2.183123375776308E-4</c:v>
                </c:pt>
                <c:pt idx="33">
                  <c:v>0</c:v>
                </c:pt>
                <c:pt idx="34">
                  <c:v>1.0909275191561818E-4</c:v>
                </c:pt>
                <c:pt idx="35">
                  <c:v>2.1867068762237984E-4</c:v>
                </c:pt>
                <c:pt idx="36">
                  <c:v>-1.0931709474093498E-4</c:v>
                </c:pt>
                <c:pt idx="37">
                  <c:v>1.0932904627458662E-4</c:v>
                </c:pt>
                <c:pt idx="38">
                  <c:v>1.0896653821479418E-4</c:v>
                </c:pt>
                <c:pt idx="39">
                  <c:v>2.1841814853673647E-4</c:v>
                </c:pt>
                <c:pt idx="40">
                  <c:v>1.092813151106764E-4</c:v>
                </c:pt>
                <c:pt idx="41">
                  <c:v>-1.0934849737997965E-4</c:v>
                </c:pt>
                <c:pt idx="42">
                  <c:v>1.0936045578158193E-4</c:v>
                </c:pt>
                <c:pt idx="43">
                  <c:v>1.0934849737997965E-4</c:v>
                </c:pt>
                <c:pt idx="44">
                  <c:v>2.1884261472737698E-4</c:v>
                </c:pt>
                <c:pt idx="45">
                  <c:v>1.0940301637285543E-4</c:v>
                </c:pt>
                <c:pt idx="46">
                  <c:v>0</c:v>
                </c:pt>
                <c:pt idx="47">
                  <c:v>1.0921027436161523E-4</c:v>
                </c:pt>
                <c:pt idx="48">
                  <c:v>1.0928872606030815E-4</c:v>
                </c:pt>
                <c:pt idx="49">
                  <c:v>0</c:v>
                </c:pt>
                <c:pt idx="50">
                  <c:v>1.0893790557453542E-4</c:v>
                </c:pt>
                <c:pt idx="51">
                  <c:v>1.0969407866578962E-4</c:v>
                </c:pt>
                <c:pt idx="52">
                  <c:v>0</c:v>
                </c:pt>
                <c:pt idx="53">
                  <c:v>0</c:v>
                </c:pt>
                <c:pt idx="54">
                  <c:v>3.27589285726404E-4</c:v>
                </c:pt>
                <c:pt idx="55">
                  <c:v>0</c:v>
                </c:pt>
                <c:pt idx="56">
                  <c:v>0</c:v>
                </c:pt>
                <c:pt idx="57">
                  <c:v>1.0938646386726703E-4</c:v>
                </c:pt>
                <c:pt idx="58">
                  <c:v>1.0886651624031352E-4</c:v>
                </c:pt>
                <c:pt idx="59">
                  <c:v>2.1855587829189282E-4</c:v>
                </c:pt>
                <c:pt idx="60">
                  <c:v>0</c:v>
                </c:pt>
                <c:pt idx="61">
                  <c:v>1.7520823751815406E-4</c:v>
                </c:pt>
                <c:pt idx="62">
                  <c:v>-1.0948878631844572E-4</c:v>
                </c:pt>
                <c:pt idx="63">
                  <c:v>1.095007754254862E-4</c:v>
                </c:pt>
                <c:pt idx="64">
                  <c:v>3.2789093355334309E-4</c:v>
                </c:pt>
                <c:pt idx="65">
                  <c:v>0</c:v>
                </c:pt>
                <c:pt idx="66">
                  <c:v>0</c:v>
                </c:pt>
                <c:pt idx="67">
                  <c:v>1.0945289770569744E-4</c:v>
                </c:pt>
                <c:pt idx="68">
                  <c:v>0</c:v>
                </c:pt>
                <c:pt idx="69">
                  <c:v>3.2773630548876831E-4</c:v>
                </c:pt>
                <c:pt idx="70">
                  <c:v>0</c:v>
                </c:pt>
                <c:pt idx="71">
                  <c:v>1.0941633729211198E-4</c:v>
                </c:pt>
                <c:pt idx="72">
                  <c:v>0</c:v>
                </c:pt>
                <c:pt idx="73">
                  <c:v>2.1836908672923094E-4</c:v>
                </c:pt>
                <c:pt idx="74">
                  <c:v>1.0971859721320421E-4</c:v>
                </c:pt>
                <c:pt idx="75">
                  <c:v>0</c:v>
                </c:pt>
                <c:pt idx="76">
                  <c:v>0</c:v>
                </c:pt>
                <c:pt idx="77">
                  <c:v>2.1812842140644939E-4</c:v>
                </c:pt>
                <c:pt idx="78">
                  <c:v>2.181597196171392E-4</c:v>
                </c:pt>
                <c:pt idx="79">
                  <c:v>-1.0897158533818008E-4</c:v>
                </c:pt>
                <c:pt idx="80">
                  <c:v>1.089834614387275E-4</c:v>
                </c:pt>
                <c:pt idx="81">
                  <c:v>1.0941089605021048E-4</c:v>
                </c:pt>
                <c:pt idx="82">
                  <c:v>4.3644686567922975E-5</c:v>
                </c:pt>
                <c:pt idx="83">
                  <c:v>1.0973203174291513E-4</c:v>
                </c:pt>
                <c:pt idx="84">
                  <c:v>1.0911187539353051E-4</c:v>
                </c:pt>
                <c:pt idx="85">
                  <c:v>1.0919005280296545E-4</c:v>
                </c:pt>
                <c:pt idx="86">
                  <c:v>1.0935827499136686E-4</c:v>
                </c:pt>
                <c:pt idx="87">
                  <c:v>0</c:v>
                </c:pt>
                <c:pt idx="88">
                  <c:v>1.094138634378794E-4</c:v>
                </c:pt>
                <c:pt idx="89">
                  <c:v>2.187475042234599E-4</c:v>
                </c:pt>
                <c:pt idx="90">
                  <c:v>-1.0956928579342051E-4</c:v>
                </c:pt>
                <c:pt idx="91">
                  <c:v>1.0958129253735294E-4</c:v>
                </c:pt>
                <c:pt idx="92">
                  <c:v>1.0920915667012032E-4</c:v>
                </c:pt>
                <c:pt idx="93">
                  <c:v>1.0928725378223092E-4</c:v>
                </c:pt>
                <c:pt idx="94">
                  <c:v>1.0953409764380417E-4</c:v>
                </c:pt>
                <c:pt idx="95">
                  <c:v>1.0884708058456205E-4</c:v>
                </c:pt>
                <c:pt idx="96">
                  <c:v>0</c:v>
                </c:pt>
                <c:pt idx="97">
                  <c:v>2.185928961988548E-4</c:v>
                </c:pt>
                <c:pt idx="98">
                  <c:v>2.1845515049623287E-4</c:v>
                </c:pt>
                <c:pt idx="99">
                  <c:v>0</c:v>
                </c:pt>
                <c:pt idx="100">
                  <c:v>1.0886639298268719E-4</c:v>
                </c:pt>
                <c:pt idx="101">
                  <c:v>0</c:v>
                </c:pt>
                <c:pt idx="102">
                  <c:v>3.279240278493134E-4</c:v>
                </c:pt>
                <c:pt idx="103">
                  <c:v>0</c:v>
                </c:pt>
                <c:pt idx="104">
                  <c:v>-4.3563508970612119E-5</c:v>
                </c:pt>
                <c:pt idx="105">
                  <c:v>2.184115029848499E-4</c:v>
                </c:pt>
                <c:pt idx="106">
                  <c:v>0</c:v>
                </c:pt>
                <c:pt idx="107">
                  <c:v>3.2801768261414566E-4</c:v>
                </c:pt>
                <c:pt idx="108">
                  <c:v>-1.0926967316093883E-4</c:v>
                </c:pt>
                <c:pt idx="109">
                  <c:v>2.1874298663027147E-4</c:v>
                </c:pt>
                <c:pt idx="110">
                  <c:v>-1.0943743363189817E-4</c:v>
                </c:pt>
                <c:pt idx="111">
                  <c:v>1.0944941149459986E-4</c:v>
                </c:pt>
                <c:pt idx="112">
                  <c:v>3.2804272290043457E-4</c:v>
                </c:pt>
                <c:pt idx="113">
                  <c:v>1.0888502353489926E-4</c:v>
                </c:pt>
                <c:pt idx="114">
                  <c:v>0</c:v>
                </c:pt>
                <c:pt idx="115">
                  <c:v>0</c:v>
                </c:pt>
                <c:pt idx="116">
                  <c:v>2.1868944863268069E-4</c:v>
                </c:pt>
                <c:pt idx="117">
                  <c:v>1.0901774050453561E-4</c:v>
                </c:pt>
                <c:pt idx="118">
                  <c:v>0</c:v>
                </c:pt>
                <c:pt idx="119">
                  <c:v>1.0926400506949818E-4</c:v>
                </c:pt>
                <c:pt idx="120">
                  <c:v>0</c:v>
                </c:pt>
                <c:pt idx="121">
                  <c:v>2.1842557726148293E-4</c:v>
                </c:pt>
                <c:pt idx="122">
                  <c:v>0</c:v>
                </c:pt>
                <c:pt idx="123">
                  <c:v>1.0905990719045633E-4</c:v>
                </c:pt>
                <c:pt idx="124">
                  <c:v>-5.4265971786926492E-5</c:v>
                </c:pt>
                <c:pt idx="125">
                  <c:v>1.0913246912425123E-4</c:v>
                </c:pt>
                <c:pt idx="126">
                  <c:v>3.2806843549759712E-4</c:v>
                </c:pt>
                <c:pt idx="127">
                  <c:v>-1.0952214409698513E-4</c:v>
                </c:pt>
                <c:pt idx="128">
                  <c:v>0</c:v>
                </c:pt>
                <c:pt idx="129">
                  <c:v>1.0953414051084742E-4</c:v>
                </c:pt>
                <c:pt idx="130">
                  <c:v>1.0934270990614614E-4</c:v>
                </c:pt>
                <c:pt idx="131">
                  <c:v>2.1841481573248167E-4</c:v>
                </c:pt>
                <c:pt idx="132">
                  <c:v>1.0948625653761646E-4</c:v>
                </c:pt>
                <c:pt idx="133">
                  <c:v>0</c:v>
                </c:pt>
                <c:pt idx="134">
                  <c:v>1.0938459273068801E-4</c:v>
                </c:pt>
                <c:pt idx="135">
                  <c:v>0</c:v>
                </c:pt>
                <c:pt idx="136">
                  <c:v>3.2751262767405365E-4</c:v>
                </c:pt>
                <c:pt idx="137">
                  <c:v>0</c:v>
                </c:pt>
                <c:pt idx="138">
                  <c:v>0</c:v>
                </c:pt>
                <c:pt idx="139">
                  <c:v>-1.0898946984905233E-4</c:v>
                </c:pt>
                <c:pt idx="140">
                  <c:v>2.1809234818026546E-4</c:v>
                </c:pt>
                <c:pt idx="141">
                  <c:v>2.1839210640650641E-4</c:v>
                </c:pt>
                <c:pt idx="142">
                  <c:v>-1.0895378802422417E-4</c:v>
                </c:pt>
                <c:pt idx="143">
                  <c:v>2.1827859462186794E-4</c:v>
                </c:pt>
                <c:pt idx="144">
                  <c:v>0</c:v>
                </c:pt>
                <c:pt idx="145">
                  <c:v>1.0904268008449236E-4</c:v>
                </c:pt>
                <c:pt idx="146">
                  <c:v>2.7366325405653313E-4</c:v>
                </c:pt>
                <c:pt idx="147">
                  <c:v>0</c:v>
                </c:pt>
                <c:pt idx="148">
                  <c:v>-1.0950476628990291E-4</c:v>
                </c:pt>
                <c:pt idx="149">
                  <c:v>1.0951675889692147E-4</c:v>
                </c:pt>
                <c:pt idx="150">
                  <c:v>2.1848333648355478E-4</c:v>
                </c:pt>
                <c:pt idx="151">
                  <c:v>1.0922340257923935E-4</c:v>
                </c:pt>
                <c:pt idx="152">
                  <c:v>-1.0921147413045507E-4</c:v>
                </c:pt>
                <c:pt idx="153">
                  <c:v>2.1870424912839859E-4</c:v>
                </c:pt>
                <c:pt idx="154">
                  <c:v>1.0937857247794724E-4</c:v>
                </c:pt>
                <c:pt idx="155">
                  <c:v>-1.0936661011429205E-4</c:v>
                </c:pt>
                <c:pt idx="156">
                  <c:v>4.3679808072050186E-4</c:v>
                </c:pt>
                <c:pt idx="157">
                  <c:v>-1.089728687423408E-4</c:v>
                </c:pt>
                <c:pt idx="158">
                  <c:v>0</c:v>
                </c:pt>
                <c:pt idx="159">
                  <c:v>1.0898474512277545E-4</c:v>
                </c:pt>
                <c:pt idx="160">
                  <c:v>-1.089728687423408E-4</c:v>
                </c:pt>
                <c:pt idx="161">
                  <c:v>3.2765902277742676E-4</c:v>
                </c:pt>
                <c:pt idx="162">
                  <c:v>-1.0929573354323541E-4</c:v>
                </c:pt>
                <c:pt idx="163">
                  <c:v>1.0930768040640082E-4</c:v>
                </c:pt>
                <c:pt idx="164">
                  <c:v>1.0896023042183955E-4</c:v>
                </c:pt>
                <c:pt idx="165">
                  <c:v>-1.0894835938346503E-4</c:v>
                </c:pt>
                <c:pt idx="166">
                  <c:v>2.1825596396496394E-4</c:v>
                </c:pt>
                <c:pt idx="167">
                  <c:v>1.0901472137025969E-4</c:v>
                </c:pt>
                <c:pt idx="168">
                  <c:v>1.9720010949031419E-4</c:v>
                </c:pt>
                <c:pt idx="169">
                  <c:v>-1.0940609513787614E-4</c:v>
                </c:pt>
                <c:pt idx="170">
                  <c:v>1.0941806614117588E-4</c:v>
                </c:pt>
                <c:pt idx="171">
                  <c:v>1.0932785211936746E-4</c:v>
                </c:pt>
                <c:pt idx="172">
                  <c:v>0</c:v>
                </c:pt>
                <c:pt idx="173">
                  <c:v>2.1863180169323648E-4</c:v>
                </c:pt>
                <c:pt idx="174">
                  <c:v>-1.0929200613829515E-4</c:v>
                </c:pt>
                <c:pt idx="175">
                  <c:v>2.1835087636978834E-4</c:v>
                </c:pt>
                <c:pt idx="176">
                  <c:v>0</c:v>
                </c:pt>
                <c:pt idx="177">
                  <c:v>0</c:v>
                </c:pt>
                <c:pt idx="178">
                  <c:v>1.0953706267624597E-4</c:v>
                </c:pt>
                <c:pt idx="179">
                  <c:v>2.1844687200922586E-4</c:v>
                </c:pt>
                <c:pt idx="180">
                  <c:v>0</c:v>
                </c:pt>
                <c:pt idx="181">
                  <c:v>1.0932244099981503E-4</c:v>
                </c:pt>
                <c:pt idx="182">
                  <c:v>2.1838645788196942E-4</c:v>
                </c:pt>
                <c:pt idx="183">
                  <c:v>0</c:v>
                </c:pt>
                <c:pt idx="184">
                  <c:v>0</c:v>
                </c:pt>
                <c:pt idx="185">
                  <c:v>2.1849509080529295E-4</c:v>
                </c:pt>
                <c:pt idx="186">
                  <c:v>0</c:v>
                </c:pt>
                <c:pt idx="187">
                  <c:v>1.0909530687897018E-4</c:v>
                </c:pt>
                <c:pt idx="188">
                  <c:v>-3.2871240337906116E-5</c:v>
                </c:pt>
                <c:pt idx="189">
                  <c:v>0</c:v>
                </c:pt>
                <c:pt idx="190">
                  <c:v>3.2820975331238067E-4</c:v>
                </c:pt>
                <c:pt idx="191">
                  <c:v>0</c:v>
                </c:pt>
                <c:pt idx="192">
                  <c:v>1.094752203603111E-4</c:v>
                </c:pt>
                <c:pt idx="193">
                  <c:v>0</c:v>
                </c:pt>
                <c:pt idx="194">
                  <c:v>0</c:v>
                </c:pt>
                <c:pt idx="195">
                  <c:v>2.1842439993680074E-4</c:v>
                </c:pt>
                <c:pt idx="196">
                  <c:v>1.0928316601321875E-4</c:v>
                </c:pt>
                <c:pt idx="197">
                  <c:v>-1.0927122450776761E-4</c:v>
                </c:pt>
                <c:pt idx="198">
                  <c:v>1.0928316601321875E-4</c:v>
                </c:pt>
                <c:pt idx="199">
                  <c:v>1.0926007096845325E-4</c:v>
                </c:pt>
                <c:pt idx="200">
                  <c:v>1.0932620075521093E-4</c:v>
                </c:pt>
                <c:pt idx="201">
                  <c:v>0</c:v>
                </c:pt>
                <c:pt idx="202">
                  <c:v>1.0924734323314311E-4</c:v>
                </c:pt>
                <c:pt idx="203">
                  <c:v>0</c:v>
                </c:pt>
                <c:pt idx="204">
                  <c:v>0</c:v>
                </c:pt>
                <c:pt idx="205">
                  <c:v>2.1835932027425287E-4</c:v>
                </c:pt>
                <c:pt idx="206">
                  <c:v>0</c:v>
                </c:pt>
                <c:pt idx="207">
                  <c:v>-1.0928959433864627E-4</c:v>
                </c:pt>
                <c:pt idx="208">
                  <c:v>2.1869226906212624E-4</c:v>
                </c:pt>
                <c:pt idx="209">
                  <c:v>1.090212783876332E-4</c:v>
                </c:pt>
                <c:pt idx="210">
                  <c:v>1.0917656927267316E-4</c:v>
                </c:pt>
                <c:pt idx="211">
                  <c:v>-1.0798340839945908E-5</c:v>
                </c:pt>
                <c:pt idx="212">
                  <c:v>1.0933298864457264E-4</c:v>
                </c:pt>
                <c:pt idx="213">
                  <c:v>-1.0932103624883283E-4</c:v>
                </c:pt>
                <c:pt idx="214">
                  <c:v>1.0933298864457264E-4</c:v>
                </c:pt>
                <c:pt idx="215">
                  <c:v>2.1865321519842773E-4</c:v>
                </c:pt>
                <c:pt idx="216">
                  <c:v>0</c:v>
                </c:pt>
                <c:pt idx="217">
                  <c:v>0</c:v>
                </c:pt>
                <c:pt idx="218">
                  <c:v>1.0913003410606414E-4</c:v>
                </c:pt>
                <c:pt idx="219">
                  <c:v>0</c:v>
                </c:pt>
                <c:pt idx="220">
                  <c:v>1.0937432417290616E-4</c:v>
                </c:pt>
                <c:pt idx="221">
                  <c:v>-1.0936236273839661E-4</c:v>
                </c:pt>
                <c:pt idx="222">
                  <c:v>2.1832536447607964E-4</c:v>
                </c:pt>
                <c:pt idx="223">
                  <c:v>-1.0892725871969322E-4</c:v>
                </c:pt>
                <c:pt idx="224">
                  <c:v>1.0893912515985704E-4</c:v>
                </c:pt>
                <c:pt idx="225">
                  <c:v>0</c:v>
                </c:pt>
                <c:pt idx="226">
                  <c:v>1.0960659240555337E-4</c:v>
                </c:pt>
                <c:pt idx="227">
                  <c:v>0</c:v>
                </c:pt>
                <c:pt idx="228">
                  <c:v>1.092493828012131E-4</c:v>
                </c:pt>
                <c:pt idx="229">
                  <c:v>2.1848603153529211E-4</c:v>
                </c:pt>
                <c:pt idx="230">
                  <c:v>0</c:v>
                </c:pt>
                <c:pt idx="231">
                  <c:v>7.6441718699804539E-5</c:v>
                </c:pt>
                <c:pt idx="232">
                  <c:v>-1.0904940662748164E-4</c:v>
                </c:pt>
                <c:pt idx="233">
                  <c:v>1.0906129969745493E-4</c:v>
                </c:pt>
                <c:pt idx="234">
                  <c:v>2.1884458341348001E-4</c:v>
                </c:pt>
                <c:pt idx="235">
                  <c:v>0</c:v>
                </c:pt>
                <c:pt idx="236">
                  <c:v>1.094373000889437E-4</c:v>
                </c:pt>
                <c:pt idx="237">
                  <c:v>0</c:v>
                </c:pt>
                <c:pt idx="238">
                  <c:v>0</c:v>
                </c:pt>
                <c:pt idx="239">
                  <c:v>2.1826090578191959E-4</c:v>
                </c:pt>
                <c:pt idx="240">
                  <c:v>-2.1821327835425119E-4</c:v>
                </c:pt>
                <c:pt idx="241">
                  <c:v>2.1826090578191959E-4</c:v>
                </c:pt>
                <c:pt idx="242">
                  <c:v>-1.0881183153621521E-4</c:v>
                </c:pt>
                <c:pt idx="243">
                  <c:v>2.1832603334304146E-4</c:v>
                </c:pt>
                <c:pt idx="244">
                  <c:v>1.0922261573553804E-4</c:v>
                </c:pt>
                <c:pt idx="245">
                  <c:v>5.4733251144023498E-5</c:v>
                </c:pt>
                <c:pt idx="246">
                  <c:v>0</c:v>
                </c:pt>
                <c:pt idx="247">
                  <c:v>1.0946051115867661E-4</c:v>
                </c:pt>
                <c:pt idx="248">
                  <c:v>1.0935956640323319E-4</c:v>
                </c:pt>
                <c:pt idx="249">
                  <c:v>-1.0934760819614198E-4</c:v>
                </c:pt>
                <c:pt idx="250">
                  <c:v>1.0935956640323319E-4</c:v>
                </c:pt>
                <c:pt idx="251">
                  <c:v>0</c:v>
                </c:pt>
                <c:pt idx="252">
                  <c:v>3.2822073405891494E-4</c:v>
                </c:pt>
                <c:pt idx="253">
                  <c:v>0</c:v>
                </c:pt>
                <c:pt idx="254">
                  <c:v>-1.095673907702821E-4</c:v>
                </c:pt>
                <c:pt idx="255">
                  <c:v>0</c:v>
                </c:pt>
                <c:pt idx="256">
                  <c:v>2.1899204052489019E-4</c:v>
                </c:pt>
                <c:pt idx="257">
                  <c:v>1.092219710103759E-4</c:v>
                </c:pt>
                <c:pt idx="258">
                  <c:v>0</c:v>
                </c:pt>
                <c:pt idx="259">
                  <c:v>0</c:v>
                </c:pt>
                <c:pt idx="260">
                  <c:v>0</c:v>
                </c:pt>
                <c:pt idx="261">
                  <c:v>1.0928783572050627E-4</c:v>
                </c:pt>
                <c:pt idx="262">
                  <c:v>2.1872957917845604E-4</c:v>
                </c:pt>
                <c:pt idx="263">
                  <c:v>-1.0950751779603696E-4</c:v>
                </c:pt>
                <c:pt idx="264">
                  <c:v>1.0951951100590662E-4</c:v>
                </c:pt>
                <c:pt idx="265">
                  <c:v>0</c:v>
                </c:pt>
                <c:pt idx="266">
                  <c:v>1.0908535226139549E-4</c:v>
                </c:pt>
                <c:pt idx="267">
                  <c:v>0</c:v>
                </c:pt>
                <c:pt idx="268">
                  <c:v>1.0932894731929821E-4</c:v>
                </c:pt>
                <c:pt idx="269">
                  <c:v>0</c:v>
                </c:pt>
                <c:pt idx="270">
                  <c:v>1.0922813826130806E-4</c:v>
                </c:pt>
                <c:pt idx="271">
                  <c:v>0</c:v>
                </c:pt>
                <c:pt idx="272">
                  <c:v>0</c:v>
                </c:pt>
                <c:pt idx="273">
                  <c:v>8.7703925230941948E-5</c:v>
                </c:pt>
                <c:pt idx="274">
                  <c:v>0</c:v>
                </c:pt>
                <c:pt idx="275">
                  <c:v>2.1857983694895111E-4</c:v>
                </c:pt>
                <c:pt idx="276">
                  <c:v>1.0944922768252319E-4</c:v>
                </c:pt>
                <c:pt idx="277">
                  <c:v>0</c:v>
                </c:pt>
                <c:pt idx="278">
                  <c:v>-1.0943724986001158E-4</c:v>
                </c:pt>
                <c:pt idx="279">
                  <c:v>1.0944922768252319E-4</c:v>
                </c:pt>
                <c:pt idx="280">
                  <c:v>1.0933733758045072E-4</c:v>
                </c:pt>
                <c:pt idx="281">
                  <c:v>1.0924768317943645E-4</c:v>
                </c:pt>
                <c:pt idx="282">
                  <c:v>0</c:v>
                </c:pt>
                <c:pt idx="283">
                  <c:v>1.0914695792152429E-4</c:v>
                </c:pt>
                <c:pt idx="284">
                  <c:v>0</c:v>
                </c:pt>
                <c:pt idx="285">
                  <c:v>0</c:v>
                </c:pt>
                <c:pt idx="286">
                  <c:v>2.1870290367465017E-4</c:v>
                </c:pt>
                <c:pt idx="287">
                  <c:v>-1.092776127350481E-4</c:v>
                </c:pt>
                <c:pt idx="288">
                  <c:v>0</c:v>
                </c:pt>
                <c:pt idx="289">
                  <c:v>2.1841266358024747E-4</c:v>
                </c:pt>
                <c:pt idx="290">
                  <c:v>2.1863122806120572E-4</c:v>
                </c:pt>
                <c:pt idx="291">
                  <c:v>-1.0924180695603969E-4</c:v>
                </c:pt>
                <c:pt idx="292">
                  <c:v>2.953589334295792E-4</c:v>
                </c:pt>
                <c:pt idx="293">
                  <c:v>2.1863148820422396E-4</c:v>
                </c:pt>
                <c:pt idx="294">
                  <c:v>4.370676132543494E-4</c:v>
                </c:pt>
                <c:pt idx="295">
                  <c:v>2.1864335747534547E-4</c:v>
                </c:pt>
                <c:pt idx="296">
                  <c:v>0</c:v>
                </c:pt>
                <c:pt idx="297">
                  <c:v>4.3670360993353086E-4</c:v>
                </c:pt>
                <c:pt idx="298">
                  <c:v>-2.1816789097350853E-4</c:v>
                </c:pt>
                <c:pt idx="299">
                  <c:v>2.1821549858858091E-4</c:v>
                </c:pt>
                <c:pt idx="300">
                  <c:v>1.0916700854513017E-4</c:v>
                </c:pt>
                <c:pt idx="301">
                  <c:v>2.1865347465110929E-4</c:v>
                </c:pt>
                <c:pt idx="302">
                  <c:v>1.0887658725899918E-4</c:v>
                </c:pt>
                <c:pt idx="303">
                  <c:v>0</c:v>
                </c:pt>
                <c:pt idx="304">
                  <c:v>2.1849331539636196E-4</c:v>
                </c:pt>
                <c:pt idx="305">
                  <c:v>-2.1844558649597445E-4</c:v>
                </c:pt>
                <c:pt idx="306">
                  <c:v>3.2744661174999301E-4</c:v>
                </c:pt>
                <c:pt idx="307">
                  <c:v>-2.1816726175927226E-4</c:v>
                </c:pt>
                <c:pt idx="308">
                  <c:v>0</c:v>
                </c:pt>
                <c:pt idx="309">
                  <c:v>0</c:v>
                </c:pt>
                <c:pt idx="310">
                  <c:v>0</c:v>
                </c:pt>
                <c:pt idx="311">
                  <c:v>-2.1804883364062722E-4</c:v>
                </c:pt>
                <c:pt idx="312">
                  <c:v>0</c:v>
                </c:pt>
                <c:pt idx="313">
                  <c:v>1.0887658725899918E-4</c:v>
                </c:pt>
                <c:pt idx="314">
                  <c:v>-8.7244556854604305E-5</c:v>
                </c:pt>
                <c:pt idx="315">
                  <c:v>1.0921744048730808E-4</c:v>
                </c:pt>
                <c:pt idx="316">
                  <c:v>-3.2761654002244622E-4</c:v>
                </c:pt>
                <c:pt idx="317">
                  <c:v>1.0924130259848397E-4</c:v>
                </c:pt>
                <c:pt idx="318">
                  <c:v>-2.1845874047932146E-4</c:v>
                </c:pt>
                <c:pt idx="319">
                  <c:v>1.0925323756416638E-4</c:v>
                </c:pt>
                <c:pt idx="320">
                  <c:v>-2.185601205659804E-4</c:v>
                </c:pt>
                <c:pt idx="321">
                  <c:v>2.1860789953476178E-4</c:v>
                </c:pt>
                <c:pt idx="322">
                  <c:v>1.0924130259848397E-4</c:v>
                </c:pt>
                <c:pt idx="323">
                  <c:v>-1.0922937023971624E-4</c:v>
                </c:pt>
                <c:pt idx="324">
                  <c:v>-1.0924130259826192E-4</c:v>
                </c:pt>
                <c:pt idx="325">
                  <c:v>2.1850647512877686E-4</c:v>
                </c:pt>
                <c:pt idx="326">
                  <c:v>-1.0922937023971624E-4</c:v>
                </c:pt>
                <c:pt idx="327">
                  <c:v>0</c:v>
                </c:pt>
                <c:pt idx="328">
                  <c:v>0</c:v>
                </c:pt>
                <c:pt idx="329">
                  <c:v>1.0924130259848397E-4</c:v>
                </c:pt>
                <c:pt idx="330">
                  <c:v>-1.0922937023971624E-4</c:v>
                </c:pt>
                <c:pt idx="331">
                  <c:v>0</c:v>
                </c:pt>
                <c:pt idx="332">
                  <c:v>0</c:v>
                </c:pt>
                <c:pt idx="333">
                  <c:v>-1.0924130259826192E-4</c:v>
                </c:pt>
                <c:pt idx="334">
                  <c:v>2.1850647512877686E-4</c:v>
                </c:pt>
                <c:pt idx="335">
                  <c:v>-1.7486664411514585E-4</c:v>
                </c:pt>
                <c:pt idx="336">
                  <c:v>0</c:v>
                </c:pt>
                <c:pt idx="337">
                  <c:v>0</c:v>
                </c:pt>
                <c:pt idx="338">
                  <c:v>1.0933706896287809E-4</c:v>
                </c:pt>
                <c:pt idx="339">
                  <c:v>-1.0932511567529613E-4</c:v>
                </c:pt>
                <c:pt idx="340">
                  <c:v>0</c:v>
                </c:pt>
                <c:pt idx="341">
                  <c:v>1.0933706896287809E-4</c:v>
                </c:pt>
                <c:pt idx="342">
                  <c:v>0</c:v>
                </c:pt>
                <c:pt idx="343">
                  <c:v>0</c:v>
                </c:pt>
                <c:pt idx="344">
                  <c:v>1.0922545741132161E-4</c:v>
                </c:pt>
                <c:pt idx="345">
                  <c:v>-2.1852670440736244E-4</c:v>
                </c:pt>
                <c:pt idx="346">
                  <c:v>0</c:v>
                </c:pt>
                <c:pt idx="347">
                  <c:v>0</c:v>
                </c:pt>
                <c:pt idx="348">
                  <c:v>0</c:v>
                </c:pt>
                <c:pt idx="349">
                  <c:v>1.0933706896287809E-4</c:v>
                </c:pt>
                <c:pt idx="350">
                  <c:v>-1.0932511567529613E-4</c:v>
                </c:pt>
                <c:pt idx="351">
                  <c:v>1.0933706896287809E-4</c:v>
                </c:pt>
                <c:pt idx="352">
                  <c:v>-1.0932511567529613E-4</c:v>
                </c:pt>
                <c:pt idx="353">
                  <c:v>0</c:v>
                </c:pt>
                <c:pt idx="354">
                  <c:v>0</c:v>
                </c:pt>
                <c:pt idx="355">
                  <c:v>1.0933706896287809E-4</c:v>
                </c:pt>
                <c:pt idx="356">
                  <c:v>0</c:v>
                </c:pt>
                <c:pt idx="357">
                  <c:v>0</c:v>
                </c:pt>
                <c:pt idx="358">
                  <c:v>0</c:v>
                </c:pt>
                <c:pt idx="359">
                  <c:v>-2.1847306110334141E-4</c:v>
                </c:pt>
                <c:pt idx="360">
                  <c:v>1.0917179652469855E-4</c:v>
                </c:pt>
                <c:pt idx="361">
                  <c:v>0</c:v>
                </c:pt>
                <c:pt idx="362">
                  <c:v>1.0933706896287809E-4</c:v>
                </c:pt>
                <c:pt idx="363">
                  <c:v>-2.1847306110334141E-4</c:v>
                </c:pt>
                <c:pt idx="364">
                  <c:v>2.1852080201179014E-4</c:v>
                </c:pt>
                <c:pt idx="365">
                  <c:v>0</c:v>
                </c:pt>
                <c:pt idx="366">
                  <c:v>0</c:v>
                </c:pt>
                <c:pt idx="367">
                  <c:v>0</c:v>
                </c:pt>
                <c:pt idx="368">
                  <c:v>-1.0932511567529613E-4</c:v>
                </c:pt>
                <c:pt idx="369">
                  <c:v>0</c:v>
                </c:pt>
                <c:pt idx="370">
                  <c:v>0</c:v>
                </c:pt>
                <c:pt idx="371">
                  <c:v>0</c:v>
                </c:pt>
                <c:pt idx="372">
                  <c:v>0</c:v>
                </c:pt>
                <c:pt idx="373">
                  <c:v>1.0933706896287809E-4</c:v>
                </c:pt>
                <c:pt idx="374">
                  <c:v>-1.0932511567529613E-4</c:v>
                </c:pt>
                <c:pt idx="375">
                  <c:v>0</c:v>
                </c:pt>
                <c:pt idx="376">
                  <c:v>0</c:v>
                </c:pt>
                <c:pt idx="377">
                  <c:v>0</c:v>
                </c:pt>
                <c:pt idx="378">
                  <c:v>1.0933706896287809E-4</c:v>
                </c:pt>
                <c:pt idx="379">
                  <c:v>-1.0932511567529613E-4</c:v>
                </c:pt>
                <c:pt idx="380">
                  <c:v>0</c:v>
                </c:pt>
                <c:pt idx="381">
                  <c:v>0</c:v>
                </c:pt>
                <c:pt idx="382">
                  <c:v>0</c:v>
                </c:pt>
                <c:pt idx="383">
                  <c:v>1.0933706896287809E-4</c:v>
                </c:pt>
                <c:pt idx="384">
                  <c:v>0</c:v>
                </c:pt>
                <c:pt idx="385">
                  <c:v>0</c:v>
                </c:pt>
                <c:pt idx="386">
                  <c:v>0</c:v>
                </c:pt>
                <c:pt idx="387">
                  <c:v>-1.0932511567529613E-4</c:v>
                </c:pt>
                <c:pt idx="388">
                  <c:v>1.0933706896287809E-4</c:v>
                </c:pt>
                <c:pt idx="389">
                  <c:v>0</c:v>
                </c:pt>
                <c:pt idx="390">
                  <c:v>0</c:v>
                </c:pt>
                <c:pt idx="391">
                  <c:v>-1.0932511567529613E-4</c:v>
                </c:pt>
                <c:pt idx="392">
                  <c:v>1.0933706896287809E-4</c:v>
                </c:pt>
                <c:pt idx="393">
                  <c:v>-1.0932511567529613E-4</c:v>
                </c:pt>
                <c:pt idx="394">
                  <c:v>0</c:v>
                </c:pt>
                <c:pt idx="395">
                  <c:v>1.0933706896287809E-4</c:v>
                </c:pt>
                <c:pt idx="396">
                  <c:v>0</c:v>
                </c:pt>
                <c:pt idx="397">
                  <c:v>-1.0932511567529613E-4</c:v>
                </c:pt>
                <c:pt idx="398">
                  <c:v>1.0933706896287809E-4</c:v>
                </c:pt>
                <c:pt idx="399">
                  <c:v>-1.0932511567529613E-4</c:v>
                </c:pt>
                <c:pt idx="400">
                  <c:v>1.0933706896287809E-4</c:v>
                </c:pt>
                <c:pt idx="401">
                  <c:v>-1.0932511567529613E-4</c:v>
                </c:pt>
                <c:pt idx="402">
                  <c:v>0</c:v>
                </c:pt>
                <c:pt idx="403">
                  <c:v>1.0933706896287809E-4</c:v>
                </c:pt>
                <c:pt idx="404">
                  <c:v>0</c:v>
                </c:pt>
                <c:pt idx="405">
                  <c:v>-1.0932511567529613E-4</c:v>
                </c:pt>
                <c:pt idx="406">
                  <c:v>0</c:v>
                </c:pt>
                <c:pt idx="407">
                  <c:v>1.0933706896287809E-4</c:v>
                </c:pt>
                <c:pt idx="408">
                  <c:v>-1.0932511567529613E-4</c:v>
                </c:pt>
                <c:pt idx="409">
                  <c:v>0</c:v>
                </c:pt>
                <c:pt idx="410">
                  <c:v>1.0933706896287809E-4</c:v>
                </c:pt>
                <c:pt idx="411">
                  <c:v>0</c:v>
                </c:pt>
                <c:pt idx="412">
                  <c:v>0</c:v>
                </c:pt>
                <c:pt idx="413">
                  <c:v>0</c:v>
                </c:pt>
                <c:pt idx="414">
                  <c:v>0</c:v>
                </c:pt>
                <c:pt idx="415">
                  <c:v>-1.0932511567529613E-4</c:v>
                </c:pt>
                <c:pt idx="416">
                  <c:v>0</c:v>
                </c:pt>
                <c:pt idx="417">
                  <c:v>0</c:v>
                </c:pt>
                <c:pt idx="418">
                  <c:v>1.0933706896287809E-4</c:v>
                </c:pt>
                <c:pt idx="419">
                  <c:v>0</c:v>
                </c:pt>
                <c:pt idx="420">
                  <c:v>0</c:v>
                </c:pt>
                <c:pt idx="421">
                  <c:v>0</c:v>
                </c:pt>
                <c:pt idx="422">
                  <c:v>-1.0932511567529613E-4</c:v>
                </c:pt>
                <c:pt idx="423">
                  <c:v>1.0933706896287809E-4</c:v>
                </c:pt>
                <c:pt idx="424">
                  <c:v>0</c:v>
                </c:pt>
                <c:pt idx="425">
                  <c:v>-1.0932511567529613E-4</c:v>
                </c:pt>
                <c:pt idx="426">
                  <c:v>0</c:v>
                </c:pt>
                <c:pt idx="427">
                  <c:v>-1.0915987934445592E-4</c:v>
                </c:pt>
                <c:pt idx="428">
                  <c:v>2.1852080201179014E-4</c:v>
                </c:pt>
                <c:pt idx="429">
                  <c:v>-2.1847306110334141E-4</c:v>
                </c:pt>
                <c:pt idx="430">
                  <c:v>2.1852080201179014E-4</c:v>
                </c:pt>
                <c:pt idx="431">
                  <c:v>0</c:v>
                </c:pt>
                <c:pt idx="432">
                  <c:v>-2.1847306110334141E-4</c:v>
                </c:pt>
                <c:pt idx="433">
                  <c:v>0</c:v>
                </c:pt>
                <c:pt idx="434">
                  <c:v>0</c:v>
                </c:pt>
                <c:pt idx="435">
                  <c:v>0</c:v>
                </c:pt>
                <c:pt idx="436">
                  <c:v>1.0917179652469855E-4</c:v>
                </c:pt>
                <c:pt idx="437">
                  <c:v>-1.0915987934445592E-4</c:v>
                </c:pt>
                <c:pt idx="438">
                  <c:v>1.0917179652469855E-4</c:v>
                </c:pt>
                <c:pt idx="439">
                  <c:v>0</c:v>
                </c:pt>
                <c:pt idx="440">
                  <c:v>-1.0915987934445592E-4</c:v>
                </c:pt>
                <c:pt idx="441">
                  <c:v>0</c:v>
                </c:pt>
                <c:pt idx="442">
                  <c:v>0</c:v>
                </c:pt>
                <c:pt idx="443">
                  <c:v>0</c:v>
                </c:pt>
                <c:pt idx="444">
                  <c:v>1.0917179652469855E-4</c:v>
                </c:pt>
                <c:pt idx="445">
                  <c:v>-1.0915987934445592E-4</c:v>
                </c:pt>
                <c:pt idx="446">
                  <c:v>0</c:v>
                </c:pt>
                <c:pt idx="447">
                  <c:v>0</c:v>
                </c:pt>
                <c:pt idx="448">
                  <c:v>1.0917179652469855E-4</c:v>
                </c:pt>
                <c:pt idx="449">
                  <c:v>-1.0915987934445592E-4</c:v>
                </c:pt>
                <c:pt idx="450">
                  <c:v>0</c:v>
                </c:pt>
                <c:pt idx="451">
                  <c:v>0</c:v>
                </c:pt>
                <c:pt idx="452">
                  <c:v>1.0917179652469855E-4</c:v>
                </c:pt>
                <c:pt idx="453">
                  <c:v>0</c:v>
                </c:pt>
                <c:pt idx="454">
                  <c:v>-1.0915987934445592E-4</c:v>
                </c:pt>
                <c:pt idx="455">
                  <c:v>0</c:v>
                </c:pt>
                <c:pt idx="456">
                  <c:v>1.0917179652469855E-4</c:v>
                </c:pt>
                <c:pt idx="457">
                  <c:v>0</c:v>
                </c:pt>
                <c:pt idx="458">
                  <c:v>0</c:v>
                </c:pt>
                <c:pt idx="459">
                  <c:v>-1.0915987934445592E-4</c:v>
                </c:pt>
                <c:pt idx="460">
                  <c:v>0</c:v>
                </c:pt>
                <c:pt idx="461">
                  <c:v>1.0917179652469855E-4</c:v>
                </c:pt>
                <c:pt idx="462">
                  <c:v>0</c:v>
                </c:pt>
                <c:pt idx="463">
                  <c:v>0</c:v>
                </c:pt>
                <c:pt idx="464">
                  <c:v>0</c:v>
                </c:pt>
                <c:pt idx="465">
                  <c:v>-1.0915987934445592E-4</c:v>
                </c:pt>
                <c:pt idx="466">
                  <c:v>1.0917179652469855E-4</c:v>
                </c:pt>
                <c:pt idx="467">
                  <c:v>-1.0915987934445592E-4</c:v>
                </c:pt>
                <c:pt idx="468">
                  <c:v>1.0917179652469855E-4</c:v>
                </c:pt>
                <c:pt idx="469">
                  <c:v>-1.0915987934445592E-4</c:v>
                </c:pt>
                <c:pt idx="470">
                  <c:v>0</c:v>
                </c:pt>
                <c:pt idx="471">
                  <c:v>0</c:v>
                </c:pt>
                <c:pt idx="472">
                  <c:v>1.0917179652469855E-4</c:v>
                </c:pt>
                <c:pt idx="473">
                  <c:v>0</c:v>
                </c:pt>
                <c:pt idx="474">
                  <c:v>0</c:v>
                </c:pt>
                <c:pt idx="475">
                  <c:v>0</c:v>
                </c:pt>
                <c:pt idx="476">
                  <c:v>0</c:v>
                </c:pt>
                <c:pt idx="477">
                  <c:v>0</c:v>
                </c:pt>
                <c:pt idx="478">
                  <c:v>0</c:v>
                </c:pt>
                <c:pt idx="479">
                  <c:v>0</c:v>
                </c:pt>
                <c:pt idx="480">
                  <c:v>-1.0915987934445592E-4</c:v>
                </c:pt>
                <c:pt idx="481">
                  <c:v>1.0917179652469855E-4</c:v>
                </c:pt>
                <c:pt idx="482">
                  <c:v>-1.0915987934445592E-4</c:v>
                </c:pt>
                <c:pt idx="483">
                  <c:v>-7.6476742924103114E-5</c:v>
                </c:pt>
                <c:pt idx="484">
                  <c:v>1.0926875752459431E-4</c:v>
                </c:pt>
                <c:pt idx="485">
                  <c:v>0</c:v>
                </c:pt>
                <c:pt idx="486">
                  <c:v>1.0925681916762464E-4</c:v>
                </c:pt>
                <c:pt idx="487">
                  <c:v>-2.1848976683846999E-4</c:v>
                </c:pt>
                <c:pt idx="488">
                  <c:v>0</c:v>
                </c:pt>
                <c:pt idx="489">
                  <c:v>0</c:v>
                </c:pt>
                <c:pt idx="490">
                  <c:v>0</c:v>
                </c:pt>
                <c:pt idx="491">
                  <c:v>1.0926875752459431E-4</c:v>
                </c:pt>
                <c:pt idx="492">
                  <c:v>-1.0925681916784669E-4</c:v>
                </c:pt>
                <c:pt idx="493">
                  <c:v>0</c:v>
                </c:pt>
                <c:pt idx="494">
                  <c:v>1.0926875752459431E-4</c:v>
                </c:pt>
                <c:pt idx="495">
                  <c:v>0</c:v>
                </c:pt>
                <c:pt idx="496">
                  <c:v>0</c:v>
                </c:pt>
                <c:pt idx="497">
                  <c:v>0</c:v>
                </c:pt>
                <c:pt idx="498">
                  <c:v>0</c:v>
                </c:pt>
                <c:pt idx="499">
                  <c:v>-1.0925681916784669E-4</c:v>
                </c:pt>
                <c:pt idx="500">
                  <c:v>1.0926875752459431E-4</c:v>
                </c:pt>
                <c:pt idx="501">
                  <c:v>0</c:v>
                </c:pt>
                <c:pt idx="502">
                  <c:v>0</c:v>
                </c:pt>
                <c:pt idx="503">
                  <c:v>-1.0925681916784669E-4</c:v>
                </c:pt>
                <c:pt idx="504">
                  <c:v>1.0926875752459431E-4</c:v>
                </c:pt>
              </c:numCache>
            </c:numRef>
          </c:val>
          <c:smooth val="0"/>
          <c:extLst>
            <c:ext xmlns:c16="http://schemas.microsoft.com/office/drawing/2014/chart" uri="{C3380CC4-5D6E-409C-BE32-E72D297353CC}">
              <c16:uniqueId val="{00000001-54F1-49B6-B2AF-6C2D753F6BF3}"/>
            </c:ext>
          </c:extLst>
        </c:ser>
        <c:dLbls>
          <c:showLegendKey val="0"/>
          <c:showVal val="0"/>
          <c:showCatName val="0"/>
          <c:showSerName val="0"/>
          <c:showPercent val="0"/>
          <c:showBubbleSize val="0"/>
        </c:dLbls>
        <c:marker val="1"/>
        <c:smooth val="0"/>
        <c:axId val="1600867599"/>
        <c:axId val="1589868399"/>
      </c:lineChart>
      <c:catAx>
        <c:axId val="2040515792"/>
        <c:scaling>
          <c:orientation val="minMax"/>
        </c:scaling>
        <c:delete val="0"/>
        <c:axPos val="b"/>
        <c:numFmt formatCode="dd/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0"/>
        <c:lblAlgn val="ctr"/>
        <c:lblOffset val="100"/>
        <c:noMultiLvlLbl val="0"/>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589868399"/>
        <c:scaling>
          <c:orientation val="minMax"/>
          <c:max val="1.0000000000000002E-3"/>
          <c:min val="-1.0000000000000002E-3"/>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00867599"/>
        <c:crosses val="max"/>
        <c:crossBetween val="between"/>
      </c:valAx>
      <c:dateAx>
        <c:axId val="1600867599"/>
        <c:scaling>
          <c:orientation val="minMax"/>
        </c:scaling>
        <c:delete val="1"/>
        <c:axPos val="b"/>
        <c:numFmt formatCode="dd/mm/yy;@" sourceLinked="1"/>
        <c:majorTickMark val="out"/>
        <c:minorTickMark val="none"/>
        <c:tickLblPos val="nextTo"/>
        <c:crossAx val="1589868399"/>
        <c:crosses val="autoZero"/>
        <c:auto val="1"/>
        <c:lblOffset val="100"/>
        <c:baseTimeUnit val="day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Contagion</a:t>
            </a:r>
            <a:r>
              <a:rPr lang="pt-BR" baseline="0"/>
              <a:t> Test</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Sample 1 (lhs)</c:v>
          </c:tx>
          <c:spPr>
            <a:ln w="12700" cap="rnd">
              <a:solidFill>
                <a:schemeClr val="accent1"/>
              </a:solidFill>
              <a:round/>
            </a:ln>
            <a:effectLst/>
          </c:spPr>
          <c:marker>
            <c:symbol val="none"/>
          </c:marker>
          <c:cat>
            <c:numRef>
              <c:f>(CONTAGION_COVOLATILITY!$F$18:$F$317,CONTAGION_COVOLATILITY!$F$320:$F$525)</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(CONTAGION_COVOLATILITY!$I$19:$I$317,CONTAGION_COVOLATILITY!$I$320:$I$525)</c:f>
              <c:numCache>
                <c:formatCode>0.00%</c:formatCode>
                <c:ptCount val="505"/>
                <c:pt idx="0">
                  <c:v>1.0401020398713712E-3</c:v>
                </c:pt>
                <c:pt idx="1">
                  <c:v>-2.3862705373286275E-2</c:v>
                </c:pt>
                <c:pt idx="2">
                  <c:v>3.3495821843755103E-2</c:v>
                </c:pt>
                <c:pt idx="3">
                  <c:v>7.8845418126225475E-3</c:v>
                </c:pt>
                <c:pt idx="4">
                  <c:v>9.3954088050747231E-3</c:v>
                </c:pt>
                <c:pt idx="5">
                  <c:v>4.6735411159004592E-3</c:v>
                </c:pt>
                <c:pt idx="6">
                  <c:v>3.5275112473489578E-3</c:v>
                </c:pt>
                <c:pt idx="7">
                  <c:v>3.8612950131367008E-4</c:v>
                </c:pt>
                <c:pt idx="8">
                  <c:v>-6.1008157559502285E-3</c:v>
                </c:pt>
                <c:pt idx="9">
                  <c:v>1.146073275757753E-2</c:v>
                </c:pt>
                <c:pt idx="10">
                  <c:v>2.4199718704258633E-3</c:v>
                </c:pt>
                <c:pt idx="11">
                  <c:v>7.5866511593374319E-3</c:v>
                </c:pt>
                <c:pt idx="12">
                  <c:v>1.3310135378014287E-2</c:v>
                </c:pt>
                <c:pt idx="13">
                  <c:v>-1.3510752838921114E-2</c:v>
                </c:pt>
                <c:pt idx="14">
                  <c:v>2.0925841602441597E-3</c:v>
                </c:pt>
                <c:pt idx="15">
                  <c:v>5.3149405925601023E-4</c:v>
                </c:pt>
                <c:pt idx="16">
                  <c:v>8.4614186766645005E-3</c:v>
                </c:pt>
                <c:pt idx="17">
                  <c:v>-7.6000445111905623E-3</c:v>
                </c:pt>
                <c:pt idx="18">
                  <c:v>-1.3272208463369628E-3</c:v>
                </c:pt>
                <c:pt idx="19">
                  <c:v>1.5830700348449023E-2</c:v>
                </c:pt>
                <c:pt idx="20">
                  <c:v>8.7825320484122837E-3</c:v>
                </c:pt>
                <c:pt idx="21">
                  <c:v>4.8137480130061583E-4</c:v>
                </c:pt>
                <c:pt idx="22">
                  <c:v>7.0356554904722479E-3</c:v>
                </c:pt>
                <c:pt idx="23">
                  <c:v>4.191934326261304E-3</c:v>
                </c:pt>
                <c:pt idx="24">
                  <c:v>-1.3182013435087958E-3</c:v>
                </c:pt>
                <c:pt idx="25">
                  <c:v>-9.5329681151019585E-3</c:v>
                </c:pt>
                <c:pt idx="26">
                  <c:v>1.22149760609358E-3</c:v>
                </c:pt>
                <c:pt idx="27">
                  <c:v>5.5476436142676278E-4</c:v>
                </c:pt>
                <c:pt idx="28">
                  <c:v>1.2859498691850657E-2</c:v>
                </c:pt>
                <c:pt idx="29">
                  <c:v>3.2467989017432863E-3</c:v>
                </c:pt>
                <c:pt idx="30">
                  <c:v>-2.2182995178979814E-3</c:v>
                </c:pt>
                <c:pt idx="31">
                  <c:v>1.0897416949031236E-2</c:v>
                </c:pt>
                <c:pt idx="32">
                  <c:v>1.7305056305265687E-3</c:v>
                </c:pt>
                <c:pt idx="33">
                  <c:v>2.0153765271693214E-3</c:v>
                </c:pt>
                <c:pt idx="34">
                  <c:v>-3.5559907265417801E-3</c:v>
                </c:pt>
                <c:pt idx="35">
                  <c:v>6.2001313059003582E-3</c:v>
                </c:pt>
                <c:pt idx="36">
                  <c:v>1.3611375611564114E-3</c:v>
                </c:pt>
                <c:pt idx="37">
                  <c:v>-7.1535343108619642E-4</c:v>
                </c:pt>
                <c:pt idx="38">
                  <c:v>-4.2940145551551012E-4</c:v>
                </c:pt>
                <c:pt idx="39">
                  <c:v>-1.8627512856356221E-3</c:v>
                </c:pt>
                <c:pt idx="40">
                  <c:v>6.2434952404508692E-3</c:v>
                </c:pt>
                <c:pt idx="41">
                  <c:v>-3.6371682973985742E-3</c:v>
                </c:pt>
                <c:pt idx="42">
                  <c:v>-1.3601044178247479E-3</c:v>
                </c:pt>
                <c:pt idx="43">
                  <c:v>-6.0566721292807379E-3</c:v>
                </c:pt>
                <c:pt idx="44">
                  <c:v>-8.3657303445855424E-3</c:v>
                </c:pt>
                <c:pt idx="45">
                  <c:v>-1.9996589865043379E-3</c:v>
                </c:pt>
                <c:pt idx="46">
                  <c:v>1.4501051794384434E-2</c:v>
                </c:pt>
                <c:pt idx="47">
                  <c:v>3.7710424020158673E-3</c:v>
                </c:pt>
                <c:pt idx="48">
                  <c:v>6.6192952240662351E-3</c:v>
                </c:pt>
                <c:pt idx="49">
                  <c:v>-6.4011385772566598E-4</c:v>
                </c:pt>
                <c:pt idx="50">
                  <c:v>4.9407854813812158E-3</c:v>
                </c:pt>
                <c:pt idx="51">
                  <c:v>3.6259244519276645E-3</c:v>
                </c:pt>
                <c:pt idx="52">
                  <c:v>2.4777257972807831E-4</c:v>
                </c:pt>
                <c:pt idx="53">
                  <c:v>-3.0097881592702214E-3</c:v>
                </c:pt>
                <c:pt idx="54">
                  <c:v>1.1294477654773205E-2</c:v>
                </c:pt>
                <c:pt idx="55">
                  <c:v>-1.9246241735327185E-2</c:v>
                </c:pt>
                <c:pt idx="56">
                  <c:v>-7.520955273396801E-4</c:v>
                </c:pt>
                <c:pt idx="57">
                  <c:v>7.4543462764620205E-3</c:v>
                </c:pt>
                <c:pt idx="58">
                  <c:v>-5.22907599256206E-3</c:v>
                </c:pt>
                <c:pt idx="59">
                  <c:v>3.7904084473492361E-3</c:v>
                </c:pt>
                <c:pt idx="60">
                  <c:v>6.3054809643483534E-3</c:v>
                </c:pt>
                <c:pt idx="61">
                  <c:v>1.1859033571406385E-2</c:v>
                </c:pt>
                <c:pt idx="62">
                  <c:v>4.8993149853537865E-4</c:v>
                </c:pt>
                <c:pt idx="63">
                  <c:v>1.5738922371808517E-3</c:v>
                </c:pt>
                <c:pt idx="64">
                  <c:v>2.6531245249579172E-3</c:v>
                </c:pt>
                <c:pt idx="65">
                  <c:v>4.8402018360047538E-3</c:v>
                </c:pt>
                <c:pt idx="66">
                  <c:v>7.6224487857978751E-4</c:v>
                </c:pt>
                <c:pt idx="67">
                  <c:v>-5.1246112442856484E-3</c:v>
                </c:pt>
                <c:pt idx="68">
                  <c:v>3.4109460016957804E-3</c:v>
                </c:pt>
                <c:pt idx="69">
                  <c:v>-2.7768471705424957E-4</c:v>
                </c:pt>
                <c:pt idx="70">
                  <c:v>6.7662181925096654E-3</c:v>
                </c:pt>
                <c:pt idx="71">
                  <c:v>-6.5498400304764282E-4</c:v>
                </c:pt>
                <c:pt idx="72">
                  <c:v>6.554132882667929E-4</c:v>
                </c:pt>
                <c:pt idx="73">
                  <c:v>-2.4471210783273412E-3</c:v>
                </c:pt>
                <c:pt idx="74">
                  <c:v>1.969095795856024E-3</c:v>
                </c:pt>
                <c:pt idx="75">
                  <c:v>8.6212537184171545E-4</c:v>
                </c:pt>
                <c:pt idx="76">
                  <c:v>8.9917610117338231E-3</c:v>
                </c:pt>
                <c:pt idx="77">
                  <c:v>-2.2193714674311193E-3</c:v>
                </c:pt>
                <c:pt idx="78">
                  <c:v>-6.1622301709629568E-4</c:v>
                </c:pt>
                <c:pt idx="79">
                  <c:v>4.6568521271241892E-3</c:v>
                </c:pt>
                <c:pt idx="80">
                  <c:v>1.5678513825985174E-3</c:v>
                </c:pt>
                <c:pt idx="81">
                  <c:v>5.1023396247829034E-4</c:v>
                </c:pt>
                <c:pt idx="82">
                  <c:v>-7.5162675746810459E-3</c:v>
                </c:pt>
                <c:pt idx="83">
                  <c:v>-2.1590625331597835E-3</c:v>
                </c:pt>
                <c:pt idx="84">
                  <c:v>9.7878837274871788E-3</c:v>
                </c:pt>
                <c:pt idx="85">
                  <c:v>-4.1154269318457448E-3</c:v>
                </c:pt>
                <c:pt idx="86">
                  <c:v>-1.6699420690646893E-2</c:v>
                </c:pt>
                <c:pt idx="87">
                  <c:v>-1.3893685879040607E-3</c:v>
                </c:pt>
                <c:pt idx="88">
                  <c:v>-3.0258911543242784E-3</c:v>
                </c:pt>
                <c:pt idx="89">
                  <c:v>5.0236774462599776E-3</c:v>
                </c:pt>
                <c:pt idx="90">
                  <c:v>-2.5130579523941265E-2</c:v>
                </c:pt>
                <c:pt idx="91">
                  <c:v>9.0439561247741551E-3</c:v>
                </c:pt>
                <c:pt idx="92">
                  <c:v>5.8573823021945692E-3</c:v>
                </c:pt>
                <c:pt idx="93">
                  <c:v>9.2611425035160622E-3</c:v>
                </c:pt>
                <c:pt idx="94">
                  <c:v>-6.4649667095842966E-3</c:v>
                </c:pt>
                <c:pt idx="95">
                  <c:v>-6.6120150424300306E-3</c:v>
                </c:pt>
                <c:pt idx="96">
                  <c:v>9.0157603784457585E-3</c:v>
                </c:pt>
                <c:pt idx="97">
                  <c:v>-3.0714620104941304E-3</c:v>
                </c:pt>
                <c:pt idx="98">
                  <c:v>-1.221852285532099E-2</c:v>
                </c:pt>
                <c:pt idx="99">
                  <c:v>2.2679391845987773E-3</c:v>
                </c:pt>
                <c:pt idx="100">
                  <c:v>-9.3003272691258854E-3</c:v>
                </c:pt>
                <c:pt idx="101">
                  <c:v>-6.7107235583429015E-3</c:v>
                </c:pt>
                <c:pt idx="102">
                  <c:v>2.7314155884416991E-3</c:v>
                </c:pt>
                <c:pt idx="103">
                  <c:v>-1.3475308923069473E-2</c:v>
                </c:pt>
                <c:pt idx="104">
                  <c:v>-2.5430398929512377E-3</c:v>
                </c:pt>
                <c:pt idx="105">
                  <c:v>2.1706592904030764E-2</c:v>
                </c:pt>
                <c:pt idx="106">
                  <c:v>8.6621411697758166E-3</c:v>
                </c:pt>
                <c:pt idx="107">
                  <c:v>6.5027928689886938E-3</c:v>
                </c:pt>
                <c:pt idx="108">
                  <c:v>1.0006919500294309E-2</c:v>
                </c:pt>
                <c:pt idx="109">
                  <c:v>4.5888775961673289E-3</c:v>
                </c:pt>
                <c:pt idx="110">
                  <c:v>-2.4207556964828125E-4</c:v>
                </c:pt>
                <c:pt idx="111">
                  <c:v>-1.7654460366652858E-3</c:v>
                </c:pt>
                <c:pt idx="112">
                  <c:v>4.1262068327951873E-3</c:v>
                </c:pt>
                <c:pt idx="113">
                  <c:v>-1.1047805460784321E-3</c:v>
                </c:pt>
                <c:pt idx="114">
                  <c:v>3.8004405313252221E-4</c:v>
                </c:pt>
                <c:pt idx="115">
                  <c:v>1.0470976044758995E-2</c:v>
                </c:pt>
                <c:pt idx="116">
                  <c:v>2.2572227148951463E-3</c:v>
                </c:pt>
                <c:pt idx="117">
                  <c:v>9.5543274147442681E-3</c:v>
                </c:pt>
                <c:pt idx="118">
                  <c:v>-1.4533352061634197E-3</c:v>
                </c:pt>
                <c:pt idx="119">
                  <c:v>-1.2244892460424595E-3</c:v>
                </c:pt>
                <c:pt idx="120">
                  <c:v>-9.8079308784824182E-3</c:v>
                </c:pt>
                <c:pt idx="121">
                  <c:v>-9.9748941822219717E-4</c:v>
                </c:pt>
                <c:pt idx="122">
                  <c:v>3.5459876382137878E-3</c:v>
                </c:pt>
                <c:pt idx="123">
                  <c:v>5.1459671354525671E-3</c:v>
                </c:pt>
                <c:pt idx="124">
                  <c:v>9.0782985721908904E-3</c:v>
                </c:pt>
                <c:pt idx="125">
                  <c:v>2.6043377025681824E-3</c:v>
                </c:pt>
                <c:pt idx="126">
                  <c:v>7.9948451963010037E-3</c:v>
                </c:pt>
                <c:pt idx="127">
                  <c:v>-1.1375420355421717E-3</c:v>
                </c:pt>
                <c:pt idx="128">
                  <c:v>-5.4949505137057431E-3</c:v>
                </c:pt>
                <c:pt idx="129">
                  <c:v>1.2465012718207991E-3</c:v>
                </c:pt>
                <c:pt idx="130">
                  <c:v>4.7781841226932631E-3</c:v>
                </c:pt>
                <c:pt idx="131">
                  <c:v>2.3439608848043747E-3</c:v>
                </c:pt>
                <c:pt idx="132">
                  <c:v>4.477307785043072E-3</c:v>
                </c:pt>
                <c:pt idx="133">
                  <c:v>3.3259706314914261E-4</c:v>
                </c:pt>
                <c:pt idx="134">
                  <c:v>-3.2253357584542952E-3</c:v>
                </c:pt>
                <c:pt idx="135">
                  <c:v>-6.8050996848206813E-3</c:v>
                </c:pt>
                <c:pt idx="136">
                  <c:v>3.6609765666177907E-3</c:v>
                </c:pt>
                <c:pt idx="137">
                  <c:v>-5.5549816592371792E-3</c:v>
                </c:pt>
                <c:pt idx="138">
                  <c:v>2.4564605027042052E-3</c:v>
                </c:pt>
                <c:pt idx="139">
                  <c:v>7.149973304838575E-3</c:v>
                </c:pt>
                <c:pt idx="140">
                  <c:v>4.6995605016622033E-3</c:v>
                </c:pt>
                <c:pt idx="141">
                  <c:v>-4.7769669998497521E-3</c:v>
                </c:pt>
                <c:pt idx="142">
                  <c:v>6.6999255780335609E-3</c:v>
                </c:pt>
                <c:pt idx="143">
                  <c:v>-1.8210360816482973E-3</c:v>
                </c:pt>
                <c:pt idx="144">
                  <c:v>-2.4547395484526557E-3</c:v>
                </c:pt>
                <c:pt idx="145">
                  <c:v>-1.0940405133010422E-2</c:v>
                </c:pt>
                <c:pt idx="146">
                  <c:v>-8.7080546608183651E-3</c:v>
                </c:pt>
                <c:pt idx="147">
                  <c:v>-7.5294596759712951E-3</c:v>
                </c:pt>
                <c:pt idx="148">
                  <c:v>-3.0073296832209273E-2</c:v>
                </c:pt>
                <c:pt idx="149">
                  <c:v>1.4023230890322758E-2</c:v>
                </c:pt>
                <c:pt idx="150">
                  <c:v>5.9045276939562186E-4</c:v>
                </c:pt>
                <c:pt idx="151">
                  <c:v>1.9620516067926808E-2</c:v>
                </c:pt>
                <c:pt idx="152">
                  <c:v>-6.8117097712169228E-3</c:v>
                </c:pt>
                <c:pt idx="153">
                  <c:v>-1.2173503432607369E-2</c:v>
                </c:pt>
                <c:pt idx="154">
                  <c:v>1.5551598490313845E-2</c:v>
                </c:pt>
                <c:pt idx="155">
                  <c:v>-2.956746111953068E-2</c:v>
                </c:pt>
                <c:pt idx="156">
                  <c:v>2.6418608781879627E-3</c:v>
                </c:pt>
                <c:pt idx="157">
                  <c:v>1.4754971812207085E-2</c:v>
                </c:pt>
                <c:pt idx="158">
                  <c:v>1.2047558359721489E-2</c:v>
                </c:pt>
                <c:pt idx="159">
                  <c:v>-7.6624308938766372E-3</c:v>
                </c:pt>
                <c:pt idx="160">
                  <c:v>8.1357083343238656E-3</c:v>
                </c:pt>
                <c:pt idx="161">
                  <c:v>-3.0799552515858863E-4</c:v>
                </c:pt>
                <c:pt idx="162">
                  <c:v>-2.5687531493255311E-2</c:v>
                </c:pt>
                <c:pt idx="163">
                  <c:v>1.1058318121464294E-2</c:v>
                </c:pt>
                <c:pt idx="164">
                  <c:v>-3.9232680005929499E-3</c:v>
                </c:pt>
                <c:pt idx="165">
                  <c:v>7.0414989153324559E-3</c:v>
                </c:pt>
                <c:pt idx="166">
                  <c:v>1.2772839888606224E-2</c:v>
                </c:pt>
                <c:pt idx="167">
                  <c:v>-4.4405747265807705E-4</c:v>
                </c:pt>
                <c:pt idx="168">
                  <c:v>-5.8474608788504634E-3</c:v>
                </c:pt>
                <c:pt idx="169">
                  <c:v>1.1350524166945153E-2</c:v>
                </c:pt>
                <c:pt idx="170">
                  <c:v>1.2855343936802432E-2</c:v>
                </c:pt>
                <c:pt idx="171">
                  <c:v>7.7210870531607689E-4</c:v>
                </c:pt>
                <c:pt idx="172">
                  <c:v>5.0313408929425485E-4</c:v>
                </c:pt>
                <c:pt idx="173">
                  <c:v>-2.3442402756190805E-4</c:v>
                </c:pt>
                <c:pt idx="174">
                  <c:v>7.1110659993987024E-3</c:v>
                </c:pt>
                <c:pt idx="175">
                  <c:v>3.4636396230398603E-3</c:v>
                </c:pt>
                <c:pt idx="176">
                  <c:v>-6.6377772347936403E-4</c:v>
                </c:pt>
                <c:pt idx="177">
                  <c:v>-3.0888066794428903E-3</c:v>
                </c:pt>
                <c:pt idx="178">
                  <c:v>2.5320226140375102E-3</c:v>
                </c:pt>
                <c:pt idx="179">
                  <c:v>5.9832556261696368E-4</c:v>
                </c:pt>
                <c:pt idx="180">
                  <c:v>-6.665424090834815E-5</c:v>
                </c:pt>
                <c:pt idx="181">
                  <c:v>-4.7246061420072039E-3</c:v>
                </c:pt>
                <c:pt idx="182">
                  <c:v>-2.3490237828327487E-4</c:v>
                </c:pt>
                <c:pt idx="183">
                  <c:v>-7.8467316343948657E-3</c:v>
                </c:pt>
                <c:pt idx="184">
                  <c:v>5.914872502925661E-3</c:v>
                </c:pt>
                <c:pt idx="185">
                  <c:v>-2.0833618018182287E-3</c:v>
                </c:pt>
                <c:pt idx="186">
                  <c:v>-5.3872885137526971E-3</c:v>
                </c:pt>
                <c:pt idx="187">
                  <c:v>4.6379085305425782E-3</c:v>
                </c:pt>
                <c:pt idx="188">
                  <c:v>-1.1894685434576502E-2</c:v>
                </c:pt>
                <c:pt idx="189">
                  <c:v>-1.7664723724882592E-2</c:v>
                </c:pt>
                <c:pt idx="190">
                  <c:v>8.19268067600043E-3</c:v>
                </c:pt>
                <c:pt idx="191">
                  <c:v>1.3532433293560908E-2</c:v>
                </c:pt>
                <c:pt idx="192">
                  <c:v>-4.3149860914807325E-3</c:v>
                </c:pt>
                <c:pt idx="193">
                  <c:v>-1.5524594215198473E-2</c:v>
                </c:pt>
                <c:pt idx="194">
                  <c:v>9.4962299172727249E-3</c:v>
                </c:pt>
                <c:pt idx="195">
                  <c:v>6.7636483545621129E-3</c:v>
                </c:pt>
                <c:pt idx="196">
                  <c:v>1.0366933239633003E-2</c:v>
                </c:pt>
                <c:pt idx="197">
                  <c:v>-1.1137145108082169E-3</c:v>
                </c:pt>
                <c:pt idx="198">
                  <c:v>9.9002461816455334E-3</c:v>
                </c:pt>
                <c:pt idx="199">
                  <c:v>-1.6060418292435097E-3</c:v>
                </c:pt>
                <c:pt idx="200">
                  <c:v>2.9491258654614771E-3</c:v>
                </c:pt>
                <c:pt idx="201">
                  <c:v>-4.377303717420733E-3</c:v>
                </c:pt>
                <c:pt idx="202">
                  <c:v>6.7792308327232487E-3</c:v>
                </c:pt>
                <c:pt idx="203">
                  <c:v>-3.2667921957212354E-3</c:v>
                </c:pt>
                <c:pt idx="204">
                  <c:v>2.9098642355620541E-3</c:v>
                </c:pt>
                <c:pt idx="205">
                  <c:v>1.6338349044284772E-3</c:v>
                </c:pt>
                <c:pt idx="206">
                  <c:v>4.0947370085677726E-3</c:v>
                </c:pt>
                <c:pt idx="207">
                  <c:v>5.6368497805041606E-3</c:v>
                </c:pt>
                <c:pt idx="208">
                  <c:v>-2.9698879450412718E-4</c:v>
                </c:pt>
                <c:pt idx="209">
                  <c:v>3.0674352534953986E-3</c:v>
                </c:pt>
                <c:pt idx="210">
                  <c:v>-2.6633055816749351E-3</c:v>
                </c:pt>
                <c:pt idx="211">
                  <c:v>9.2636755713975116E-3</c:v>
                </c:pt>
                <c:pt idx="212">
                  <c:v>4.017875200641452E-3</c:v>
                </c:pt>
                <c:pt idx="213">
                  <c:v>-1.1062875779210835E-3</c:v>
                </c:pt>
                <c:pt idx="214">
                  <c:v>2.2799855959121373E-4</c:v>
                </c:pt>
                <c:pt idx="215">
                  <c:v>3.5168431404257738E-3</c:v>
                </c:pt>
                <c:pt idx="216">
                  <c:v>2.4660645934493353E-3</c:v>
                </c:pt>
                <c:pt idx="217">
                  <c:v>-1.9096652667247582E-3</c:v>
                </c:pt>
                <c:pt idx="218">
                  <c:v>2.1080006190454803E-3</c:v>
                </c:pt>
                <c:pt idx="219">
                  <c:v>3.236809560953624E-4</c:v>
                </c:pt>
                <c:pt idx="220">
                  <c:v>1.4558355069576034E-3</c:v>
                </c:pt>
                <c:pt idx="221">
                  <c:v>7.236274515079133E-3</c:v>
                </c:pt>
                <c:pt idx="222">
                  <c:v>7.3752484978029109E-4</c:v>
                </c:pt>
                <c:pt idx="223">
                  <c:v>-2.8848284766291865E-4</c:v>
                </c:pt>
                <c:pt idx="224">
                  <c:v>-3.7185716147317693E-3</c:v>
                </c:pt>
                <c:pt idx="225">
                  <c:v>-1.6087732119962617E-3</c:v>
                </c:pt>
                <c:pt idx="226">
                  <c:v>2.2237294880016467E-3</c:v>
                </c:pt>
                <c:pt idx="227">
                  <c:v>7.7500138778536787E-3</c:v>
                </c:pt>
                <c:pt idx="228">
                  <c:v>2.2657915328754274E-3</c:v>
                </c:pt>
                <c:pt idx="229">
                  <c:v>4.4575313753276724E-3</c:v>
                </c:pt>
                <c:pt idx="230">
                  <c:v>-3.7085441386669471E-3</c:v>
                </c:pt>
                <c:pt idx="231">
                  <c:v>-8.4949273196489594E-3</c:v>
                </c:pt>
                <c:pt idx="232">
                  <c:v>-6.7063858748162009E-3</c:v>
                </c:pt>
                <c:pt idx="233">
                  <c:v>6.1701979268837803E-3</c:v>
                </c:pt>
                <c:pt idx="234">
                  <c:v>1.7978453088527413E-3</c:v>
                </c:pt>
                <c:pt idx="235">
                  <c:v>9.1341403618585559E-3</c:v>
                </c:pt>
                <c:pt idx="236">
                  <c:v>-3.144186464518306E-3</c:v>
                </c:pt>
                <c:pt idx="237">
                  <c:v>-1.1151172735409665E-3</c:v>
                </c:pt>
                <c:pt idx="238">
                  <c:v>2.8390305445218367E-3</c:v>
                </c:pt>
                <c:pt idx="239">
                  <c:v>8.618726328923465E-3</c:v>
                </c:pt>
                <c:pt idx="240">
                  <c:v>5.993204860199608E-4</c:v>
                </c:pt>
                <c:pt idx="241">
                  <c:v>6.8699023549014804E-3</c:v>
                </c:pt>
                <c:pt idx="242">
                  <c:v>2.1900081360515244E-4</c:v>
                </c:pt>
                <c:pt idx="243">
                  <c:v>6.2513193051172422E-5</c:v>
                </c:pt>
                <c:pt idx="244">
                  <c:v>4.0990304747494655E-3</c:v>
                </c:pt>
                <c:pt idx="245">
                  <c:v>4.384146144083001E-3</c:v>
                </c:pt>
                <c:pt idx="246">
                  <c:v>1.5279367411606959E-3</c:v>
                </c:pt>
                <c:pt idx="247">
                  <c:v>3.1291696136248603E-5</c:v>
                </c:pt>
                <c:pt idx="248">
                  <c:v>5.3230009570153225E-3</c:v>
                </c:pt>
                <c:pt idx="249">
                  <c:v>-2.477269805444271E-4</c:v>
                </c:pt>
                <c:pt idx="250">
                  <c:v>-5.5131741409409907E-3</c:v>
                </c:pt>
                <c:pt idx="251">
                  <c:v>2.429284132216436E-3</c:v>
                </c:pt>
                <c:pt idx="252">
                  <c:v>9.3519476053978146E-3</c:v>
                </c:pt>
                <c:pt idx="253">
                  <c:v>-7.5723684143397252E-3</c:v>
                </c:pt>
                <c:pt idx="254">
                  <c:v>3.8151221524171941E-3</c:v>
                </c:pt>
                <c:pt idx="255">
                  <c:v>-2.8116664694741722E-3</c:v>
                </c:pt>
                <c:pt idx="256">
                  <c:v>5.3294063013271664E-3</c:v>
                </c:pt>
                <c:pt idx="257">
                  <c:v>6.7805888254892643E-3</c:v>
                </c:pt>
                <c:pt idx="258">
                  <c:v>-2.8775877164930463E-3</c:v>
                </c:pt>
                <c:pt idx="259">
                  <c:v>6.8773101429462358E-3</c:v>
                </c:pt>
                <c:pt idx="260">
                  <c:v>-1.5245543019364316E-3</c:v>
                </c:pt>
                <c:pt idx="261">
                  <c:v>2.2598238469915266E-3</c:v>
                </c:pt>
                <c:pt idx="262">
                  <c:v>8.3183513046241053E-3</c:v>
                </c:pt>
                <c:pt idx="263">
                  <c:v>3.1125841844226176E-3</c:v>
                </c:pt>
                <c:pt idx="264">
                  <c:v>-1.9582914541771412E-3</c:v>
                </c:pt>
                <c:pt idx="265">
                  <c:v>1.2088041649360726E-4</c:v>
                </c:pt>
                <c:pt idx="266">
                  <c:v>1.1468400632714815E-3</c:v>
                </c:pt>
                <c:pt idx="267">
                  <c:v>-8.893020757739345E-3</c:v>
                </c:pt>
                <c:pt idx="268">
                  <c:v>-1.6029449982491228E-2</c:v>
                </c:pt>
                <c:pt idx="269">
                  <c:v>1.0479167156578262E-2</c:v>
                </c:pt>
                <c:pt idx="270">
                  <c:v>-8.2605585334016851E-4</c:v>
                </c:pt>
                <c:pt idx="271">
                  <c:v>3.2453036616320041E-3</c:v>
                </c:pt>
                <c:pt idx="272">
                  <c:v>-1.8157733271125243E-2</c:v>
                </c:pt>
                <c:pt idx="273">
                  <c:v>7.4283563475028291E-3</c:v>
                </c:pt>
                <c:pt idx="274">
                  <c:v>1.5241411206402766E-2</c:v>
                </c:pt>
                <c:pt idx="275">
                  <c:v>1.1547949040223271E-2</c:v>
                </c:pt>
                <c:pt idx="276">
                  <c:v>3.3646949694974282E-3</c:v>
                </c:pt>
                <c:pt idx="277">
                  <c:v>-5.3294194193188593E-3</c:v>
                </c:pt>
                <c:pt idx="278">
                  <c:v>7.4653180454942181E-3</c:v>
                </c:pt>
                <c:pt idx="279">
                  <c:v>1.7329344383234524E-3</c:v>
                </c:pt>
                <c:pt idx="280">
                  <c:v>6.442883956364609E-3</c:v>
                </c:pt>
                <c:pt idx="281">
                  <c:v>-1.067065733103334E-3</c:v>
                </c:pt>
                <c:pt idx="282">
                  <c:v>1.6019769180690702E-3</c:v>
                </c:pt>
                <c:pt idx="283">
                  <c:v>-2.5769673576750973E-3</c:v>
                </c:pt>
                <c:pt idx="284">
                  <c:v>4.7813606495197281E-3</c:v>
                </c:pt>
                <c:pt idx="285">
                  <c:v>-4.1082056198763484E-3</c:v>
                </c:pt>
                <c:pt idx="286">
                  <c:v>-1.0298487506935738E-2</c:v>
                </c:pt>
                <c:pt idx="287">
                  <c:v>-3.316529144442959E-2</c:v>
                </c:pt>
                <c:pt idx="288">
                  <c:v>-3.0302182711582137E-2</c:v>
                </c:pt>
                <c:pt idx="289">
                  <c:v>-3.67803345316009E-3</c:v>
                </c:pt>
                <c:pt idx="290">
                  <c:v>-4.49117397460993E-2</c:v>
                </c:pt>
                <c:pt idx="291">
                  <c:v>-4.2014654718900424E-3</c:v>
                </c:pt>
                <c:pt idx="292">
                  <c:v>4.3306509016265649E-2</c:v>
                </c:pt>
                <c:pt idx="293">
                  <c:v>-2.863257294479471E-2</c:v>
                </c:pt>
                <c:pt idx="294">
                  <c:v>4.2033197005585166E-2</c:v>
                </c:pt>
                <c:pt idx="295">
                  <c:v>-3.3241639322092342E-2</c:v>
                </c:pt>
                <c:pt idx="296">
                  <c:v>-1.6531234885791668E-2</c:v>
                </c:pt>
                <c:pt idx="297">
                  <c:v>-7.809431477042228E-2</c:v>
                </c:pt>
                <c:pt idx="298">
                  <c:v>5.1744610896743204E-2</c:v>
                </c:pt>
                <c:pt idx="299">
                  <c:v>-4.8748644923318873E-2</c:v>
                </c:pt>
                <c:pt idx="300">
                  <c:v>-9.5676968124166484E-2</c:v>
                </c:pt>
                <c:pt idx="301">
                  <c:v>8.5486278138590777E-2</c:v>
                </c:pt>
                <c:pt idx="302">
                  <c:v>-0.10942372079277363</c:v>
                </c:pt>
                <c:pt idx="303">
                  <c:v>5.3992231433475091E-2</c:v>
                </c:pt>
                <c:pt idx="304">
                  <c:v>-5.0632934346107938E-2</c:v>
                </c:pt>
                <c:pt idx="305">
                  <c:v>2.1248587816524722E-3</c:v>
                </c:pt>
                <c:pt idx="306">
                  <c:v>-4.3094152764281524E-2</c:v>
                </c:pt>
                <c:pt idx="307">
                  <c:v>-2.5568231295662658E-2</c:v>
                </c:pt>
                <c:pt idx="308">
                  <c:v>9.0603173390269021E-2</c:v>
                </c:pt>
                <c:pt idx="309">
                  <c:v>1.4970367197915779E-2</c:v>
                </c:pt>
                <c:pt idx="310">
                  <c:v>5.8389675049631329E-2</c:v>
                </c:pt>
                <c:pt idx="311">
                  <c:v>-2.9785631870702156E-2</c:v>
                </c:pt>
                <c:pt idx="312">
                  <c:v>3.247570114420717E-2</c:v>
                </c:pt>
                <c:pt idx="313">
                  <c:v>-1.4905396626175849E-2</c:v>
                </c:pt>
                <c:pt idx="314">
                  <c:v>-4.5004889117887692E-2</c:v>
                </c:pt>
                <c:pt idx="315">
                  <c:v>2.3075417412981913E-2</c:v>
                </c:pt>
                <c:pt idx="316">
                  <c:v>-1.445418113920216E-2</c:v>
                </c:pt>
                <c:pt idx="317">
                  <c:v>6.7166103351828266E-2</c:v>
                </c:pt>
                <c:pt idx="318">
                  <c:v>1.0195662079719447E-3</c:v>
                </c:pt>
                <c:pt idx="319">
                  <c:v>3.3568277977527483E-2</c:v>
                </c:pt>
                <c:pt idx="320">
                  <c:v>1.521757144493896E-2</c:v>
                </c:pt>
                <c:pt idx="321">
                  <c:v>-9.1304112559082995E-3</c:v>
                </c:pt>
                <c:pt idx="322">
                  <c:v>2.949318803992762E-2</c:v>
                </c:pt>
                <c:pt idx="323">
                  <c:v>-2.1248334917558176E-2</c:v>
                </c:pt>
                <c:pt idx="324">
                  <c:v>4.8244014919918143E-3</c:v>
                </c:pt>
                <c:pt idx="325">
                  <c:v>2.7015323180031192E-2</c:v>
                </c:pt>
                <c:pt idx="326">
                  <c:v>-1.7617885070112749E-2</c:v>
                </c:pt>
                <c:pt idx="327">
                  <c:v>-3.0363185873587106E-2</c:v>
                </c:pt>
                <c:pt idx="328">
                  <c:v>2.2194484986830076E-2</c:v>
                </c:pt>
                <c:pt idx="329">
                  <c:v>-7.1610751411377294E-5</c:v>
                </c:pt>
                <c:pt idx="330">
                  <c:v>1.3938666150070667E-2</c:v>
                </c:pt>
                <c:pt idx="331">
                  <c:v>1.4418503793647286E-2</c:v>
                </c:pt>
                <c:pt idx="332">
                  <c:v>-4.5984161758955144E-3</c:v>
                </c:pt>
                <c:pt idx="333">
                  <c:v>2.6178396589441766E-2</c:v>
                </c:pt>
                <c:pt idx="334">
                  <c:v>-9.3106847157256034E-3</c:v>
                </c:pt>
                <c:pt idx="335">
                  <c:v>-2.6473434614380675E-2</c:v>
                </c:pt>
                <c:pt idx="336">
                  <c:v>2.7581839698547217E-3</c:v>
                </c:pt>
                <c:pt idx="337">
                  <c:v>9.2393223075446507E-3</c:v>
                </c:pt>
                <c:pt idx="338">
                  <c:v>-6.7786188044510753E-3</c:v>
                </c:pt>
                <c:pt idx="339">
                  <c:v>1.2066707504521768E-2</c:v>
                </c:pt>
                <c:pt idx="340">
                  <c:v>1.6546250256828987E-2</c:v>
                </c:pt>
                <c:pt idx="341">
                  <c:v>2.0525351794287161E-4</c:v>
                </c:pt>
                <c:pt idx="342">
                  <c:v>-1.9931764438237076E-2</c:v>
                </c:pt>
                <c:pt idx="343">
                  <c:v>-1.7685869532278908E-2</c:v>
                </c:pt>
                <c:pt idx="344">
                  <c:v>1.1967449132084251E-2</c:v>
                </c:pt>
                <c:pt idx="345">
                  <c:v>4.5969105308356628E-3</c:v>
                </c:pt>
                <c:pt idx="346">
                  <c:v>3.0459738870395325E-2</c:v>
                </c:pt>
                <c:pt idx="347">
                  <c:v>-1.0271423472739571E-2</c:v>
                </c:pt>
                <c:pt idx="348">
                  <c:v>1.6988332640760939E-2</c:v>
                </c:pt>
                <c:pt idx="349">
                  <c:v>-6.9039681366674932E-3</c:v>
                </c:pt>
                <c:pt idx="350">
                  <c:v>1.8992088695075626E-3</c:v>
                </c:pt>
                <c:pt idx="351">
                  <c:v>1.232032001094896E-2</c:v>
                </c:pt>
                <c:pt idx="352">
                  <c:v>1.4878998564581858E-2</c:v>
                </c:pt>
                <c:pt idx="353">
                  <c:v>-1.84487583286852E-3</c:v>
                </c:pt>
                <c:pt idx="354">
                  <c:v>4.4557372155122899E-3</c:v>
                </c:pt>
                <c:pt idx="355">
                  <c:v>4.0419148579609043E-3</c:v>
                </c:pt>
                <c:pt idx="356">
                  <c:v>8.279915927419168E-3</c:v>
                </c:pt>
                <c:pt idx="357">
                  <c:v>1.3308512660076266E-2</c:v>
                </c:pt>
                <c:pt idx="358">
                  <c:v>-2.6267651816855864E-3</c:v>
                </c:pt>
                <c:pt idx="359">
                  <c:v>2.5629600938956276E-2</c:v>
                </c:pt>
                <c:pt idx="360">
                  <c:v>1.2087405804400042E-2</c:v>
                </c:pt>
                <c:pt idx="361">
                  <c:v>-7.4566104845250614E-3</c:v>
                </c:pt>
                <c:pt idx="362">
                  <c:v>-5.5800065642890306E-3</c:v>
                </c:pt>
                <c:pt idx="363">
                  <c:v>-5.7649086209779044E-2</c:v>
                </c:pt>
                <c:pt idx="364">
                  <c:v>1.1975780154728222E-2</c:v>
                </c:pt>
                <c:pt idx="365">
                  <c:v>9.3356800993726896E-3</c:v>
                </c:pt>
                <c:pt idx="366">
                  <c:v>1.92476355416209E-2</c:v>
                </c:pt>
                <c:pt idx="367">
                  <c:v>-4.1538465706363326E-3</c:v>
                </c:pt>
                <c:pt idx="368">
                  <c:v>3.8487660475250429E-4</c:v>
                </c:pt>
                <c:pt idx="369">
                  <c:v>-5.7148208956896429E-3</c:v>
                </c:pt>
                <c:pt idx="370">
                  <c:v>6.4153997017057929E-3</c:v>
                </c:pt>
                <c:pt idx="371">
                  <c:v>4.6034039348983313E-3</c:v>
                </c:pt>
                <c:pt idx="372">
                  <c:v>-2.5508816051501793E-2</c:v>
                </c:pt>
                <c:pt idx="373">
                  <c:v>1.0720578135614334E-2</c:v>
                </c:pt>
                <c:pt idx="374">
                  <c:v>-2.375132013600123E-2</c:v>
                </c:pt>
                <c:pt idx="375">
                  <c:v>1.4697485290460222E-2</c:v>
                </c:pt>
                <c:pt idx="376">
                  <c:v>1.2809426603906937E-2</c:v>
                </c:pt>
                <c:pt idx="377">
                  <c:v>7.0049919797676719E-3</c:v>
                </c:pt>
                <c:pt idx="378">
                  <c:v>5.5069486597416617E-3</c:v>
                </c:pt>
                <c:pt idx="379">
                  <c:v>1.5437245461707549E-2</c:v>
                </c:pt>
                <c:pt idx="380">
                  <c:v>-1.0313733360423849E-2</c:v>
                </c:pt>
                <c:pt idx="381">
                  <c:v>7.6487346792095678E-3</c:v>
                </c:pt>
                <c:pt idx="382">
                  <c:v>-5.6929845453245198E-3</c:v>
                </c:pt>
                <c:pt idx="383">
                  <c:v>1.0210430238554391E-2</c:v>
                </c:pt>
                <c:pt idx="384">
                  <c:v>-8.658948363955421E-3</c:v>
                </c:pt>
                <c:pt idx="385">
                  <c:v>1.295906202646524E-2</c:v>
                </c:pt>
                <c:pt idx="386">
                  <c:v>9.1872724542343409E-3</c:v>
                </c:pt>
                <c:pt idx="387">
                  <c:v>-3.2933727796681245E-3</c:v>
                </c:pt>
                <c:pt idx="388">
                  <c:v>2.8988786437762482E-3</c:v>
                </c:pt>
                <c:pt idx="389">
                  <c:v>8.0815411882357857E-3</c:v>
                </c:pt>
                <c:pt idx="390">
                  <c:v>2.1278272971125833E-3</c:v>
                </c:pt>
                <c:pt idx="391">
                  <c:v>5.6918631014402088E-3</c:v>
                </c:pt>
                <c:pt idx="392">
                  <c:v>-1.193168044074322E-2</c:v>
                </c:pt>
                <c:pt idx="393">
                  <c:v>-6.4402905510494435E-3</c:v>
                </c:pt>
                <c:pt idx="394">
                  <c:v>7.292364554599251E-3</c:v>
                </c:pt>
                <c:pt idx="395">
                  <c:v>-6.3425647412930219E-3</c:v>
                </c:pt>
                <c:pt idx="396">
                  <c:v>1.2298753320890254E-2</c:v>
                </c:pt>
                <c:pt idx="397">
                  <c:v>-3.5677373103053522E-3</c:v>
                </c:pt>
                <c:pt idx="398">
                  <c:v>7.9019311780266221E-3</c:v>
                </c:pt>
                <c:pt idx="399">
                  <c:v>6.952424166833282E-3</c:v>
                </c:pt>
                <c:pt idx="400">
                  <c:v>3.8624238846853842E-3</c:v>
                </c:pt>
                <c:pt idx="401">
                  <c:v>6.2112231296855835E-3</c:v>
                </c:pt>
                <c:pt idx="402">
                  <c:v>6.6843685246342766E-3</c:v>
                </c:pt>
                <c:pt idx="403">
                  <c:v>7.1783078183740301E-4</c:v>
                </c:pt>
                <c:pt idx="404">
                  <c:v>2.9889764682098363E-3</c:v>
                </c:pt>
                <c:pt idx="405">
                  <c:v>-8.2545811931474811E-3</c:v>
                </c:pt>
                <c:pt idx="406">
                  <c:v>1.3942188661090427E-2</c:v>
                </c:pt>
                <c:pt idx="407">
                  <c:v>-1.8077118692871874E-3</c:v>
                </c:pt>
                <c:pt idx="408">
                  <c:v>2.9728210360957519E-5</c:v>
                </c:pt>
                <c:pt idx="409">
                  <c:v>3.1767242652422922E-3</c:v>
                </c:pt>
                <c:pt idx="410">
                  <c:v>2.1604052080028691E-3</c:v>
                </c:pt>
                <c:pt idx="411">
                  <c:v>-4.1638393928231654E-3</c:v>
                </c:pt>
                <c:pt idx="412">
                  <c:v>3.1135750070379054E-3</c:v>
                </c:pt>
                <c:pt idx="413">
                  <c:v>3.5473392851324004E-3</c:v>
                </c:pt>
                <c:pt idx="414">
                  <c:v>1.0133324577059399E-2</c:v>
                </c:pt>
                <c:pt idx="415">
                  <c:v>3.4992493651837542E-3</c:v>
                </c:pt>
                <c:pt idx="416">
                  <c:v>1.0025603872449329E-2</c:v>
                </c:pt>
                <c:pt idx="417">
                  <c:v>2.1865091370856238E-3</c:v>
                </c:pt>
                <c:pt idx="418">
                  <c:v>6.4593515923945244E-3</c:v>
                </c:pt>
                <c:pt idx="419">
                  <c:v>-3.6225394267189737E-3</c:v>
                </c:pt>
                <c:pt idx="420">
                  <c:v>9.4184637463441412E-3</c:v>
                </c:pt>
                <c:pt idx="421">
                  <c:v>1.4464114562413144E-2</c:v>
                </c:pt>
                <c:pt idx="422">
                  <c:v>-3.4414294048789706E-2</c:v>
                </c:pt>
                <c:pt idx="423">
                  <c:v>-8.1647476389468121E-3</c:v>
                </c:pt>
                <c:pt idx="424">
                  <c:v>-2.7322770896333393E-2</c:v>
                </c:pt>
                <c:pt idx="425">
                  <c:v>1.9747179391700787E-2</c:v>
                </c:pt>
                <c:pt idx="426">
                  <c:v>-1.7363572610475275E-2</c:v>
                </c:pt>
                <c:pt idx="427">
                  <c:v>5.0923557109960882E-4</c:v>
                </c:pt>
                <c:pt idx="428">
                  <c:v>1.3171189351432355E-2</c:v>
                </c:pt>
                <c:pt idx="429">
                  <c:v>5.0525348238807943E-3</c:v>
                </c:pt>
                <c:pt idx="430">
                  <c:v>-3.9688746858660418E-3</c:v>
                </c:pt>
                <c:pt idx="431">
                  <c:v>-8.79534446521546E-3</c:v>
                </c:pt>
                <c:pt idx="432">
                  <c:v>-1.151262919765339E-2</c:v>
                </c:pt>
                <c:pt idx="433">
                  <c:v>-1.1129386900808003E-2</c:v>
                </c:pt>
                <c:pt idx="434">
                  <c:v>1.0184302329772299E-2</c:v>
                </c:pt>
                <c:pt idx="435">
                  <c:v>-2.3190933877250353E-2</c:v>
                </c:pt>
                <c:pt idx="436">
                  <c:v>2.6652507178661633E-3</c:v>
                </c:pt>
                <c:pt idx="437">
                  <c:v>1.6167026376602722E-2</c:v>
                </c:pt>
                <c:pt idx="438">
                  <c:v>1.6609314095046512E-2</c:v>
                </c:pt>
                <c:pt idx="439">
                  <c:v>-5.4460159500625549E-3</c:v>
                </c:pt>
                <c:pt idx="440">
                  <c:v>7.581928774354818E-3</c:v>
                </c:pt>
                <c:pt idx="441">
                  <c:v>6.4200032845178612E-3</c:v>
                </c:pt>
                <c:pt idx="442">
                  <c:v>-9.4944139916489645E-3</c:v>
                </c:pt>
                <c:pt idx="443">
                  <c:v>1.7733135478033457E-2</c:v>
                </c:pt>
                <c:pt idx="444">
                  <c:v>-1.4215853333956918E-2</c:v>
                </c:pt>
                <c:pt idx="445">
                  <c:v>1.740649670567751E-2</c:v>
                </c:pt>
                <c:pt idx="446">
                  <c:v>8.8627572308157543E-3</c:v>
                </c:pt>
                <c:pt idx="447">
                  <c:v>8.9298579172683024E-3</c:v>
                </c:pt>
                <c:pt idx="448">
                  <c:v>1.608765387308897E-2</c:v>
                </c:pt>
                <c:pt idx="449">
                  <c:v>-6.5259418269143499E-3</c:v>
                </c:pt>
                <c:pt idx="450">
                  <c:v>-6.2834285511884636E-3</c:v>
                </c:pt>
                <c:pt idx="451">
                  <c:v>-1.2359882917148957E-3</c:v>
                </c:pt>
                <c:pt idx="452">
                  <c:v>-6.0431789816506321E-4</c:v>
                </c:pt>
                <c:pt idx="453">
                  <c:v>-1.5203319971800577E-2</c:v>
                </c:pt>
                <c:pt idx="454">
                  <c:v>4.0056974321642791E-3</c:v>
                </c:pt>
                <c:pt idx="455">
                  <c:v>-1.8930668382398652E-3</c:v>
                </c:pt>
                <c:pt idx="456">
                  <c:v>5.4853640330010389E-3</c:v>
                </c:pt>
                <c:pt idx="457">
                  <c:v>3.3954004435843288E-3</c:v>
                </c:pt>
                <c:pt idx="458">
                  <c:v>-1.8480018393658981E-2</c:v>
                </c:pt>
                <c:pt idx="459">
                  <c:v>-3.4473425110700395E-3</c:v>
                </c:pt>
                <c:pt idx="460">
                  <c:v>-3.4178922648210652E-2</c:v>
                </c:pt>
                <c:pt idx="461">
                  <c:v>1.0163436131759074E-2</c:v>
                </c:pt>
                <c:pt idx="462">
                  <c:v>-1.042490629153503E-2</c:v>
                </c:pt>
                <c:pt idx="463">
                  <c:v>1.1208475494422609E-2</c:v>
                </c:pt>
                <c:pt idx="464">
                  <c:v>1.7655932427571353E-2</c:v>
                </c:pt>
                <c:pt idx="465">
                  <c:v>2.2349169965382609E-2</c:v>
                </c:pt>
                <c:pt idx="466">
                  <c:v>1.9502929590644147E-2</c:v>
                </c:pt>
                <c:pt idx="467">
                  <c:v>-2.2851945269286578E-4</c:v>
                </c:pt>
                <c:pt idx="468">
                  <c:v>1.2565606819357811E-2</c:v>
                </c:pt>
                <c:pt idx="469">
                  <c:v>-1.4665597339570402E-3</c:v>
                </c:pt>
                <c:pt idx="470">
                  <c:v>7.4286052707084327E-3</c:v>
                </c:pt>
                <c:pt idx="471">
                  <c:v>-9.700988501003982E-3</c:v>
                </c:pt>
                <c:pt idx="472">
                  <c:v>1.3844561449388282E-2</c:v>
                </c:pt>
                <c:pt idx="473">
                  <c:v>1.2482558170378466E-2</c:v>
                </c:pt>
                <c:pt idx="474">
                  <c:v>-5.3784449746822061E-3</c:v>
                </c:pt>
                <c:pt idx="475">
                  <c:v>-1.2034678771105756E-2</c:v>
                </c:pt>
                <c:pt idx="476">
                  <c:v>4.2102181329668475E-3</c:v>
                </c:pt>
                <c:pt idx="477">
                  <c:v>-6.847884652961489E-3</c:v>
                </c:pt>
                <c:pt idx="478">
                  <c:v>5.994565649161343E-3</c:v>
                </c:pt>
                <c:pt idx="479">
                  <c:v>1.611365943348253E-2</c:v>
                </c:pt>
                <c:pt idx="480">
                  <c:v>-1.5417685533732906E-3</c:v>
                </c:pt>
                <c:pt idx="481">
                  <c:v>2.7851057234840049E-3</c:v>
                </c:pt>
                <c:pt idx="482">
                  <c:v>-4.4271845340466687E-3</c:v>
                </c:pt>
                <c:pt idx="483">
                  <c:v>1.0937222472905406E-2</c:v>
                </c:pt>
                <c:pt idx="484">
                  <c:v>2.1038025125887927E-3</c:v>
                </c:pt>
                <c:pt idx="485">
                  <c:v>-2.7267522785101583E-4</c:v>
                </c:pt>
                <c:pt idx="486">
                  <c:v>8.6178365304656612E-3</c:v>
                </c:pt>
                <c:pt idx="487">
                  <c:v>-2.0550498116275184E-3</c:v>
                </c:pt>
                <c:pt idx="488">
                  <c:v>2.9261579402954929E-3</c:v>
                </c:pt>
                <c:pt idx="489">
                  <c:v>-8.9688204984695874E-3</c:v>
                </c:pt>
                <c:pt idx="490">
                  <c:v>-3.2725765390118067E-4</c:v>
                </c:pt>
                <c:pt idx="491">
                  <c:v>-1.1723674397928763E-3</c:v>
                </c:pt>
                <c:pt idx="492">
                  <c:v>-4.4771625747747068E-3</c:v>
                </c:pt>
                <c:pt idx="493">
                  <c:v>1.351933097405067E-2</c:v>
                </c:pt>
                <c:pt idx="494">
                  <c:v>1.5693338864144479E-3</c:v>
                </c:pt>
                <c:pt idx="495">
                  <c:v>5.5919146289677979E-3</c:v>
                </c:pt>
                <c:pt idx="496">
                  <c:v>-3.9929056757369574E-3</c:v>
                </c:pt>
                <c:pt idx="497">
                  <c:v>-3.5755494664578835E-3</c:v>
                </c:pt>
                <c:pt idx="498">
                  <c:v>-1.6853497505238124E-3</c:v>
                </c:pt>
                <c:pt idx="499">
                  <c:v>8.9869286658483816E-4</c:v>
                </c:pt>
                <c:pt idx="500">
                  <c:v>3.8903637545384395E-3</c:v>
                </c:pt>
                <c:pt idx="501">
                  <c:v>8.5908137835792875E-3</c:v>
                </c:pt>
                <c:pt idx="502">
                  <c:v>-1.9076701567345422E-3</c:v>
                </c:pt>
                <c:pt idx="503">
                  <c:v>1.4266350002845041E-3</c:v>
                </c:pt>
                <c:pt idx="504">
                  <c:v>5.0808532531914086E-3</c:v>
                </c:pt>
              </c:numCache>
            </c:numRef>
          </c:val>
          <c:smooth val="0"/>
          <c:extLst>
            <c:ext xmlns:c16="http://schemas.microsoft.com/office/drawing/2014/chart" uri="{C3380CC4-5D6E-409C-BE32-E72D297353CC}">
              <c16:uniqueId val="{00000002-ECCA-40F4-A6BF-39D8482BDE9B}"/>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1"/>
          <c:order val="1"/>
          <c:tx>
            <c:v>Sample 2 (rhs)</c:v>
          </c:tx>
          <c:spPr>
            <a:ln w="12700" cap="rnd">
              <a:solidFill>
                <a:schemeClr val="accent2"/>
              </a:solidFill>
              <a:round/>
            </a:ln>
            <a:effectLst/>
          </c:spPr>
          <c:marker>
            <c:symbol val="none"/>
          </c:marker>
          <c:cat>
            <c:numRef>
              <c:f>(CONTAGION_COVOLATILITY!$F$18:$F$317,CONTAGION_COVOLATILITY!$F$320:$F$525)</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(CONTAGION_COVOLATILITY!$J$19:$J$317,CONTAGION_COVOLATILITY!$J$320:$J$525)</c:f>
              <c:numCache>
                <c:formatCode>0.00%</c:formatCode>
                <c:ptCount val="505"/>
                <c:pt idx="0">
                  <c:v>-1.0932312016076473E-4</c:v>
                </c:pt>
                <c:pt idx="1">
                  <c:v>3.2817541684604379E-4</c:v>
                </c:pt>
                <c:pt idx="2">
                  <c:v>1.0929920370039703E-4</c:v>
                </c:pt>
                <c:pt idx="3">
                  <c:v>0</c:v>
                </c:pt>
                <c:pt idx="4">
                  <c:v>0</c:v>
                </c:pt>
                <c:pt idx="5">
                  <c:v>0</c:v>
                </c:pt>
                <c:pt idx="6">
                  <c:v>1.0928725869008282E-4</c:v>
                </c:pt>
                <c:pt idx="7">
                  <c:v>2.1845991002655829E-4</c:v>
                </c:pt>
                <c:pt idx="8">
                  <c:v>-1.0916074648947838E-4</c:v>
                </c:pt>
                <c:pt idx="9">
                  <c:v>2.1877621276433779E-4</c:v>
                </c:pt>
                <c:pt idx="10">
                  <c:v>1.0880868670137822E-4</c:v>
                </c:pt>
                <c:pt idx="11">
                  <c:v>2.1871589861222063E-4</c:v>
                </c:pt>
                <c:pt idx="12">
                  <c:v>0</c:v>
                </c:pt>
                <c:pt idx="13">
                  <c:v>1.0928303821855501E-4</c:v>
                </c:pt>
                <c:pt idx="14">
                  <c:v>0</c:v>
                </c:pt>
                <c:pt idx="15">
                  <c:v>3.2731469764235577E-4</c:v>
                </c:pt>
                <c:pt idx="16">
                  <c:v>-1.0897479974747437E-4</c:v>
                </c:pt>
                <c:pt idx="17">
                  <c:v>1.0898667654868355E-4</c:v>
                </c:pt>
                <c:pt idx="18">
                  <c:v>0</c:v>
                </c:pt>
                <c:pt idx="19">
                  <c:v>2.1840271716544457E-4</c:v>
                </c:pt>
                <c:pt idx="20">
                  <c:v>0</c:v>
                </c:pt>
                <c:pt idx="21">
                  <c:v>9.8497597358582212E-5</c:v>
                </c:pt>
                <c:pt idx="22">
                  <c:v>1.094725187795742E-4</c:v>
                </c:pt>
                <c:pt idx="23">
                  <c:v>0</c:v>
                </c:pt>
                <c:pt idx="24">
                  <c:v>2.1881916369892451E-4</c:v>
                </c:pt>
                <c:pt idx="25">
                  <c:v>0</c:v>
                </c:pt>
                <c:pt idx="26">
                  <c:v>2.18341108176201E-4</c:v>
                </c:pt>
                <c:pt idx="27">
                  <c:v>-1.0932215442716053E-4</c:v>
                </c:pt>
                <c:pt idx="28">
                  <c:v>2.1875876935339988E-4</c:v>
                </c:pt>
                <c:pt idx="29">
                  <c:v>0</c:v>
                </c:pt>
                <c:pt idx="30">
                  <c:v>2.1877882598042575E-4</c:v>
                </c:pt>
                <c:pt idx="31">
                  <c:v>0</c:v>
                </c:pt>
                <c:pt idx="32">
                  <c:v>2.183123375776308E-4</c:v>
                </c:pt>
                <c:pt idx="33">
                  <c:v>0</c:v>
                </c:pt>
                <c:pt idx="34">
                  <c:v>1.0909275191561818E-4</c:v>
                </c:pt>
                <c:pt idx="35">
                  <c:v>2.1867068762237984E-4</c:v>
                </c:pt>
                <c:pt idx="36">
                  <c:v>-1.0931709474093498E-4</c:v>
                </c:pt>
                <c:pt idx="37">
                  <c:v>1.0932904627458662E-4</c:v>
                </c:pt>
                <c:pt idx="38">
                  <c:v>1.0896653821479418E-4</c:v>
                </c:pt>
                <c:pt idx="39">
                  <c:v>2.1841814853673647E-4</c:v>
                </c:pt>
                <c:pt idx="40">
                  <c:v>1.092813151106764E-4</c:v>
                </c:pt>
                <c:pt idx="41">
                  <c:v>-1.0934849737997965E-4</c:v>
                </c:pt>
                <c:pt idx="42">
                  <c:v>1.0936045578158193E-4</c:v>
                </c:pt>
                <c:pt idx="43">
                  <c:v>1.0934849737997965E-4</c:v>
                </c:pt>
                <c:pt idx="44">
                  <c:v>2.1884261472737698E-4</c:v>
                </c:pt>
                <c:pt idx="45">
                  <c:v>1.0940301637285543E-4</c:v>
                </c:pt>
                <c:pt idx="46">
                  <c:v>0</c:v>
                </c:pt>
                <c:pt idx="47">
                  <c:v>1.0921027436161523E-4</c:v>
                </c:pt>
                <c:pt idx="48">
                  <c:v>1.0928872606030815E-4</c:v>
                </c:pt>
                <c:pt idx="49">
                  <c:v>0</c:v>
                </c:pt>
                <c:pt idx="50">
                  <c:v>1.0893790557453542E-4</c:v>
                </c:pt>
                <c:pt idx="51">
                  <c:v>1.0969407866578962E-4</c:v>
                </c:pt>
                <c:pt idx="52">
                  <c:v>0</c:v>
                </c:pt>
                <c:pt idx="53">
                  <c:v>0</c:v>
                </c:pt>
                <c:pt idx="54">
                  <c:v>3.27589285726404E-4</c:v>
                </c:pt>
                <c:pt idx="55">
                  <c:v>0</c:v>
                </c:pt>
                <c:pt idx="56">
                  <c:v>0</c:v>
                </c:pt>
                <c:pt idx="57">
                  <c:v>1.0938646386726703E-4</c:v>
                </c:pt>
                <c:pt idx="58">
                  <c:v>1.0886651624031352E-4</c:v>
                </c:pt>
                <c:pt idx="59">
                  <c:v>2.1855587829189282E-4</c:v>
                </c:pt>
                <c:pt idx="60">
                  <c:v>0</c:v>
                </c:pt>
                <c:pt idx="61">
                  <c:v>1.7520823751815406E-4</c:v>
                </c:pt>
                <c:pt idx="62">
                  <c:v>-1.0948878631844572E-4</c:v>
                </c:pt>
                <c:pt idx="63">
                  <c:v>1.095007754254862E-4</c:v>
                </c:pt>
                <c:pt idx="64">
                  <c:v>3.2789093355334309E-4</c:v>
                </c:pt>
                <c:pt idx="65">
                  <c:v>0</c:v>
                </c:pt>
                <c:pt idx="66">
                  <c:v>0</c:v>
                </c:pt>
                <c:pt idx="67">
                  <c:v>1.0945289770569744E-4</c:v>
                </c:pt>
                <c:pt idx="68">
                  <c:v>0</c:v>
                </c:pt>
                <c:pt idx="69">
                  <c:v>3.2773630548876831E-4</c:v>
                </c:pt>
                <c:pt idx="70">
                  <c:v>0</c:v>
                </c:pt>
                <c:pt idx="71">
                  <c:v>1.0941633729211198E-4</c:v>
                </c:pt>
                <c:pt idx="72">
                  <c:v>0</c:v>
                </c:pt>
                <c:pt idx="73">
                  <c:v>2.1836908672923094E-4</c:v>
                </c:pt>
                <c:pt idx="74">
                  <c:v>1.0971859721320421E-4</c:v>
                </c:pt>
                <c:pt idx="75">
                  <c:v>0</c:v>
                </c:pt>
                <c:pt idx="76">
                  <c:v>0</c:v>
                </c:pt>
                <c:pt idx="77">
                  <c:v>2.1812842140644939E-4</c:v>
                </c:pt>
                <c:pt idx="78">
                  <c:v>2.181597196171392E-4</c:v>
                </c:pt>
                <c:pt idx="79">
                  <c:v>-1.0897158533818008E-4</c:v>
                </c:pt>
                <c:pt idx="80">
                  <c:v>1.089834614387275E-4</c:v>
                </c:pt>
                <c:pt idx="81">
                  <c:v>1.0941089605021048E-4</c:v>
                </c:pt>
                <c:pt idx="82">
                  <c:v>4.3644686567922975E-5</c:v>
                </c:pt>
                <c:pt idx="83">
                  <c:v>1.0973203174291513E-4</c:v>
                </c:pt>
                <c:pt idx="84">
                  <c:v>1.0911187539353051E-4</c:v>
                </c:pt>
                <c:pt idx="85">
                  <c:v>1.0919005280296545E-4</c:v>
                </c:pt>
                <c:pt idx="86">
                  <c:v>1.0935827499136686E-4</c:v>
                </c:pt>
                <c:pt idx="87">
                  <c:v>0</c:v>
                </c:pt>
                <c:pt idx="88">
                  <c:v>1.094138634378794E-4</c:v>
                </c:pt>
                <c:pt idx="89">
                  <c:v>2.187475042234599E-4</c:v>
                </c:pt>
                <c:pt idx="90">
                  <c:v>-1.0956928579342051E-4</c:v>
                </c:pt>
                <c:pt idx="91">
                  <c:v>1.0958129253735294E-4</c:v>
                </c:pt>
                <c:pt idx="92">
                  <c:v>1.0920915667012032E-4</c:v>
                </c:pt>
                <c:pt idx="93">
                  <c:v>1.0928725378223092E-4</c:v>
                </c:pt>
                <c:pt idx="94">
                  <c:v>1.0953409764380417E-4</c:v>
                </c:pt>
                <c:pt idx="95">
                  <c:v>1.0884708058456205E-4</c:v>
                </c:pt>
                <c:pt idx="96">
                  <c:v>0</c:v>
                </c:pt>
                <c:pt idx="97">
                  <c:v>2.185928961988548E-4</c:v>
                </c:pt>
                <c:pt idx="98">
                  <c:v>2.1845515049623287E-4</c:v>
                </c:pt>
                <c:pt idx="99">
                  <c:v>0</c:v>
                </c:pt>
                <c:pt idx="100">
                  <c:v>1.0886639298268719E-4</c:v>
                </c:pt>
                <c:pt idx="101">
                  <c:v>0</c:v>
                </c:pt>
                <c:pt idx="102">
                  <c:v>3.279240278493134E-4</c:v>
                </c:pt>
                <c:pt idx="103">
                  <c:v>0</c:v>
                </c:pt>
                <c:pt idx="104">
                  <c:v>-4.3563508970612119E-5</c:v>
                </c:pt>
                <c:pt idx="105">
                  <c:v>2.184115029848499E-4</c:v>
                </c:pt>
                <c:pt idx="106">
                  <c:v>0</c:v>
                </c:pt>
                <c:pt idx="107">
                  <c:v>3.2801768261414566E-4</c:v>
                </c:pt>
                <c:pt idx="108">
                  <c:v>-1.0926967316093883E-4</c:v>
                </c:pt>
                <c:pt idx="109">
                  <c:v>2.1874298663027147E-4</c:v>
                </c:pt>
                <c:pt idx="110">
                  <c:v>-1.0943743363189817E-4</c:v>
                </c:pt>
                <c:pt idx="111">
                  <c:v>1.0944941149459986E-4</c:v>
                </c:pt>
                <c:pt idx="112">
                  <c:v>3.2804272290043457E-4</c:v>
                </c:pt>
                <c:pt idx="113">
                  <c:v>1.0888502353489926E-4</c:v>
                </c:pt>
                <c:pt idx="114">
                  <c:v>0</c:v>
                </c:pt>
                <c:pt idx="115">
                  <c:v>0</c:v>
                </c:pt>
                <c:pt idx="116">
                  <c:v>2.1868944863268069E-4</c:v>
                </c:pt>
                <c:pt idx="117">
                  <c:v>1.0901774050453561E-4</c:v>
                </c:pt>
                <c:pt idx="118">
                  <c:v>0</c:v>
                </c:pt>
                <c:pt idx="119">
                  <c:v>1.0926400506949818E-4</c:v>
                </c:pt>
                <c:pt idx="120">
                  <c:v>0</c:v>
                </c:pt>
                <c:pt idx="121">
                  <c:v>2.1842557726148293E-4</c:v>
                </c:pt>
                <c:pt idx="122">
                  <c:v>0</c:v>
                </c:pt>
                <c:pt idx="123">
                  <c:v>1.0905990719045633E-4</c:v>
                </c:pt>
                <c:pt idx="124">
                  <c:v>-5.4265971786926492E-5</c:v>
                </c:pt>
                <c:pt idx="125">
                  <c:v>1.0913246912425123E-4</c:v>
                </c:pt>
                <c:pt idx="126">
                  <c:v>3.2806843549759712E-4</c:v>
                </c:pt>
                <c:pt idx="127">
                  <c:v>-1.0952214409698513E-4</c:v>
                </c:pt>
                <c:pt idx="128">
                  <c:v>0</c:v>
                </c:pt>
                <c:pt idx="129">
                  <c:v>1.0953414051084742E-4</c:v>
                </c:pt>
                <c:pt idx="130">
                  <c:v>1.0934270990614614E-4</c:v>
                </c:pt>
                <c:pt idx="131">
                  <c:v>2.1841481573248167E-4</c:v>
                </c:pt>
                <c:pt idx="132">
                  <c:v>1.0948625653761646E-4</c:v>
                </c:pt>
                <c:pt idx="133">
                  <c:v>0</c:v>
                </c:pt>
                <c:pt idx="134">
                  <c:v>1.0938459273068801E-4</c:v>
                </c:pt>
                <c:pt idx="135">
                  <c:v>0</c:v>
                </c:pt>
                <c:pt idx="136">
                  <c:v>3.2751262767405365E-4</c:v>
                </c:pt>
                <c:pt idx="137">
                  <c:v>0</c:v>
                </c:pt>
                <c:pt idx="138">
                  <c:v>0</c:v>
                </c:pt>
                <c:pt idx="139">
                  <c:v>-1.0898946984905233E-4</c:v>
                </c:pt>
                <c:pt idx="140">
                  <c:v>2.1809234818026546E-4</c:v>
                </c:pt>
                <c:pt idx="141">
                  <c:v>2.1839210640650641E-4</c:v>
                </c:pt>
                <c:pt idx="142">
                  <c:v>-1.0895378802422417E-4</c:v>
                </c:pt>
                <c:pt idx="143">
                  <c:v>2.1827859462186794E-4</c:v>
                </c:pt>
                <c:pt idx="144">
                  <c:v>0</c:v>
                </c:pt>
                <c:pt idx="145">
                  <c:v>1.0904268008449236E-4</c:v>
                </c:pt>
                <c:pt idx="146">
                  <c:v>2.7366325405653313E-4</c:v>
                </c:pt>
                <c:pt idx="147">
                  <c:v>0</c:v>
                </c:pt>
                <c:pt idx="148">
                  <c:v>-1.0950476628990291E-4</c:v>
                </c:pt>
                <c:pt idx="149">
                  <c:v>1.0951675889692147E-4</c:v>
                </c:pt>
                <c:pt idx="150">
                  <c:v>2.1848333648355478E-4</c:v>
                </c:pt>
                <c:pt idx="151">
                  <c:v>1.0922340257923935E-4</c:v>
                </c:pt>
                <c:pt idx="152">
                  <c:v>-1.0921147413045507E-4</c:v>
                </c:pt>
                <c:pt idx="153">
                  <c:v>2.1870424912839859E-4</c:v>
                </c:pt>
                <c:pt idx="154">
                  <c:v>1.0937857247794724E-4</c:v>
                </c:pt>
                <c:pt idx="155">
                  <c:v>-1.0936661011429205E-4</c:v>
                </c:pt>
                <c:pt idx="156">
                  <c:v>4.3679808072050186E-4</c:v>
                </c:pt>
                <c:pt idx="157">
                  <c:v>-1.089728687423408E-4</c:v>
                </c:pt>
                <c:pt idx="158">
                  <c:v>0</c:v>
                </c:pt>
                <c:pt idx="159">
                  <c:v>1.0898474512277545E-4</c:v>
                </c:pt>
                <c:pt idx="160">
                  <c:v>-1.089728687423408E-4</c:v>
                </c:pt>
                <c:pt idx="161">
                  <c:v>3.2765902277742676E-4</c:v>
                </c:pt>
                <c:pt idx="162">
                  <c:v>-1.0929573354323541E-4</c:v>
                </c:pt>
                <c:pt idx="163">
                  <c:v>1.0930768040640082E-4</c:v>
                </c:pt>
                <c:pt idx="164">
                  <c:v>1.0896023042183955E-4</c:v>
                </c:pt>
                <c:pt idx="165">
                  <c:v>-1.0894835938346503E-4</c:v>
                </c:pt>
                <c:pt idx="166">
                  <c:v>2.1825596396496394E-4</c:v>
                </c:pt>
                <c:pt idx="167">
                  <c:v>1.0901472137025969E-4</c:v>
                </c:pt>
                <c:pt idx="168">
                  <c:v>1.9720010949031419E-4</c:v>
                </c:pt>
                <c:pt idx="169">
                  <c:v>-1.0940609513787614E-4</c:v>
                </c:pt>
                <c:pt idx="170">
                  <c:v>1.0941806614117588E-4</c:v>
                </c:pt>
                <c:pt idx="171">
                  <c:v>1.0932785211936746E-4</c:v>
                </c:pt>
                <c:pt idx="172">
                  <c:v>0</c:v>
                </c:pt>
                <c:pt idx="173">
                  <c:v>2.1863180169323648E-4</c:v>
                </c:pt>
                <c:pt idx="174">
                  <c:v>-1.0929200613829515E-4</c:v>
                </c:pt>
                <c:pt idx="175">
                  <c:v>2.1835087636978834E-4</c:v>
                </c:pt>
                <c:pt idx="176">
                  <c:v>0</c:v>
                </c:pt>
                <c:pt idx="177">
                  <c:v>0</c:v>
                </c:pt>
                <c:pt idx="178">
                  <c:v>1.0953706267624597E-4</c:v>
                </c:pt>
                <c:pt idx="179">
                  <c:v>2.1844687200922586E-4</c:v>
                </c:pt>
                <c:pt idx="180">
                  <c:v>0</c:v>
                </c:pt>
                <c:pt idx="181">
                  <c:v>1.0932244099981503E-4</c:v>
                </c:pt>
                <c:pt idx="182">
                  <c:v>2.1838645788196942E-4</c:v>
                </c:pt>
                <c:pt idx="183">
                  <c:v>0</c:v>
                </c:pt>
                <c:pt idx="184">
                  <c:v>0</c:v>
                </c:pt>
                <c:pt idx="185">
                  <c:v>2.1849509080529295E-4</c:v>
                </c:pt>
                <c:pt idx="186">
                  <c:v>0</c:v>
                </c:pt>
                <c:pt idx="187">
                  <c:v>1.0909530687897018E-4</c:v>
                </c:pt>
                <c:pt idx="188">
                  <c:v>-3.2871240337906116E-5</c:v>
                </c:pt>
                <c:pt idx="189">
                  <c:v>0</c:v>
                </c:pt>
                <c:pt idx="190">
                  <c:v>3.2820975331238067E-4</c:v>
                </c:pt>
                <c:pt idx="191">
                  <c:v>0</c:v>
                </c:pt>
                <c:pt idx="192">
                  <c:v>1.094752203603111E-4</c:v>
                </c:pt>
                <c:pt idx="193">
                  <c:v>0</c:v>
                </c:pt>
                <c:pt idx="194">
                  <c:v>0</c:v>
                </c:pt>
                <c:pt idx="195">
                  <c:v>2.1842439993680074E-4</c:v>
                </c:pt>
                <c:pt idx="196">
                  <c:v>1.0928316601321875E-4</c:v>
                </c:pt>
                <c:pt idx="197">
                  <c:v>-1.0927122450776761E-4</c:v>
                </c:pt>
                <c:pt idx="198">
                  <c:v>1.0928316601321875E-4</c:v>
                </c:pt>
                <c:pt idx="199">
                  <c:v>1.0926007096845325E-4</c:v>
                </c:pt>
                <c:pt idx="200">
                  <c:v>1.0932620075521093E-4</c:v>
                </c:pt>
                <c:pt idx="201">
                  <c:v>0</c:v>
                </c:pt>
                <c:pt idx="202">
                  <c:v>1.0924734323314311E-4</c:v>
                </c:pt>
                <c:pt idx="203">
                  <c:v>0</c:v>
                </c:pt>
                <c:pt idx="204">
                  <c:v>0</c:v>
                </c:pt>
                <c:pt idx="205">
                  <c:v>2.1835932027425287E-4</c:v>
                </c:pt>
                <c:pt idx="206">
                  <c:v>0</c:v>
                </c:pt>
                <c:pt idx="207">
                  <c:v>-1.0928959433864627E-4</c:v>
                </c:pt>
                <c:pt idx="208">
                  <c:v>2.1869226906212624E-4</c:v>
                </c:pt>
                <c:pt idx="209">
                  <c:v>1.090212783876332E-4</c:v>
                </c:pt>
                <c:pt idx="210">
                  <c:v>1.0917656927267316E-4</c:v>
                </c:pt>
                <c:pt idx="211">
                  <c:v>-1.0798340839945908E-5</c:v>
                </c:pt>
                <c:pt idx="212">
                  <c:v>1.0933298864457264E-4</c:v>
                </c:pt>
                <c:pt idx="213">
                  <c:v>-1.0932103624883283E-4</c:v>
                </c:pt>
                <c:pt idx="214">
                  <c:v>1.0933298864457264E-4</c:v>
                </c:pt>
                <c:pt idx="215">
                  <c:v>2.1865321519842773E-4</c:v>
                </c:pt>
                <c:pt idx="216">
                  <c:v>0</c:v>
                </c:pt>
                <c:pt idx="217">
                  <c:v>0</c:v>
                </c:pt>
                <c:pt idx="218">
                  <c:v>1.0913003410606414E-4</c:v>
                </c:pt>
                <c:pt idx="219">
                  <c:v>0</c:v>
                </c:pt>
                <c:pt idx="220">
                  <c:v>1.0937432417290616E-4</c:v>
                </c:pt>
                <c:pt idx="221">
                  <c:v>-1.0936236273839661E-4</c:v>
                </c:pt>
                <c:pt idx="222">
                  <c:v>2.1832536447607964E-4</c:v>
                </c:pt>
                <c:pt idx="223">
                  <c:v>-1.0892725871969322E-4</c:v>
                </c:pt>
                <c:pt idx="224">
                  <c:v>1.0893912515985704E-4</c:v>
                </c:pt>
                <c:pt idx="225">
                  <c:v>0</c:v>
                </c:pt>
                <c:pt idx="226">
                  <c:v>1.0960659240555337E-4</c:v>
                </c:pt>
                <c:pt idx="227">
                  <c:v>0</c:v>
                </c:pt>
                <c:pt idx="228">
                  <c:v>1.092493828012131E-4</c:v>
                </c:pt>
                <c:pt idx="229">
                  <c:v>2.1848603153529211E-4</c:v>
                </c:pt>
                <c:pt idx="230">
                  <c:v>0</c:v>
                </c:pt>
                <c:pt idx="231">
                  <c:v>7.6441718699804539E-5</c:v>
                </c:pt>
                <c:pt idx="232">
                  <c:v>-1.0904940662748164E-4</c:v>
                </c:pt>
                <c:pt idx="233">
                  <c:v>1.0906129969745493E-4</c:v>
                </c:pt>
                <c:pt idx="234">
                  <c:v>2.1884458341348001E-4</c:v>
                </c:pt>
                <c:pt idx="235">
                  <c:v>0</c:v>
                </c:pt>
                <c:pt idx="236">
                  <c:v>1.094373000889437E-4</c:v>
                </c:pt>
                <c:pt idx="237">
                  <c:v>0</c:v>
                </c:pt>
                <c:pt idx="238">
                  <c:v>0</c:v>
                </c:pt>
                <c:pt idx="239">
                  <c:v>2.1826090578191959E-4</c:v>
                </c:pt>
                <c:pt idx="240">
                  <c:v>-2.1821327835425119E-4</c:v>
                </c:pt>
                <c:pt idx="241">
                  <c:v>2.1826090578191959E-4</c:v>
                </c:pt>
                <c:pt idx="242">
                  <c:v>-1.0881183153621521E-4</c:v>
                </c:pt>
                <c:pt idx="243">
                  <c:v>2.1832603334304146E-4</c:v>
                </c:pt>
                <c:pt idx="244">
                  <c:v>1.0922261573553804E-4</c:v>
                </c:pt>
                <c:pt idx="245">
                  <c:v>5.4733251144023498E-5</c:v>
                </c:pt>
                <c:pt idx="246">
                  <c:v>0</c:v>
                </c:pt>
                <c:pt idx="247">
                  <c:v>1.0946051115867661E-4</c:v>
                </c:pt>
                <c:pt idx="248">
                  <c:v>1.0935956640323319E-4</c:v>
                </c:pt>
                <c:pt idx="249">
                  <c:v>-1.0934760819614198E-4</c:v>
                </c:pt>
                <c:pt idx="250">
                  <c:v>1.0935956640323319E-4</c:v>
                </c:pt>
                <c:pt idx="251">
                  <c:v>0</c:v>
                </c:pt>
                <c:pt idx="252">
                  <c:v>3.2822073405891494E-4</c:v>
                </c:pt>
                <c:pt idx="253">
                  <c:v>0</c:v>
                </c:pt>
                <c:pt idx="254">
                  <c:v>-1.095673907702821E-4</c:v>
                </c:pt>
                <c:pt idx="255">
                  <c:v>0</c:v>
                </c:pt>
                <c:pt idx="256">
                  <c:v>2.1899204052489019E-4</c:v>
                </c:pt>
                <c:pt idx="257">
                  <c:v>1.092219710103759E-4</c:v>
                </c:pt>
                <c:pt idx="258">
                  <c:v>0</c:v>
                </c:pt>
                <c:pt idx="259">
                  <c:v>0</c:v>
                </c:pt>
                <c:pt idx="260">
                  <c:v>0</c:v>
                </c:pt>
                <c:pt idx="261">
                  <c:v>1.0928783572050627E-4</c:v>
                </c:pt>
                <c:pt idx="262">
                  <c:v>2.1872957917845604E-4</c:v>
                </c:pt>
                <c:pt idx="263">
                  <c:v>-1.0950751779603696E-4</c:v>
                </c:pt>
                <c:pt idx="264">
                  <c:v>1.0951951100590662E-4</c:v>
                </c:pt>
                <c:pt idx="265">
                  <c:v>0</c:v>
                </c:pt>
                <c:pt idx="266">
                  <c:v>1.0908535226139549E-4</c:v>
                </c:pt>
                <c:pt idx="267">
                  <c:v>0</c:v>
                </c:pt>
                <c:pt idx="268">
                  <c:v>1.0932894731929821E-4</c:v>
                </c:pt>
                <c:pt idx="269">
                  <c:v>0</c:v>
                </c:pt>
                <c:pt idx="270">
                  <c:v>1.0922813826130806E-4</c:v>
                </c:pt>
                <c:pt idx="271">
                  <c:v>0</c:v>
                </c:pt>
                <c:pt idx="272">
                  <c:v>0</c:v>
                </c:pt>
                <c:pt idx="273">
                  <c:v>8.7703925230941948E-5</c:v>
                </c:pt>
                <c:pt idx="274">
                  <c:v>0</c:v>
                </c:pt>
                <c:pt idx="275">
                  <c:v>2.1857983694895111E-4</c:v>
                </c:pt>
                <c:pt idx="276">
                  <c:v>1.0944922768252319E-4</c:v>
                </c:pt>
                <c:pt idx="277">
                  <c:v>0</c:v>
                </c:pt>
                <c:pt idx="278">
                  <c:v>-1.0943724986001158E-4</c:v>
                </c:pt>
                <c:pt idx="279">
                  <c:v>1.0944922768252319E-4</c:v>
                </c:pt>
                <c:pt idx="280">
                  <c:v>1.0933733758045072E-4</c:v>
                </c:pt>
                <c:pt idx="281">
                  <c:v>1.0924768317943645E-4</c:v>
                </c:pt>
                <c:pt idx="282">
                  <c:v>0</c:v>
                </c:pt>
                <c:pt idx="283">
                  <c:v>1.0914695792152429E-4</c:v>
                </c:pt>
                <c:pt idx="284">
                  <c:v>0</c:v>
                </c:pt>
                <c:pt idx="285">
                  <c:v>0</c:v>
                </c:pt>
                <c:pt idx="286">
                  <c:v>2.1870290367465017E-4</c:v>
                </c:pt>
                <c:pt idx="287">
                  <c:v>-1.092776127350481E-4</c:v>
                </c:pt>
                <c:pt idx="288">
                  <c:v>0</c:v>
                </c:pt>
                <c:pt idx="289">
                  <c:v>2.1841266358024747E-4</c:v>
                </c:pt>
                <c:pt idx="290">
                  <c:v>2.1863122806120572E-4</c:v>
                </c:pt>
                <c:pt idx="291">
                  <c:v>-1.0924180695603969E-4</c:v>
                </c:pt>
                <c:pt idx="292">
                  <c:v>2.953589334295792E-4</c:v>
                </c:pt>
                <c:pt idx="293">
                  <c:v>2.1863148820422396E-4</c:v>
                </c:pt>
                <c:pt idx="294">
                  <c:v>4.370676132543494E-4</c:v>
                </c:pt>
                <c:pt idx="295">
                  <c:v>2.1864335747534547E-4</c:v>
                </c:pt>
                <c:pt idx="296">
                  <c:v>0</c:v>
                </c:pt>
                <c:pt idx="297">
                  <c:v>4.3670360993353086E-4</c:v>
                </c:pt>
                <c:pt idx="298">
                  <c:v>-2.1816789097350853E-4</c:v>
                </c:pt>
                <c:pt idx="299">
                  <c:v>2.1821549858858091E-4</c:v>
                </c:pt>
                <c:pt idx="300">
                  <c:v>1.0916700854513017E-4</c:v>
                </c:pt>
                <c:pt idx="301">
                  <c:v>2.1865347465110929E-4</c:v>
                </c:pt>
                <c:pt idx="302">
                  <c:v>1.0887658725899918E-4</c:v>
                </c:pt>
                <c:pt idx="303">
                  <c:v>0</c:v>
                </c:pt>
                <c:pt idx="304">
                  <c:v>2.1849331539636196E-4</c:v>
                </c:pt>
                <c:pt idx="305">
                  <c:v>-2.1844558649597445E-4</c:v>
                </c:pt>
                <c:pt idx="306">
                  <c:v>3.2744661174999301E-4</c:v>
                </c:pt>
                <c:pt idx="307">
                  <c:v>-2.1816726175927226E-4</c:v>
                </c:pt>
                <c:pt idx="308">
                  <c:v>0</c:v>
                </c:pt>
                <c:pt idx="309">
                  <c:v>0</c:v>
                </c:pt>
                <c:pt idx="310">
                  <c:v>0</c:v>
                </c:pt>
                <c:pt idx="311">
                  <c:v>-2.1804883364062722E-4</c:v>
                </c:pt>
                <c:pt idx="312">
                  <c:v>0</c:v>
                </c:pt>
                <c:pt idx="313">
                  <c:v>1.0887658725899918E-4</c:v>
                </c:pt>
                <c:pt idx="314">
                  <c:v>-8.7244556854604305E-5</c:v>
                </c:pt>
                <c:pt idx="315">
                  <c:v>1.0921744048730808E-4</c:v>
                </c:pt>
                <c:pt idx="316">
                  <c:v>-3.2761654002244622E-4</c:v>
                </c:pt>
                <c:pt idx="317">
                  <c:v>1.0924130259848397E-4</c:v>
                </c:pt>
                <c:pt idx="318">
                  <c:v>-2.1845874047932146E-4</c:v>
                </c:pt>
                <c:pt idx="319">
                  <c:v>1.0925323756416638E-4</c:v>
                </c:pt>
                <c:pt idx="320">
                  <c:v>-2.185601205659804E-4</c:v>
                </c:pt>
                <c:pt idx="321">
                  <c:v>2.1860789953476178E-4</c:v>
                </c:pt>
                <c:pt idx="322">
                  <c:v>1.0924130259848397E-4</c:v>
                </c:pt>
                <c:pt idx="323">
                  <c:v>-1.0922937023971624E-4</c:v>
                </c:pt>
                <c:pt idx="324">
                  <c:v>-1.0924130259826192E-4</c:v>
                </c:pt>
                <c:pt idx="325">
                  <c:v>2.1850647512877686E-4</c:v>
                </c:pt>
                <c:pt idx="326">
                  <c:v>-1.0922937023971624E-4</c:v>
                </c:pt>
                <c:pt idx="327">
                  <c:v>0</c:v>
                </c:pt>
                <c:pt idx="328">
                  <c:v>0</c:v>
                </c:pt>
                <c:pt idx="329">
                  <c:v>1.0924130259848397E-4</c:v>
                </c:pt>
                <c:pt idx="330">
                  <c:v>-1.0922937023971624E-4</c:v>
                </c:pt>
                <c:pt idx="331">
                  <c:v>0</c:v>
                </c:pt>
                <c:pt idx="332">
                  <c:v>0</c:v>
                </c:pt>
                <c:pt idx="333">
                  <c:v>-1.0924130259826192E-4</c:v>
                </c:pt>
                <c:pt idx="334">
                  <c:v>2.1850647512877686E-4</c:v>
                </c:pt>
                <c:pt idx="335">
                  <c:v>-1.7486664411514585E-4</c:v>
                </c:pt>
                <c:pt idx="336">
                  <c:v>0</c:v>
                </c:pt>
                <c:pt idx="337">
                  <c:v>0</c:v>
                </c:pt>
                <c:pt idx="338">
                  <c:v>1.0933706896287809E-4</c:v>
                </c:pt>
                <c:pt idx="339">
                  <c:v>-1.0932511567529613E-4</c:v>
                </c:pt>
                <c:pt idx="340">
                  <c:v>0</c:v>
                </c:pt>
                <c:pt idx="341">
                  <c:v>1.0933706896287809E-4</c:v>
                </c:pt>
                <c:pt idx="342">
                  <c:v>0</c:v>
                </c:pt>
                <c:pt idx="343">
                  <c:v>0</c:v>
                </c:pt>
                <c:pt idx="344">
                  <c:v>1.0922545741132161E-4</c:v>
                </c:pt>
                <c:pt idx="345">
                  <c:v>-2.1852670440736244E-4</c:v>
                </c:pt>
                <c:pt idx="346">
                  <c:v>0</c:v>
                </c:pt>
                <c:pt idx="347">
                  <c:v>0</c:v>
                </c:pt>
                <c:pt idx="348">
                  <c:v>0</c:v>
                </c:pt>
                <c:pt idx="349">
                  <c:v>1.0933706896287809E-4</c:v>
                </c:pt>
                <c:pt idx="350">
                  <c:v>-1.0932511567529613E-4</c:v>
                </c:pt>
                <c:pt idx="351">
                  <c:v>1.0933706896287809E-4</c:v>
                </c:pt>
                <c:pt idx="352">
                  <c:v>-1.0932511567529613E-4</c:v>
                </c:pt>
                <c:pt idx="353">
                  <c:v>0</c:v>
                </c:pt>
                <c:pt idx="354">
                  <c:v>0</c:v>
                </c:pt>
                <c:pt idx="355">
                  <c:v>1.0933706896287809E-4</c:v>
                </c:pt>
                <c:pt idx="356">
                  <c:v>0</c:v>
                </c:pt>
                <c:pt idx="357">
                  <c:v>0</c:v>
                </c:pt>
                <c:pt idx="358">
                  <c:v>0</c:v>
                </c:pt>
                <c:pt idx="359">
                  <c:v>-2.1847306110334141E-4</c:v>
                </c:pt>
                <c:pt idx="360">
                  <c:v>1.0917179652469855E-4</c:v>
                </c:pt>
                <c:pt idx="361">
                  <c:v>0</c:v>
                </c:pt>
                <c:pt idx="362">
                  <c:v>1.0933706896287809E-4</c:v>
                </c:pt>
                <c:pt idx="363">
                  <c:v>-2.1847306110334141E-4</c:v>
                </c:pt>
                <c:pt idx="364">
                  <c:v>2.1852080201179014E-4</c:v>
                </c:pt>
                <c:pt idx="365">
                  <c:v>0</c:v>
                </c:pt>
                <c:pt idx="366">
                  <c:v>0</c:v>
                </c:pt>
                <c:pt idx="367">
                  <c:v>0</c:v>
                </c:pt>
                <c:pt idx="368">
                  <c:v>-1.0932511567529613E-4</c:v>
                </c:pt>
                <c:pt idx="369">
                  <c:v>0</c:v>
                </c:pt>
                <c:pt idx="370">
                  <c:v>0</c:v>
                </c:pt>
                <c:pt idx="371">
                  <c:v>0</c:v>
                </c:pt>
                <c:pt idx="372">
                  <c:v>0</c:v>
                </c:pt>
                <c:pt idx="373">
                  <c:v>1.0933706896287809E-4</c:v>
                </c:pt>
                <c:pt idx="374">
                  <c:v>-1.0932511567529613E-4</c:v>
                </c:pt>
                <c:pt idx="375">
                  <c:v>0</c:v>
                </c:pt>
                <c:pt idx="376">
                  <c:v>0</c:v>
                </c:pt>
                <c:pt idx="377">
                  <c:v>0</c:v>
                </c:pt>
                <c:pt idx="378">
                  <c:v>1.0933706896287809E-4</c:v>
                </c:pt>
                <c:pt idx="379">
                  <c:v>-1.0932511567529613E-4</c:v>
                </c:pt>
                <c:pt idx="380">
                  <c:v>0</c:v>
                </c:pt>
                <c:pt idx="381">
                  <c:v>0</c:v>
                </c:pt>
                <c:pt idx="382">
                  <c:v>0</c:v>
                </c:pt>
                <c:pt idx="383">
                  <c:v>1.0933706896287809E-4</c:v>
                </c:pt>
                <c:pt idx="384">
                  <c:v>0</c:v>
                </c:pt>
                <c:pt idx="385">
                  <c:v>0</c:v>
                </c:pt>
                <c:pt idx="386">
                  <c:v>0</c:v>
                </c:pt>
                <c:pt idx="387">
                  <c:v>-1.0932511567529613E-4</c:v>
                </c:pt>
                <c:pt idx="388">
                  <c:v>1.0933706896287809E-4</c:v>
                </c:pt>
                <c:pt idx="389">
                  <c:v>0</c:v>
                </c:pt>
                <c:pt idx="390">
                  <c:v>0</c:v>
                </c:pt>
                <c:pt idx="391">
                  <c:v>-1.0932511567529613E-4</c:v>
                </c:pt>
                <c:pt idx="392">
                  <c:v>1.0933706896287809E-4</c:v>
                </c:pt>
                <c:pt idx="393">
                  <c:v>-1.0932511567529613E-4</c:v>
                </c:pt>
                <c:pt idx="394">
                  <c:v>0</c:v>
                </c:pt>
                <c:pt idx="395">
                  <c:v>1.0933706896287809E-4</c:v>
                </c:pt>
                <c:pt idx="396">
                  <c:v>0</c:v>
                </c:pt>
                <c:pt idx="397">
                  <c:v>-1.0932511567529613E-4</c:v>
                </c:pt>
                <c:pt idx="398">
                  <c:v>1.0933706896287809E-4</c:v>
                </c:pt>
                <c:pt idx="399">
                  <c:v>-1.0932511567529613E-4</c:v>
                </c:pt>
                <c:pt idx="400">
                  <c:v>1.0933706896287809E-4</c:v>
                </c:pt>
                <c:pt idx="401">
                  <c:v>-1.0932511567529613E-4</c:v>
                </c:pt>
                <c:pt idx="402">
                  <c:v>0</c:v>
                </c:pt>
                <c:pt idx="403">
                  <c:v>1.0933706896287809E-4</c:v>
                </c:pt>
                <c:pt idx="404">
                  <c:v>0</c:v>
                </c:pt>
                <c:pt idx="405">
                  <c:v>-1.0932511567529613E-4</c:v>
                </c:pt>
                <c:pt idx="406">
                  <c:v>0</c:v>
                </c:pt>
                <c:pt idx="407">
                  <c:v>1.0933706896287809E-4</c:v>
                </c:pt>
                <c:pt idx="408">
                  <c:v>-1.0932511567529613E-4</c:v>
                </c:pt>
                <c:pt idx="409">
                  <c:v>0</c:v>
                </c:pt>
                <c:pt idx="410">
                  <c:v>1.0933706896287809E-4</c:v>
                </c:pt>
                <c:pt idx="411">
                  <c:v>0</c:v>
                </c:pt>
                <c:pt idx="412">
                  <c:v>0</c:v>
                </c:pt>
                <c:pt idx="413">
                  <c:v>0</c:v>
                </c:pt>
                <c:pt idx="414">
                  <c:v>0</c:v>
                </c:pt>
                <c:pt idx="415">
                  <c:v>-1.0932511567529613E-4</c:v>
                </c:pt>
                <c:pt idx="416">
                  <c:v>0</c:v>
                </c:pt>
                <c:pt idx="417">
                  <c:v>0</c:v>
                </c:pt>
                <c:pt idx="418">
                  <c:v>1.0933706896287809E-4</c:v>
                </c:pt>
                <c:pt idx="419">
                  <c:v>0</c:v>
                </c:pt>
                <c:pt idx="420">
                  <c:v>0</c:v>
                </c:pt>
                <c:pt idx="421">
                  <c:v>0</c:v>
                </c:pt>
                <c:pt idx="422">
                  <c:v>-1.0932511567529613E-4</c:v>
                </c:pt>
                <c:pt idx="423">
                  <c:v>1.0933706896287809E-4</c:v>
                </c:pt>
                <c:pt idx="424">
                  <c:v>0</c:v>
                </c:pt>
                <c:pt idx="425">
                  <c:v>-1.0932511567529613E-4</c:v>
                </c:pt>
                <c:pt idx="426">
                  <c:v>0</c:v>
                </c:pt>
                <c:pt idx="427">
                  <c:v>-1.0915987934445592E-4</c:v>
                </c:pt>
                <c:pt idx="428">
                  <c:v>2.1852080201179014E-4</c:v>
                </c:pt>
                <c:pt idx="429">
                  <c:v>-2.1847306110334141E-4</c:v>
                </c:pt>
                <c:pt idx="430">
                  <c:v>2.1852080201179014E-4</c:v>
                </c:pt>
                <c:pt idx="431">
                  <c:v>0</c:v>
                </c:pt>
                <c:pt idx="432">
                  <c:v>-2.1847306110334141E-4</c:v>
                </c:pt>
                <c:pt idx="433">
                  <c:v>0</c:v>
                </c:pt>
                <c:pt idx="434">
                  <c:v>0</c:v>
                </c:pt>
                <c:pt idx="435">
                  <c:v>0</c:v>
                </c:pt>
                <c:pt idx="436">
                  <c:v>1.0917179652469855E-4</c:v>
                </c:pt>
                <c:pt idx="437">
                  <c:v>-1.0915987934445592E-4</c:v>
                </c:pt>
                <c:pt idx="438">
                  <c:v>1.0917179652469855E-4</c:v>
                </c:pt>
                <c:pt idx="439">
                  <c:v>0</c:v>
                </c:pt>
                <c:pt idx="440">
                  <c:v>-1.0915987934445592E-4</c:v>
                </c:pt>
                <c:pt idx="441">
                  <c:v>0</c:v>
                </c:pt>
                <c:pt idx="442">
                  <c:v>0</c:v>
                </c:pt>
                <c:pt idx="443">
                  <c:v>0</c:v>
                </c:pt>
                <c:pt idx="444">
                  <c:v>1.0917179652469855E-4</c:v>
                </c:pt>
                <c:pt idx="445">
                  <c:v>-1.0915987934445592E-4</c:v>
                </c:pt>
                <c:pt idx="446">
                  <c:v>0</c:v>
                </c:pt>
                <c:pt idx="447">
                  <c:v>0</c:v>
                </c:pt>
                <c:pt idx="448">
                  <c:v>1.0917179652469855E-4</c:v>
                </c:pt>
                <c:pt idx="449">
                  <c:v>-1.0915987934445592E-4</c:v>
                </c:pt>
                <c:pt idx="450">
                  <c:v>0</c:v>
                </c:pt>
                <c:pt idx="451">
                  <c:v>0</c:v>
                </c:pt>
                <c:pt idx="452">
                  <c:v>1.0917179652469855E-4</c:v>
                </c:pt>
                <c:pt idx="453">
                  <c:v>0</c:v>
                </c:pt>
                <c:pt idx="454">
                  <c:v>-1.0915987934445592E-4</c:v>
                </c:pt>
                <c:pt idx="455">
                  <c:v>0</c:v>
                </c:pt>
                <c:pt idx="456">
                  <c:v>1.0917179652469855E-4</c:v>
                </c:pt>
                <c:pt idx="457">
                  <c:v>0</c:v>
                </c:pt>
                <c:pt idx="458">
                  <c:v>0</c:v>
                </c:pt>
                <c:pt idx="459">
                  <c:v>-1.0915987934445592E-4</c:v>
                </c:pt>
                <c:pt idx="460">
                  <c:v>0</c:v>
                </c:pt>
                <c:pt idx="461">
                  <c:v>1.0917179652469855E-4</c:v>
                </c:pt>
                <c:pt idx="462">
                  <c:v>0</c:v>
                </c:pt>
                <c:pt idx="463">
                  <c:v>0</c:v>
                </c:pt>
                <c:pt idx="464">
                  <c:v>0</c:v>
                </c:pt>
                <c:pt idx="465">
                  <c:v>-1.0915987934445592E-4</c:v>
                </c:pt>
                <c:pt idx="466">
                  <c:v>1.0917179652469855E-4</c:v>
                </c:pt>
                <c:pt idx="467">
                  <c:v>-1.0915987934445592E-4</c:v>
                </c:pt>
                <c:pt idx="468">
                  <c:v>1.0917179652469855E-4</c:v>
                </c:pt>
                <c:pt idx="469">
                  <c:v>-1.0915987934445592E-4</c:v>
                </c:pt>
                <c:pt idx="470">
                  <c:v>0</c:v>
                </c:pt>
                <c:pt idx="471">
                  <c:v>0</c:v>
                </c:pt>
                <c:pt idx="472">
                  <c:v>1.0917179652469855E-4</c:v>
                </c:pt>
                <c:pt idx="473">
                  <c:v>0</c:v>
                </c:pt>
                <c:pt idx="474">
                  <c:v>0</c:v>
                </c:pt>
                <c:pt idx="475">
                  <c:v>0</c:v>
                </c:pt>
                <c:pt idx="476">
                  <c:v>0</c:v>
                </c:pt>
                <c:pt idx="477">
                  <c:v>0</c:v>
                </c:pt>
                <c:pt idx="478">
                  <c:v>0</c:v>
                </c:pt>
                <c:pt idx="479">
                  <c:v>0</c:v>
                </c:pt>
                <c:pt idx="480">
                  <c:v>-1.0915987934445592E-4</c:v>
                </c:pt>
                <c:pt idx="481">
                  <c:v>1.0917179652469855E-4</c:v>
                </c:pt>
                <c:pt idx="482">
                  <c:v>-1.0915987934445592E-4</c:v>
                </c:pt>
                <c:pt idx="483">
                  <c:v>-7.6476742924103114E-5</c:v>
                </c:pt>
                <c:pt idx="484">
                  <c:v>1.0926875752459431E-4</c:v>
                </c:pt>
                <c:pt idx="485">
                  <c:v>0</c:v>
                </c:pt>
                <c:pt idx="486">
                  <c:v>1.0925681916762464E-4</c:v>
                </c:pt>
                <c:pt idx="487">
                  <c:v>-2.1848976683846999E-4</c:v>
                </c:pt>
                <c:pt idx="488">
                  <c:v>0</c:v>
                </c:pt>
                <c:pt idx="489">
                  <c:v>0</c:v>
                </c:pt>
                <c:pt idx="490">
                  <c:v>0</c:v>
                </c:pt>
                <c:pt idx="491">
                  <c:v>1.0926875752459431E-4</c:v>
                </c:pt>
                <c:pt idx="492">
                  <c:v>-1.0925681916784669E-4</c:v>
                </c:pt>
                <c:pt idx="493">
                  <c:v>0</c:v>
                </c:pt>
                <c:pt idx="494">
                  <c:v>1.0926875752459431E-4</c:v>
                </c:pt>
                <c:pt idx="495">
                  <c:v>0</c:v>
                </c:pt>
                <c:pt idx="496">
                  <c:v>0</c:v>
                </c:pt>
                <c:pt idx="497">
                  <c:v>0</c:v>
                </c:pt>
                <c:pt idx="498">
                  <c:v>0</c:v>
                </c:pt>
                <c:pt idx="499">
                  <c:v>-1.0925681916784669E-4</c:v>
                </c:pt>
                <c:pt idx="500">
                  <c:v>1.0926875752459431E-4</c:v>
                </c:pt>
                <c:pt idx="501">
                  <c:v>0</c:v>
                </c:pt>
                <c:pt idx="502">
                  <c:v>0</c:v>
                </c:pt>
                <c:pt idx="503">
                  <c:v>-1.0925681916784669E-4</c:v>
                </c:pt>
                <c:pt idx="504">
                  <c:v>1.0926875752459431E-4</c:v>
                </c:pt>
              </c:numCache>
            </c:numRef>
          </c:val>
          <c:smooth val="0"/>
          <c:extLst>
            <c:ext xmlns:c16="http://schemas.microsoft.com/office/drawing/2014/chart" uri="{C3380CC4-5D6E-409C-BE32-E72D297353CC}">
              <c16:uniqueId val="{00000003-ECCA-40F4-A6BF-39D8482BDE9B}"/>
            </c:ext>
          </c:extLst>
        </c:ser>
        <c:dLbls>
          <c:showLegendKey val="0"/>
          <c:showVal val="0"/>
          <c:showCatName val="0"/>
          <c:showSerName val="0"/>
          <c:showPercent val="0"/>
          <c:showBubbleSize val="0"/>
        </c:dLbls>
        <c:marker val="1"/>
        <c:smooth val="0"/>
        <c:axId val="1600867599"/>
        <c:axId val="1589868399"/>
      </c:lineChart>
      <c:catAx>
        <c:axId val="2040515792"/>
        <c:scaling>
          <c:orientation val="minMax"/>
        </c:scaling>
        <c:delete val="0"/>
        <c:axPos val="b"/>
        <c:numFmt formatCode="dd/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0"/>
        <c:lblAlgn val="ctr"/>
        <c:lblOffset val="100"/>
        <c:noMultiLvlLbl val="0"/>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589868399"/>
        <c:scaling>
          <c:orientation val="minMax"/>
          <c:max val="1.0000000000000002E-3"/>
          <c:min val="-1.0000000000000002E-3"/>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00867599"/>
        <c:crosses val="max"/>
        <c:crossBetween val="between"/>
      </c:valAx>
      <c:dateAx>
        <c:axId val="1600867599"/>
        <c:scaling>
          <c:orientation val="minMax"/>
        </c:scaling>
        <c:delete val="1"/>
        <c:axPos val="b"/>
        <c:numFmt formatCode="dd/mm/yy;@" sourceLinked="1"/>
        <c:majorTickMark val="out"/>
        <c:minorTickMark val="none"/>
        <c:tickLblPos val="nextTo"/>
        <c:crossAx val="1589868399"/>
        <c:crosses val="autoZero"/>
        <c:auto val="1"/>
        <c:lblOffset val="100"/>
        <c:baseTimeUnit val="day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Contagion</a:t>
            </a:r>
            <a:r>
              <a:rPr lang="pt-BR" baseline="0"/>
              <a:t> Test</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Sample 1 (lhs)</c:v>
          </c:tx>
          <c:spPr>
            <a:ln w="12700" cap="rnd">
              <a:solidFill>
                <a:schemeClr val="accent1"/>
              </a:solidFill>
              <a:round/>
            </a:ln>
            <a:effectLst/>
          </c:spPr>
          <c:marker>
            <c:symbol val="none"/>
          </c:marker>
          <c:cat>
            <c:numRef>
              <c:f>(CONTAGION_COKURTOSIS!$F$19:$F$318,CONTAGION_COKURTOSIS!$F$321:$F$526)</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(CONTAGION_COKURTOSIS!$I$20:$I$318,CONTAGION_COKURTOSIS!$I$321:$I$526)</c:f>
              <c:numCache>
                <c:formatCode>0.00%</c:formatCode>
                <c:ptCount val="505"/>
                <c:pt idx="0">
                  <c:v>1.0401020398713712E-3</c:v>
                </c:pt>
                <c:pt idx="1">
                  <c:v>-2.3862705373286275E-2</c:v>
                </c:pt>
                <c:pt idx="2">
                  <c:v>3.3495821843755103E-2</c:v>
                </c:pt>
                <c:pt idx="3">
                  <c:v>7.8845418126225475E-3</c:v>
                </c:pt>
                <c:pt idx="4">
                  <c:v>9.3954088050747231E-3</c:v>
                </c:pt>
                <c:pt idx="5">
                  <c:v>4.6735411159004592E-3</c:v>
                </c:pt>
                <c:pt idx="6">
                  <c:v>3.5275112473489578E-3</c:v>
                </c:pt>
                <c:pt idx="7">
                  <c:v>3.8612950131367008E-4</c:v>
                </c:pt>
                <c:pt idx="8">
                  <c:v>-6.1008157559502285E-3</c:v>
                </c:pt>
                <c:pt idx="9">
                  <c:v>1.146073275757753E-2</c:v>
                </c:pt>
                <c:pt idx="10">
                  <c:v>2.4199718704258633E-3</c:v>
                </c:pt>
                <c:pt idx="11">
                  <c:v>7.5866511593374319E-3</c:v>
                </c:pt>
                <c:pt idx="12">
                  <c:v>1.3310135378014287E-2</c:v>
                </c:pt>
                <c:pt idx="13">
                  <c:v>-1.3510752838921114E-2</c:v>
                </c:pt>
                <c:pt idx="14">
                  <c:v>2.0925841602441597E-3</c:v>
                </c:pt>
                <c:pt idx="15">
                  <c:v>5.3149405925601023E-4</c:v>
                </c:pt>
                <c:pt idx="16">
                  <c:v>8.4614186766645005E-3</c:v>
                </c:pt>
                <c:pt idx="17">
                  <c:v>-7.6000445111905623E-3</c:v>
                </c:pt>
                <c:pt idx="18">
                  <c:v>-1.3272208463369628E-3</c:v>
                </c:pt>
                <c:pt idx="19">
                  <c:v>1.5830700348449023E-2</c:v>
                </c:pt>
                <c:pt idx="20">
                  <c:v>8.7825320484122837E-3</c:v>
                </c:pt>
                <c:pt idx="21">
                  <c:v>4.8137480130061583E-4</c:v>
                </c:pt>
                <c:pt idx="22">
                  <c:v>7.0356554904722479E-3</c:v>
                </c:pt>
                <c:pt idx="23">
                  <c:v>4.191934326261304E-3</c:v>
                </c:pt>
                <c:pt idx="24">
                  <c:v>-1.3182013435087958E-3</c:v>
                </c:pt>
                <c:pt idx="25">
                  <c:v>-9.5329681151019585E-3</c:v>
                </c:pt>
                <c:pt idx="26">
                  <c:v>1.22149760609358E-3</c:v>
                </c:pt>
                <c:pt idx="27">
                  <c:v>5.5476436142676278E-4</c:v>
                </c:pt>
                <c:pt idx="28">
                  <c:v>1.2859498691850657E-2</c:v>
                </c:pt>
                <c:pt idx="29">
                  <c:v>3.2467989017432863E-3</c:v>
                </c:pt>
                <c:pt idx="30">
                  <c:v>-2.2182995178979814E-3</c:v>
                </c:pt>
                <c:pt idx="31">
                  <c:v>1.0897416949031236E-2</c:v>
                </c:pt>
                <c:pt idx="32">
                  <c:v>1.7305056305265687E-3</c:v>
                </c:pt>
                <c:pt idx="33">
                  <c:v>2.0153765271693214E-3</c:v>
                </c:pt>
                <c:pt idx="34">
                  <c:v>-3.5559907265417801E-3</c:v>
                </c:pt>
                <c:pt idx="35">
                  <c:v>6.2001313059003582E-3</c:v>
                </c:pt>
                <c:pt idx="36">
                  <c:v>1.3611375611564114E-3</c:v>
                </c:pt>
                <c:pt idx="37">
                  <c:v>-7.1535343108619642E-4</c:v>
                </c:pt>
                <c:pt idx="38">
                  <c:v>-4.2940145551551012E-4</c:v>
                </c:pt>
                <c:pt idx="39">
                  <c:v>-1.8627512856356221E-3</c:v>
                </c:pt>
                <c:pt idx="40">
                  <c:v>6.2434952404508692E-3</c:v>
                </c:pt>
                <c:pt idx="41">
                  <c:v>-3.6371682973985742E-3</c:v>
                </c:pt>
                <c:pt idx="42">
                  <c:v>-1.3601044178247479E-3</c:v>
                </c:pt>
                <c:pt idx="43">
                  <c:v>-6.0566721292807379E-3</c:v>
                </c:pt>
                <c:pt idx="44">
                  <c:v>-8.3657303445855424E-3</c:v>
                </c:pt>
                <c:pt idx="45">
                  <c:v>-1.9996589865043379E-3</c:v>
                </c:pt>
                <c:pt idx="46">
                  <c:v>1.4501051794384434E-2</c:v>
                </c:pt>
                <c:pt idx="47">
                  <c:v>3.7710424020158673E-3</c:v>
                </c:pt>
                <c:pt idx="48">
                  <c:v>6.6192952240662351E-3</c:v>
                </c:pt>
                <c:pt idx="49">
                  <c:v>-6.4011385772566598E-4</c:v>
                </c:pt>
                <c:pt idx="50">
                  <c:v>4.9407854813812158E-3</c:v>
                </c:pt>
                <c:pt idx="51">
                  <c:v>3.6259244519276645E-3</c:v>
                </c:pt>
                <c:pt idx="52">
                  <c:v>2.4777257972807831E-4</c:v>
                </c:pt>
                <c:pt idx="53">
                  <c:v>-3.0097881592702214E-3</c:v>
                </c:pt>
                <c:pt idx="54">
                  <c:v>1.1294477654773205E-2</c:v>
                </c:pt>
                <c:pt idx="55">
                  <c:v>-1.9246241735327185E-2</c:v>
                </c:pt>
                <c:pt idx="56">
                  <c:v>-7.520955273396801E-4</c:v>
                </c:pt>
                <c:pt idx="57">
                  <c:v>7.4543462764620205E-3</c:v>
                </c:pt>
                <c:pt idx="58">
                  <c:v>-5.22907599256206E-3</c:v>
                </c:pt>
                <c:pt idx="59">
                  <c:v>3.7904084473492361E-3</c:v>
                </c:pt>
                <c:pt idx="60">
                  <c:v>6.3054809643483534E-3</c:v>
                </c:pt>
                <c:pt idx="61">
                  <c:v>1.1859033571406385E-2</c:v>
                </c:pt>
                <c:pt idx="62">
                  <c:v>4.8993149853537865E-4</c:v>
                </c:pt>
                <c:pt idx="63">
                  <c:v>1.5738922371808517E-3</c:v>
                </c:pt>
                <c:pt idx="64">
                  <c:v>2.6531245249579172E-3</c:v>
                </c:pt>
                <c:pt idx="65">
                  <c:v>4.8402018360047538E-3</c:v>
                </c:pt>
                <c:pt idx="66">
                  <c:v>7.6224487857978751E-4</c:v>
                </c:pt>
                <c:pt idx="67">
                  <c:v>-5.1246112442856484E-3</c:v>
                </c:pt>
                <c:pt idx="68">
                  <c:v>3.4109460016957804E-3</c:v>
                </c:pt>
                <c:pt idx="69">
                  <c:v>-2.7768471705424957E-4</c:v>
                </c:pt>
                <c:pt idx="70">
                  <c:v>6.7662181925096654E-3</c:v>
                </c:pt>
                <c:pt idx="71">
                  <c:v>-6.5498400304764282E-4</c:v>
                </c:pt>
                <c:pt idx="72">
                  <c:v>6.554132882667929E-4</c:v>
                </c:pt>
                <c:pt idx="73">
                  <c:v>-2.4471210783273412E-3</c:v>
                </c:pt>
                <c:pt idx="74">
                  <c:v>1.969095795856024E-3</c:v>
                </c:pt>
                <c:pt idx="75">
                  <c:v>8.6212537184171545E-4</c:v>
                </c:pt>
                <c:pt idx="76">
                  <c:v>8.9917610117338231E-3</c:v>
                </c:pt>
                <c:pt idx="77">
                  <c:v>-2.2193714674311193E-3</c:v>
                </c:pt>
                <c:pt idx="78">
                  <c:v>-6.1622301709629568E-4</c:v>
                </c:pt>
                <c:pt idx="79">
                  <c:v>4.6568521271241892E-3</c:v>
                </c:pt>
                <c:pt idx="80">
                  <c:v>1.5678513825985174E-3</c:v>
                </c:pt>
                <c:pt idx="81">
                  <c:v>5.1023396247829034E-4</c:v>
                </c:pt>
                <c:pt idx="82">
                  <c:v>-7.5162675746810459E-3</c:v>
                </c:pt>
                <c:pt idx="83">
                  <c:v>-2.1590625331597835E-3</c:v>
                </c:pt>
                <c:pt idx="84">
                  <c:v>9.7878837274871788E-3</c:v>
                </c:pt>
                <c:pt idx="85">
                  <c:v>-4.1154269318457448E-3</c:v>
                </c:pt>
                <c:pt idx="86">
                  <c:v>-1.6699420690646893E-2</c:v>
                </c:pt>
                <c:pt idx="87">
                  <c:v>-1.3893685879040607E-3</c:v>
                </c:pt>
                <c:pt idx="88">
                  <c:v>-3.0258911543242784E-3</c:v>
                </c:pt>
                <c:pt idx="89">
                  <c:v>5.0236774462599776E-3</c:v>
                </c:pt>
                <c:pt idx="90">
                  <c:v>-2.5130579523941265E-2</c:v>
                </c:pt>
                <c:pt idx="91">
                  <c:v>9.0439561247741551E-3</c:v>
                </c:pt>
                <c:pt idx="92">
                  <c:v>5.8573823021945692E-3</c:v>
                </c:pt>
                <c:pt idx="93">
                  <c:v>9.2611425035160622E-3</c:v>
                </c:pt>
                <c:pt idx="94">
                  <c:v>-6.4649667095842966E-3</c:v>
                </c:pt>
                <c:pt idx="95">
                  <c:v>-6.6120150424300306E-3</c:v>
                </c:pt>
                <c:pt idx="96">
                  <c:v>9.0157603784457585E-3</c:v>
                </c:pt>
                <c:pt idx="97">
                  <c:v>-3.0714620104941304E-3</c:v>
                </c:pt>
                <c:pt idx="98">
                  <c:v>-1.221852285532099E-2</c:v>
                </c:pt>
                <c:pt idx="99">
                  <c:v>2.2679391845987773E-3</c:v>
                </c:pt>
                <c:pt idx="100">
                  <c:v>-9.3003272691258854E-3</c:v>
                </c:pt>
                <c:pt idx="101">
                  <c:v>-6.7107235583429015E-3</c:v>
                </c:pt>
                <c:pt idx="102">
                  <c:v>2.7314155884416991E-3</c:v>
                </c:pt>
                <c:pt idx="103">
                  <c:v>-1.3475308923069473E-2</c:v>
                </c:pt>
                <c:pt idx="104">
                  <c:v>-2.5430398929512377E-3</c:v>
                </c:pt>
                <c:pt idx="105">
                  <c:v>2.1706592904030764E-2</c:v>
                </c:pt>
                <c:pt idx="106">
                  <c:v>8.6621411697758166E-3</c:v>
                </c:pt>
                <c:pt idx="107">
                  <c:v>6.5027928689886938E-3</c:v>
                </c:pt>
                <c:pt idx="108">
                  <c:v>1.0006919500294309E-2</c:v>
                </c:pt>
                <c:pt idx="109">
                  <c:v>4.5888775961673289E-3</c:v>
                </c:pt>
                <c:pt idx="110">
                  <c:v>-2.4207556964828125E-4</c:v>
                </c:pt>
                <c:pt idx="111">
                  <c:v>-1.7654460366652858E-3</c:v>
                </c:pt>
                <c:pt idx="112">
                  <c:v>4.1262068327951873E-3</c:v>
                </c:pt>
                <c:pt idx="113">
                  <c:v>-1.1047805460784321E-3</c:v>
                </c:pt>
                <c:pt idx="114">
                  <c:v>3.8004405313252221E-4</c:v>
                </c:pt>
                <c:pt idx="115">
                  <c:v>1.0470976044758995E-2</c:v>
                </c:pt>
                <c:pt idx="116">
                  <c:v>2.2572227148951463E-3</c:v>
                </c:pt>
                <c:pt idx="117">
                  <c:v>9.5543274147442681E-3</c:v>
                </c:pt>
                <c:pt idx="118">
                  <c:v>-1.4533352061634197E-3</c:v>
                </c:pt>
                <c:pt idx="119">
                  <c:v>-1.2244892460424595E-3</c:v>
                </c:pt>
                <c:pt idx="120">
                  <c:v>-9.8079308784824182E-3</c:v>
                </c:pt>
                <c:pt idx="121">
                  <c:v>-9.9748941822219717E-4</c:v>
                </c:pt>
                <c:pt idx="122">
                  <c:v>3.5459876382137878E-3</c:v>
                </c:pt>
                <c:pt idx="123">
                  <c:v>5.1459671354525671E-3</c:v>
                </c:pt>
                <c:pt idx="124">
                  <c:v>9.0782985721908904E-3</c:v>
                </c:pt>
                <c:pt idx="125">
                  <c:v>2.6043377025681824E-3</c:v>
                </c:pt>
                <c:pt idx="126">
                  <c:v>7.9948451963010037E-3</c:v>
                </c:pt>
                <c:pt idx="127">
                  <c:v>-1.1375420355421717E-3</c:v>
                </c:pt>
                <c:pt idx="128">
                  <c:v>-5.4949505137057431E-3</c:v>
                </c:pt>
                <c:pt idx="129">
                  <c:v>1.2465012718207991E-3</c:v>
                </c:pt>
                <c:pt idx="130">
                  <c:v>4.7781841226932631E-3</c:v>
                </c:pt>
                <c:pt idx="131">
                  <c:v>2.3439608848043747E-3</c:v>
                </c:pt>
                <c:pt idx="132">
                  <c:v>4.477307785043072E-3</c:v>
                </c:pt>
                <c:pt idx="133">
                  <c:v>3.3259706314914261E-4</c:v>
                </c:pt>
                <c:pt idx="134">
                  <c:v>-3.2253357584542952E-3</c:v>
                </c:pt>
                <c:pt idx="135">
                  <c:v>-6.8050996848206813E-3</c:v>
                </c:pt>
                <c:pt idx="136">
                  <c:v>3.6609765666177907E-3</c:v>
                </c:pt>
                <c:pt idx="137">
                  <c:v>-5.5549816592371792E-3</c:v>
                </c:pt>
                <c:pt idx="138">
                  <c:v>2.4564605027042052E-3</c:v>
                </c:pt>
                <c:pt idx="139">
                  <c:v>7.149973304838575E-3</c:v>
                </c:pt>
                <c:pt idx="140">
                  <c:v>4.6995605016622033E-3</c:v>
                </c:pt>
                <c:pt idx="141">
                  <c:v>-4.7769669998497521E-3</c:v>
                </c:pt>
                <c:pt idx="142">
                  <c:v>6.6999255780335609E-3</c:v>
                </c:pt>
                <c:pt idx="143">
                  <c:v>-1.8210360816482973E-3</c:v>
                </c:pt>
                <c:pt idx="144">
                  <c:v>-2.4547395484526557E-3</c:v>
                </c:pt>
                <c:pt idx="145">
                  <c:v>-1.0940405133010422E-2</c:v>
                </c:pt>
                <c:pt idx="146">
                  <c:v>-8.7080546608183651E-3</c:v>
                </c:pt>
                <c:pt idx="147">
                  <c:v>-7.5294596759712951E-3</c:v>
                </c:pt>
                <c:pt idx="148">
                  <c:v>-3.0073296832209273E-2</c:v>
                </c:pt>
                <c:pt idx="149">
                  <c:v>1.4023230890322758E-2</c:v>
                </c:pt>
                <c:pt idx="150">
                  <c:v>5.9045276939562186E-4</c:v>
                </c:pt>
                <c:pt idx="151">
                  <c:v>1.9620516067926808E-2</c:v>
                </c:pt>
                <c:pt idx="152">
                  <c:v>-6.8117097712169228E-3</c:v>
                </c:pt>
                <c:pt idx="153">
                  <c:v>-1.2173503432607369E-2</c:v>
                </c:pt>
                <c:pt idx="154">
                  <c:v>1.5551598490313845E-2</c:v>
                </c:pt>
                <c:pt idx="155">
                  <c:v>-2.956746111953068E-2</c:v>
                </c:pt>
                <c:pt idx="156">
                  <c:v>2.6418608781879627E-3</c:v>
                </c:pt>
                <c:pt idx="157">
                  <c:v>1.4754971812207085E-2</c:v>
                </c:pt>
                <c:pt idx="158">
                  <c:v>1.2047558359721489E-2</c:v>
                </c:pt>
                <c:pt idx="159">
                  <c:v>-7.6624308938766372E-3</c:v>
                </c:pt>
                <c:pt idx="160">
                  <c:v>8.1357083343238656E-3</c:v>
                </c:pt>
                <c:pt idx="161">
                  <c:v>-3.0799552515858863E-4</c:v>
                </c:pt>
                <c:pt idx="162">
                  <c:v>-2.5687531493255311E-2</c:v>
                </c:pt>
                <c:pt idx="163">
                  <c:v>1.1058318121464294E-2</c:v>
                </c:pt>
                <c:pt idx="164">
                  <c:v>-3.9232680005929499E-3</c:v>
                </c:pt>
                <c:pt idx="165">
                  <c:v>7.0414989153324559E-3</c:v>
                </c:pt>
                <c:pt idx="166">
                  <c:v>1.2772839888606224E-2</c:v>
                </c:pt>
                <c:pt idx="167">
                  <c:v>-4.4405747265807705E-4</c:v>
                </c:pt>
                <c:pt idx="168">
                  <c:v>-5.8474608788504634E-3</c:v>
                </c:pt>
                <c:pt idx="169">
                  <c:v>1.1350524166945153E-2</c:v>
                </c:pt>
                <c:pt idx="170">
                  <c:v>1.2855343936802432E-2</c:v>
                </c:pt>
                <c:pt idx="171">
                  <c:v>7.7210870531607689E-4</c:v>
                </c:pt>
                <c:pt idx="172">
                  <c:v>5.0313408929425485E-4</c:v>
                </c:pt>
                <c:pt idx="173">
                  <c:v>-2.3442402756190805E-4</c:v>
                </c:pt>
                <c:pt idx="174">
                  <c:v>7.1110659993987024E-3</c:v>
                </c:pt>
                <c:pt idx="175">
                  <c:v>3.4636396230398603E-3</c:v>
                </c:pt>
                <c:pt idx="176">
                  <c:v>-6.6377772347936403E-4</c:v>
                </c:pt>
                <c:pt idx="177">
                  <c:v>-3.0888066794428903E-3</c:v>
                </c:pt>
                <c:pt idx="178">
                  <c:v>2.5320226140375102E-3</c:v>
                </c:pt>
                <c:pt idx="179">
                  <c:v>5.9832556261696368E-4</c:v>
                </c:pt>
                <c:pt idx="180">
                  <c:v>-6.665424090834815E-5</c:v>
                </c:pt>
                <c:pt idx="181">
                  <c:v>-4.7246061420072039E-3</c:v>
                </c:pt>
                <c:pt idx="182">
                  <c:v>-2.3490237828327487E-4</c:v>
                </c:pt>
                <c:pt idx="183">
                  <c:v>-7.8467316343948657E-3</c:v>
                </c:pt>
                <c:pt idx="184">
                  <c:v>5.914872502925661E-3</c:v>
                </c:pt>
                <c:pt idx="185">
                  <c:v>-2.0833618018182287E-3</c:v>
                </c:pt>
                <c:pt idx="186">
                  <c:v>-5.3872885137526971E-3</c:v>
                </c:pt>
                <c:pt idx="187">
                  <c:v>4.6379085305425782E-3</c:v>
                </c:pt>
                <c:pt idx="188">
                  <c:v>-1.1894685434576502E-2</c:v>
                </c:pt>
                <c:pt idx="189">
                  <c:v>-1.7664723724882592E-2</c:v>
                </c:pt>
                <c:pt idx="190">
                  <c:v>8.19268067600043E-3</c:v>
                </c:pt>
                <c:pt idx="191">
                  <c:v>1.3532433293560908E-2</c:v>
                </c:pt>
                <c:pt idx="192">
                  <c:v>-4.3149860914807325E-3</c:v>
                </c:pt>
                <c:pt idx="193">
                  <c:v>-1.5524594215198473E-2</c:v>
                </c:pt>
                <c:pt idx="194">
                  <c:v>9.4962299172727249E-3</c:v>
                </c:pt>
                <c:pt idx="195">
                  <c:v>6.7636483545621129E-3</c:v>
                </c:pt>
                <c:pt idx="196">
                  <c:v>1.0366933239633003E-2</c:v>
                </c:pt>
                <c:pt idx="197">
                  <c:v>-1.1137145108082169E-3</c:v>
                </c:pt>
                <c:pt idx="198">
                  <c:v>9.9002461816455334E-3</c:v>
                </c:pt>
                <c:pt idx="199">
                  <c:v>-1.6060418292435097E-3</c:v>
                </c:pt>
                <c:pt idx="200">
                  <c:v>2.9491258654614771E-3</c:v>
                </c:pt>
                <c:pt idx="201">
                  <c:v>-4.377303717420733E-3</c:v>
                </c:pt>
                <c:pt idx="202">
                  <c:v>6.7792308327232487E-3</c:v>
                </c:pt>
                <c:pt idx="203">
                  <c:v>-3.2667921957212354E-3</c:v>
                </c:pt>
                <c:pt idx="204">
                  <c:v>2.9098642355620541E-3</c:v>
                </c:pt>
                <c:pt idx="205">
                  <c:v>1.6338349044284772E-3</c:v>
                </c:pt>
                <c:pt idx="206">
                  <c:v>4.0947370085677726E-3</c:v>
                </c:pt>
                <c:pt idx="207">
                  <c:v>5.6368497805041606E-3</c:v>
                </c:pt>
                <c:pt idx="208">
                  <c:v>-2.9698879450412718E-4</c:v>
                </c:pt>
                <c:pt idx="209">
                  <c:v>3.0674352534953986E-3</c:v>
                </c:pt>
                <c:pt idx="210">
                  <c:v>-2.6633055816749351E-3</c:v>
                </c:pt>
                <c:pt idx="211">
                  <c:v>9.2636755713975116E-3</c:v>
                </c:pt>
                <c:pt idx="212">
                  <c:v>4.017875200641452E-3</c:v>
                </c:pt>
                <c:pt idx="213">
                  <c:v>-1.1062875779210835E-3</c:v>
                </c:pt>
                <c:pt idx="214">
                  <c:v>2.2799855959121373E-4</c:v>
                </c:pt>
                <c:pt idx="215">
                  <c:v>3.5168431404257738E-3</c:v>
                </c:pt>
                <c:pt idx="216">
                  <c:v>2.4660645934493353E-3</c:v>
                </c:pt>
                <c:pt idx="217">
                  <c:v>-1.9096652667247582E-3</c:v>
                </c:pt>
                <c:pt idx="218">
                  <c:v>2.1080006190454803E-3</c:v>
                </c:pt>
                <c:pt idx="219">
                  <c:v>3.236809560953624E-4</c:v>
                </c:pt>
                <c:pt idx="220">
                  <c:v>1.4558355069576034E-3</c:v>
                </c:pt>
                <c:pt idx="221">
                  <c:v>7.236274515079133E-3</c:v>
                </c:pt>
                <c:pt idx="222">
                  <c:v>7.3752484978029109E-4</c:v>
                </c:pt>
                <c:pt idx="223">
                  <c:v>-2.8848284766291865E-4</c:v>
                </c:pt>
                <c:pt idx="224">
                  <c:v>-3.7185716147317693E-3</c:v>
                </c:pt>
                <c:pt idx="225">
                  <c:v>-1.6087732119962617E-3</c:v>
                </c:pt>
                <c:pt idx="226">
                  <c:v>2.2237294880016467E-3</c:v>
                </c:pt>
                <c:pt idx="227">
                  <c:v>7.7500138778536787E-3</c:v>
                </c:pt>
                <c:pt idx="228">
                  <c:v>2.2657915328754274E-3</c:v>
                </c:pt>
                <c:pt idx="229">
                  <c:v>4.4575313753276724E-3</c:v>
                </c:pt>
                <c:pt idx="230">
                  <c:v>-3.7085441386669471E-3</c:v>
                </c:pt>
                <c:pt idx="231">
                  <c:v>-8.4949273196489594E-3</c:v>
                </c:pt>
                <c:pt idx="232">
                  <c:v>-6.7063858748162009E-3</c:v>
                </c:pt>
                <c:pt idx="233">
                  <c:v>6.1701979268837803E-3</c:v>
                </c:pt>
                <c:pt idx="234">
                  <c:v>1.7978453088527413E-3</c:v>
                </c:pt>
                <c:pt idx="235">
                  <c:v>9.1341403618585559E-3</c:v>
                </c:pt>
                <c:pt idx="236">
                  <c:v>-3.144186464518306E-3</c:v>
                </c:pt>
                <c:pt idx="237">
                  <c:v>-1.1151172735409665E-3</c:v>
                </c:pt>
                <c:pt idx="238">
                  <c:v>2.8390305445218367E-3</c:v>
                </c:pt>
                <c:pt idx="239">
                  <c:v>8.618726328923465E-3</c:v>
                </c:pt>
                <c:pt idx="240">
                  <c:v>5.993204860199608E-4</c:v>
                </c:pt>
                <c:pt idx="241">
                  <c:v>6.8699023549014804E-3</c:v>
                </c:pt>
                <c:pt idx="242">
                  <c:v>2.1900081360515244E-4</c:v>
                </c:pt>
                <c:pt idx="243">
                  <c:v>6.2513193051172422E-5</c:v>
                </c:pt>
                <c:pt idx="244">
                  <c:v>4.0990304747494655E-3</c:v>
                </c:pt>
                <c:pt idx="245">
                  <c:v>4.384146144083001E-3</c:v>
                </c:pt>
                <c:pt idx="246">
                  <c:v>1.5279367411606959E-3</c:v>
                </c:pt>
                <c:pt idx="247">
                  <c:v>3.1291696136248603E-5</c:v>
                </c:pt>
                <c:pt idx="248">
                  <c:v>5.3230009570153225E-3</c:v>
                </c:pt>
                <c:pt idx="249">
                  <c:v>-2.477269805444271E-4</c:v>
                </c:pt>
                <c:pt idx="250">
                  <c:v>-5.5131741409409907E-3</c:v>
                </c:pt>
                <c:pt idx="251">
                  <c:v>2.429284132216436E-3</c:v>
                </c:pt>
                <c:pt idx="252">
                  <c:v>9.3519476053978146E-3</c:v>
                </c:pt>
                <c:pt idx="253">
                  <c:v>-7.5723684143397252E-3</c:v>
                </c:pt>
                <c:pt idx="254">
                  <c:v>3.8151221524171941E-3</c:v>
                </c:pt>
                <c:pt idx="255">
                  <c:v>-2.8116664694741722E-3</c:v>
                </c:pt>
                <c:pt idx="256">
                  <c:v>5.3294063013271664E-3</c:v>
                </c:pt>
                <c:pt idx="257">
                  <c:v>6.7805888254892643E-3</c:v>
                </c:pt>
                <c:pt idx="258">
                  <c:v>-2.8775877164930463E-3</c:v>
                </c:pt>
                <c:pt idx="259">
                  <c:v>6.8773101429462358E-3</c:v>
                </c:pt>
                <c:pt idx="260">
                  <c:v>-1.5245543019364316E-3</c:v>
                </c:pt>
                <c:pt idx="261">
                  <c:v>2.2598238469915266E-3</c:v>
                </c:pt>
                <c:pt idx="262">
                  <c:v>8.3183513046241053E-3</c:v>
                </c:pt>
                <c:pt idx="263">
                  <c:v>3.1125841844226176E-3</c:v>
                </c:pt>
                <c:pt idx="264">
                  <c:v>-1.9582914541771412E-3</c:v>
                </c:pt>
                <c:pt idx="265">
                  <c:v>1.2088041649360726E-4</c:v>
                </c:pt>
                <c:pt idx="266">
                  <c:v>1.1468400632714815E-3</c:v>
                </c:pt>
                <c:pt idx="267">
                  <c:v>-8.893020757739345E-3</c:v>
                </c:pt>
                <c:pt idx="268">
                  <c:v>-1.6029449982491228E-2</c:v>
                </c:pt>
                <c:pt idx="269">
                  <c:v>1.0479167156578262E-2</c:v>
                </c:pt>
                <c:pt idx="270">
                  <c:v>-8.2605585334016851E-4</c:v>
                </c:pt>
                <c:pt idx="271">
                  <c:v>3.2453036616320041E-3</c:v>
                </c:pt>
                <c:pt idx="272">
                  <c:v>-1.8157733271125243E-2</c:v>
                </c:pt>
                <c:pt idx="273">
                  <c:v>7.4283563475028291E-3</c:v>
                </c:pt>
                <c:pt idx="274">
                  <c:v>1.5241411206402766E-2</c:v>
                </c:pt>
                <c:pt idx="275">
                  <c:v>1.1547949040223271E-2</c:v>
                </c:pt>
                <c:pt idx="276">
                  <c:v>3.3646949694974282E-3</c:v>
                </c:pt>
                <c:pt idx="277">
                  <c:v>-5.3294194193188593E-3</c:v>
                </c:pt>
                <c:pt idx="278">
                  <c:v>7.4653180454942181E-3</c:v>
                </c:pt>
                <c:pt idx="279">
                  <c:v>1.7329344383234524E-3</c:v>
                </c:pt>
                <c:pt idx="280">
                  <c:v>6.442883956364609E-3</c:v>
                </c:pt>
                <c:pt idx="281">
                  <c:v>-1.067065733103334E-3</c:v>
                </c:pt>
                <c:pt idx="282">
                  <c:v>1.6019769180690702E-3</c:v>
                </c:pt>
                <c:pt idx="283">
                  <c:v>-2.5769673576750973E-3</c:v>
                </c:pt>
                <c:pt idx="284">
                  <c:v>4.7813606495197281E-3</c:v>
                </c:pt>
                <c:pt idx="285">
                  <c:v>-4.1082056198763484E-3</c:v>
                </c:pt>
                <c:pt idx="286">
                  <c:v>-1.0298487506935738E-2</c:v>
                </c:pt>
                <c:pt idx="287">
                  <c:v>-3.316529144442959E-2</c:v>
                </c:pt>
                <c:pt idx="288">
                  <c:v>-3.0302182711582137E-2</c:v>
                </c:pt>
                <c:pt idx="289">
                  <c:v>-3.67803345316009E-3</c:v>
                </c:pt>
                <c:pt idx="290">
                  <c:v>-4.49117397460993E-2</c:v>
                </c:pt>
                <c:pt idx="291">
                  <c:v>-4.2014654718900424E-3</c:v>
                </c:pt>
                <c:pt idx="292">
                  <c:v>4.3306509016265649E-2</c:v>
                </c:pt>
                <c:pt idx="293">
                  <c:v>-2.863257294479471E-2</c:v>
                </c:pt>
                <c:pt idx="294">
                  <c:v>4.2033197005585166E-2</c:v>
                </c:pt>
                <c:pt idx="295">
                  <c:v>-3.3241639322092342E-2</c:v>
                </c:pt>
                <c:pt idx="296">
                  <c:v>-1.6531234885791668E-2</c:v>
                </c:pt>
                <c:pt idx="297">
                  <c:v>-7.809431477042228E-2</c:v>
                </c:pt>
                <c:pt idx="298">
                  <c:v>5.1744610896743204E-2</c:v>
                </c:pt>
                <c:pt idx="299">
                  <c:v>-4.8748644923318873E-2</c:v>
                </c:pt>
                <c:pt idx="300">
                  <c:v>-9.5676968124166484E-2</c:v>
                </c:pt>
                <c:pt idx="301">
                  <c:v>8.5486278138590777E-2</c:v>
                </c:pt>
                <c:pt idx="302">
                  <c:v>-0.10942372079277363</c:v>
                </c:pt>
                <c:pt idx="303">
                  <c:v>5.3992231433475091E-2</c:v>
                </c:pt>
                <c:pt idx="304">
                  <c:v>-5.0632934346107938E-2</c:v>
                </c:pt>
                <c:pt idx="305">
                  <c:v>2.1248587816524722E-3</c:v>
                </c:pt>
                <c:pt idx="306">
                  <c:v>-4.3094152764281524E-2</c:v>
                </c:pt>
                <c:pt idx="307">
                  <c:v>-2.5568231295662658E-2</c:v>
                </c:pt>
                <c:pt idx="308">
                  <c:v>9.0603173390269021E-2</c:v>
                </c:pt>
                <c:pt idx="309">
                  <c:v>1.4970367197915779E-2</c:v>
                </c:pt>
                <c:pt idx="310">
                  <c:v>5.8389675049631329E-2</c:v>
                </c:pt>
                <c:pt idx="311">
                  <c:v>-2.9785631870702156E-2</c:v>
                </c:pt>
                <c:pt idx="312">
                  <c:v>3.247570114420717E-2</c:v>
                </c:pt>
                <c:pt idx="313">
                  <c:v>-1.4905396626175849E-2</c:v>
                </c:pt>
                <c:pt idx="314">
                  <c:v>-4.5004889117887692E-2</c:v>
                </c:pt>
                <c:pt idx="315">
                  <c:v>2.3075417412981913E-2</c:v>
                </c:pt>
                <c:pt idx="316">
                  <c:v>-1.445418113920216E-2</c:v>
                </c:pt>
                <c:pt idx="317">
                  <c:v>6.7166103351828266E-2</c:v>
                </c:pt>
                <c:pt idx="318">
                  <c:v>1.0195662079719447E-3</c:v>
                </c:pt>
                <c:pt idx="319">
                  <c:v>3.3568277977527483E-2</c:v>
                </c:pt>
                <c:pt idx="320">
                  <c:v>1.521757144493896E-2</c:v>
                </c:pt>
                <c:pt idx="321">
                  <c:v>-9.1304112559082995E-3</c:v>
                </c:pt>
                <c:pt idx="322">
                  <c:v>2.949318803992762E-2</c:v>
                </c:pt>
                <c:pt idx="323">
                  <c:v>-2.1248334917558176E-2</c:v>
                </c:pt>
                <c:pt idx="324">
                  <c:v>4.8244014919918143E-3</c:v>
                </c:pt>
                <c:pt idx="325">
                  <c:v>2.7015323180031192E-2</c:v>
                </c:pt>
                <c:pt idx="326">
                  <c:v>-1.7617885070112749E-2</c:v>
                </c:pt>
                <c:pt idx="327">
                  <c:v>-3.0363185873587106E-2</c:v>
                </c:pt>
                <c:pt idx="328">
                  <c:v>2.2194484986830076E-2</c:v>
                </c:pt>
                <c:pt idx="329">
                  <c:v>-7.1610751411377294E-5</c:v>
                </c:pt>
                <c:pt idx="330">
                  <c:v>1.3938666150070667E-2</c:v>
                </c:pt>
                <c:pt idx="331">
                  <c:v>1.4418503793647286E-2</c:v>
                </c:pt>
                <c:pt idx="332">
                  <c:v>-4.5984161758955144E-3</c:v>
                </c:pt>
                <c:pt idx="333">
                  <c:v>2.6178396589441766E-2</c:v>
                </c:pt>
                <c:pt idx="334">
                  <c:v>-9.3106847157256034E-3</c:v>
                </c:pt>
                <c:pt idx="335">
                  <c:v>-2.6473434614380675E-2</c:v>
                </c:pt>
                <c:pt idx="336">
                  <c:v>2.7581839698547217E-3</c:v>
                </c:pt>
                <c:pt idx="337">
                  <c:v>9.2393223075446507E-3</c:v>
                </c:pt>
                <c:pt idx="338">
                  <c:v>-6.7786188044510753E-3</c:v>
                </c:pt>
                <c:pt idx="339">
                  <c:v>1.2066707504521768E-2</c:v>
                </c:pt>
                <c:pt idx="340">
                  <c:v>1.6546250256828987E-2</c:v>
                </c:pt>
                <c:pt idx="341">
                  <c:v>2.0525351794287161E-4</c:v>
                </c:pt>
                <c:pt idx="342">
                  <c:v>-1.9931764438237076E-2</c:v>
                </c:pt>
                <c:pt idx="343">
                  <c:v>-1.7685869532278908E-2</c:v>
                </c:pt>
                <c:pt idx="344">
                  <c:v>1.1967449132084251E-2</c:v>
                </c:pt>
                <c:pt idx="345">
                  <c:v>4.5969105308356628E-3</c:v>
                </c:pt>
                <c:pt idx="346">
                  <c:v>3.0459738870395325E-2</c:v>
                </c:pt>
                <c:pt idx="347">
                  <c:v>-1.0271423472739571E-2</c:v>
                </c:pt>
                <c:pt idx="348">
                  <c:v>1.6988332640760939E-2</c:v>
                </c:pt>
                <c:pt idx="349">
                  <c:v>-6.9039681366674932E-3</c:v>
                </c:pt>
                <c:pt idx="350">
                  <c:v>1.8992088695075626E-3</c:v>
                </c:pt>
                <c:pt idx="351">
                  <c:v>1.232032001094896E-2</c:v>
                </c:pt>
                <c:pt idx="352">
                  <c:v>1.4878998564581858E-2</c:v>
                </c:pt>
                <c:pt idx="353">
                  <c:v>-1.84487583286852E-3</c:v>
                </c:pt>
                <c:pt idx="354">
                  <c:v>4.4557372155122899E-3</c:v>
                </c:pt>
                <c:pt idx="355">
                  <c:v>4.0419148579609043E-3</c:v>
                </c:pt>
                <c:pt idx="356">
                  <c:v>8.279915927419168E-3</c:v>
                </c:pt>
                <c:pt idx="357">
                  <c:v>1.3308512660076266E-2</c:v>
                </c:pt>
                <c:pt idx="358">
                  <c:v>-2.6267651816855864E-3</c:v>
                </c:pt>
                <c:pt idx="359">
                  <c:v>2.5629600938956276E-2</c:v>
                </c:pt>
                <c:pt idx="360">
                  <c:v>1.2087405804400042E-2</c:v>
                </c:pt>
                <c:pt idx="361">
                  <c:v>-7.4566104845250614E-3</c:v>
                </c:pt>
                <c:pt idx="362">
                  <c:v>-5.5800065642890306E-3</c:v>
                </c:pt>
                <c:pt idx="363">
                  <c:v>-5.7649086209779044E-2</c:v>
                </c:pt>
                <c:pt idx="364">
                  <c:v>1.1975780154728222E-2</c:v>
                </c:pt>
                <c:pt idx="365">
                  <c:v>9.3356800993726896E-3</c:v>
                </c:pt>
                <c:pt idx="366">
                  <c:v>1.92476355416209E-2</c:v>
                </c:pt>
                <c:pt idx="367">
                  <c:v>-4.1538465706363326E-3</c:v>
                </c:pt>
                <c:pt idx="368">
                  <c:v>3.8487660475250429E-4</c:v>
                </c:pt>
                <c:pt idx="369">
                  <c:v>-5.7148208956896429E-3</c:v>
                </c:pt>
                <c:pt idx="370">
                  <c:v>6.4153997017057929E-3</c:v>
                </c:pt>
                <c:pt idx="371">
                  <c:v>4.6034039348983313E-3</c:v>
                </c:pt>
                <c:pt idx="372">
                  <c:v>-2.5508816051501793E-2</c:v>
                </c:pt>
                <c:pt idx="373">
                  <c:v>1.0720578135614334E-2</c:v>
                </c:pt>
                <c:pt idx="374">
                  <c:v>-2.375132013600123E-2</c:v>
                </c:pt>
                <c:pt idx="375">
                  <c:v>1.4697485290460222E-2</c:v>
                </c:pt>
                <c:pt idx="376">
                  <c:v>1.2809426603906937E-2</c:v>
                </c:pt>
                <c:pt idx="377">
                  <c:v>7.0049919797676719E-3</c:v>
                </c:pt>
                <c:pt idx="378">
                  <c:v>5.5069486597416617E-3</c:v>
                </c:pt>
                <c:pt idx="379">
                  <c:v>1.5437245461707549E-2</c:v>
                </c:pt>
                <c:pt idx="380">
                  <c:v>-1.0313733360423849E-2</c:v>
                </c:pt>
                <c:pt idx="381">
                  <c:v>7.6487346792095678E-3</c:v>
                </c:pt>
                <c:pt idx="382">
                  <c:v>-5.6929845453245198E-3</c:v>
                </c:pt>
                <c:pt idx="383">
                  <c:v>1.0210430238554391E-2</c:v>
                </c:pt>
                <c:pt idx="384">
                  <c:v>-8.658948363955421E-3</c:v>
                </c:pt>
                <c:pt idx="385">
                  <c:v>1.295906202646524E-2</c:v>
                </c:pt>
                <c:pt idx="386">
                  <c:v>9.1872724542343409E-3</c:v>
                </c:pt>
                <c:pt idx="387">
                  <c:v>-3.2933727796681245E-3</c:v>
                </c:pt>
                <c:pt idx="388">
                  <c:v>2.8988786437762482E-3</c:v>
                </c:pt>
                <c:pt idx="389">
                  <c:v>8.0815411882357857E-3</c:v>
                </c:pt>
                <c:pt idx="390">
                  <c:v>2.1278272971125833E-3</c:v>
                </c:pt>
                <c:pt idx="391">
                  <c:v>5.6918631014402088E-3</c:v>
                </c:pt>
                <c:pt idx="392">
                  <c:v>-1.193168044074322E-2</c:v>
                </c:pt>
                <c:pt idx="393">
                  <c:v>-6.4402905510494435E-3</c:v>
                </c:pt>
                <c:pt idx="394">
                  <c:v>7.292364554599251E-3</c:v>
                </c:pt>
                <c:pt idx="395">
                  <c:v>-6.3425647412930219E-3</c:v>
                </c:pt>
                <c:pt idx="396">
                  <c:v>1.2298753320890254E-2</c:v>
                </c:pt>
                <c:pt idx="397">
                  <c:v>-3.5677373103053522E-3</c:v>
                </c:pt>
                <c:pt idx="398">
                  <c:v>7.9019311780266221E-3</c:v>
                </c:pt>
                <c:pt idx="399">
                  <c:v>6.952424166833282E-3</c:v>
                </c:pt>
                <c:pt idx="400">
                  <c:v>3.8624238846853842E-3</c:v>
                </c:pt>
                <c:pt idx="401">
                  <c:v>6.2112231296855835E-3</c:v>
                </c:pt>
                <c:pt idx="402">
                  <c:v>6.6843685246342766E-3</c:v>
                </c:pt>
                <c:pt idx="403">
                  <c:v>7.1783078183740301E-4</c:v>
                </c:pt>
                <c:pt idx="404">
                  <c:v>2.9889764682098363E-3</c:v>
                </c:pt>
                <c:pt idx="405">
                  <c:v>-8.2545811931474811E-3</c:v>
                </c:pt>
                <c:pt idx="406">
                  <c:v>1.3942188661090427E-2</c:v>
                </c:pt>
                <c:pt idx="407">
                  <c:v>-1.8077118692871874E-3</c:v>
                </c:pt>
                <c:pt idx="408">
                  <c:v>2.9728210360957519E-5</c:v>
                </c:pt>
                <c:pt idx="409">
                  <c:v>3.1767242652422922E-3</c:v>
                </c:pt>
                <c:pt idx="410">
                  <c:v>2.1604052080028691E-3</c:v>
                </c:pt>
                <c:pt idx="411">
                  <c:v>-4.1638393928231654E-3</c:v>
                </c:pt>
                <c:pt idx="412">
                  <c:v>3.1135750070379054E-3</c:v>
                </c:pt>
                <c:pt idx="413">
                  <c:v>3.5473392851324004E-3</c:v>
                </c:pt>
                <c:pt idx="414">
                  <c:v>1.0133324577059399E-2</c:v>
                </c:pt>
                <c:pt idx="415">
                  <c:v>3.4992493651837542E-3</c:v>
                </c:pt>
                <c:pt idx="416">
                  <c:v>1.0025603872449329E-2</c:v>
                </c:pt>
                <c:pt idx="417">
                  <c:v>2.1865091370856238E-3</c:v>
                </c:pt>
                <c:pt idx="418">
                  <c:v>6.4593515923945244E-3</c:v>
                </c:pt>
                <c:pt idx="419">
                  <c:v>-3.6225394267189737E-3</c:v>
                </c:pt>
                <c:pt idx="420">
                  <c:v>9.4184637463441412E-3</c:v>
                </c:pt>
                <c:pt idx="421">
                  <c:v>1.4464114562413144E-2</c:v>
                </c:pt>
                <c:pt idx="422">
                  <c:v>-3.4414294048789706E-2</c:v>
                </c:pt>
                <c:pt idx="423">
                  <c:v>-8.1647476389468121E-3</c:v>
                </c:pt>
                <c:pt idx="424">
                  <c:v>-2.7322770896333393E-2</c:v>
                </c:pt>
                <c:pt idx="425">
                  <c:v>1.9747179391700787E-2</c:v>
                </c:pt>
                <c:pt idx="426">
                  <c:v>-1.7363572610475275E-2</c:v>
                </c:pt>
                <c:pt idx="427">
                  <c:v>5.0923557109960882E-4</c:v>
                </c:pt>
                <c:pt idx="428">
                  <c:v>1.3171189351432355E-2</c:v>
                </c:pt>
                <c:pt idx="429">
                  <c:v>5.0525348238807943E-3</c:v>
                </c:pt>
                <c:pt idx="430">
                  <c:v>-3.9688746858660418E-3</c:v>
                </c:pt>
                <c:pt idx="431">
                  <c:v>-8.79534446521546E-3</c:v>
                </c:pt>
                <c:pt idx="432">
                  <c:v>-1.151262919765339E-2</c:v>
                </c:pt>
                <c:pt idx="433">
                  <c:v>-1.1129386900808003E-2</c:v>
                </c:pt>
                <c:pt idx="434">
                  <c:v>1.0184302329772299E-2</c:v>
                </c:pt>
                <c:pt idx="435">
                  <c:v>-2.3190933877250353E-2</c:v>
                </c:pt>
                <c:pt idx="436">
                  <c:v>2.6652507178661633E-3</c:v>
                </c:pt>
                <c:pt idx="437">
                  <c:v>1.6167026376602722E-2</c:v>
                </c:pt>
                <c:pt idx="438">
                  <c:v>1.6609314095046512E-2</c:v>
                </c:pt>
                <c:pt idx="439">
                  <c:v>-5.4460159500625549E-3</c:v>
                </c:pt>
                <c:pt idx="440">
                  <c:v>7.581928774354818E-3</c:v>
                </c:pt>
                <c:pt idx="441">
                  <c:v>6.4200032845178612E-3</c:v>
                </c:pt>
                <c:pt idx="442">
                  <c:v>-9.4944139916489645E-3</c:v>
                </c:pt>
                <c:pt idx="443">
                  <c:v>1.7733135478033457E-2</c:v>
                </c:pt>
                <c:pt idx="444">
                  <c:v>-1.4215853333956918E-2</c:v>
                </c:pt>
                <c:pt idx="445">
                  <c:v>1.740649670567751E-2</c:v>
                </c:pt>
                <c:pt idx="446">
                  <c:v>8.8627572308157543E-3</c:v>
                </c:pt>
                <c:pt idx="447">
                  <c:v>8.9298579172683024E-3</c:v>
                </c:pt>
                <c:pt idx="448">
                  <c:v>1.608765387308897E-2</c:v>
                </c:pt>
                <c:pt idx="449">
                  <c:v>-6.5259418269143499E-3</c:v>
                </c:pt>
                <c:pt idx="450">
                  <c:v>-6.2834285511884636E-3</c:v>
                </c:pt>
                <c:pt idx="451">
                  <c:v>-1.2359882917148957E-3</c:v>
                </c:pt>
                <c:pt idx="452">
                  <c:v>-6.0431789816506321E-4</c:v>
                </c:pt>
                <c:pt idx="453">
                  <c:v>-1.5203319971800577E-2</c:v>
                </c:pt>
                <c:pt idx="454">
                  <c:v>4.0056974321642791E-3</c:v>
                </c:pt>
                <c:pt idx="455">
                  <c:v>-1.8930668382398652E-3</c:v>
                </c:pt>
                <c:pt idx="456">
                  <c:v>5.4853640330010389E-3</c:v>
                </c:pt>
                <c:pt idx="457">
                  <c:v>3.3954004435843288E-3</c:v>
                </c:pt>
                <c:pt idx="458">
                  <c:v>-1.8480018393658981E-2</c:v>
                </c:pt>
                <c:pt idx="459">
                  <c:v>-3.4473425110700395E-3</c:v>
                </c:pt>
                <c:pt idx="460">
                  <c:v>-3.4178922648210652E-2</c:v>
                </c:pt>
                <c:pt idx="461">
                  <c:v>1.0163436131759074E-2</c:v>
                </c:pt>
                <c:pt idx="462">
                  <c:v>-1.042490629153503E-2</c:v>
                </c:pt>
                <c:pt idx="463">
                  <c:v>1.1208475494422609E-2</c:v>
                </c:pt>
                <c:pt idx="464">
                  <c:v>1.7655932427571353E-2</c:v>
                </c:pt>
                <c:pt idx="465">
                  <c:v>2.2349169965382609E-2</c:v>
                </c:pt>
                <c:pt idx="466">
                  <c:v>1.9502929590644147E-2</c:v>
                </c:pt>
                <c:pt idx="467">
                  <c:v>-2.2851945269286578E-4</c:v>
                </c:pt>
                <c:pt idx="468">
                  <c:v>1.2565606819357811E-2</c:v>
                </c:pt>
                <c:pt idx="469">
                  <c:v>-1.4665597339570402E-3</c:v>
                </c:pt>
                <c:pt idx="470">
                  <c:v>7.4286052707084327E-3</c:v>
                </c:pt>
                <c:pt idx="471">
                  <c:v>-9.700988501003982E-3</c:v>
                </c:pt>
                <c:pt idx="472">
                  <c:v>1.3844561449388282E-2</c:v>
                </c:pt>
                <c:pt idx="473">
                  <c:v>1.2482558170378466E-2</c:v>
                </c:pt>
                <c:pt idx="474">
                  <c:v>-5.3784449746822061E-3</c:v>
                </c:pt>
                <c:pt idx="475">
                  <c:v>-1.2034678771105756E-2</c:v>
                </c:pt>
                <c:pt idx="476">
                  <c:v>4.2102181329668475E-3</c:v>
                </c:pt>
                <c:pt idx="477">
                  <c:v>-6.847884652961489E-3</c:v>
                </c:pt>
                <c:pt idx="478">
                  <c:v>5.994565649161343E-3</c:v>
                </c:pt>
                <c:pt idx="479">
                  <c:v>1.611365943348253E-2</c:v>
                </c:pt>
                <c:pt idx="480">
                  <c:v>-1.5417685533732906E-3</c:v>
                </c:pt>
                <c:pt idx="481">
                  <c:v>2.7851057234840049E-3</c:v>
                </c:pt>
                <c:pt idx="482">
                  <c:v>-4.4271845340466687E-3</c:v>
                </c:pt>
                <c:pt idx="483">
                  <c:v>1.0937222472905406E-2</c:v>
                </c:pt>
                <c:pt idx="484">
                  <c:v>2.1038025125887927E-3</c:v>
                </c:pt>
                <c:pt idx="485">
                  <c:v>-2.7267522785101583E-4</c:v>
                </c:pt>
                <c:pt idx="486">
                  <c:v>8.6178365304656612E-3</c:v>
                </c:pt>
                <c:pt idx="487">
                  <c:v>-2.0550498116275184E-3</c:v>
                </c:pt>
                <c:pt idx="488">
                  <c:v>2.9261579402954929E-3</c:v>
                </c:pt>
                <c:pt idx="489">
                  <c:v>-8.9688204984695874E-3</c:v>
                </c:pt>
                <c:pt idx="490">
                  <c:v>-3.2725765390118067E-4</c:v>
                </c:pt>
                <c:pt idx="491">
                  <c:v>-1.1723674397928763E-3</c:v>
                </c:pt>
                <c:pt idx="492">
                  <c:v>-4.4771625747747068E-3</c:v>
                </c:pt>
                <c:pt idx="493">
                  <c:v>1.351933097405067E-2</c:v>
                </c:pt>
                <c:pt idx="494">
                  <c:v>1.5693338864144479E-3</c:v>
                </c:pt>
                <c:pt idx="495">
                  <c:v>5.5919146289677979E-3</c:v>
                </c:pt>
                <c:pt idx="496">
                  <c:v>-3.9929056757369574E-3</c:v>
                </c:pt>
                <c:pt idx="497">
                  <c:v>-3.5755494664578835E-3</c:v>
                </c:pt>
                <c:pt idx="498">
                  <c:v>-1.6853497505238124E-3</c:v>
                </c:pt>
                <c:pt idx="499">
                  <c:v>8.9869286658483816E-4</c:v>
                </c:pt>
                <c:pt idx="500">
                  <c:v>3.8903637545384395E-3</c:v>
                </c:pt>
                <c:pt idx="501">
                  <c:v>8.5908137835792875E-3</c:v>
                </c:pt>
                <c:pt idx="502">
                  <c:v>-1.9076701567345422E-3</c:v>
                </c:pt>
                <c:pt idx="503">
                  <c:v>1.4266350002845041E-3</c:v>
                </c:pt>
                <c:pt idx="504">
                  <c:v>5.0808532531914086E-3</c:v>
                </c:pt>
              </c:numCache>
            </c:numRef>
          </c:val>
          <c:smooth val="0"/>
          <c:extLst>
            <c:ext xmlns:c16="http://schemas.microsoft.com/office/drawing/2014/chart" uri="{C3380CC4-5D6E-409C-BE32-E72D297353CC}">
              <c16:uniqueId val="{00000000-C35F-4C45-B57F-112708F7C4AC}"/>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1"/>
          <c:order val="1"/>
          <c:tx>
            <c:v>Sample 2 (rhs)</c:v>
          </c:tx>
          <c:spPr>
            <a:ln w="12700" cap="rnd">
              <a:solidFill>
                <a:schemeClr val="accent2"/>
              </a:solidFill>
              <a:round/>
            </a:ln>
            <a:effectLst/>
          </c:spPr>
          <c:marker>
            <c:symbol val="none"/>
          </c:marker>
          <c:cat>
            <c:numRef>
              <c:f>(CONTAGION_COKURTOSIS!$F$19:$F$318,CONTAGION_COKURTOSIS!$F$321:$F$526)</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(CONTAGION_COKURTOSIS!$J$20:$J$318,CONTAGION_COKURTOSIS!$J$321:$J$526)</c:f>
              <c:numCache>
                <c:formatCode>0.00%</c:formatCode>
                <c:ptCount val="505"/>
                <c:pt idx="0">
                  <c:v>-1.0932312016076473E-4</c:v>
                </c:pt>
                <c:pt idx="1">
                  <c:v>3.2817541684604379E-4</c:v>
                </c:pt>
                <c:pt idx="2">
                  <c:v>1.0929920370039703E-4</c:v>
                </c:pt>
                <c:pt idx="3">
                  <c:v>0</c:v>
                </c:pt>
                <c:pt idx="4">
                  <c:v>0</c:v>
                </c:pt>
                <c:pt idx="5">
                  <c:v>0</c:v>
                </c:pt>
                <c:pt idx="6">
                  <c:v>1.0928725869008282E-4</c:v>
                </c:pt>
                <c:pt idx="7">
                  <c:v>2.1845991002655829E-4</c:v>
                </c:pt>
                <c:pt idx="8">
                  <c:v>-1.0916074648947838E-4</c:v>
                </c:pt>
                <c:pt idx="9">
                  <c:v>2.1877621276433779E-4</c:v>
                </c:pt>
                <c:pt idx="10">
                  <c:v>1.0880868670137822E-4</c:v>
                </c:pt>
                <c:pt idx="11">
                  <c:v>2.1871589861222063E-4</c:v>
                </c:pt>
                <c:pt idx="12">
                  <c:v>0</c:v>
                </c:pt>
                <c:pt idx="13">
                  <c:v>1.0928303821855501E-4</c:v>
                </c:pt>
                <c:pt idx="14">
                  <c:v>0</c:v>
                </c:pt>
                <c:pt idx="15">
                  <c:v>3.2731469764235577E-4</c:v>
                </c:pt>
                <c:pt idx="16">
                  <c:v>-1.0897479974747437E-4</c:v>
                </c:pt>
                <c:pt idx="17">
                  <c:v>1.0898667654868355E-4</c:v>
                </c:pt>
                <c:pt idx="18">
                  <c:v>0</c:v>
                </c:pt>
                <c:pt idx="19">
                  <c:v>2.1840271716544457E-4</c:v>
                </c:pt>
                <c:pt idx="20">
                  <c:v>0</c:v>
                </c:pt>
                <c:pt idx="21">
                  <c:v>9.8497597358582212E-5</c:v>
                </c:pt>
                <c:pt idx="22">
                  <c:v>1.094725187795742E-4</c:v>
                </c:pt>
                <c:pt idx="23">
                  <c:v>0</c:v>
                </c:pt>
                <c:pt idx="24">
                  <c:v>2.1881916369892451E-4</c:v>
                </c:pt>
                <c:pt idx="25">
                  <c:v>0</c:v>
                </c:pt>
                <c:pt idx="26">
                  <c:v>2.18341108176201E-4</c:v>
                </c:pt>
                <c:pt idx="27">
                  <c:v>-1.0932215442716053E-4</c:v>
                </c:pt>
                <c:pt idx="28">
                  <c:v>2.1875876935339988E-4</c:v>
                </c:pt>
                <c:pt idx="29">
                  <c:v>0</c:v>
                </c:pt>
                <c:pt idx="30">
                  <c:v>2.1877882598042575E-4</c:v>
                </c:pt>
                <c:pt idx="31">
                  <c:v>0</c:v>
                </c:pt>
                <c:pt idx="32">
                  <c:v>2.183123375776308E-4</c:v>
                </c:pt>
                <c:pt idx="33">
                  <c:v>0</c:v>
                </c:pt>
                <c:pt idx="34">
                  <c:v>1.0909275191561818E-4</c:v>
                </c:pt>
                <c:pt idx="35">
                  <c:v>2.1867068762237984E-4</c:v>
                </c:pt>
                <c:pt idx="36">
                  <c:v>-1.0931709474093498E-4</c:v>
                </c:pt>
                <c:pt idx="37">
                  <c:v>1.0932904627458662E-4</c:v>
                </c:pt>
                <c:pt idx="38">
                  <c:v>1.0896653821479418E-4</c:v>
                </c:pt>
                <c:pt idx="39">
                  <c:v>2.1841814853673647E-4</c:v>
                </c:pt>
                <c:pt idx="40">
                  <c:v>1.092813151106764E-4</c:v>
                </c:pt>
                <c:pt idx="41">
                  <c:v>-1.0934849737997965E-4</c:v>
                </c:pt>
                <c:pt idx="42">
                  <c:v>1.0936045578158193E-4</c:v>
                </c:pt>
                <c:pt idx="43">
                  <c:v>1.0934849737997965E-4</c:v>
                </c:pt>
                <c:pt idx="44">
                  <c:v>2.1884261472737698E-4</c:v>
                </c:pt>
                <c:pt idx="45">
                  <c:v>1.0940301637285543E-4</c:v>
                </c:pt>
                <c:pt idx="46">
                  <c:v>0</c:v>
                </c:pt>
                <c:pt idx="47">
                  <c:v>1.0921027436161523E-4</c:v>
                </c:pt>
                <c:pt idx="48">
                  <c:v>1.0928872606030815E-4</c:v>
                </c:pt>
                <c:pt idx="49">
                  <c:v>0</c:v>
                </c:pt>
                <c:pt idx="50">
                  <c:v>1.0893790557453542E-4</c:v>
                </c:pt>
                <c:pt idx="51">
                  <c:v>1.0969407866578962E-4</c:v>
                </c:pt>
                <c:pt idx="52">
                  <c:v>0</c:v>
                </c:pt>
                <c:pt idx="53">
                  <c:v>0</c:v>
                </c:pt>
                <c:pt idx="54">
                  <c:v>3.27589285726404E-4</c:v>
                </c:pt>
                <c:pt idx="55">
                  <c:v>0</c:v>
                </c:pt>
                <c:pt idx="56">
                  <c:v>0</c:v>
                </c:pt>
                <c:pt idx="57">
                  <c:v>1.0938646386726703E-4</c:v>
                </c:pt>
                <c:pt idx="58">
                  <c:v>1.0886651624031352E-4</c:v>
                </c:pt>
                <c:pt idx="59">
                  <c:v>2.1855587829189282E-4</c:v>
                </c:pt>
                <c:pt idx="60">
                  <c:v>0</c:v>
                </c:pt>
                <c:pt idx="61">
                  <c:v>1.7520823751815406E-4</c:v>
                </c:pt>
                <c:pt idx="62">
                  <c:v>-1.0948878631844572E-4</c:v>
                </c:pt>
                <c:pt idx="63">
                  <c:v>1.095007754254862E-4</c:v>
                </c:pt>
                <c:pt idx="64">
                  <c:v>3.2789093355334309E-4</c:v>
                </c:pt>
                <c:pt idx="65">
                  <c:v>0</c:v>
                </c:pt>
                <c:pt idx="66">
                  <c:v>0</c:v>
                </c:pt>
                <c:pt idx="67">
                  <c:v>1.0945289770569744E-4</c:v>
                </c:pt>
                <c:pt idx="68">
                  <c:v>0</c:v>
                </c:pt>
                <c:pt idx="69">
                  <c:v>3.2773630548876831E-4</c:v>
                </c:pt>
                <c:pt idx="70">
                  <c:v>0</c:v>
                </c:pt>
                <c:pt idx="71">
                  <c:v>1.0941633729211198E-4</c:v>
                </c:pt>
                <c:pt idx="72">
                  <c:v>0</c:v>
                </c:pt>
                <c:pt idx="73">
                  <c:v>2.1836908672923094E-4</c:v>
                </c:pt>
                <c:pt idx="74">
                  <c:v>1.0971859721320421E-4</c:v>
                </c:pt>
                <c:pt idx="75">
                  <c:v>0</c:v>
                </c:pt>
                <c:pt idx="76">
                  <c:v>0</c:v>
                </c:pt>
                <c:pt idx="77">
                  <c:v>2.1812842140644939E-4</c:v>
                </c:pt>
                <c:pt idx="78">
                  <c:v>2.181597196171392E-4</c:v>
                </c:pt>
                <c:pt idx="79">
                  <c:v>-1.0897158533818008E-4</c:v>
                </c:pt>
                <c:pt idx="80">
                  <c:v>1.089834614387275E-4</c:v>
                </c:pt>
                <c:pt idx="81">
                  <c:v>1.0941089605021048E-4</c:v>
                </c:pt>
                <c:pt idx="82">
                  <c:v>4.3644686567922975E-5</c:v>
                </c:pt>
                <c:pt idx="83">
                  <c:v>1.0973203174291513E-4</c:v>
                </c:pt>
                <c:pt idx="84">
                  <c:v>1.0911187539353051E-4</c:v>
                </c:pt>
                <c:pt idx="85">
                  <c:v>1.0919005280296545E-4</c:v>
                </c:pt>
                <c:pt idx="86">
                  <c:v>1.0935827499136686E-4</c:v>
                </c:pt>
                <c:pt idx="87">
                  <c:v>0</c:v>
                </c:pt>
                <c:pt idx="88">
                  <c:v>1.094138634378794E-4</c:v>
                </c:pt>
                <c:pt idx="89">
                  <c:v>2.187475042234599E-4</c:v>
                </c:pt>
                <c:pt idx="90">
                  <c:v>-1.0956928579342051E-4</c:v>
                </c:pt>
                <c:pt idx="91">
                  <c:v>1.0958129253735294E-4</c:v>
                </c:pt>
                <c:pt idx="92">
                  <c:v>1.0920915667012032E-4</c:v>
                </c:pt>
                <c:pt idx="93">
                  <c:v>1.0928725378223092E-4</c:v>
                </c:pt>
                <c:pt idx="94">
                  <c:v>1.0953409764380417E-4</c:v>
                </c:pt>
                <c:pt idx="95">
                  <c:v>1.0884708058456205E-4</c:v>
                </c:pt>
                <c:pt idx="96">
                  <c:v>0</c:v>
                </c:pt>
                <c:pt idx="97">
                  <c:v>2.185928961988548E-4</c:v>
                </c:pt>
                <c:pt idx="98">
                  <c:v>2.1845515049623287E-4</c:v>
                </c:pt>
                <c:pt idx="99">
                  <c:v>0</c:v>
                </c:pt>
                <c:pt idx="100">
                  <c:v>1.0886639298268719E-4</c:v>
                </c:pt>
                <c:pt idx="101">
                  <c:v>0</c:v>
                </c:pt>
                <c:pt idx="102">
                  <c:v>3.279240278493134E-4</c:v>
                </c:pt>
                <c:pt idx="103">
                  <c:v>0</c:v>
                </c:pt>
                <c:pt idx="104">
                  <c:v>-4.3563508970612119E-5</c:v>
                </c:pt>
                <c:pt idx="105">
                  <c:v>2.184115029848499E-4</c:v>
                </c:pt>
                <c:pt idx="106">
                  <c:v>0</c:v>
                </c:pt>
                <c:pt idx="107">
                  <c:v>3.2801768261414566E-4</c:v>
                </c:pt>
                <c:pt idx="108">
                  <c:v>-1.0926967316093883E-4</c:v>
                </c:pt>
                <c:pt idx="109">
                  <c:v>2.1874298663027147E-4</c:v>
                </c:pt>
                <c:pt idx="110">
                  <c:v>-1.0943743363189817E-4</c:v>
                </c:pt>
                <c:pt idx="111">
                  <c:v>1.0944941149459986E-4</c:v>
                </c:pt>
                <c:pt idx="112">
                  <c:v>3.2804272290043457E-4</c:v>
                </c:pt>
                <c:pt idx="113">
                  <c:v>1.0888502353489926E-4</c:v>
                </c:pt>
                <c:pt idx="114">
                  <c:v>0</c:v>
                </c:pt>
                <c:pt idx="115">
                  <c:v>0</c:v>
                </c:pt>
                <c:pt idx="116">
                  <c:v>2.1868944863268069E-4</c:v>
                </c:pt>
                <c:pt idx="117">
                  <c:v>1.0901774050453561E-4</c:v>
                </c:pt>
                <c:pt idx="118">
                  <c:v>0</c:v>
                </c:pt>
                <c:pt idx="119">
                  <c:v>1.0926400506949818E-4</c:v>
                </c:pt>
                <c:pt idx="120">
                  <c:v>0</c:v>
                </c:pt>
                <c:pt idx="121">
                  <c:v>2.1842557726148293E-4</c:v>
                </c:pt>
                <c:pt idx="122">
                  <c:v>0</c:v>
                </c:pt>
                <c:pt idx="123">
                  <c:v>1.0905990719045633E-4</c:v>
                </c:pt>
                <c:pt idx="124">
                  <c:v>-5.4265971786926492E-5</c:v>
                </c:pt>
                <c:pt idx="125">
                  <c:v>1.0913246912425123E-4</c:v>
                </c:pt>
                <c:pt idx="126">
                  <c:v>3.2806843549759712E-4</c:v>
                </c:pt>
                <c:pt idx="127">
                  <c:v>-1.0952214409698513E-4</c:v>
                </c:pt>
                <c:pt idx="128">
                  <c:v>0</c:v>
                </c:pt>
                <c:pt idx="129">
                  <c:v>1.0953414051084742E-4</c:v>
                </c:pt>
                <c:pt idx="130">
                  <c:v>1.0934270990614614E-4</c:v>
                </c:pt>
                <c:pt idx="131">
                  <c:v>2.1841481573248167E-4</c:v>
                </c:pt>
                <c:pt idx="132">
                  <c:v>1.0948625653761646E-4</c:v>
                </c:pt>
                <c:pt idx="133">
                  <c:v>0</c:v>
                </c:pt>
                <c:pt idx="134">
                  <c:v>1.0938459273068801E-4</c:v>
                </c:pt>
                <c:pt idx="135">
                  <c:v>0</c:v>
                </c:pt>
                <c:pt idx="136">
                  <c:v>3.2751262767405365E-4</c:v>
                </c:pt>
                <c:pt idx="137">
                  <c:v>0</c:v>
                </c:pt>
                <c:pt idx="138">
                  <c:v>0</c:v>
                </c:pt>
                <c:pt idx="139">
                  <c:v>-1.0898946984905233E-4</c:v>
                </c:pt>
                <c:pt idx="140">
                  <c:v>2.1809234818026546E-4</c:v>
                </c:pt>
                <c:pt idx="141">
                  <c:v>2.1839210640650641E-4</c:v>
                </c:pt>
                <c:pt idx="142">
                  <c:v>-1.0895378802422417E-4</c:v>
                </c:pt>
                <c:pt idx="143">
                  <c:v>2.1827859462186794E-4</c:v>
                </c:pt>
                <c:pt idx="144">
                  <c:v>0</c:v>
                </c:pt>
                <c:pt idx="145">
                  <c:v>1.0904268008449236E-4</c:v>
                </c:pt>
                <c:pt idx="146">
                  <c:v>2.7366325405653313E-4</c:v>
                </c:pt>
                <c:pt idx="147">
                  <c:v>0</c:v>
                </c:pt>
                <c:pt idx="148">
                  <c:v>-1.0950476628990291E-4</c:v>
                </c:pt>
                <c:pt idx="149">
                  <c:v>1.0951675889692147E-4</c:v>
                </c:pt>
                <c:pt idx="150">
                  <c:v>2.1848333648355478E-4</c:v>
                </c:pt>
                <c:pt idx="151">
                  <c:v>1.0922340257923935E-4</c:v>
                </c:pt>
                <c:pt idx="152">
                  <c:v>-1.0921147413045507E-4</c:v>
                </c:pt>
                <c:pt idx="153">
                  <c:v>2.1870424912839859E-4</c:v>
                </c:pt>
                <c:pt idx="154">
                  <c:v>1.0937857247794724E-4</c:v>
                </c:pt>
                <c:pt idx="155">
                  <c:v>-1.0936661011429205E-4</c:v>
                </c:pt>
                <c:pt idx="156">
                  <c:v>4.3679808072050186E-4</c:v>
                </c:pt>
                <c:pt idx="157">
                  <c:v>-1.089728687423408E-4</c:v>
                </c:pt>
                <c:pt idx="158">
                  <c:v>0</c:v>
                </c:pt>
                <c:pt idx="159">
                  <c:v>1.0898474512277545E-4</c:v>
                </c:pt>
                <c:pt idx="160">
                  <c:v>-1.089728687423408E-4</c:v>
                </c:pt>
                <c:pt idx="161">
                  <c:v>3.2765902277742676E-4</c:v>
                </c:pt>
                <c:pt idx="162">
                  <c:v>-1.0929573354323541E-4</c:v>
                </c:pt>
                <c:pt idx="163">
                  <c:v>1.0930768040640082E-4</c:v>
                </c:pt>
                <c:pt idx="164">
                  <c:v>1.0896023042183955E-4</c:v>
                </c:pt>
                <c:pt idx="165">
                  <c:v>-1.0894835938346503E-4</c:v>
                </c:pt>
                <c:pt idx="166">
                  <c:v>2.1825596396496394E-4</c:v>
                </c:pt>
                <c:pt idx="167">
                  <c:v>1.0901472137025969E-4</c:v>
                </c:pt>
                <c:pt idx="168">
                  <c:v>1.9720010949031419E-4</c:v>
                </c:pt>
                <c:pt idx="169">
                  <c:v>-1.0940609513787614E-4</c:v>
                </c:pt>
                <c:pt idx="170">
                  <c:v>1.0941806614117588E-4</c:v>
                </c:pt>
                <c:pt idx="171">
                  <c:v>1.0932785211936746E-4</c:v>
                </c:pt>
                <c:pt idx="172">
                  <c:v>0</c:v>
                </c:pt>
                <c:pt idx="173">
                  <c:v>2.1863180169323648E-4</c:v>
                </c:pt>
                <c:pt idx="174">
                  <c:v>-1.0929200613829515E-4</c:v>
                </c:pt>
                <c:pt idx="175">
                  <c:v>2.1835087636978834E-4</c:v>
                </c:pt>
                <c:pt idx="176">
                  <c:v>0</c:v>
                </c:pt>
                <c:pt idx="177">
                  <c:v>0</c:v>
                </c:pt>
                <c:pt idx="178">
                  <c:v>1.0953706267624597E-4</c:v>
                </c:pt>
                <c:pt idx="179">
                  <c:v>2.1844687200922586E-4</c:v>
                </c:pt>
                <c:pt idx="180">
                  <c:v>0</c:v>
                </c:pt>
                <c:pt idx="181">
                  <c:v>1.0932244099981503E-4</c:v>
                </c:pt>
                <c:pt idx="182">
                  <c:v>2.1838645788196942E-4</c:v>
                </c:pt>
                <c:pt idx="183">
                  <c:v>0</c:v>
                </c:pt>
                <c:pt idx="184">
                  <c:v>0</c:v>
                </c:pt>
                <c:pt idx="185">
                  <c:v>2.1849509080529295E-4</c:v>
                </c:pt>
                <c:pt idx="186">
                  <c:v>0</c:v>
                </c:pt>
                <c:pt idx="187">
                  <c:v>1.0909530687897018E-4</c:v>
                </c:pt>
                <c:pt idx="188">
                  <c:v>-3.2871240337906116E-5</c:v>
                </c:pt>
                <c:pt idx="189">
                  <c:v>0</c:v>
                </c:pt>
                <c:pt idx="190">
                  <c:v>3.2820975331238067E-4</c:v>
                </c:pt>
                <c:pt idx="191">
                  <c:v>0</c:v>
                </c:pt>
                <c:pt idx="192">
                  <c:v>1.094752203603111E-4</c:v>
                </c:pt>
                <c:pt idx="193">
                  <c:v>0</c:v>
                </c:pt>
                <c:pt idx="194">
                  <c:v>0</c:v>
                </c:pt>
                <c:pt idx="195">
                  <c:v>2.1842439993680074E-4</c:v>
                </c:pt>
                <c:pt idx="196">
                  <c:v>1.0928316601321875E-4</c:v>
                </c:pt>
                <c:pt idx="197">
                  <c:v>-1.0927122450776761E-4</c:v>
                </c:pt>
                <c:pt idx="198">
                  <c:v>1.0928316601321875E-4</c:v>
                </c:pt>
                <c:pt idx="199">
                  <c:v>1.0926007096845325E-4</c:v>
                </c:pt>
                <c:pt idx="200">
                  <c:v>1.0932620075521093E-4</c:v>
                </c:pt>
                <c:pt idx="201">
                  <c:v>0</c:v>
                </c:pt>
                <c:pt idx="202">
                  <c:v>1.0924734323314311E-4</c:v>
                </c:pt>
                <c:pt idx="203">
                  <c:v>0</c:v>
                </c:pt>
                <c:pt idx="204">
                  <c:v>0</c:v>
                </c:pt>
                <c:pt idx="205">
                  <c:v>2.1835932027425287E-4</c:v>
                </c:pt>
                <c:pt idx="206">
                  <c:v>0</c:v>
                </c:pt>
                <c:pt idx="207">
                  <c:v>-1.0928959433864627E-4</c:v>
                </c:pt>
                <c:pt idx="208">
                  <c:v>2.1869226906212624E-4</c:v>
                </c:pt>
                <c:pt idx="209">
                  <c:v>1.090212783876332E-4</c:v>
                </c:pt>
                <c:pt idx="210">
                  <c:v>1.0917656927267316E-4</c:v>
                </c:pt>
                <c:pt idx="211">
                  <c:v>-1.0798340839945908E-5</c:v>
                </c:pt>
                <c:pt idx="212">
                  <c:v>1.0933298864457264E-4</c:v>
                </c:pt>
                <c:pt idx="213">
                  <c:v>-1.0932103624883283E-4</c:v>
                </c:pt>
                <c:pt idx="214">
                  <c:v>1.0933298864457264E-4</c:v>
                </c:pt>
                <c:pt idx="215">
                  <c:v>2.1865321519842773E-4</c:v>
                </c:pt>
                <c:pt idx="216">
                  <c:v>0</c:v>
                </c:pt>
                <c:pt idx="217">
                  <c:v>0</c:v>
                </c:pt>
                <c:pt idx="218">
                  <c:v>1.0913003410606414E-4</c:v>
                </c:pt>
                <c:pt idx="219">
                  <c:v>0</c:v>
                </c:pt>
                <c:pt idx="220">
                  <c:v>1.0937432417290616E-4</c:v>
                </c:pt>
                <c:pt idx="221">
                  <c:v>-1.0936236273839661E-4</c:v>
                </c:pt>
                <c:pt idx="222">
                  <c:v>2.1832536447607964E-4</c:v>
                </c:pt>
                <c:pt idx="223">
                  <c:v>-1.0892725871969322E-4</c:v>
                </c:pt>
                <c:pt idx="224">
                  <c:v>1.0893912515985704E-4</c:v>
                </c:pt>
                <c:pt idx="225">
                  <c:v>0</c:v>
                </c:pt>
                <c:pt idx="226">
                  <c:v>1.0960659240555337E-4</c:v>
                </c:pt>
                <c:pt idx="227">
                  <c:v>0</c:v>
                </c:pt>
                <c:pt idx="228">
                  <c:v>1.092493828012131E-4</c:v>
                </c:pt>
                <c:pt idx="229">
                  <c:v>2.1848603153529211E-4</c:v>
                </c:pt>
                <c:pt idx="230">
                  <c:v>0</c:v>
                </c:pt>
                <c:pt idx="231">
                  <c:v>7.6441718699804539E-5</c:v>
                </c:pt>
                <c:pt idx="232">
                  <c:v>-1.0904940662748164E-4</c:v>
                </c:pt>
                <c:pt idx="233">
                  <c:v>1.0906129969745493E-4</c:v>
                </c:pt>
                <c:pt idx="234">
                  <c:v>2.1884458341348001E-4</c:v>
                </c:pt>
                <c:pt idx="235">
                  <c:v>0</c:v>
                </c:pt>
                <c:pt idx="236">
                  <c:v>1.094373000889437E-4</c:v>
                </c:pt>
                <c:pt idx="237">
                  <c:v>0</c:v>
                </c:pt>
                <c:pt idx="238">
                  <c:v>0</c:v>
                </c:pt>
                <c:pt idx="239">
                  <c:v>2.1826090578191959E-4</c:v>
                </c:pt>
                <c:pt idx="240">
                  <c:v>-2.1821327835425119E-4</c:v>
                </c:pt>
                <c:pt idx="241">
                  <c:v>2.1826090578191959E-4</c:v>
                </c:pt>
                <c:pt idx="242">
                  <c:v>-1.0881183153621521E-4</c:v>
                </c:pt>
                <c:pt idx="243">
                  <c:v>2.1832603334304146E-4</c:v>
                </c:pt>
                <c:pt idx="244">
                  <c:v>1.0922261573553804E-4</c:v>
                </c:pt>
                <c:pt idx="245">
                  <c:v>5.4733251144023498E-5</c:v>
                </c:pt>
                <c:pt idx="246">
                  <c:v>0</c:v>
                </c:pt>
                <c:pt idx="247">
                  <c:v>1.0946051115867661E-4</c:v>
                </c:pt>
                <c:pt idx="248">
                  <c:v>1.0935956640323319E-4</c:v>
                </c:pt>
                <c:pt idx="249">
                  <c:v>-1.0934760819614198E-4</c:v>
                </c:pt>
                <c:pt idx="250">
                  <c:v>1.0935956640323319E-4</c:v>
                </c:pt>
                <c:pt idx="251">
                  <c:v>0</c:v>
                </c:pt>
                <c:pt idx="252">
                  <c:v>3.2822073405891494E-4</c:v>
                </c:pt>
                <c:pt idx="253">
                  <c:v>0</c:v>
                </c:pt>
                <c:pt idx="254">
                  <c:v>-1.095673907702821E-4</c:v>
                </c:pt>
                <c:pt idx="255">
                  <c:v>0</c:v>
                </c:pt>
                <c:pt idx="256">
                  <c:v>2.1899204052489019E-4</c:v>
                </c:pt>
                <c:pt idx="257">
                  <c:v>1.092219710103759E-4</c:v>
                </c:pt>
                <c:pt idx="258">
                  <c:v>0</c:v>
                </c:pt>
                <c:pt idx="259">
                  <c:v>0</c:v>
                </c:pt>
                <c:pt idx="260">
                  <c:v>0</c:v>
                </c:pt>
                <c:pt idx="261">
                  <c:v>1.0928783572050627E-4</c:v>
                </c:pt>
                <c:pt idx="262">
                  <c:v>2.1872957917845604E-4</c:v>
                </c:pt>
                <c:pt idx="263">
                  <c:v>-1.0950751779603696E-4</c:v>
                </c:pt>
                <c:pt idx="264">
                  <c:v>1.0951951100590662E-4</c:v>
                </c:pt>
                <c:pt idx="265">
                  <c:v>0</c:v>
                </c:pt>
                <c:pt idx="266">
                  <c:v>1.0908535226139549E-4</c:v>
                </c:pt>
                <c:pt idx="267">
                  <c:v>0</c:v>
                </c:pt>
                <c:pt idx="268">
                  <c:v>1.0932894731929821E-4</c:v>
                </c:pt>
                <c:pt idx="269">
                  <c:v>0</c:v>
                </c:pt>
                <c:pt idx="270">
                  <c:v>1.0922813826130806E-4</c:v>
                </c:pt>
                <c:pt idx="271">
                  <c:v>0</c:v>
                </c:pt>
                <c:pt idx="272">
                  <c:v>0</c:v>
                </c:pt>
                <c:pt idx="273">
                  <c:v>8.7703925230941948E-5</c:v>
                </c:pt>
                <c:pt idx="274">
                  <c:v>0</c:v>
                </c:pt>
                <c:pt idx="275">
                  <c:v>2.1857983694895111E-4</c:v>
                </c:pt>
                <c:pt idx="276">
                  <c:v>1.0944922768252319E-4</c:v>
                </c:pt>
                <c:pt idx="277">
                  <c:v>0</c:v>
                </c:pt>
                <c:pt idx="278">
                  <c:v>-1.0943724986001158E-4</c:v>
                </c:pt>
                <c:pt idx="279">
                  <c:v>1.0944922768252319E-4</c:v>
                </c:pt>
                <c:pt idx="280">
                  <c:v>1.0933733758045072E-4</c:v>
                </c:pt>
                <c:pt idx="281">
                  <c:v>1.0924768317943645E-4</c:v>
                </c:pt>
                <c:pt idx="282">
                  <c:v>0</c:v>
                </c:pt>
                <c:pt idx="283">
                  <c:v>1.0914695792152429E-4</c:v>
                </c:pt>
                <c:pt idx="284">
                  <c:v>0</c:v>
                </c:pt>
                <c:pt idx="285">
                  <c:v>0</c:v>
                </c:pt>
                <c:pt idx="286">
                  <c:v>2.1870290367465017E-4</c:v>
                </c:pt>
                <c:pt idx="287">
                  <c:v>-1.092776127350481E-4</c:v>
                </c:pt>
                <c:pt idx="288">
                  <c:v>0</c:v>
                </c:pt>
                <c:pt idx="289">
                  <c:v>2.1841266358024747E-4</c:v>
                </c:pt>
                <c:pt idx="290">
                  <c:v>2.1863122806120572E-4</c:v>
                </c:pt>
                <c:pt idx="291">
                  <c:v>-1.0924180695603969E-4</c:v>
                </c:pt>
                <c:pt idx="292">
                  <c:v>2.953589334295792E-4</c:v>
                </c:pt>
                <c:pt idx="293">
                  <c:v>2.1863148820422396E-4</c:v>
                </c:pt>
                <c:pt idx="294">
                  <c:v>4.370676132543494E-4</c:v>
                </c:pt>
                <c:pt idx="295">
                  <c:v>2.1864335747534547E-4</c:v>
                </c:pt>
                <c:pt idx="296">
                  <c:v>0</c:v>
                </c:pt>
                <c:pt idx="297">
                  <c:v>4.3670360993353086E-4</c:v>
                </c:pt>
                <c:pt idx="298">
                  <c:v>-2.1816789097350853E-4</c:v>
                </c:pt>
                <c:pt idx="299">
                  <c:v>2.1821549858858091E-4</c:v>
                </c:pt>
                <c:pt idx="300">
                  <c:v>1.0916700854513017E-4</c:v>
                </c:pt>
                <c:pt idx="301">
                  <c:v>2.1865347465110929E-4</c:v>
                </c:pt>
                <c:pt idx="302">
                  <c:v>1.0887658725899918E-4</c:v>
                </c:pt>
                <c:pt idx="303">
                  <c:v>0</c:v>
                </c:pt>
                <c:pt idx="304">
                  <c:v>2.1849331539636196E-4</c:v>
                </c:pt>
                <c:pt idx="305">
                  <c:v>-2.1844558649597445E-4</c:v>
                </c:pt>
                <c:pt idx="306">
                  <c:v>3.2744661174999301E-4</c:v>
                </c:pt>
                <c:pt idx="307">
                  <c:v>-2.1816726175927226E-4</c:v>
                </c:pt>
                <c:pt idx="308">
                  <c:v>0</c:v>
                </c:pt>
                <c:pt idx="309">
                  <c:v>0</c:v>
                </c:pt>
                <c:pt idx="310">
                  <c:v>0</c:v>
                </c:pt>
                <c:pt idx="311">
                  <c:v>-2.1804883364062722E-4</c:v>
                </c:pt>
                <c:pt idx="312">
                  <c:v>0</c:v>
                </c:pt>
                <c:pt idx="313">
                  <c:v>1.0887658725899918E-4</c:v>
                </c:pt>
                <c:pt idx="314">
                  <c:v>-8.7244556854604305E-5</c:v>
                </c:pt>
                <c:pt idx="315">
                  <c:v>1.0921744048730808E-4</c:v>
                </c:pt>
                <c:pt idx="316">
                  <c:v>-3.2761654002244622E-4</c:v>
                </c:pt>
                <c:pt idx="317">
                  <c:v>1.0924130259848397E-4</c:v>
                </c:pt>
                <c:pt idx="318">
                  <c:v>-2.1845874047932146E-4</c:v>
                </c:pt>
                <c:pt idx="319">
                  <c:v>1.0925323756416638E-4</c:v>
                </c:pt>
                <c:pt idx="320">
                  <c:v>-2.185601205659804E-4</c:v>
                </c:pt>
                <c:pt idx="321">
                  <c:v>2.1860789953476178E-4</c:v>
                </c:pt>
                <c:pt idx="322">
                  <c:v>1.0924130259848397E-4</c:v>
                </c:pt>
                <c:pt idx="323">
                  <c:v>-1.0922937023971624E-4</c:v>
                </c:pt>
                <c:pt idx="324">
                  <c:v>-1.0924130259826192E-4</c:v>
                </c:pt>
                <c:pt idx="325">
                  <c:v>2.1850647512877686E-4</c:v>
                </c:pt>
                <c:pt idx="326">
                  <c:v>-1.0922937023971624E-4</c:v>
                </c:pt>
                <c:pt idx="327">
                  <c:v>0</c:v>
                </c:pt>
                <c:pt idx="328">
                  <c:v>0</c:v>
                </c:pt>
                <c:pt idx="329">
                  <c:v>1.0924130259848397E-4</c:v>
                </c:pt>
                <c:pt idx="330">
                  <c:v>-1.0922937023971624E-4</c:v>
                </c:pt>
                <c:pt idx="331">
                  <c:v>0</c:v>
                </c:pt>
                <c:pt idx="332">
                  <c:v>0</c:v>
                </c:pt>
                <c:pt idx="333">
                  <c:v>-1.0924130259826192E-4</c:v>
                </c:pt>
                <c:pt idx="334">
                  <c:v>2.1850647512877686E-4</c:v>
                </c:pt>
                <c:pt idx="335">
                  <c:v>-1.7486664411514585E-4</c:v>
                </c:pt>
                <c:pt idx="336">
                  <c:v>0</c:v>
                </c:pt>
                <c:pt idx="337">
                  <c:v>0</c:v>
                </c:pt>
                <c:pt idx="338">
                  <c:v>1.0933706896287809E-4</c:v>
                </c:pt>
                <c:pt idx="339">
                  <c:v>-1.0932511567529613E-4</c:v>
                </c:pt>
                <c:pt idx="340">
                  <c:v>0</c:v>
                </c:pt>
                <c:pt idx="341">
                  <c:v>1.0933706896287809E-4</c:v>
                </c:pt>
                <c:pt idx="342">
                  <c:v>0</c:v>
                </c:pt>
                <c:pt idx="343">
                  <c:v>0</c:v>
                </c:pt>
                <c:pt idx="344">
                  <c:v>1.0922545741132161E-4</c:v>
                </c:pt>
                <c:pt idx="345">
                  <c:v>-2.1852670440736244E-4</c:v>
                </c:pt>
                <c:pt idx="346">
                  <c:v>0</c:v>
                </c:pt>
                <c:pt idx="347">
                  <c:v>0</c:v>
                </c:pt>
                <c:pt idx="348">
                  <c:v>0</c:v>
                </c:pt>
                <c:pt idx="349">
                  <c:v>1.0933706896287809E-4</c:v>
                </c:pt>
                <c:pt idx="350">
                  <c:v>-1.0932511567529613E-4</c:v>
                </c:pt>
                <c:pt idx="351">
                  <c:v>1.0933706896287809E-4</c:v>
                </c:pt>
                <c:pt idx="352">
                  <c:v>-1.0932511567529613E-4</c:v>
                </c:pt>
                <c:pt idx="353">
                  <c:v>0</c:v>
                </c:pt>
                <c:pt idx="354">
                  <c:v>0</c:v>
                </c:pt>
                <c:pt idx="355">
                  <c:v>1.0933706896287809E-4</c:v>
                </c:pt>
                <c:pt idx="356">
                  <c:v>0</c:v>
                </c:pt>
                <c:pt idx="357">
                  <c:v>0</c:v>
                </c:pt>
                <c:pt idx="358">
                  <c:v>0</c:v>
                </c:pt>
                <c:pt idx="359">
                  <c:v>-2.1847306110334141E-4</c:v>
                </c:pt>
                <c:pt idx="360">
                  <c:v>1.0917179652469855E-4</c:v>
                </c:pt>
                <c:pt idx="361">
                  <c:v>0</c:v>
                </c:pt>
                <c:pt idx="362">
                  <c:v>1.0933706896287809E-4</c:v>
                </c:pt>
                <c:pt idx="363">
                  <c:v>-2.1847306110334141E-4</c:v>
                </c:pt>
                <c:pt idx="364">
                  <c:v>2.1852080201179014E-4</c:v>
                </c:pt>
                <c:pt idx="365">
                  <c:v>0</c:v>
                </c:pt>
                <c:pt idx="366">
                  <c:v>0</c:v>
                </c:pt>
                <c:pt idx="367">
                  <c:v>0</c:v>
                </c:pt>
                <c:pt idx="368">
                  <c:v>-1.0932511567529613E-4</c:v>
                </c:pt>
                <c:pt idx="369">
                  <c:v>0</c:v>
                </c:pt>
                <c:pt idx="370">
                  <c:v>0</c:v>
                </c:pt>
                <c:pt idx="371">
                  <c:v>0</c:v>
                </c:pt>
                <c:pt idx="372">
                  <c:v>0</c:v>
                </c:pt>
                <c:pt idx="373">
                  <c:v>1.0933706896287809E-4</c:v>
                </c:pt>
                <c:pt idx="374">
                  <c:v>-1.0932511567529613E-4</c:v>
                </c:pt>
                <c:pt idx="375">
                  <c:v>0</c:v>
                </c:pt>
                <c:pt idx="376">
                  <c:v>0</c:v>
                </c:pt>
                <c:pt idx="377">
                  <c:v>0</c:v>
                </c:pt>
                <c:pt idx="378">
                  <c:v>1.0933706896287809E-4</c:v>
                </c:pt>
                <c:pt idx="379">
                  <c:v>-1.0932511567529613E-4</c:v>
                </c:pt>
                <c:pt idx="380">
                  <c:v>0</c:v>
                </c:pt>
                <c:pt idx="381">
                  <c:v>0</c:v>
                </c:pt>
                <c:pt idx="382">
                  <c:v>0</c:v>
                </c:pt>
                <c:pt idx="383">
                  <c:v>1.0933706896287809E-4</c:v>
                </c:pt>
                <c:pt idx="384">
                  <c:v>0</c:v>
                </c:pt>
                <c:pt idx="385">
                  <c:v>0</c:v>
                </c:pt>
                <c:pt idx="386">
                  <c:v>0</c:v>
                </c:pt>
                <c:pt idx="387">
                  <c:v>-1.0932511567529613E-4</c:v>
                </c:pt>
                <c:pt idx="388">
                  <c:v>1.0933706896287809E-4</c:v>
                </c:pt>
                <c:pt idx="389">
                  <c:v>0</c:v>
                </c:pt>
                <c:pt idx="390">
                  <c:v>0</c:v>
                </c:pt>
                <c:pt idx="391">
                  <c:v>-1.0932511567529613E-4</c:v>
                </c:pt>
                <c:pt idx="392">
                  <c:v>1.0933706896287809E-4</c:v>
                </c:pt>
                <c:pt idx="393">
                  <c:v>-1.0932511567529613E-4</c:v>
                </c:pt>
                <c:pt idx="394">
                  <c:v>0</c:v>
                </c:pt>
                <c:pt idx="395">
                  <c:v>1.0933706896287809E-4</c:v>
                </c:pt>
                <c:pt idx="396">
                  <c:v>0</c:v>
                </c:pt>
                <c:pt idx="397">
                  <c:v>-1.0932511567529613E-4</c:v>
                </c:pt>
                <c:pt idx="398">
                  <c:v>1.0933706896287809E-4</c:v>
                </c:pt>
                <c:pt idx="399">
                  <c:v>-1.0932511567529613E-4</c:v>
                </c:pt>
                <c:pt idx="400">
                  <c:v>1.0933706896287809E-4</c:v>
                </c:pt>
                <c:pt idx="401">
                  <c:v>-1.0932511567529613E-4</c:v>
                </c:pt>
                <c:pt idx="402">
                  <c:v>0</c:v>
                </c:pt>
                <c:pt idx="403">
                  <c:v>1.0933706896287809E-4</c:v>
                </c:pt>
                <c:pt idx="404">
                  <c:v>0</c:v>
                </c:pt>
                <c:pt idx="405">
                  <c:v>-1.0932511567529613E-4</c:v>
                </c:pt>
                <c:pt idx="406">
                  <c:v>0</c:v>
                </c:pt>
                <c:pt idx="407">
                  <c:v>1.0933706896287809E-4</c:v>
                </c:pt>
                <c:pt idx="408">
                  <c:v>-1.0932511567529613E-4</c:v>
                </c:pt>
                <c:pt idx="409">
                  <c:v>0</c:v>
                </c:pt>
                <c:pt idx="410">
                  <c:v>1.0933706896287809E-4</c:v>
                </c:pt>
                <c:pt idx="411">
                  <c:v>0</c:v>
                </c:pt>
                <c:pt idx="412">
                  <c:v>0</c:v>
                </c:pt>
                <c:pt idx="413">
                  <c:v>0</c:v>
                </c:pt>
                <c:pt idx="414">
                  <c:v>0</c:v>
                </c:pt>
                <c:pt idx="415">
                  <c:v>-1.0932511567529613E-4</c:v>
                </c:pt>
                <c:pt idx="416">
                  <c:v>0</c:v>
                </c:pt>
                <c:pt idx="417">
                  <c:v>0</c:v>
                </c:pt>
                <c:pt idx="418">
                  <c:v>1.0933706896287809E-4</c:v>
                </c:pt>
                <c:pt idx="419">
                  <c:v>0</c:v>
                </c:pt>
                <c:pt idx="420">
                  <c:v>0</c:v>
                </c:pt>
                <c:pt idx="421">
                  <c:v>0</c:v>
                </c:pt>
                <c:pt idx="422">
                  <c:v>-1.0932511567529613E-4</c:v>
                </c:pt>
                <c:pt idx="423">
                  <c:v>1.0933706896287809E-4</c:v>
                </c:pt>
                <c:pt idx="424">
                  <c:v>0</c:v>
                </c:pt>
                <c:pt idx="425">
                  <c:v>-1.0932511567529613E-4</c:v>
                </c:pt>
                <c:pt idx="426">
                  <c:v>0</c:v>
                </c:pt>
                <c:pt idx="427">
                  <c:v>-1.0915987934445592E-4</c:v>
                </c:pt>
                <c:pt idx="428">
                  <c:v>2.1852080201179014E-4</c:v>
                </c:pt>
                <c:pt idx="429">
                  <c:v>-2.1847306110334141E-4</c:v>
                </c:pt>
                <c:pt idx="430">
                  <c:v>2.1852080201179014E-4</c:v>
                </c:pt>
                <c:pt idx="431">
                  <c:v>0</c:v>
                </c:pt>
                <c:pt idx="432">
                  <c:v>-2.1847306110334141E-4</c:v>
                </c:pt>
                <c:pt idx="433">
                  <c:v>0</c:v>
                </c:pt>
                <c:pt idx="434">
                  <c:v>0</c:v>
                </c:pt>
                <c:pt idx="435">
                  <c:v>0</c:v>
                </c:pt>
                <c:pt idx="436">
                  <c:v>1.0917179652469855E-4</c:v>
                </c:pt>
                <c:pt idx="437">
                  <c:v>-1.0915987934445592E-4</c:v>
                </c:pt>
                <c:pt idx="438">
                  <c:v>1.0917179652469855E-4</c:v>
                </c:pt>
                <c:pt idx="439">
                  <c:v>0</c:v>
                </c:pt>
                <c:pt idx="440">
                  <c:v>-1.0915987934445592E-4</c:v>
                </c:pt>
                <c:pt idx="441">
                  <c:v>0</c:v>
                </c:pt>
                <c:pt idx="442">
                  <c:v>0</c:v>
                </c:pt>
                <c:pt idx="443">
                  <c:v>0</c:v>
                </c:pt>
                <c:pt idx="444">
                  <c:v>1.0917179652469855E-4</c:v>
                </c:pt>
                <c:pt idx="445">
                  <c:v>-1.0915987934445592E-4</c:v>
                </c:pt>
                <c:pt idx="446">
                  <c:v>0</c:v>
                </c:pt>
                <c:pt idx="447">
                  <c:v>0</c:v>
                </c:pt>
                <c:pt idx="448">
                  <c:v>1.0917179652469855E-4</c:v>
                </c:pt>
                <c:pt idx="449">
                  <c:v>-1.0915987934445592E-4</c:v>
                </c:pt>
                <c:pt idx="450">
                  <c:v>0</c:v>
                </c:pt>
                <c:pt idx="451">
                  <c:v>0</c:v>
                </c:pt>
                <c:pt idx="452">
                  <c:v>1.0917179652469855E-4</c:v>
                </c:pt>
                <c:pt idx="453">
                  <c:v>0</c:v>
                </c:pt>
                <c:pt idx="454">
                  <c:v>-1.0915987934445592E-4</c:v>
                </c:pt>
                <c:pt idx="455">
                  <c:v>0</c:v>
                </c:pt>
                <c:pt idx="456">
                  <c:v>1.0917179652469855E-4</c:v>
                </c:pt>
                <c:pt idx="457">
                  <c:v>0</c:v>
                </c:pt>
                <c:pt idx="458">
                  <c:v>0</c:v>
                </c:pt>
                <c:pt idx="459">
                  <c:v>-1.0915987934445592E-4</c:v>
                </c:pt>
                <c:pt idx="460">
                  <c:v>0</c:v>
                </c:pt>
                <c:pt idx="461">
                  <c:v>1.0917179652469855E-4</c:v>
                </c:pt>
                <c:pt idx="462">
                  <c:v>0</c:v>
                </c:pt>
                <c:pt idx="463">
                  <c:v>0</c:v>
                </c:pt>
                <c:pt idx="464">
                  <c:v>0</c:v>
                </c:pt>
                <c:pt idx="465">
                  <c:v>-1.0915987934445592E-4</c:v>
                </c:pt>
                <c:pt idx="466">
                  <c:v>1.0917179652469855E-4</c:v>
                </c:pt>
                <c:pt idx="467">
                  <c:v>-1.0915987934445592E-4</c:v>
                </c:pt>
                <c:pt idx="468">
                  <c:v>1.0917179652469855E-4</c:v>
                </c:pt>
                <c:pt idx="469">
                  <c:v>-1.0915987934445592E-4</c:v>
                </c:pt>
                <c:pt idx="470">
                  <c:v>0</c:v>
                </c:pt>
                <c:pt idx="471">
                  <c:v>0</c:v>
                </c:pt>
                <c:pt idx="472">
                  <c:v>1.0917179652469855E-4</c:v>
                </c:pt>
                <c:pt idx="473">
                  <c:v>0</c:v>
                </c:pt>
                <c:pt idx="474">
                  <c:v>0</c:v>
                </c:pt>
                <c:pt idx="475">
                  <c:v>0</c:v>
                </c:pt>
                <c:pt idx="476">
                  <c:v>0</c:v>
                </c:pt>
                <c:pt idx="477">
                  <c:v>0</c:v>
                </c:pt>
                <c:pt idx="478">
                  <c:v>0</c:v>
                </c:pt>
                <c:pt idx="479">
                  <c:v>0</c:v>
                </c:pt>
                <c:pt idx="480">
                  <c:v>-1.0915987934445592E-4</c:v>
                </c:pt>
                <c:pt idx="481">
                  <c:v>1.0917179652469855E-4</c:v>
                </c:pt>
                <c:pt idx="482">
                  <c:v>-1.0915987934445592E-4</c:v>
                </c:pt>
                <c:pt idx="483">
                  <c:v>-7.6476742924103114E-5</c:v>
                </c:pt>
                <c:pt idx="484">
                  <c:v>1.0926875752459431E-4</c:v>
                </c:pt>
                <c:pt idx="485">
                  <c:v>0</c:v>
                </c:pt>
                <c:pt idx="486">
                  <c:v>1.0925681916762464E-4</c:v>
                </c:pt>
                <c:pt idx="487">
                  <c:v>-2.1848976683846999E-4</c:v>
                </c:pt>
                <c:pt idx="488">
                  <c:v>0</c:v>
                </c:pt>
                <c:pt idx="489">
                  <c:v>0</c:v>
                </c:pt>
                <c:pt idx="490">
                  <c:v>0</c:v>
                </c:pt>
                <c:pt idx="491">
                  <c:v>1.0926875752459431E-4</c:v>
                </c:pt>
                <c:pt idx="492">
                  <c:v>-1.0925681916784669E-4</c:v>
                </c:pt>
                <c:pt idx="493">
                  <c:v>0</c:v>
                </c:pt>
                <c:pt idx="494">
                  <c:v>1.0926875752459431E-4</c:v>
                </c:pt>
                <c:pt idx="495">
                  <c:v>0</c:v>
                </c:pt>
                <c:pt idx="496">
                  <c:v>0</c:v>
                </c:pt>
                <c:pt idx="497">
                  <c:v>0</c:v>
                </c:pt>
                <c:pt idx="498">
                  <c:v>0</c:v>
                </c:pt>
                <c:pt idx="499">
                  <c:v>-1.0925681916784669E-4</c:v>
                </c:pt>
                <c:pt idx="500">
                  <c:v>1.0926875752459431E-4</c:v>
                </c:pt>
                <c:pt idx="501">
                  <c:v>0</c:v>
                </c:pt>
                <c:pt idx="502">
                  <c:v>0</c:v>
                </c:pt>
                <c:pt idx="503">
                  <c:v>-1.0925681916784669E-4</c:v>
                </c:pt>
                <c:pt idx="504">
                  <c:v>1.0926875752459431E-4</c:v>
                </c:pt>
              </c:numCache>
            </c:numRef>
          </c:val>
          <c:smooth val="0"/>
          <c:extLst>
            <c:ext xmlns:c16="http://schemas.microsoft.com/office/drawing/2014/chart" uri="{C3380CC4-5D6E-409C-BE32-E72D297353CC}">
              <c16:uniqueId val="{00000001-C35F-4C45-B57F-112708F7C4AC}"/>
            </c:ext>
          </c:extLst>
        </c:ser>
        <c:dLbls>
          <c:showLegendKey val="0"/>
          <c:showVal val="0"/>
          <c:showCatName val="0"/>
          <c:showSerName val="0"/>
          <c:showPercent val="0"/>
          <c:showBubbleSize val="0"/>
        </c:dLbls>
        <c:marker val="1"/>
        <c:smooth val="0"/>
        <c:axId val="1600867599"/>
        <c:axId val="1589868399"/>
      </c:lineChart>
      <c:catAx>
        <c:axId val="2040515792"/>
        <c:scaling>
          <c:orientation val="minMax"/>
        </c:scaling>
        <c:delete val="0"/>
        <c:axPos val="b"/>
        <c:numFmt formatCode="dd/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0"/>
        <c:lblAlgn val="ctr"/>
        <c:lblOffset val="100"/>
        <c:noMultiLvlLbl val="0"/>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589868399"/>
        <c:scaling>
          <c:orientation val="minMax"/>
          <c:max val="1.0000000000000002E-3"/>
          <c:min val="-1.0000000000000002E-3"/>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00867599"/>
        <c:crosses val="max"/>
        <c:crossBetween val="between"/>
      </c:valAx>
      <c:dateAx>
        <c:axId val="1600867599"/>
        <c:scaling>
          <c:orientation val="minMax"/>
        </c:scaling>
        <c:delete val="1"/>
        <c:axPos val="b"/>
        <c:numFmt formatCode="dd/mm/yy;@" sourceLinked="1"/>
        <c:majorTickMark val="out"/>
        <c:minorTickMark val="none"/>
        <c:tickLblPos val="nextTo"/>
        <c:crossAx val="1589868399"/>
        <c:crosses val="autoZero"/>
        <c:auto val="1"/>
        <c:lblOffset val="100"/>
        <c:baseTimeUnit val="day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Contagion</a:t>
            </a:r>
            <a:r>
              <a:rPr lang="pt-BR" baseline="0"/>
              <a:t> Test</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Sample 1 (lhs)</c:v>
          </c:tx>
          <c:spPr>
            <a:ln w="12700" cap="rnd">
              <a:solidFill>
                <a:schemeClr val="accent1"/>
              </a:solidFill>
              <a:round/>
            </a:ln>
            <a:effectLst/>
          </c:spPr>
          <c:marker>
            <c:symbol val="none"/>
          </c:marker>
          <c:cat>
            <c:numRef>
              <c:f>(CONTAGION_COSKEWNESS!$F$19:$F$318,CONTAGION_COSKEWNESS!$F$321:$F$526)</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(CONTAGION_COSKEWNESS!$I$20:$I$318,CONTAGION_COSKEWNESS!$I$321:$I$526)</c:f>
              <c:numCache>
                <c:formatCode>0.00%</c:formatCode>
                <c:ptCount val="505"/>
                <c:pt idx="0">
                  <c:v>1.0401020398713712E-3</c:v>
                </c:pt>
                <c:pt idx="1">
                  <c:v>-2.3862705373286275E-2</c:v>
                </c:pt>
                <c:pt idx="2">
                  <c:v>3.3495821843755103E-2</c:v>
                </c:pt>
                <c:pt idx="3">
                  <c:v>7.8845418126225475E-3</c:v>
                </c:pt>
                <c:pt idx="4">
                  <c:v>9.3954088050747231E-3</c:v>
                </c:pt>
                <c:pt idx="5">
                  <c:v>4.6735411159004592E-3</c:v>
                </c:pt>
                <c:pt idx="6">
                  <c:v>3.5275112473489578E-3</c:v>
                </c:pt>
                <c:pt idx="7">
                  <c:v>3.8612950131367008E-4</c:v>
                </c:pt>
                <c:pt idx="8">
                  <c:v>-6.1008157559502285E-3</c:v>
                </c:pt>
                <c:pt idx="9">
                  <c:v>1.146073275757753E-2</c:v>
                </c:pt>
                <c:pt idx="10">
                  <c:v>2.4199718704258633E-3</c:v>
                </c:pt>
                <c:pt idx="11">
                  <c:v>7.5866511593374319E-3</c:v>
                </c:pt>
                <c:pt idx="12">
                  <c:v>1.3310135378014287E-2</c:v>
                </c:pt>
                <c:pt idx="13">
                  <c:v>-1.3510752838921114E-2</c:v>
                </c:pt>
                <c:pt idx="14">
                  <c:v>2.0925841602441597E-3</c:v>
                </c:pt>
                <c:pt idx="15">
                  <c:v>5.3149405925601023E-4</c:v>
                </c:pt>
                <c:pt idx="16">
                  <c:v>8.4614186766645005E-3</c:v>
                </c:pt>
                <c:pt idx="17">
                  <c:v>-7.6000445111905623E-3</c:v>
                </c:pt>
                <c:pt idx="18">
                  <c:v>-1.3272208463369628E-3</c:v>
                </c:pt>
                <c:pt idx="19">
                  <c:v>1.5830700348449023E-2</c:v>
                </c:pt>
                <c:pt idx="20">
                  <c:v>8.7825320484122837E-3</c:v>
                </c:pt>
                <c:pt idx="21">
                  <c:v>4.8137480130061583E-4</c:v>
                </c:pt>
                <c:pt idx="22">
                  <c:v>7.0356554904722479E-3</c:v>
                </c:pt>
                <c:pt idx="23">
                  <c:v>4.191934326261304E-3</c:v>
                </c:pt>
                <c:pt idx="24">
                  <c:v>-1.3182013435087958E-3</c:v>
                </c:pt>
                <c:pt idx="25">
                  <c:v>-9.5329681151019585E-3</c:v>
                </c:pt>
                <c:pt idx="26">
                  <c:v>1.22149760609358E-3</c:v>
                </c:pt>
                <c:pt idx="27">
                  <c:v>5.5476436142676278E-4</c:v>
                </c:pt>
                <c:pt idx="28">
                  <c:v>1.2859498691850657E-2</c:v>
                </c:pt>
                <c:pt idx="29">
                  <c:v>3.2467989017432863E-3</c:v>
                </c:pt>
                <c:pt idx="30">
                  <c:v>-2.2182995178979814E-3</c:v>
                </c:pt>
                <c:pt idx="31">
                  <c:v>1.0897416949031236E-2</c:v>
                </c:pt>
                <c:pt idx="32">
                  <c:v>1.7305056305265687E-3</c:v>
                </c:pt>
                <c:pt idx="33">
                  <c:v>2.0153765271693214E-3</c:v>
                </c:pt>
                <c:pt idx="34">
                  <c:v>-3.5559907265417801E-3</c:v>
                </c:pt>
                <c:pt idx="35">
                  <c:v>6.2001313059003582E-3</c:v>
                </c:pt>
                <c:pt idx="36">
                  <c:v>1.3611375611564114E-3</c:v>
                </c:pt>
                <c:pt idx="37">
                  <c:v>-7.1535343108619642E-4</c:v>
                </c:pt>
                <c:pt idx="38">
                  <c:v>-4.2940145551551012E-4</c:v>
                </c:pt>
                <c:pt idx="39">
                  <c:v>-1.8627512856356221E-3</c:v>
                </c:pt>
                <c:pt idx="40">
                  <c:v>6.2434952404508692E-3</c:v>
                </c:pt>
                <c:pt idx="41">
                  <c:v>-3.6371682973985742E-3</c:v>
                </c:pt>
                <c:pt idx="42">
                  <c:v>-1.3601044178247479E-3</c:v>
                </c:pt>
                <c:pt idx="43">
                  <c:v>-6.0566721292807379E-3</c:v>
                </c:pt>
                <c:pt idx="44">
                  <c:v>-8.3657303445855424E-3</c:v>
                </c:pt>
                <c:pt idx="45">
                  <c:v>-1.9996589865043379E-3</c:v>
                </c:pt>
                <c:pt idx="46">
                  <c:v>1.4501051794384434E-2</c:v>
                </c:pt>
                <c:pt idx="47">
                  <c:v>3.7710424020158673E-3</c:v>
                </c:pt>
                <c:pt idx="48">
                  <c:v>6.6192952240662351E-3</c:v>
                </c:pt>
                <c:pt idx="49">
                  <c:v>-6.4011385772566598E-4</c:v>
                </c:pt>
                <c:pt idx="50">
                  <c:v>4.9407854813812158E-3</c:v>
                </c:pt>
                <c:pt idx="51">
                  <c:v>3.6259244519276645E-3</c:v>
                </c:pt>
                <c:pt idx="52">
                  <c:v>2.4777257972807831E-4</c:v>
                </c:pt>
                <c:pt idx="53">
                  <c:v>-3.0097881592702214E-3</c:v>
                </c:pt>
                <c:pt idx="54">
                  <c:v>1.1294477654773205E-2</c:v>
                </c:pt>
                <c:pt idx="55">
                  <c:v>-1.9246241735327185E-2</c:v>
                </c:pt>
                <c:pt idx="56">
                  <c:v>-7.520955273396801E-4</c:v>
                </c:pt>
                <c:pt idx="57">
                  <c:v>7.4543462764620205E-3</c:v>
                </c:pt>
                <c:pt idx="58">
                  <c:v>-5.22907599256206E-3</c:v>
                </c:pt>
                <c:pt idx="59">
                  <c:v>3.7904084473492361E-3</c:v>
                </c:pt>
                <c:pt idx="60">
                  <c:v>6.3054809643483534E-3</c:v>
                </c:pt>
                <c:pt idx="61">
                  <c:v>1.1859033571406385E-2</c:v>
                </c:pt>
                <c:pt idx="62">
                  <c:v>4.8993149853537865E-4</c:v>
                </c:pt>
                <c:pt idx="63">
                  <c:v>1.5738922371808517E-3</c:v>
                </c:pt>
                <c:pt idx="64">
                  <c:v>2.6531245249579172E-3</c:v>
                </c:pt>
                <c:pt idx="65">
                  <c:v>4.8402018360047538E-3</c:v>
                </c:pt>
                <c:pt idx="66">
                  <c:v>7.6224487857978751E-4</c:v>
                </c:pt>
                <c:pt idx="67">
                  <c:v>-5.1246112442856484E-3</c:v>
                </c:pt>
                <c:pt idx="68">
                  <c:v>3.4109460016957804E-3</c:v>
                </c:pt>
                <c:pt idx="69">
                  <c:v>-2.7768471705424957E-4</c:v>
                </c:pt>
                <c:pt idx="70">
                  <c:v>6.7662181925096654E-3</c:v>
                </c:pt>
                <c:pt idx="71">
                  <c:v>-6.5498400304764282E-4</c:v>
                </c:pt>
                <c:pt idx="72">
                  <c:v>6.554132882667929E-4</c:v>
                </c:pt>
                <c:pt idx="73">
                  <c:v>-2.4471210783273412E-3</c:v>
                </c:pt>
                <c:pt idx="74">
                  <c:v>1.969095795856024E-3</c:v>
                </c:pt>
                <c:pt idx="75">
                  <c:v>8.6212537184171545E-4</c:v>
                </c:pt>
                <c:pt idx="76">
                  <c:v>8.9917610117338231E-3</c:v>
                </c:pt>
                <c:pt idx="77">
                  <c:v>-2.2193714674311193E-3</c:v>
                </c:pt>
                <c:pt idx="78">
                  <c:v>-6.1622301709629568E-4</c:v>
                </c:pt>
                <c:pt idx="79">
                  <c:v>4.6568521271241892E-3</c:v>
                </c:pt>
                <c:pt idx="80">
                  <c:v>1.5678513825985174E-3</c:v>
                </c:pt>
                <c:pt idx="81">
                  <c:v>5.1023396247829034E-4</c:v>
                </c:pt>
                <c:pt idx="82">
                  <c:v>-7.5162675746810459E-3</c:v>
                </c:pt>
                <c:pt idx="83">
                  <c:v>-2.1590625331597835E-3</c:v>
                </c:pt>
                <c:pt idx="84">
                  <c:v>9.7878837274871788E-3</c:v>
                </c:pt>
                <c:pt idx="85">
                  <c:v>-4.1154269318457448E-3</c:v>
                </c:pt>
                <c:pt idx="86">
                  <c:v>-1.6699420690646893E-2</c:v>
                </c:pt>
                <c:pt idx="87">
                  <c:v>-1.3893685879040607E-3</c:v>
                </c:pt>
                <c:pt idx="88">
                  <c:v>-3.0258911543242784E-3</c:v>
                </c:pt>
                <c:pt idx="89">
                  <c:v>5.0236774462599776E-3</c:v>
                </c:pt>
                <c:pt idx="90">
                  <c:v>-2.5130579523941265E-2</c:v>
                </c:pt>
                <c:pt idx="91">
                  <c:v>9.0439561247741551E-3</c:v>
                </c:pt>
                <c:pt idx="92">
                  <c:v>5.8573823021945692E-3</c:v>
                </c:pt>
                <c:pt idx="93">
                  <c:v>9.2611425035160622E-3</c:v>
                </c:pt>
                <c:pt idx="94">
                  <c:v>-6.4649667095842966E-3</c:v>
                </c:pt>
                <c:pt idx="95">
                  <c:v>-6.6120150424300306E-3</c:v>
                </c:pt>
                <c:pt idx="96">
                  <c:v>9.0157603784457585E-3</c:v>
                </c:pt>
                <c:pt idx="97">
                  <c:v>-3.0714620104941304E-3</c:v>
                </c:pt>
                <c:pt idx="98">
                  <c:v>-1.221852285532099E-2</c:v>
                </c:pt>
                <c:pt idx="99">
                  <c:v>2.2679391845987773E-3</c:v>
                </c:pt>
                <c:pt idx="100">
                  <c:v>-9.3003272691258854E-3</c:v>
                </c:pt>
                <c:pt idx="101">
                  <c:v>-6.7107235583429015E-3</c:v>
                </c:pt>
                <c:pt idx="102">
                  <c:v>2.7314155884416991E-3</c:v>
                </c:pt>
                <c:pt idx="103">
                  <c:v>-1.3475308923069473E-2</c:v>
                </c:pt>
                <c:pt idx="104">
                  <c:v>-2.5430398929512377E-3</c:v>
                </c:pt>
                <c:pt idx="105">
                  <c:v>2.1706592904030764E-2</c:v>
                </c:pt>
                <c:pt idx="106">
                  <c:v>8.6621411697758166E-3</c:v>
                </c:pt>
                <c:pt idx="107">
                  <c:v>6.5027928689886938E-3</c:v>
                </c:pt>
                <c:pt idx="108">
                  <c:v>1.0006919500294309E-2</c:v>
                </c:pt>
                <c:pt idx="109">
                  <c:v>4.5888775961673289E-3</c:v>
                </c:pt>
                <c:pt idx="110">
                  <c:v>-2.4207556964828125E-4</c:v>
                </c:pt>
                <c:pt idx="111">
                  <c:v>-1.7654460366652858E-3</c:v>
                </c:pt>
                <c:pt idx="112">
                  <c:v>4.1262068327951873E-3</c:v>
                </c:pt>
                <c:pt idx="113">
                  <c:v>-1.1047805460784321E-3</c:v>
                </c:pt>
                <c:pt idx="114">
                  <c:v>3.8004405313252221E-4</c:v>
                </c:pt>
                <c:pt idx="115">
                  <c:v>1.0470976044758995E-2</c:v>
                </c:pt>
                <c:pt idx="116">
                  <c:v>2.2572227148951463E-3</c:v>
                </c:pt>
                <c:pt idx="117">
                  <c:v>9.5543274147442681E-3</c:v>
                </c:pt>
                <c:pt idx="118">
                  <c:v>-1.4533352061634197E-3</c:v>
                </c:pt>
                <c:pt idx="119">
                  <c:v>-1.2244892460424595E-3</c:v>
                </c:pt>
                <c:pt idx="120">
                  <c:v>-9.8079308784824182E-3</c:v>
                </c:pt>
                <c:pt idx="121">
                  <c:v>-9.9748941822219717E-4</c:v>
                </c:pt>
                <c:pt idx="122">
                  <c:v>3.5459876382137878E-3</c:v>
                </c:pt>
                <c:pt idx="123">
                  <c:v>5.1459671354525671E-3</c:v>
                </c:pt>
                <c:pt idx="124">
                  <c:v>9.0782985721908904E-3</c:v>
                </c:pt>
                <c:pt idx="125">
                  <c:v>2.6043377025681824E-3</c:v>
                </c:pt>
                <c:pt idx="126">
                  <c:v>7.9948451963010037E-3</c:v>
                </c:pt>
                <c:pt idx="127">
                  <c:v>-1.1375420355421717E-3</c:v>
                </c:pt>
                <c:pt idx="128">
                  <c:v>-5.4949505137057431E-3</c:v>
                </c:pt>
                <c:pt idx="129">
                  <c:v>1.2465012718207991E-3</c:v>
                </c:pt>
                <c:pt idx="130">
                  <c:v>4.7781841226932631E-3</c:v>
                </c:pt>
                <c:pt idx="131">
                  <c:v>2.3439608848043747E-3</c:v>
                </c:pt>
                <c:pt idx="132">
                  <c:v>4.477307785043072E-3</c:v>
                </c:pt>
                <c:pt idx="133">
                  <c:v>3.3259706314914261E-4</c:v>
                </c:pt>
                <c:pt idx="134">
                  <c:v>-3.2253357584542952E-3</c:v>
                </c:pt>
                <c:pt idx="135">
                  <c:v>-6.8050996848206813E-3</c:v>
                </c:pt>
                <c:pt idx="136">
                  <c:v>3.6609765666177907E-3</c:v>
                </c:pt>
                <c:pt idx="137">
                  <c:v>-5.5549816592371792E-3</c:v>
                </c:pt>
                <c:pt idx="138">
                  <c:v>2.4564605027042052E-3</c:v>
                </c:pt>
                <c:pt idx="139">
                  <c:v>7.149973304838575E-3</c:v>
                </c:pt>
                <c:pt idx="140">
                  <c:v>4.6995605016622033E-3</c:v>
                </c:pt>
                <c:pt idx="141">
                  <c:v>-4.7769669998497521E-3</c:v>
                </c:pt>
                <c:pt idx="142">
                  <c:v>6.6999255780335609E-3</c:v>
                </c:pt>
                <c:pt idx="143">
                  <c:v>-1.8210360816482973E-3</c:v>
                </c:pt>
                <c:pt idx="144">
                  <c:v>-2.4547395484526557E-3</c:v>
                </c:pt>
                <c:pt idx="145">
                  <c:v>-1.0940405133010422E-2</c:v>
                </c:pt>
                <c:pt idx="146">
                  <c:v>-8.7080546608183651E-3</c:v>
                </c:pt>
                <c:pt idx="147">
                  <c:v>-7.5294596759712951E-3</c:v>
                </c:pt>
                <c:pt idx="148">
                  <c:v>-3.0073296832209273E-2</c:v>
                </c:pt>
                <c:pt idx="149">
                  <c:v>1.4023230890322758E-2</c:v>
                </c:pt>
                <c:pt idx="150">
                  <c:v>5.9045276939562186E-4</c:v>
                </c:pt>
                <c:pt idx="151">
                  <c:v>1.9620516067926808E-2</c:v>
                </c:pt>
                <c:pt idx="152">
                  <c:v>-6.8117097712169228E-3</c:v>
                </c:pt>
                <c:pt idx="153">
                  <c:v>-1.2173503432607369E-2</c:v>
                </c:pt>
                <c:pt idx="154">
                  <c:v>1.5551598490313845E-2</c:v>
                </c:pt>
                <c:pt idx="155">
                  <c:v>-2.956746111953068E-2</c:v>
                </c:pt>
                <c:pt idx="156">
                  <c:v>2.6418608781879627E-3</c:v>
                </c:pt>
                <c:pt idx="157">
                  <c:v>1.4754971812207085E-2</c:v>
                </c:pt>
                <c:pt idx="158">
                  <c:v>1.2047558359721489E-2</c:v>
                </c:pt>
                <c:pt idx="159">
                  <c:v>-7.6624308938766372E-3</c:v>
                </c:pt>
                <c:pt idx="160">
                  <c:v>8.1357083343238656E-3</c:v>
                </c:pt>
                <c:pt idx="161">
                  <c:v>-3.0799552515858863E-4</c:v>
                </c:pt>
                <c:pt idx="162">
                  <c:v>-2.5687531493255311E-2</c:v>
                </c:pt>
                <c:pt idx="163">
                  <c:v>1.1058318121464294E-2</c:v>
                </c:pt>
                <c:pt idx="164">
                  <c:v>-3.9232680005929499E-3</c:v>
                </c:pt>
                <c:pt idx="165">
                  <c:v>7.0414989153324559E-3</c:v>
                </c:pt>
                <c:pt idx="166">
                  <c:v>1.2772839888606224E-2</c:v>
                </c:pt>
                <c:pt idx="167">
                  <c:v>-4.4405747265807705E-4</c:v>
                </c:pt>
                <c:pt idx="168">
                  <c:v>-5.8474608788504634E-3</c:v>
                </c:pt>
                <c:pt idx="169">
                  <c:v>1.1350524166945153E-2</c:v>
                </c:pt>
                <c:pt idx="170">
                  <c:v>1.2855343936802432E-2</c:v>
                </c:pt>
                <c:pt idx="171">
                  <c:v>7.7210870531607689E-4</c:v>
                </c:pt>
                <c:pt idx="172">
                  <c:v>5.0313408929425485E-4</c:v>
                </c:pt>
                <c:pt idx="173">
                  <c:v>-2.3442402756190805E-4</c:v>
                </c:pt>
                <c:pt idx="174">
                  <c:v>7.1110659993987024E-3</c:v>
                </c:pt>
                <c:pt idx="175">
                  <c:v>3.4636396230398603E-3</c:v>
                </c:pt>
                <c:pt idx="176">
                  <c:v>-6.6377772347936403E-4</c:v>
                </c:pt>
                <c:pt idx="177">
                  <c:v>-3.0888066794428903E-3</c:v>
                </c:pt>
                <c:pt idx="178">
                  <c:v>2.5320226140375102E-3</c:v>
                </c:pt>
                <c:pt idx="179">
                  <c:v>5.9832556261696368E-4</c:v>
                </c:pt>
                <c:pt idx="180">
                  <c:v>-6.665424090834815E-5</c:v>
                </c:pt>
                <c:pt idx="181">
                  <c:v>-4.7246061420072039E-3</c:v>
                </c:pt>
                <c:pt idx="182">
                  <c:v>-2.3490237828327487E-4</c:v>
                </c:pt>
                <c:pt idx="183">
                  <c:v>-7.8467316343948657E-3</c:v>
                </c:pt>
                <c:pt idx="184">
                  <c:v>5.914872502925661E-3</c:v>
                </c:pt>
                <c:pt idx="185">
                  <c:v>-2.0833618018182287E-3</c:v>
                </c:pt>
                <c:pt idx="186">
                  <c:v>-5.3872885137526971E-3</c:v>
                </c:pt>
                <c:pt idx="187">
                  <c:v>4.6379085305425782E-3</c:v>
                </c:pt>
                <c:pt idx="188">
                  <c:v>-1.1894685434576502E-2</c:v>
                </c:pt>
                <c:pt idx="189">
                  <c:v>-1.7664723724882592E-2</c:v>
                </c:pt>
                <c:pt idx="190">
                  <c:v>8.19268067600043E-3</c:v>
                </c:pt>
                <c:pt idx="191">
                  <c:v>1.3532433293560908E-2</c:v>
                </c:pt>
                <c:pt idx="192">
                  <c:v>-4.3149860914807325E-3</c:v>
                </c:pt>
                <c:pt idx="193">
                  <c:v>-1.5524594215198473E-2</c:v>
                </c:pt>
                <c:pt idx="194">
                  <c:v>9.4962299172727249E-3</c:v>
                </c:pt>
                <c:pt idx="195">
                  <c:v>6.7636483545621129E-3</c:v>
                </c:pt>
                <c:pt idx="196">
                  <c:v>1.0366933239633003E-2</c:v>
                </c:pt>
                <c:pt idx="197">
                  <c:v>-1.1137145108082169E-3</c:v>
                </c:pt>
                <c:pt idx="198">
                  <c:v>9.9002461816455334E-3</c:v>
                </c:pt>
                <c:pt idx="199">
                  <c:v>-1.6060418292435097E-3</c:v>
                </c:pt>
                <c:pt idx="200">
                  <c:v>2.9491258654614771E-3</c:v>
                </c:pt>
                <c:pt idx="201">
                  <c:v>-4.377303717420733E-3</c:v>
                </c:pt>
                <c:pt idx="202">
                  <c:v>6.7792308327232487E-3</c:v>
                </c:pt>
                <c:pt idx="203">
                  <c:v>-3.2667921957212354E-3</c:v>
                </c:pt>
                <c:pt idx="204">
                  <c:v>2.9098642355620541E-3</c:v>
                </c:pt>
                <c:pt idx="205">
                  <c:v>1.6338349044284772E-3</c:v>
                </c:pt>
                <c:pt idx="206">
                  <c:v>4.0947370085677726E-3</c:v>
                </c:pt>
                <c:pt idx="207">
                  <c:v>5.6368497805041606E-3</c:v>
                </c:pt>
                <c:pt idx="208">
                  <c:v>-2.9698879450412718E-4</c:v>
                </c:pt>
                <c:pt idx="209">
                  <c:v>3.0674352534953986E-3</c:v>
                </c:pt>
                <c:pt idx="210">
                  <c:v>-2.6633055816749351E-3</c:v>
                </c:pt>
                <c:pt idx="211">
                  <c:v>9.2636755713975116E-3</c:v>
                </c:pt>
                <c:pt idx="212">
                  <c:v>4.017875200641452E-3</c:v>
                </c:pt>
                <c:pt idx="213">
                  <c:v>-1.1062875779210835E-3</c:v>
                </c:pt>
                <c:pt idx="214">
                  <c:v>2.2799855959121373E-4</c:v>
                </c:pt>
                <c:pt idx="215">
                  <c:v>3.5168431404257738E-3</c:v>
                </c:pt>
                <c:pt idx="216">
                  <c:v>2.4660645934493353E-3</c:v>
                </c:pt>
                <c:pt idx="217">
                  <c:v>-1.9096652667247582E-3</c:v>
                </c:pt>
                <c:pt idx="218">
                  <c:v>2.1080006190454803E-3</c:v>
                </c:pt>
                <c:pt idx="219">
                  <c:v>3.236809560953624E-4</c:v>
                </c:pt>
                <c:pt idx="220">
                  <c:v>1.4558355069576034E-3</c:v>
                </c:pt>
                <c:pt idx="221">
                  <c:v>7.236274515079133E-3</c:v>
                </c:pt>
                <c:pt idx="222">
                  <c:v>7.3752484978029109E-4</c:v>
                </c:pt>
                <c:pt idx="223">
                  <c:v>-2.8848284766291865E-4</c:v>
                </c:pt>
                <c:pt idx="224">
                  <c:v>-3.7185716147317693E-3</c:v>
                </c:pt>
                <c:pt idx="225">
                  <c:v>-1.6087732119962617E-3</c:v>
                </c:pt>
                <c:pt idx="226">
                  <c:v>2.2237294880016467E-3</c:v>
                </c:pt>
                <c:pt idx="227">
                  <c:v>7.7500138778536787E-3</c:v>
                </c:pt>
                <c:pt idx="228">
                  <c:v>2.2657915328754274E-3</c:v>
                </c:pt>
                <c:pt idx="229">
                  <c:v>4.4575313753276724E-3</c:v>
                </c:pt>
                <c:pt idx="230">
                  <c:v>-3.7085441386669471E-3</c:v>
                </c:pt>
                <c:pt idx="231">
                  <c:v>-8.4949273196489594E-3</c:v>
                </c:pt>
                <c:pt idx="232">
                  <c:v>-6.7063858748162009E-3</c:v>
                </c:pt>
                <c:pt idx="233">
                  <c:v>6.1701979268837803E-3</c:v>
                </c:pt>
                <c:pt idx="234">
                  <c:v>1.7978453088527413E-3</c:v>
                </c:pt>
                <c:pt idx="235">
                  <c:v>9.1341403618585559E-3</c:v>
                </c:pt>
                <c:pt idx="236">
                  <c:v>-3.144186464518306E-3</c:v>
                </c:pt>
                <c:pt idx="237">
                  <c:v>-1.1151172735409665E-3</c:v>
                </c:pt>
                <c:pt idx="238">
                  <c:v>2.8390305445218367E-3</c:v>
                </c:pt>
                <c:pt idx="239">
                  <c:v>8.618726328923465E-3</c:v>
                </c:pt>
                <c:pt idx="240">
                  <c:v>5.993204860199608E-4</c:v>
                </c:pt>
                <c:pt idx="241">
                  <c:v>6.8699023549014804E-3</c:v>
                </c:pt>
                <c:pt idx="242">
                  <c:v>2.1900081360515244E-4</c:v>
                </c:pt>
                <c:pt idx="243">
                  <c:v>6.2513193051172422E-5</c:v>
                </c:pt>
                <c:pt idx="244">
                  <c:v>4.0990304747494655E-3</c:v>
                </c:pt>
                <c:pt idx="245">
                  <c:v>4.384146144083001E-3</c:v>
                </c:pt>
                <c:pt idx="246">
                  <c:v>1.5279367411606959E-3</c:v>
                </c:pt>
                <c:pt idx="247">
                  <c:v>3.1291696136248603E-5</c:v>
                </c:pt>
                <c:pt idx="248">
                  <c:v>5.3230009570153225E-3</c:v>
                </c:pt>
                <c:pt idx="249">
                  <c:v>-2.477269805444271E-4</c:v>
                </c:pt>
                <c:pt idx="250">
                  <c:v>-5.5131741409409907E-3</c:v>
                </c:pt>
                <c:pt idx="251">
                  <c:v>2.429284132216436E-3</c:v>
                </c:pt>
                <c:pt idx="252">
                  <c:v>9.3519476053978146E-3</c:v>
                </c:pt>
                <c:pt idx="253">
                  <c:v>-7.5723684143397252E-3</c:v>
                </c:pt>
                <c:pt idx="254">
                  <c:v>3.8151221524171941E-3</c:v>
                </c:pt>
                <c:pt idx="255">
                  <c:v>-2.8116664694741722E-3</c:v>
                </c:pt>
                <c:pt idx="256">
                  <c:v>5.3294063013271664E-3</c:v>
                </c:pt>
                <c:pt idx="257">
                  <c:v>6.7805888254892643E-3</c:v>
                </c:pt>
                <c:pt idx="258">
                  <c:v>-2.8775877164930463E-3</c:v>
                </c:pt>
                <c:pt idx="259">
                  <c:v>6.8773101429462358E-3</c:v>
                </c:pt>
                <c:pt idx="260">
                  <c:v>-1.5245543019364316E-3</c:v>
                </c:pt>
                <c:pt idx="261">
                  <c:v>2.2598238469915266E-3</c:v>
                </c:pt>
                <c:pt idx="262">
                  <c:v>8.3183513046241053E-3</c:v>
                </c:pt>
                <c:pt idx="263">
                  <c:v>3.1125841844226176E-3</c:v>
                </c:pt>
                <c:pt idx="264">
                  <c:v>-1.9582914541771412E-3</c:v>
                </c:pt>
                <c:pt idx="265">
                  <c:v>1.2088041649360726E-4</c:v>
                </c:pt>
                <c:pt idx="266">
                  <c:v>1.1468400632714815E-3</c:v>
                </c:pt>
                <c:pt idx="267">
                  <c:v>-8.893020757739345E-3</c:v>
                </c:pt>
                <c:pt idx="268">
                  <c:v>-1.6029449982491228E-2</c:v>
                </c:pt>
                <c:pt idx="269">
                  <c:v>1.0479167156578262E-2</c:v>
                </c:pt>
                <c:pt idx="270">
                  <c:v>-8.2605585334016851E-4</c:v>
                </c:pt>
                <c:pt idx="271">
                  <c:v>3.2453036616320041E-3</c:v>
                </c:pt>
                <c:pt idx="272">
                  <c:v>-1.8157733271125243E-2</c:v>
                </c:pt>
                <c:pt idx="273">
                  <c:v>7.4283563475028291E-3</c:v>
                </c:pt>
                <c:pt idx="274">
                  <c:v>1.5241411206402766E-2</c:v>
                </c:pt>
                <c:pt idx="275">
                  <c:v>1.1547949040223271E-2</c:v>
                </c:pt>
                <c:pt idx="276">
                  <c:v>3.3646949694974282E-3</c:v>
                </c:pt>
                <c:pt idx="277">
                  <c:v>-5.3294194193188593E-3</c:v>
                </c:pt>
                <c:pt idx="278">
                  <c:v>7.4653180454942181E-3</c:v>
                </c:pt>
                <c:pt idx="279">
                  <c:v>1.7329344383234524E-3</c:v>
                </c:pt>
                <c:pt idx="280">
                  <c:v>6.442883956364609E-3</c:v>
                </c:pt>
                <c:pt idx="281">
                  <c:v>-1.067065733103334E-3</c:v>
                </c:pt>
                <c:pt idx="282">
                  <c:v>1.6019769180690702E-3</c:v>
                </c:pt>
                <c:pt idx="283">
                  <c:v>-2.5769673576750973E-3</c:v>
                </c:pt>
                <c:pt idx="284">
                  <c:v>4.7813606495197281E-3</c:v>
                </c:pt>
                <c:pt idx="285">
                  <c:v>-4.1082056198763484E-3</c:v>
                </c:pt>
                <c:pt idx="286">
                  <c:v>-1.0298487506935738E-2</c:v>
                </c:pt>
                <c:pt idx="287">
                  <c:v>-3.316529144442959E-2</c:v>
                </c:pt>
                <c:pt idx="288">
                  <c:v>-3.0302182711582137E-2</c:v>
                </c:pt>
                <c:pt idx="289">
                  <c:v>-3.67803345316009E-3</c:v>
                </c:pt>
                <c:pt idx="290">
                  <c:v>-4.49117397460993E-2</c:v>
                </c:pt>
                <c:pt idx="291">
                  <c:v>-4.2014654718900424E-3</c:v>
                </c:pt>
                <c:pt idx="292">
                  <c:v>4.3306509016265649E-2</c:v>
                </c:pt>
                <c:pt idx="293">
                  <c:v>-2.863257294479471E-2</c:v>
                </c:pt>
                <c:pt idx="294">
                  <c:v>4.2033197005585166E-2</c:v>
                </c:pt>
                <c:pt idx="295">
                  <c:v>-3.3241639322092342E-2</c:v>
                </c:pt>
                <c:pt idx="296">
                  <c:v>-1.6531234885791668E-2</c:v>
                </c:pt>
                <c:pt idx="297">
                  <c:v>-7.809431477042228E-2</c:v>
                </c:pt>
                <c:pt idx="298">
                  <c:v>5.1744610896743204E-2</c:v>
                </c:pt>
                <c:pt idx="299">
                  <c:v>-4.8748644923318873E-2</c:v>
                </c:pt>
                <c:pt idx="300">
                  <c:v>-9.5676968124166484E-2</c:v>
                </c:pt>
                <c:pt idx="301">
                  <c:v>8.5486278138590777E-2</c:v>
                </c:pt>
                <c:pt idx="302">
                  <c:v>-0.10942372079277363</c:v>
                </c:pt>
                <c:pt idx="303">
                  <c:v>5.3992231433475091E-2</c:v>
                </c:pt>
                <c:pt idx="304">
                  <c:v>-5.0632934346107938E-2</c:v>
                </c:pt>
                <c:pt idx="305">
                  <c:v>2.1248587816524722E-3</c:v>
                </c:pt>
                <c:pt idx="306">
                  <c:v>-4.3094152764281524E-2</c:v>
                </c:pt>
                <c:pt idx="307">
                  <c:v>-2.5568231295662658E-2</c:v>
                </c:pt>
                <c:pt idx="308">
                  <c:v>9.0603173390269021E-2</c:v>
                </c:pt>
                <c:pt idx="309">
                  <c:v>1.4970367197915779E-2</c:v>
                </c:pt>
                <c:pt idx="310">
                  <c:v>5.8389675049631329E-2</c:v>
                </c:pt>
                <c:pt idx="311">
                  <c:v>-2.9785631870702156E-2</c:v>
                </c:pt>
                <c:pt idx="312">
                  <c:v>3.247570114420717E-2</c:v>
                </c:pt>
                <c:pt idx="313">
                  <c:v>-1.4905396626175849E-2</c:v>
                </c:pt>
                <c:pt idx="314">
                  <c:v>-4.5004889117887692E-2</c:v>
                </c:pt>
                <c:pt idx="315">
                  <c:v>2.3075417412981913E-2</c:v>
                </c:pt>
                <c:pt idx="316">
                  <c:v>-1.445418113920216E-2</c:v>
                </c:pt>
                <c:pt idx="317">
                  <c:v>6.7166103351828266E-2</c:v>
                </c:pt>
                <c:pt idx="318">
                  <c:v>1.0195662079719447E-3</c:v>
                </c:pt>
                <c:pt idx="319">
                  <c:v>3.3568277977527483E-2</c:v>
                </c:pt>
                <c:pt idx="320">
                  <c:v>1.521757144493896E-2</c:v>
                </c:pt>
                <c:pt idx="321">
                  <c:v>-9.1304112559082995E-3</c:v>
                </c:pt>
                <c:pt idx="322">
                  <c:v>2.949318803992762E-2</c:v>
                </c:pt>
                <c:pt idx="323">
                  <c:v>-2.1248334917558176E-2</c:v>
                </c:pt>
                <c:pt idx="324">
                  <c:v>4.8244014919918143E-3</c:v>
                </c:pt>
                <c:pt idx="325">
                  <c:v>2.7015323180031192E-2</c:v>
                </c:pt>
                <c:pt idx="326">
                  <c:v>-1.7617885070112749E-2</c:v>
                </c:pt>
                <c:pt idx="327">
                  <c:v>-3.0363185873587106E-2</c:v>
                </c:pt>
                <c:pt idx="328">
                  <c:v>2.2194484986830076E-2</c:v>
                </c:pt>
                <c:pt idx="329">
                  <c:v>-7.1610751411377294E-5</c:v>
                </c:pt>
                <c:pt idx="330">
                  <c:v>1.3938666150070667E-2</c:v>
                </c:pt>
                <c:pt idx="331">
                  <c:v>1.4418503793647286E-2</c:v>
                </c:pt>
                <c:pt idx="332">
                  <c:v>-4.5984161758955144E-3</c:v>
                </c:pt>
                <c:pt idx="333">
                  <c:v>2.6178396589441766E-2</c:v>
                </c:pt>
                <c:pt idx="334">
                  <c:v>-9.3106847157256034E-3</c:v>
                </c:pt>
                <c:pt idx="335">
                  <c:v>-2.6473434614380675E-2</c:v>
                </c:pt>
                <c:pt idx="336">
                  <c:v>2.7581839698547217E-3</c:v>
                </c:pt>
                <c:pt idx="337">
                  <c:v>9.2393223075446507E-3</c:v>
                </c:pt>
                <c:pt idx="338">
                  <c:v>-6.7786188044510753E-3</c:v>
                </c:pt>
                <c:pt idx="339">
                  <c:v>1.2066707504521768E-2</c:v>
                </c:pt>
                <c:pt idx="340">
                  <c:v>1.6546250256828987E-2</c:v>
                </c:pt>
                <c:pt idx="341">
                  <c:v>2.0525351794287161E-4</c:v>
                </c:pt>
                <c:pt idx="342">
                  <c:v>-1.9931764438237076E-2</c:v>
                </c:pt>
                <c:pt idx="343">
                  <c:v>-1.7685869532278908E-2</c:v>
                </c:pt>
                <c:pt idx="344">
                  <c:v>1.1967449132084251E-2</c:v>
                </c:pt>
                <c:pt idx="345">
                  <c:v>4.5969105308356628E-3</c:v>
                </c:pt>
                <c:pt idx="346">
                  <c:v>3.0459738870395325E-2</c:v>
                </c:pt>
                <c:pt idx="347">
                  <c:v>-1.0271423472739571E-2</c:v>
                </c:pt>
                <c:pt idx="348">
                  <c:v>1.6988332640760939E-2</c:v>
                </c:pt>
                <c:pt idx="349">
                  <c:v>-6.9039681366674932E-3</c:v>
                </c:pt>
                <c:pt idx="350">
                  <c:v>1.8992088695075626E-3</c:v>
                </c:pt>
                <c:pt idx="351">
                  <c:v>1.232032001094896E-2</c:v>
                </c:pt>
                <c:pt idx="352">
                  <c:v>1.4878998564581858E-2</c:v>
                </c:pt>
                <c:pt idx="353">
                  <c:v>-1.84487583286852E-3</c:v>
                </c:pt>
                <c:pt idx="354">
                  <c:v>4.4557372155122899E-3</c:v>
                </c:pt>
                <c:pt idx="355">
                  <c:v>4.0419148579609043E-3</c:v>
                </c:pt>
                <c:pt idx="356">
                  <c:v>8.279915927419168E-3</c:v>
                </c:pt>
                <c:pt idx="357">
                  <c:v>1.3308512660076266E-2</c:v>
                </c:pt>
                <c:pt idx="358">
                  <c:v>-2.6267651816855864E-3</c:v>
                </c:pt>
                <c:pt idx="359">
                  <c:v>2.5629600938956276E-2</c:v>
                </c:pt>
                <c:pt idx="360">
                  <c:v>1.2087405804400042E-2</c:v>
                </c:pt>
                <c:pt idx="361">
                  <c:v>-7.4566104845250614E-3</c:v>
                </c:pt>
                <c:pt idx="362">
                  <c:v>-5.5800065642890306E-3</c:v>
                </c:pt>
                <c:pt idx="363">
                  <c:v>-5.7649086209779044E-2</c:v>
                </c:pt>
                <c:pt idx="364">
                  <c:v>1.1975780154728222E-2</c:v>
                </c:pt>
                <c:pt idx="365">
                  <c:v>9.3356800993726896E-3</c:v>
                </c:pt>
                <c:pt idx="366">
                  <c:v>1.92476355416209E-2</c:v>
                </c:pt>
                <c:pt idx="367">
                  <c:v>-4.1538465706363326E-3</c:v>
                </c:pt>
                <c:pt idx="368">
                  <c:v>3.8487660475250429E-4</c:v>
                </c:pt>
                <c:pt idx="369">
                  <c:v>-5.7148208956896429E-3</c:v>
                </c:pt>
                <c:pt idx="370">
                  <c:v>6.4153997017057929E-3</c:v>
                </c:pt>
                <c:pt idx="371">
                  <c:v>4.6034039348983313E-3</c:v>
                </c:pt>
                <c:pt idx="372">
                  <c:v>-2.5508816051501793E-2</c:v>
                </c:pt>
                <c:pt idx="373">
                  <c:v>1.0720578135614334E-2</c:v>
                </c:pt>
                <c:pt idx="374">
                  <c:v>-2.375132013600123E-2</c:v>
                </c:pt>
                <c:pt idx="375">
                  <c:v>1.4697485290460222E-2</c:v>
                </c:pt>
                <c:pt idx="376">
                  <c:v>1.2809426603906937E-2</c:v>
                </c:pt>
                <c:pt idx="377">
                  <c:v>7.0049919797676719E-3</c:v>
                </c:pt>
                <c:pt idx="378">
                  <c:v>5.5069486597416617E-3</c:v>
                </c:pt>
                <c:pt idx="379">
                  <c:v>1.5437245461707549E-2</c:v>
                </c:pt>
                <c:pt idx="380">
                  <c:v>-1.0313733360423849E-2</c:v>
                </c:pt>
                <c:pt idx="381">
                  <c:v>7.6487346792095678E-3</c:v>
                </c:pt>
                <c:pt idx="382">
                  <c:v>-5.6929845453245198E-3</c:v>
                </c:pt>
                <c:pt idx="383">
                  <c:v>1.0210430238554391E-2</c:v>
                </c:pt>
                <c:pt idx="384">
                  <c:v>-8.658948363955421E-3</c:v>
                </c:pt>
                <c:pt idx="385">
                  <c:v>1.295906202646524E-2</c:v>
                </c:pt>
                <c:pt idx="386">
                  <c:v>9.1872724542343409E-3</c:v>
                </c:pt>
                <c:pt idx="387">
                  <c:v>-3.2933727796681245E-3</c:v>
                </c:pt>
                <c:pt idx="388">
                  <c:v>2.8988786437762482E-3</c:v>
                </c:pt>
                <c:pt idx="389">
                  <c:v>8.0815411882357857E-3</c:v>
                </c:pt>
                <c:pt idx="390">
                  <c:v>2.1278272971125833E-3</c:v>
                </c:pt>
                <c:pt idx="391">
                  <c:v>5.6918631014402088E-3</c:v>
                </c:pt>
                <c:pt idx="392">
                  <c:v>-1.193168044074322E-2</c:v>
                </c:pt>
                <c:pt idx="393">
                  <c:v>-6.4402905510494435E-3</c:v>
                </c:pt>
                <c:pt idx="394">
                  <c:v>7.292364554599251E-3</c:v>
                </c:pt>
                <c:pt idx="395">
                  <c:v>-6.3425647412930219E-3</c:v>
                </c:pt>
                <c:pt idx="396">
                  <c:v>1.2298753320890254E-2</c:v>
                </c:pt>
                <c:pt idx="397">
                  <c:v>-3.5677373103053522E-3</c:v>
                </c:pt>
                <c:pt idx="398">
                  <c:v>7.9019311780266221E-3</c:v>
                </c:pt>
                <c:pt idx="399">
                  <c:v>6.952424166833282E-3</c:v>
                </c:pt>
                <c:pt idx="400">
                  <c:v>3.8624238846853842E-3</c:v>
                </c:pt>
                <c:pt idx="401">
                  <c:v>6.2112231296855835E-3</c:v>
                </c:pt>
                <c:pt idx="402">
                  <c:v>6.6843685246342766E-3</c:v>
                </c:pt>
                <c:pt idx="403">
                  <c:v>7.1783078183740301E-4</c:v>
                </c:pt>
                <c:pt idx="404">
                  <c:v>2.9889764682098363E-3</c:v>
                </c:pt>
                <c:pt idx="405">
                  <c:v>-8.2545811931474811E-3</c:v>
                </c:pt>
                <c:pt idx="406">
                  <c:v>1.3942188661090427E-2</c:v>
                </c:pt>
                <c:pt idx="407">
                  <c:v>-1.8077118692871874E-3</c:v>
                </c:pt>
                <c:pt idx="408">
                  <c:v>2.9728210360957519E-5</c:v>
                </c:pt>
                <c:pt idx="409">
                  <c:v>3.1767242652422922E-3</c:v>
                </c:pt>
                <c:pt idx="410">
                  <c:v>2.1604052080028691E-3</c:v>
                </c:pt>
                <c:pt idx="411">
                  <c:v>-4.1638393928231654E-3</c:v>
                </c:pt>
                <c:pt idx="412">
                  <c:v>3.1135750070379054E-3</c:v>
                </c:pt>
                <c:pt idx="413">
                  <c:v>3.5473392851324004E-3</c:v>
                </c:pt>
                <c:pt idx="414">
                  <c:v>1.0133324577059399E-2</c:v>
                </c:pt>
                <c:pt idx="415">
                  <c:v>3.4992493651837542E-3</c:v>
                </c:pt>
                <c:pt idx="416">
                  <c:v>1.0025603872449329E-2</c:v>
                </c:pt>
                <c:pt idx="417">
                  <c:v>2.1865091370856238E-3</c:v>
                </c:pt>
                <c:pt idx="418">
                  <c:v>6.4593515923945244E-3</c:v>
                </c:pt>
                <c:pt idx="419">
                  <c:v>-3.6225394267189737E-3</c:v>
                </c:pt>
                <c:pt idx="420">
                  <c:v>9.4184637463441412E-3</c:v>
                </c:pt>
                <c:pt idx="421">
                  <c:v>1.4464114562413144E-2</c:v>
                </c:pt>
                <c:pt idx="422">
                  <c:v>-3.4414294048789706E-2</c:v>
                </c:pt>
                <c:pt idx="423">
                  <c:v>-8.1647476389468121E-3</c:v>
                </c:pt>
                <c:pt idx="424">
                  <c:v>-2.7322770896333393E-2</c:v>
                </c:pt>
                <c:pt idx="425">
                  <c:v>1.9747179391700787E-2</c:v>
                </c:pt>
                <c:pt idx="426">
                  <c:v>-1.7363572610475275E-2</c:v>
                </c:pt>
                <c:pt idx="427">
                  <c:v>5.0923557109960882E-4</c:v>
                </c:pt>
                <c:pt idx="428">
                  <c:v>1.3171189351432355E-2</c:v>
                </c:pt>
                <c:pt idx="429">
                  <c:v>5.0525348238807943E-3</c:v>
                </c:pt>
                <c:pt idx="430">
                  <c:v>-3.9688746858660418E-3</c:v>
                </c:pt>
                <c:pt idx="431">
                  <c:v>-8.79534446521546E-3</c:v>
                </c:pt>
                <c:pt idx="432">
                  <c:v>-1.151262919765339E-2</c:v>
                </c:pt>
                <c:pt idx="433">
                  <c:v>-1.1129386900808003E-2</c:v>
                </c:pt>
                <c:pt idx="434">
                  <c:v>1.0184302329772299E-2</c:v>
                </c:pt>
                <c:pt idx="435">
                  <c:v>-2.3190933877250353E-2</c:v>
                </c:pt>
                <c:pt idx="436">
                  <c:v>2.6652507178661633E-3</c:v>
                </c:pt>
                <c:pt idx="437">
                  <c:v>1.6167026376602722E-2</c:v>
                </c:pt>
                <c:pt idx="438">
                  <c:v>1.6609314095046512E-2</c:v>
                </c:pt>
                <c:pt idx="439">
                  <c:v>-5.4460159500625549E-3</c:v>
                </c:pt>
                <c:pt idx="440">
                  <c:v>7.581928774354818E-3</c:v>
                </c:pt>
                <c:pt idx="441">
                  <c:v>6.4200032845178612E-3</c:v>
                </c:pt>
                <c:pt idx="442">
                  <c:v>-9.4944139916489645E-3</c:v>
                </c:pt>
                <c:pt idx="443">
                  <c:v>1.7733135478033457E-2</c:v>
                </c:pt>
                <c:pt idx="444">
                  <c:v>-1.4215853333956918E-2</c:v>
                </c:pt>
                <c:pt idx="445">
                  <c:v>1.740649670567751E-2</c:v>
                </c:pt>
                <c:pt idx="446">
                  <c:v>8.8627572308157543E-3</c:v>
                </c:pt>
                <c:pt idx="447">
                  <c:v>8.9298579172683024E-3</c:v>
                </c:pt>
                <c:pt idx="448">
                  <c:v>1.608765387308897E-2</c:v>
                </c:pt>
                <c:pt idx="449">
                  <c:v>-6.5259418269143499E-3</c:v>
                </c:pt>
                <c:pt idx="450">
                  <c:v>-6.2834285511884636E-3</c:v>
                </c:pt>
                <c:pt idx="451">
                  <c:v>-1.2359882917148957E-3</c:v>
                </c:pt>
                <c:pt idx="452">
                  <c:v>-6.0431789816506321E-4</c:v>
                </c:pt>
                <c:pt idx="453">
                  <c:v>-1.5203319971800577E-2</c:v>
                </c:pt>
                <c:pt idx="454">
                  <c:v>4.0056974321642791E-3</c:v>
                </c:pt>
                <c:pt idx="455">
                  <c:v>-1.8930668382398652E-3</c:v>
                </c:pt>
                <c:pt idx="456">
                  <c:v>5.4853640330010389E-3</c:v>
                </c:pt>
                <c:pt idx="457">
                  <c:v>3.3954004435843288E-3</c:v>
                </c:pt>
                <c:pt idx="458">
                  <c:v>-1.8480018393658981E-2</c:v>
                </c:pt>
                <c:pt idx="459">
                  <c:v>-3.4473425110700395E-3</c:v>
                </c:pt>
                <c:pt idx="460">
                  <c:v>-3.4178922648210652E-2</c:v>
                </c:pt>
                <c:pt idx="461">
                  <c:v>1.0163436131759074E-2</c:v>
                </c:pt>
                <c:pt idx="462">
                  <c:v>-1.042490629153503E-2</c:v>
                </c:pt>
                <c:pt idx="463">
                  <c:v>1.1208475494422609E-2</c:v>
                </c:pt>
                <c:pt idx="464">
                  <c:v>1.7655932427571353E-2</c:v>
                </c:pt>
                <c:pt idx="465">
                  <c:v>2.2349169965382609E-2</c:v>
                </c:pt>
                <c:pt idx="466">
                  <c:v>1.9502929590644147E-2</c:v>
                </c:pt>
                <c:pt idx="467">
                  <c:v>-2.2851945269286578E-4</c:v>
                </c:pt>
                <c:pt idx="468">
                  <c:v>1.2565606819357811E-2</c:v>
                </c:pt>
                <c:pt idx="469">
                  <c:v>-1.4665597339570402E-3</c:v>
                </c:pt>
                <c:pt idx="470">
                  <c:v>7.4286052707084327E-3</c:v>
                </c:pt>
                <c:pt idx="471">
                  <c:v>-9.700988501003982E-3</c:v>
                </c:pt>
                <c:pt idx="472">
                  <c:v>1.3844561449388282E-2</c:v>
                </c:pt>
                <c:pt idx="473">
                  <c:v>1.2482558170378466E-2</c:v>
                </c:pt>
                <c:pt idx="474">
                  <c:v>-5.3784449746822061E-3</c:v>
                </c:pt>
                <c:pt idx="475">
                  <c:v>-1.2034678771105756E-2</c:v>
                </c:pt>
                <c:pt idx="476">
                  <c:v>4.2102181329668475E-3</c:v>
                </c:pt>
                <c:pt idx="477">
                  <c:v>-6.847884652961489E-3</c:v>
                </c:pt>
                <c:pt idx="478">
                  <c:v>5.994565649161343E-3</c:v>
                </c:pt>
                <c:pt idx="479">
                  <c:v>1.611365943348253E-2</c:v>
                </c:pt>
                <c:pt idx="480">
                  <c:v>-1.5417685533732906E-3</c:v>
                </c:pt>
                <c:pt idx="481">
                  <c:v>2.7851057234840049E-3</c:v>
                </c:pt>
                <c:pt idx="482">
                  <c:v>-4.4271845340466687E-3</c:v>
                </c:pt>
                <c:pt idx="483">
                  <c:v>1.0937222472905406E-2</c:v>
                </c:pt>
                <c:pt idx="484">
                  <c:v>2.1038025125887927E-3</c:v>
                </c:pt>
                <c:pt idx="485">
                  <c:v>-2.7267522785101583E-4</c:v>
                </c:pt>
                <c:pt idx="486">
                  <c:v>8.6178365304656612E-3</c:v>
                </c:pt>
                <c:pt idx="487">
                  <c:v>-2.0550498116275184E-3</c:v>
                </c:pt>
                <c:pt idx="488">
                  <c:v>2.9261579402954929E-3</c:v>
                </c:pt>
                <c:pt idx="489">
                  <c:v>-8.9688204984695874E-3</c:v>
                </c:pt>
                <c:pt idx="490">
                  <c:v>-3.2725765390118067E-4</c:v>
                </c:pt>
                <c:pt idx="491">
                  <c:v>-1.1723674397928763E-3</c:v>
                </c:pt>
                <c:pt idx="492">
                  <c:v>-4.4771625747747068E-3</c:v>
                </c:pt>
                <c:pt idx="493">
                  <c:v>1.351933097405067E-2</c:v>
                </c:pt>
                <c:pt idx="494">
                  <c:v>1.5693338864144479E-3</c:v>
                </c:pt>
                <c:pt idx="495">
                  <c:v>5.5919146289677979E-3</c:v>
                </c:pt>
                <c:pt idx="496">
                  <c:v>-3.9929056757369574E-3</c:v>
                </c:pt>
                <c:pt idx="497">
                  <c:v>-3.5755494664578835E-3</c:v>
                </c:pt>
                <c:pt idx="498">
                  <c:v>-1.6853497505238124E-3</c:v>
                </c:pt>
                <c:pt idx="499">
                  <c:v>8.9869286658483816E-4</c:v>
                </c:pt>
                <c:pt idx="500">
                  <c:v>3.8903637545384395E-3</c:v>
                </c:pt>
                <c:pt idx="501">
                  <c:v>8.5908137835792875E-3</c:v>
                </c:pt>
                <c:pt idx="502">
                  <c:v>-1.9076701567345422E-3</c:v>
                </c:pt>
                <c:pt idx="503">
                  <c:v>1.4266350002845041E-3</c:v>
                </c:pt>
                <c:pt idx="504">
                  <c:v>5.0808532531914086E-3</c:v>
                </c:pt>
              </c:numCache>
            </c:numRef>
          </c:val>
          <c:smooth val="0"/>
          <c:extLst>
            <c:ext xmlns:c16="http://schemas.microsoft.com/office/drawing/2014/chart" uri="{C3380CC4-5D6E-409C-BE32-E72D297353CC}">
              <c16:uniqueId val="{00000000-357C-4319-A85C-4DCA3A1F632A}"/>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1"/>
          <c:order val="1"/>
          <c:tx>
            <c:v>Sample 2 (rhs)</c:v>
          </c:tx>
          <c:spPr>
            <a:ln w="12700" cap="rnd">
              <a:solidFill>
                <a:schemeClr val="accent2"/>
              </a:solidFill>
              <a:round/>
            </a:ln>
            <a:effectLst/>
          </c:spPr>
          <c:marker>
            <c:symbol val="none"/>
          </c:marker>
          <c:cat>
            <c:numRef>
              <c:f>(CONTAGION_COSKEWNESS!$F$19:$F$318,CONTAGION_COSKEWNESS!$F$321:$F$526)</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(CONTAGION_COSKEWNESS!$J$20:$J$318,CONTAGION_COSKEWNESS!$J$321:$J$526)</c:f>
              <c:numCache>
                <c:formatCode>0.00%</c:formatCode>
                <c:ptCount val="505"/>
                <c:pt idx="0">
                  <c:v>-1.0932312016076473E-4</c:v>
                </c:pt>
                <c:pt idx="1">
                  <c:v>3.2817541684604379E-4</c:v>
                </c:pt>
                <c:pt idx="2">
                  <c:v>1.0929920370039703E-4</c:v>
                </c:pt>
                <c:pt idx="3">
                  <c:v>0</c:v>
                </c:pt>
                <c:pt idx="4">
                  <c:v>0</c:v>
                </c:pt>
                <c:pt idx="5">
                  <c:v>0</c:v>
                </c:pt>
                <c:pt idx="6">
                  <c:v>1.0928725869008282E-4</c:v>
                </c:pt>
                <c:pt idx="7">
                  <c:v>2.1845991002655829E-4</c:v>
                </c:pt>
                <c:pt idx="8">
                  <c:v>-1.0916074648947838E-4</c:v>
                </c:pt>
                <c:pt idx="9">
                  <c:v>2.1877621276433779E-4</c:v>
                </c:pt>
                <c:pt idx="10">
                  <c:v>1.0880868670137822E-4</c:v>
                </c:pt>
                <c:pt idx="11">
                  <c:v>2.1871589861222063E-4</c:v>
                </c:pt>
                <c:pt idx="12">
                  <c:v>0</c:v>
                </c:pt>
                <c:pt idx="13">
                  <c:v>1.0928303821855501E-4</c:v>
                </c:pt>
                <c:pt idx="14">
                  <c:v>0</c:v>
                </c:pt>
                <c:pt idx="15">
                  <c:v>3.2731469764235577E-4</c:v>
                </c:pt>
                <c:pt idx="16">
                  <c:v>-1.0897479974747437E-4</c:v>
                </c:pt>
                <c:pt idx="17">
                  <c:v>1.0898667654868355E-4</c:v>
                </c:pt>
                <c:pt idx="18">
                  <c:v>0</c:v>
                </c:pt>
                <c:pt idx="19">
                  <c:v>2.1840271716544457E-4</c:v>
                </c:pt>
                <c:pt idx="20">
                  <c:v>0</c:v>
                </c:pt>
                <c:pt idx="21">
                  <c:v>9.8497597358582212E-5</c:v>
                </c:pt>
                <c:pt idx="22">
                  <c:v>1.094725187795742E-4</c:v>
                </c:pt>
                <c:pt idx="23">
                  <c:v>0</c:v>
                </c:pt>
                <c:pt idx="24">
                  <c:v>2.1881916369892451E-4</c:v>
                </c:pt>
                <c:pt idx="25">
                  <c:v>0</c:v>
                </c:pt>
                <c:pt idx="26">
                  <c:v>2.18341108176201E-4</c:v>
                </c:pt>
                <c:pt idx="27">
                  <c:v>-1.0932215442716053E-4</c:v>
                </c:pt>
                <c:pt idx="28">
                  <c:v>2.1875876935339988E-4</c:v>
                </c:pt>
                <c:pt idx="29">
                  <c:v>0</c:v>
                </c:pt>
                <c:pt idx="30">
                  <c:v>2.1877882598042575E-4</c:v>
                </c:pt>
                <c:pt idx="31">
                  <c:v>0</c:v>
                </c:pt>
                <c:pt idx="32">
                  <c:v>2.183123375776308E-4</c:v>
                </c:pt>
                <c:pt idx="33">
                  <c:v>0</c:v>
                </c:pt>
                <c:pt idx="34">
                  <c:v>1.0909275191561818E-4</c:v>
                </c:pt>
                <c:pt idx="35">
                  <c:v>2.1867068762237984E-4</c:v>
                </c:pt>
                <c:pt idx="36">
                  <c:v>-1.0931709474093498E-4</c:v>
                </c:pt>
                <c:pt idx="37">
                  <c:v>1.0932904627458662E-4</c:v>
                </c:pt>
                <c:pt idx="38">
                  <c:v>1.0896653821479418E-4</c:v>
                </c:pt>
                <c:pt idx="39">
                  <c:v>2.1841814853673647E-4</c:v>
                </c:pt>
                <c:pt idx="40">
                  <c:v>1.092813151106764E-4</c:v>
                </c:pt>
                <c:pt idx="41">
                  <c:v>-1.0934849737997965E-4</c:v>
                </c:pt>
                <c:pt idx="42">
                  <c:v>1.0936045578158193E-4</c:v>
                </c:pt>
                <c:pt idx="43">
                  <c:v>1.0934849737997965E-4</c:v>
                </c:pt>
                <c:pt idx="44">
                  <c:v>2.1884261472737698E-4</c:v>
                </c:pt>
                <c:pt idx="45">
                  <c:v>1.0940301637285543E-4</c:v>
                </c:pt>
                <c:pt idx="46">
                  <c:v>0</c:v>
                </c:pt>
                <c:pt idx="47">
                  <c:v>1.0921027436161523E-4</c:v>
                </c:pt>
                <c:pt idx="48">
                  <c:v>1.0928872606030815E-4</c:v>
                </c:pt>
                <c:pt idx="49">
                  <c:v>0</c:v>
                </c:pt>
                <c:pt idx="50">
                  <c:v>1.0893790557453542E-4</c:v>
                </c:pt>
                <c:pt idx="51">
                  <c:v>1.0969407866578962E-4</c:v>
                </c:pt>
                <c:pt idx="52">
                  <c:v>0</c:v>
                </c:pt>
                <c:pt idx="53">
                  <c:v>0</c:v>
                </c:pt>
                <c:pt idx="54">
                  <c:v>3.27589285726404E-4</c:v>
                </c:pt>
                <c:pt idx="55">
                  <c:v>0</c:v>
                </c:pt>
                <c:pt idx="56">
                  <c:v>0</c:v>
                </c:pt>
                <c:pt idx="57">
                  <c:v>1.0938646386726703E-4</c:v>
                </c:pt>
                <c:pt idx="58">
                  <c:v>1.0886651624031352E-4</c:v>
                </c:pt>
                <c:pt idx="59">
                  <c:v>2.1855587829189282E-4</c:v>
                </c:pt>
                <c:pt idx="60">
                  <c:v>0</c:v>
                </c:pt>
                <c:pt idx="61">
                  <c:v>1.7520823751815406E-4</c:v>
                </c:pt>
                <c:pt idx="62">
                  <c:v>-1.0948878631844572E-4</c:v>
                </c:pt>
                <c:pt idx="63">
                  <c:v>1.095007754254862E-4</c:v>
                </c:pt>
                <c:pt idx="64">
                  <c:v>3.2789093355334309E-4</c:v>
                </c:pt>
                <c:pt idx="65">
                  <c:v>0</c:v>
                </c:pt>
                <c:pt idx="66">
                  <c:v>0</c:v>
                </c:pt>
                <c:pt idx="67">
                  <c:v>1.0945289770569744E-4</c:v>
                </c:pt>
                <c:pt idx="68">
                  <c:v>0</c:v>
                </c:pt>
                <c:pt idx="69">
                  <c:v>3.2773630548876831E-4</c:v>
                </c:pt>
                <c:pt idx="70">
                  <c:v>0</c:v>
                </c:pt>
                <c:pt idx="71">
                  <c:v>1.0941633729211198E-4</c:v>
                </c:pt>
                <c:pt idx="72">
                  <c:v>0</c:v>
                </c:pt>
                <c:pt idx="73">
                  <c:v>2.1836908672923094E-4</c:v>
                </c:pt>
                <c:pt idx="74">
                  <c:v>1.0971859721320421E-4</c:v>
                </c:pt>
                <c:pt idx="75">
                  <c:v>0</c:v>
                </c:pt>
                <c:pt idx="76">
                  <c:v>0</c:v>
                </c:pt>
                <c:pt idx="77">
                  <c:v>2.1812842140644939E-4</c:v>
                </c:pt>
                <c:pt idx="78">
                  <c:v>2.181597196171392E-4</c:v>
                </c:pt>
                <c:pt idx="79">
                  <c:v>-1.0897158533818008E-4</c:v>
                </c:pt>
                <c:pt idx="80">
                  <c:v>1.089834614387275E-4</c:v>
                </c:pt>
                <c:pt idx="81">
                  <c:v>1.0941089605021048E-4</c:v>
                </c:pt>
                <c:pt idx="82">
                  <c:v>4.3644686567922975E-5</c:v>
                </c:pt>
                <c:pt idx="83">
                  <c:v>1.0973203174291513E-4</c:v>
                </c:pt>
                <c:pt idx="84">
                  <c:v>1.0911187539353051E-4</c:v>
                </c:pt>
                <c:pt idx="85">
                  <c:v>1.0919005280296545E-4</c:v>
                </c:pt>
                <c:pt idx="86">
                  <c:v>1.0935827499136686E-4</c:v>
                </c:pt>
                <c:pt idx="87">
                  <c:v>0</c:v>
                </c:pt>
                <c:pt idx="88">
                  <c:v>1.094138634378794E-4</c:v>
                </c:pt>
                <c:pt idx="89">
                  <c:v>2.187475042234599E-4</c:v>
                </c:pt>
                <c:pt idx="90">
                  <c:v>-1.0956928579342051E-4</c:v>
                </c:pt>
                <c:pt idx="91">
                  <c:v>1.0958129253735294E-4</c:v>
                </c:pt>
                <c:pt idx="92">
                  <c:v>1.0920915667012032E-4</c:v>
                </c:pt>
                <c:pt idx="93">
                  <c:v>1.0928725378223092E-4</c:v>
                </c:pt>
                <c:pt idx="94">
                  <c:v>1.0953409764380417E-4</c:v>
                </c:pt>
                <c:pt idx="95">
                  <c:v>1.0884708058456205E-4</c:v>
                </c:pt>
                <c:pt idx="96">
                  <c:v>0</c:v>
                </c:pt>
                <c:pt idx="97">
                  <c:v>2.185928961988548E-4</c:v>
                </c:pt>
                <c:pt idx="98">
                  <c:v>2.1845515049623287E-4</c:v>
                </c:pt>
                <c:pt idx="99">
                  <c:v>0</c:v>
                </c:pt>
                <c:pt idx="100">
                  <c:v>1.0886639298268719E-4</c:v>
                </c:pt>
                <c:pt idx="101">
                  <c:v>0</c:v>
                </c:pt>
                <c:pt idx="102">
                  <c:v>3.279240278493134E-4</c:v>
                </c:pt>
                <c:pt idx="103">
                  <c:v>0</c:v>
                </c:pt>
                <c:pt idx="104">
                  <c:v>-4.3563508970612119E-5</c:v>
                </c:pt>
                <c:pt idx="105">
                  <c:v>2.184115029848499E-4</c:v>
                </c:pt>
                <c:pt idx="106">
                  <c:v>0</c:v>
                </c:pt>
                <c:pt idx="107">
                  <c:v>3.2801768261414566E-4</c:v>
                </c:pt>
                <c:pt idx="108">
                  <c:v>-1.0926967316093883E-4</c:v>
                </c:pt>
                <c:pt idx="109">
                  <c:v>2.1874298663027147E-4</c:v>
                </c:pt>
                <c:pt idx="110">
                  <c:v>-1.0943743363189817E-4</c:v>
                </c:pt>
                <c:pt idx="111">
                  <c:v>1.0944941149459986E-4</c:v>
                </c:pt>
                <c:pt idx="112">
                  <c:v>3.2804272290043457E-4</c:v>
                </c:pt>
                <c:pt idx="113">
                  <c:v>1.0888502353489926E-4</c:v>
                </c:pt>
                <c:pt idx="114">
                  <c:v>0</c:v>
                </c:pt>
                <c:pt idx="115">
                  <c:v>0</c:v>
                </c:pt>
                <c:pt idx="116">
                  <c:v>2.1868944863268069E-4</c:v>
                </c:pt>
                <c:pt idx="117">
                  <c:v>1.0901774050453561E-4</c:v>
                </c:pt>
                <c:pt idx="118">
                  <c:v>0</c:v>
                </c:pt>
                <c:pt idx="119">
                  <c:v>1.0926400506949818E-4</c:v>
                </c:pt>
                <c:pt idx="120">
                  <c:v>0</c:v>
                </c:pt>
                <c:pt idx="121">
                  <c:v>2.1842557726148293E-4</c:v>
                </c:pt>
                <c:pt idx="122">
                  <c:v>0</c:v>
                </c:pt>
                <c:pt idx="123">
                  <c:v>1.0905990719045633E-4</c:v>
                </c:pt>
                <c:pt idx="124">
                  <c:v>-5.4265971786926492E-5</c:v>
                </c:pt>
                <c:pt idx="125">
                  <c:v>1.0913246912425123E-4</c:v>
                </c:pt>
                <c:pt idx="126">
                  <c:v>3.2806843549759712E-4</c:v>
                </c:pt>
                <c:pt idx="127">
                  <c:v>-1.0952214409698513E-4</c:v>
                </c:pt>
                <c:pt idx="128">
                  <c:v>0</c:v>
                </c:pt>
                <c:pt idx="129">
                  <c:v>1.0953414051084742E-4</c:v>
                </c:pt>
                <c:pt idx="130">
                  <c:v>1.0934270990614614E-4</c:v>
                </c:pt>
                <c:pt idx="131">
                  <c:v>2.1841481573248167E-4</c:v>
                </c:pt>
                <c:pt idx="132">
                  <c:v>1.0948625653761646E-4</c:v>
                </c:pt>
                <c:pt idx="133">
                  <c:v>0</c:v>
                </c:pt>
                <c:pt idx="134">
                  <c:v>1.0938459273068801E-4</c:v>
                </c:pt>
                <c:pt idx="135">
                  <c:v>0</c:v>
                </c:pt>
                <c:pt idx="136">
                  <c:v>3.2751262767405365E-4</c:v>
                </c:pt>
                <c:pt idx="137">
                  <c:v>0</c:v>
                </c:pt>
                <c:pt idx="138">
                  <c:v>0</c:v>
                </c:pt>
                <c:pt idx="139">
                  <c:v>-1.0898946984905233E-4</c:v>
                </c:pt>
                <c:pt idx="140">
                  <c:v>2.1809234818026546E-4</c:v>
                </c:pt>
                <c:pt idx="141">
                  <c:v>2.1839210640650641E-4</c:v>
                </c:pt>
                <c:pt idx="142">
                  <c:v>-1.0895378802422417E-4</c:v>
                </c:pt>
                <c:pt idx="143">
                  <c:v>2.1827859462186794E-4</c:v>
                </c:pt>
                <c:pt idx="144">
                  <c:v>0</c:v>
                </c:pt>
                <c:pt idx="145">
                  <c:v>1.0904268008449236E-4</c:v>
                </c:pt>
                <c:pt idx="146">
                  <c:v>2.7366325405653313E-4</c:v>
                </c:pt>
                <c:pt idx="147">
                  <c:v>0</c:v>
                </c:pt>
                <c:pt idx="148">
                  <c:v>-1.0950476628990291E-4</c:v>
                </c:pt>
                <c:pt idx="149">
                  <c:v>1.0951675889692147E-4</c:v>
                </c:pt>
                <c:pt idx="150">
                  <c:v>2.1848333648355478E-4</c:v>
                </c:pt>
                <c:pt idx="151">
                  <c:v>1.0922340257923935E-4</c:v>
                </c:pt>
                <c:pt idx="152">
                  <c:v>-1.0921147413045507E-4</c:v>
                </c:pt>
                <c:pt idx="153">
                  <c:v>2.1870424912839859E-4</c:v>
                </c:pt>
                <c:pt idx="154">
                  <c:v>1.0937857247794724E-4</c:v>
                </c:pt>
                <c:pt idx="155">
                  <c:v>-1.0936661011429205E-4</c:v>
                </c:pt>
                <c:pt idx="156">
                  <c:v>4.3679808072050186E-4</c:v>
                </c:pt>
                <c:pt idx="157">
                  <c:v>-1.089728687423408E-4</c:v>
                </c:pt>
                <c:pt idx="158">
                  <c:v>0</c:v>
                </c:pt>
                <c:pt idx="159">
                  <c:v>1.0898474512277545E-4</c:v>
                </c:pt>
                <c:pt idx="160">
                  <c:v>-1.089728687423408E-4</c:v>
                </c:pt>
                <c:pt idx="161">
                  <c:v>3.2765902277742676E-4</c:v>
                </c:pt>
                <c:pt idx="162">
                  <c:v>-1.0929573354323541E-4</c:v>
                </c:pt>
                <c:pt idx="163">
                  <c:v>1.0930768040640082E-4</c:v>
                </c:pt>
                <c:pt idx="164">
                  <c:v>1.0896023042183955E-4</c:v>
                </c:pt>
                <c:pt idx="165">
                  <c:v>-1.0894835938346503E-4</c:v>
                </c:pt>
                <c:pt idx="166">
                  <c:v>2.1825596396496394E-4</c:v>
                </c:pt>
                <c:pt idx="167">
                  <c:v>1.0901472137025969E-4</c:v>
                </c:pt>
                <c:pt idx="168">
                  <c:v>1.9720010949031419E-4</c:v>
                </c:pt>
                <c:pt idx="169">
                  <c:v>-1.0940609513787614E-4</c:v>
                </c:pt>
                <c:pt idx="170">
                  <c:v>1.0941806614117588E-4</c:v>
                </c:pt>
                <c:pt idx="171">
                  <c:v>1.0932785211936746E-4</c:v>
                </c:pt>
                <c:pt idx="172">
                  <c:v>0</c:v>
                </c:pt>
                <c:pt idx="173">
                  <c:v>2.1863180169323648E-4</c:v>
                </c:pt>
                <c:pt idx="174">
                  <c:v>-1.0929200613829515E-4</c:v>
                </c:pt>
                <c:pt idx="175">
                  <c:v>2.1835087636978834E-4</c:v>
                </c:pt>
                <c:pt idx="176">
                  <c:v>0</c:v>
                </c:pt>
                <c:pt idx="177">
                  <c:v>0</c:v>
                </c:pt>
                <c:pt idx="178">
                  <c:v>1.0953706267624597E-4</c:v>
                </c:pt>
                <c:pt idx="179">
                  <c:v>2.1844687200922586E-4</c:v>
                </c:pt>
                <c:pt idx="180">
                  <c:v>0</c:v>
                </c:pt>
                <c:pt idx="181">
                  <c:v>1.0932244099981503E-4</c:v>
                </c:pt>
                <c:pt idx="182">
                  <c:v>2.1838645788196942E-4</c:v>
                </c:pt>
                <c:pt idx="183">
                  <c:v>0</c:v>
                </c:pt>
                <c:pt idx="184">
                  <c:v>0</c:v>
                </c:pt>
                <c:pt idx="185">
                  <c:v>2.1849509080529295E-4</c:v>
                </c:pt>
                <c:pt idx="186">
                  <c:v>0</c:v>
                </c:pt>
                <c:pt idx="187">
                  <c:v>1.0909530687897018E-4</c:v>
                </c:pt>
                <c:pt idx="188">
                  <c:v>-3.2871240337906116E-5</c:v>
                </c:pt>
                <c:pt idx="189">
                  <c:v>0</c:v>
                </c:pt>
                <c:pt idx="190">
                  <c:v>3.2820975331238067E-4</c:v>
                </c:pt>
                <c:pt idx="191">
                  <c:v>0</c:v>
                </c:pt>
                <c:pt idx="192">
                  <c:v>1.094752203603111E-4</c:v>
                </c:pt>
                <c:pt idx="193">
                  <c:v>0</c:v>
                </c:pt>
                <c:pt idx="194">
                  <c:v>0</c:v>
                </c:pt>
                <c:pt idx="195">
                  <c:v>2.1842439993680074E-4</c:v>
                </c:pt>
                <c:pt idx="196">
                  <c:v>1.0928316601321875E-4</c:v>
                </c:pt>
                <c:pt idx="197">
                  <c:v>-1.0927122450776761E-4</c:v>
                </c:pt>
                <c:pt idx="198">
                  <c:v>1.0928316601321875E-4</c:v>
                </c:pt>
                <c:pt idx="199">
                  <c:v>1.0926007096845325E-4</c:v>
                </c:pt>
                <c:pt idx="200">
                  <c:v>1.0932620075521093E-4</c:v>
                </c:pt>
                <c:pt idx="201">
                  <c:v>0</c:v>
                </c:pt>
                <c:pt idx="202">
                  <c:v>1.0924734323314311E-4</c:v>
                </c:pt>
                <c:pt idx="203">
                  <c:v>0</c:v>
                </c:pt>
                <c:pt idx="204">
                  <c:v>0</c:v>
                </c:pt>
                <c:pt idx="205">
                  <c:v>2.1835932027425287E-4</c:v>
                </c:pt>
                <c:pt idx="206">
                  <c:v>0</c:v>
                </c:pt>
                <c:pt idx="207">
                  <c:v>-1.0928959433864627E-4</c:v>
                </c:pt>
                <c:pt idx="208">
                  <c:v>2.1869226906212624E-4</c:v>
                </c:pt>
                <c:pt idx="209">
                  <c:v>1.090212783876332E-4</c:v>
                </c:pt>
                <c:pt idx="210">
                  <c:v>1.0917656927267316E-4</c:v>
                </c:pt>
                <c:pt idx="211">
                  <c:v>-1.0798340839945908E-5</c:v>
                </c:pt>
                <c:pt idx="212">
                  <c:v>1.0933298864457264E-4</c:v>
                </c:pt>
                <c:pt idx="213">
                  <c:v>-1.0932103624883283E-4</c:v>
                </c:pt>
                <c:pt idx="214">
                  <c:v>1.0933298864457264E-4</c:v>
                </c:pt>
                <c:pt idx="215">
                  <c:v>2.1865321519842773E-4</c:v>
                </c:pt>
                <c:pt idx="216">
                  <c:v>0</c:v>
                </c:pt>
                <c:pt idx="217">
                  <c:v>0</c:v>
                </c:pt>
                <c:pt idx="218">
                  <c:v>1.0913003410606414E-4</c:v>
                </c:pt>
                <c:pt idx="219">
                  <c:v>0</c:v>
                </c:pt>
                <c:pt idx="220">
                  <c:v>1.0937432417290616E-4</c:v>
                </c:pt>
                <c:pt idx="221">
                  <c:v>-1.0936236273839661E-4</c:v>
                </c:pt>
                <c:pt idx="222">
                  <c:v>2.1832536447607964E-4</c:v>
                </c:pt>
                <c:pt idx="223">
                  <c:v>-1.0892725871969322E-4</c:v>
                </c:pt>
                <c:pt idx="224">
                  <c:v>1.0893912515985704E-4</c:v>
                </c:pt>
                <c:pt idx="225">
                  <c:v>0</c:v>
                </c:pt>
                <c:pt idx="226">
                  <c:v>1.0960659240555337E-4</c:v>
                </c:pt>
                <c:pt idx="227">
                  <c:v>0</c:v>
                </c:pt>
                <c:pt idx="228">
                  <c:v>1.092493828012131E-4</c:v>
                </c:pt>
                <c:pt idx="229">
                  <c:v>2.1848603153529211E-4</c:v>
                </c:pt>
                <c:pt idx="230">
                  <c:v>0</c:v>
                </c:pt>
                <c:pt idx="231">
                  <c:v>7.6441718699804539E-5</c:v>
                </c:pt>
                <c:pt idx="232">
                  <c:v>-1.0904940662748164E-4</c:v>
                </c:pt>
                <c:pt idx="233">
                  <c:v>1.0906129969745493E-4</c:v>
                </c:pt>
                <c:pt idx="234">
                  <c:v>2.1884458341348001E-4</c:v>
                </c:pt>
                <c:pt idx="235">
                  <c:v>0</c:v>
                </c:pt>
                <c:pt idx="236">
                  <c:v>1.094373000889437E-4</c:v>
                </c:pt>
                <c:pt idx="237">
                  <c:v>0</c:v>
                </c:pt>
                <c:pt idx="238">
                  <c:v>0</c:v>
                </c:pt>
                <c:pt idx="239">
                  <c:v>2.1826090578191959E-4</c:v>
                </c:pt>
                <c:pt idx="240">
                  <c:v>-2.1821327835425119E-4</c:v>
                </c:pt>
                <c:pt idx="241">
                  <c:v>2.1826090578191959E-4</c:v>
                </c:pt>
                <c:pt idx="242">
                  <c:v>-1.0881183153621521E-4</c:v>
                </c:pt>
                <c:pt idx="243">
                  <c:v>2.1832603334304146E-4</c:v>
                </c:pt>
                <c:pt idx="244">
                  <c:v>1.0922261573553804E-4</c:v>
                </c:pt>
                <c:pt idx="245">
                  <c:v>5.4733251144023498E-5</c:v>
                </c:pt>
                <c:pt idx="246">
                  <c:v>0</c:v>
                </c:pt>
                <c:pt idx="247">
                  <c:v>1.0946051115867661E-4</c:v>
                </c:pt>
                <c:pt idx="248">
                  <c:v>1.0935956640323319E-4</c:v>
                </c:pt>
                <c:pt idx="249">
                  <c:v>-1.0934760819614198E-4</c:v>
                </c:pt>
                <c:pt idx="250">
                  <c:v>1.0935956640323319E-4</c:v>
                </c:pt>
                <c:pt idx="251">
                  <c:v>0</c:v>
                </c:pt>
                <c:pt idx="252">
                  <c:v>3.2822073405891494E-4</c:v>
                </c:pt>
                <c:pt idx="253">
                  <c:v>0</c:v>
                </c:pt>
                <c:pt idx="254">
                  <c:v>-1.095673907702821E-4</c:v>
                </c:pt>
                <c:pt idx="255">
                  <c:v>0</c:v>
                </c:pt>
                <c:pt idx="256">
                  <c:v>2.1899204052489019E-4</c:v>
                </c:pt>
                <c:pt idx="257">
                  <c:v>1.092219710103759E-4</c:v>
                </c:pt>
                <c:pt idx="258">
                  <c:v>0</c:v>
                </c:pt>
                <c:pt idx="259">
                  <c:v>0</c:v>
                </c:pt>
                <c:pt idx="260">
                  <c:v>0</c:v>
                </c:pt>
                <c:pt idx="261">
                  <c:v>1.0928783572050627E-4</c:v>
                </c:pt>
                <c:pt idx="262">
                  <c:v>2.1872957917845604E-4</c:v>
                </c:pt>
                <c:pt idx="263">
                  <c:v>-1.0950751779603696E-4</c:v>
                </c:pt>
                <c:pt idx="264">
                  <c:v>1.0951951100590662E-4</c:v>
                </c:pt>
                <c:pt idx="265">
                  <c:v>0</c:v>
                </c:pt>
                <c:pt idx="266">
                  <c:v>1.0908535226139549E-4</c:v>
                </c:pt>
                <c:pt idx="267">
                  <c:v>0</c:v>
                </c:pt>
                <c:pt idx="268">
                  <c:v>1.0932894731929821E-4</c:v>
                </c:pt>
                <c:pt idx="269">
                  <c:v>0</c:v>
                </c:pt>
                <c:pt idx="270">
                  <c:v>1.0922813826130806E-4</c:v>
                </c:pt>
                <c:pt idx="271">
                  <c:v>0</c:v>
                </c:pt>
                <c:pt idx="272">
                  <c:v>0</c:v>
                </c:pt>
                <c:pt idx="273">
                  <c:v>8.7703925230941948E-5</c:v>
                </c:pt>
                <c:pt idx="274">
                  <c:v>0</c:v>
                </c:pt>
                <c:pt idx="275">
                  <c:v>2.1857983694895111E-4</c:v>
                </c:pt>
                <c:pt idx="276">
                  <c:v>1.0944922768252319E-4</c:v>
                </c:pt>
                <c:pt idx="277">
                  <c:v>0</c:v>
                </c:pt>
                <c:pt idx="278">
                  <c:v>-1.0943724986001158E-4</c:v>
                </c:pt>
                <c:pt idx="279">
                  <c:v>1.0944922768252319E-4</c:v>
                </c:pt>
                <c:pt idx="280">
                  <c:v>1.0933733758045072E-4</c:v>
                </c:pt>
                <c:pt idx="281">
                  <c:v>1.0924768317943645E-4</c:v>
                </c:pt>
                <c:pt idx="282">
                  <c:v>0</c:v>
                </c:pt>
                <c:pt idx="283">
                  <c:v>1.0914695792152429E-4</c:v>
                </c:pt>
                <c:pt idx="284">
                  <c:v>0</c:v>
                </c:pt>
                <c:pt idx="285">
                  <c:v>0</c:v>
                </c:pt>
                <c:pt idx="286">
                  <c:v>2.1870290367465017E-4</c:v>
                </c:pt>
                <c:pt idx="287">
                  <c:v>-1.092776127350481E-4</c:v>
                </c:pt>
                <c:pt idx="288">
                  <c:v>0</c:v>
                </c:pt>
                <c:pt idx="289">
                  <c:v>2.1841266358024747E-4</c:v>
                </c:pt>
                <c:pt idx="290">
                  <c:v>2.1863122806120572E-4</c:v>
                </c:pt>
                <c:pt idx="291">
                  <c:v>-1.0924180695603969E-4</c:v>
                </c:pt>
                <c:pt idx="292">
                  <c:v>2.953589334295792E-4</c:v>
                </c:pt>
                <c:pt idx="293">
                  <c:v>2.1863148820422396E-4</c:v>
                </c:pt>
                <c:pt idx="294">
                  <c:v>4.370676132543494E-4</c:v>
                </c:pt>
                <c:pt idx="295">
                  <c:v>2.1864335747534547E-4</c:v>
                </c:pt>
                <c:pt idx="296">
                  <c:v>0</c:v>
                </c:pt>
                <c:pt idx="297">
                  <c:v>4.3670360993353086E-4</c:v>
                </c:pt>
                <c:pt idx="298">
                  <c:v>-2.1816789097350853E-4</c:v>
                </c:pt>
                <c:pt idx="299">
                  <c:v>2.1821549858858091E-4</c:v>
                </c:pt>
                <c:pt idx="300">
                  <c:v>1.0916700854513017E-4</c:v>
                </c:pt>
                <c:pt idx="301">
                  <c:v>2.1865347465110929E-4</c:v>
                </c:pt>
                <c:pt idx="302">
                  <c:v>1.0887658725899918E-4</c:v>
                </c:pt>
                <c:pt idx="303">
                  <c:v>0</c:v>
                </c:pt>
                <c:pt idx="304">
                  <c:v>2.1849331539636196E-4</c:v>
                </c:pt>
                <c:pt idx="305">
                  <c:v>-2.1844558649597445E-4</c:v>
                </c:pt>
                <c:pt idx="306">
                  <c:v>3.2744661174999301E-4</c:v>
                </c:pt>
                <c:pt idx="307">
                  <c:v>-2.1816726175927226E-4</c:v>
                </c:pt>
                <c:pt idx="308">
                  <c:v>0</c:v>
                </c:pt>
                <c:pt idx="309">
                  <c:v>0</c:v>
                </c:pt>
                <c:pt idx="310">
                  <c:v>0</c:v>
                </c:pt>
                <c:pt idx="311">
                  <c:v>-2.1804883364062722E-4</c:v>
                </c:pt>
                <c:pt idx="312">
                  <c:v>0</c:v>
                </c:pt>
                <c:pt idx="313">
                  <c:v>1.0887658725899918E-4</c:v>
                </c:pt>
                <c:pt idx="314">
                  <c:v>-8.7244556854604305E-5</c:v>
                </c:pt>
                <c:pt idx="315">
                  <c:v>1.0921744048730808E-4</c:v>
                </c:pt>
                <c:pt idx="316">
                  <c:v>-3.2761654002244622E-4</c:v>
                </c:pt>
                <c:pt idx="317">
                  <c:v>1.0924130259848397E-4</c:v>
                </c:pt>
                <c:pt idx="318">
                  <c:v>-2.1845874047932146E-4</c:v>
                </c:pt>
                <c:pt idx="319">
                  <c:v>1.0925323756416638E-4</c:v>
                </c:pt>
                <c:pt idx="320">
                  <c:v>-2.185601205659804E-4</c:v>
                </c:pt>
                <c:pt idx="321">
                  <c:v>2.1860789953476178E-4</c:v>
                </c:pt>
                <c:pt idx="322">
                  <c:v>1.0924130259848397E-4</c:v>
                </c:pt>
                <c:pt idx="323">
                  <c:v>-1.0922937023971624E-4</c:v>
                </c:pt>
                <c:pt idx="324">
                  <c:v>-1.0924130259826192E-4</c:v>
                </c:pt>
                <c:pt idx="325">
                  <c:v>2.1850647512877686E-4</c:v>
                </c:pt>
                <c:pt idx="326">
                  <c:v>-1.0922937023971624E-4</c:v>
                </c:pt>
                <c:pt idx="327">
                  <c:v>0</c:v>
                </c:pt>
                <c:pt idx="328">
                  <c:v>0</c:v>
                </c:pt>
                <c:pt idx="329">
                  <c:v>1.0924130259848397E-4</c:v>
                </c:pt>
                <c:pt idx="330">
                  <c:v>-1.0922937023971624E-4</c:v>
                </c:pt>
                <c:pt idx="331">
                  <c:v>0</c:v>
                </c:pt>
                <c:pt idx="332">
                  <c:v>0</c:v>
                </c:pt>
                <c:pt idx="333">
                  <c:v>-1.0924130259826192E-4</c:v>
                </c:pt>
                <c:pt idx="334">
                  <c:v>2.1850647512877686E-4</c:v>
                </c:pt>
                <c:pt idx="335">
                  <c:v>-1.7486664411514585E-4</c:v>
                </c:pt>
                <c:pt idx="336">
                  <c:v>0</c:v>
                </c:pt>
                <c:pt idx="337">
                  <c:v>0</c:v>
                </c:pt>
                <c:pt idx="338">
                  <c:v>1.0933706896287809E-4</c:v>
                </c:pt>
                <c:pt idx="339">
                  <c:v>-1.0932511567529613E-4</c:v>
                </c:pt>
                <c:pt idx="340">
                  <c:v>0</c:v>
                </c:pt>
                <c:pt idx="341">
                  <c:v>1.0933706896287809E-4</c:v>
                </c:pt>
                <c:pt idx="342">
                  <c:v>0</c:v>
                </c:pt>
                <c:pt idx="343">
                  <c:v>0</c:v>
                </c:pt>
                <c:pt idx="344">
                  <c:v>1.0922545741132161E-4</c:v>
                </c:pt>
                <c:pt idx="345">
                  <c:v>-2.1852670440736244E-4</c:v>
                </c:pt>
                <c:pt idx="346">
                  <c:v>0</c:v>
                </c:pt>
                <c:pt idx="347">
                  <c:v>0</c:v>
                </c:pt>
                <c:pt idx="348">
                  <c:v>0</c:v>
                </c:pt>
                <c:pt idx="349">
                  <c:v>1.0933706896287809E-4</c:v>
                </c:pt>
                <c:pt idx="350">
                  <c:v>-1.0932511567529613E-4</c:v>
                </c:pt>
                <c:pt idx="351">
                  <c:v>1.0933706896287809E-4</c:v>
                </c:pt>
                <c:pt idx="352">
                  <c:v>-1.0932511567529613E-4</c:v>
                </c:pt>
                <c:pt idx="353">
                  <c:v>0</c:v>
                </c:pt>
                <c:pt idx="354">
                  <c:v>0</c:v>
                </c:pt>
                <c:pt idx="355">
                  <c:v>1.0933706896287809E-4</c:v>
                </c:pt>
                <c:pt idx="356">
                  <c:v>0</c:v>
                </c:pt>
                <c:pt idx="357">
                  <c:v>0</c:v>
                </c:pt>
                <c:pt idx="358">
                  <c:v>0</c:v>
                </c:pt>
                <c:pt idx="359">
                  <c:v>-2.1847306110334141E-4</c:v>
                </c:pt>
                <c:pt idx="360">
                  <c:v>1.0917179652469855E-4</c:v>
                </c:pt>
                <c:pt idx="361">
                  <c:v>0</c:v>
                </c:pt>
                <c:pt idx="362">
                  <c:v>1.0933706896287809E-4</c:v>
                </c:pt>
                <c:pt idx="363">
                  <c:v>-2.1847306110334141E-4</c:v>
                </c:pt>
                <c:pt idx="364">
                  <c:v>2.1852080201179014E-4</c:v>
                </c:pt>
                <c:pt idx="365">
                  <c:v>0</c:v>
                </c:pt>
                <c:pt idx="366">
                  <c:v>0</c:v>
                </c:pt>
                <c:pt idx="367">
                  <c:v>0</c:v>
                </c:pt>
                <c:pt idx="368">
                  <c:v>-1.0932511567529613E-4</c:v>
                </c:pt>
                <c:pt idx="369">
                  <c:v>0</c:v>
                </c:pt>
                <c:pt idx="370">
                  <c:v>0</c:v>
                </c:pt>
                <c:pt idx="371">
                  <c:v>0</c:v>
                </c:pt>
                <c:pt idx="372">
                  <c:v>0</c:v>
                </c:pt>
                <c:pt idx="373">
                  <c:v>1.0933706896287809E-4</c:v>
                </c:pt>
                <c:pt idx="374">
                  <c:v>-1.0932511567529613E-4</c:v>
                </c:pt>
                <c:pt idx="375">
                  <c:v>0</c:v>
                </c:pt>
                <c:pt idx="376">
                  <c:v>0</c:v>
                </c:pt>
                <c:pt idx="377">
                  <c:v>0</c:v>
                </c:pt>
                <c:pt idx="378">
                  <c:v>1.0933706896287809E-4</c:v>
                </c:pt>
                <c:pt idx="379">
                  <c:v>-1.0932511567529613E-4</c:v>
                </c:pt>
                <c:pt idx="380">
                  <c:v>0</c:v>
                </c:pt>
                <c:pt idx="381">
                  <c:v>0</c:v>
                </c:pt>
                <c:pt idx="382">
                  <c:v>0</c:v>
                </c:pt>
                <c:pt idx="383">
                  <c:v>1.0933706896287809E-4</c:v>
                </c:pt>
                <c:pt idx="384">
                  <c:v>0</c:v>
                </c:pt>
                <c:pt idx="385">
                  <c:v>0</c:v>
                </c:pt>
                <c:pt idx="386">
                  <c:v>0</c:v>
                </c:pt>
                <c:pt idx="387">
                  <c:v>-1.0932511567529613E-4</c:v>
                </c:pt>
                <c:pt idx="388">
                  <c:v>1.0933706896287809E-4</c:v>
                </c:pt>
                <c:pt idx="389">
                  <c:v>0</c:v>
                </c:pt>
                <c:pt idx="390">
                  <c:v>0</c:v>
                </c:pt>
                <c:pt idx="391">
                  <c:v>-1.0932511567529613E-4</c:v>
                </c:pt>
                <c:pt idx="392">
                  <c:v>1.0933706896287809E-4</c:v>
                </c:pt>
                <c:pt idx="393">
                  <c:v>-1.0932511567529613E-4</c:v>
                </c:pt>
                <c:pt idx="394">
                  <c:v>0</c:v>
                </c:pt>
                <c:pt idx="395">
                  <c:v>1.0933706896287809E-4</c:v>
                </c:pt>
                <c:pt idx="396">
                  <c:v>0</c:v>
                </c:pt>
                <c:pt idx="397">
                  <c:v>-1.0932511567529613E-4</c:v>
                </c:pt>
                <c:pt idx="398">
                  <c:v>1.0933706896287809E-4</c:v>
                </c:pt>
                <c:pt idx="399">
                  <c:v>-1.0932511567529613E-4</c:v>
                </c:pt>
                <c:pt idx="400">
                  <c:v>1.0933706896287809E-4</c:v>
                </c:pt>
                <c:pt idx="401">
                  <c:v>-1.0932511567529613E-4</c:v>
                </c:pt>
                <c:pt idx="402">
                  <c:v>0</c:v>
                </c:pt>
                <c:pt idx="403">
                  <c:v>1.0933706896287809E-4</c:v>
                </c:pt>
                <c:pt idx="404">
                  <c:v>0</c:v>
                </c:pt>
                <c:pt idx="405">
                  <c:v>-1.0932511567529613E-4</c:v>
                </c:pt>
                <c:pt idx="406">
                  <c:v>0</c:v>
                </c:pt>
                <c:pt idx="407">
                  <c:v>1.0933706896287809E-4</c:v>
                </c:pt>
                <c:pt idx="408">
                  <c:v>-1.0932511567529613E-4</c:v>
                </c:pt>
                <c:pt idx="409">
                  <c:v>0</c:v>
                </c:pt>
                <c:pt idx="410">
                  <c:v>1.0933706896287809E-4</c:v>
                </c:pt>
                <c:pt idx="411">
                  <c:v>0</c:v>
                </c:pt>
                <c:pt idx="412">
                  <c:v>0</c:v>
                </c:pt>
                <c:pt idx="413">
                  <c:v>0</c:v>
                </c:pt>
                <c:pt idx="414">
                  <c:v>0</c:v>
                </c:pt>
                <c:pt idx="415">
                  <c:v>-1.0932511567529613E-4</c:v>
                </c:pt>
                <c:pt idx="416">
                  <c:v>0</c:v>
                </c:pt>
                <c:pt idx="417">
                  <c:v>0</c:v>
                </c:pt>
                <c:pt idx="418">
                  <c:v>1.0933706896287809E-4</c:v>
                </c:pt>
                <c:pt idx="419">
                  <c:v>0</c:v>
                </c:pt>
                <c:pt idx="420">
                  <c:v>0</c:v>
                </c:pt>
                <c:pt idx="421">
                  <c:v>0</c:v>
                </c:pt>
                <c:pt idx="422">
                  <c:v>-1.0932511567529613E-4</c:v>
                </c:pt>
                <c:pt idx="423">
                  <c:v>1.0933706896287809E-4</c:v>
                </c:pt>
                <c:pt idx="424">
                  <c:v>0</c:v>
                </c:pt>
                <c:pt idx="425">
                  <c:v>-1.0932511567529613E-4</c:v>
                </c:pt>
                <c:pt idx="426">
                  <c:v>0</c:v>
                </c:pt>
                <c:pt idx="427">
                  <c:v>-1.0915987934445592E-4</c:v>
                </c:pt>
                <c:pt idx="428">
                  <c:v>2.1852080201179014E-4</c:v>
                </c:pt>
                <c:pt idx="429">
                  <c:v>-2.1847306110334141E-4</c:v>
                </c:pt>
                <c:pt idx="430">
                  <c:v>2.1852080201179014E-4</c:v>
                </c:pt>
                <c:pt idx="431">
                  <c:v>0</c:v>
                </c:pt>
                <c:pt idx="432">
                  <c:v>-2.1847306110334141E-4</c:v>
                </c:pt>
                <c:pt idx="433">
                  <c:v>0</c:v>
                </c:pt>
                <c:pt idx="434">
                  <c:v>0</c:v>
                </c:pt>
                <c:pt idx="435">
                  <c:v>0</c:v>
                </c:pt>
                <c:pt idx="436">
                  <c:v>1.0917179652469855E-4</c:v>
                </c:pt>
                <c:pt idx="437">
                  <c:v>-1.0915987934445592E-4</c:v>
                </c:pt>
                <c:pt idx="438">
                  <c:v>1.0917179652469855E-4</c:v>
                </c:pt>
                <c:pt idx="439">
                  <c:v>0</c:v>
                </c:pt>
                <c:pt idx="440">
                  <c:v>-1.0915987934445592E-4</c:v>
                </c:pt>
                <c:pt idx="441">
                  <c:v>0</c:v>
                </c:pt>
                <c:pt idx="442">
                  <c:v>0</c:v>
                </c:pt>
                <c:pt idx="443">
                  <c:v>0</c:v>
                </c:pt>
                <c:pt idx="444">
                  <c:v>1.0917179652469855E-4</c:v>
                </c:pt>
                <c:pt idx="445">
                  <c:v>-1.0915987934445592E-4</c:v>
                </c:pt>
                <c:pt idx="446">
                  <c:v>0</c:v>
                </c:pt>
                <c:pt idx="447">
                  <c:v>0</c:v>
                </c:pt>
                <c:pt idx="448">
                  <c:v>1.0917179652469855E-4</c:v>
                </c:pt>
                <c:pt idx="449">
                  <c:v>-1.0915987934445592E-4</c:v>
                </c:pt>
                <c:pt idx="450">
                  <c:v>0</c:v>
                </c:pt>
                <c:pt idx="451">
                  <c:v>0</c:v>
                </c:pt>
                <c:pt idx="452">
                  <c:v>1.0917179652469855E-4</c:v>
                </c:pt>
                <c:pt idx="453">
                  <c:v>0</c:v>
                </c:pt>
                <c:pt idx="454">
                  <c:v>-1.0915987934445592E-4</c:v>
                </c:pt>
                <c:pt idx="455">
                  <c:v>0</c:v>
                </c:pt>
                <c:pt idx="456">
                  <c:v>1.0917179652469855E-4</c:v>
                </c:pt>
                <c:pt idx="457">
                  <c:v>0</c:v>
                </c:pt>
                <c:pt idx="458">
                  <c:v>0</c:v>
                </c:pt>
                <c:pt idx="459">
                  <c:v>-1.0915987934445592E-4</c:v>
                </c:pt>
                <c:pt idx="460">
                  <c:v>0</c:v>
                </c:pt>
                <c:pt idx="461">
                  <c:v>1.0917179652469855E-4</c:v>
                </c:pt>
                <c:pt idx="462">
                  <c:v>0</c:v>
                </c:pt>
                <c:pt idx="463">
                  <c:v>0</c:v>
                </c:pt>
                <c:pt idx="464">
                  <c:v>0</c:v>
                </c:pt>
                <c:pt idx="465">
                  <c:v>-1.0915987934445592E-4</c:v>
                </c:pt>
                <c:pt idx="466">
                  <c:v>1.0917179652469855E-4</c:v>
                </c:pt>
                <c:pt idx="467">
                  <c:v>-1.0915987934445592E-4</c:v>
                </c:pt>
                <c:pt idx="468">
                  <c:v>1.0917179652469855E-4</c:v>
                </c:pt>
                <c:pt idx="469">
                  <c:v>-1.0915987934445592E-4</c:v>
                </c:pt>
                <c:pt idx="470">
                  <c:v>0</c:v>
                </c:pt>
                <c:pt idx="471">
                  <c:v>0</c:v>
                </c:pt>
                <c:pt idx="472">
                  <c:v>1.0917179652469855E-4</c:v>
                </c:pt>
                <c:pt idx="473">
                  <c:v>0</c:v>
                </c:pt>
                <c:pt idx="474">
                  <c:v>0</c:v>
                </c:pt>
                <c:pt idx="475">
                  <c:v>0</c:v>
                </c:pt>
                <c:pt idx="476">
                  <c:v>0</c:v>
                </c:pt>
                <c:pt idx="477">
                  <c:v>0</c:v>
                </c:pt>
                <c:pt idx="478">
                  <c:v>0</c:v>
                </c:pt>
                <c:pt idx="479">
                  <c:v>0</c:v>
                </c:pt>
                <c:pt idx="480">
                  <c:v>-1.0915987934445592E-4</c:v>
                </c:pt>
                <c:pt idx="481">
                  <c:v>1.0917179652469855E-4</c:v>
                </c:pt>
                <c:pt idx="482">
                  <c:v>-1.0915987934445592E-4</c:v>
                </c:pt>
                <c:pt idx="483">
                  <c:v>-7.6476742924103114E-5</c:v>
                </c:pt>
                <c:pt idx="484">
                  <c:v>1.0926875752459431E-4</c:v>
                </c:pt>
                <c:pt idx="485">
                  <c:v>0</c:v>
                </c:pt>
                <c:pt idx="486">
                  <c:v>1.0925681916762464E-4</c:v>
                </c:pt>
                <c:pt idx="487">
                  <c:v>-2.1848976683846999E-4</c:v>
                </c:pt>
                <c:pt idx="488">
                  <c:v>0</c:v>
                </c:pt>
                <c:pt idx="489">
                  <c:v>0</c:v>
                </c:pt>
                <c:pt idx="490">
                  <c:v>0</c:v>
                </c:pt>
                <c:pt idx="491">
                  <c:v>1.0926875752459431E-4</c:v>
                </c:pt>
                <c:pt idx="492">
                  <c:v>-1.0925681916784669E-4</c:v>
                </c:pt>
                <c:pt idx="493">
                  <c:v>0</c:v>
                </c:pt>
                <c:pt idx="494">
                  <c:v>1.0926875752459431E-4</c:v>
                </c:pt>
                <c:pt idx="495">
                  <c:v>0</c:v>
                </c:pt>
                <c:pt idx="496">
                  <c:v>0</c:v>
                </c:pt>
                <c:pt idx="497">
                  <c:v>0</c:v>
                </c:pt>
                <c:pt idx="498">
                  <c:v>0</c:v>
                </c:pt>
                <c:pt idx="499">
                  <c:v>-1.0925681916784669E-4</c:v>
                </c:pt>
                <c:pt idx="500">
                  <c:v>1.0926875752459431E-4</c:v>
                </c:pt>
                <c:pt idx="501">
                  <c:v>0</c:v>
                </c:pt>
                <c:pt idx="502">
                  <c:v>0</c:v>
                </c:pt>
                <c:pt idx="503">
                  <c:v>-1.0925681916784669E-4</c:v>
                </c:pt>
                <c:pt idx="504">
                  <c:v>1.0926875752459431E-4</c:v>
                </c:pt>
              </c:numCache>
            </c:numRef>
          </c:val>
          <c:smooth val="0"/>
          <c:extLst>
            <c:ext xmlns:c16="http://schemas.microsoft.com/office/drawing/2014/chart" uri="{C3380CC4-5D6E-409C-BE32-E72D297353CC}">
              <c16:uniqueId val="{00000001-357C-4319-A85C-4DCA3A1F632A}"/>
            </c:ext>
          </c:extLst>
        </c:ser>
        <c:dLbls>
          <c:showLegendKey val="0"/>
          <c:showVal val="0"/>
          <c:showCatName val="0"/>
          <c:showSerName val="0"/>
          <c:showPercent val="0"/>
          <c:showBubbleSize val="0"/>
        </c:dLbls>
        <c:marker val="1"/>
        <c:smooth val="0"/>
        <c:axId val="1600867599"/>
        <c:axId val="1589868399"/>
      </c:lineChart>
      <c:catAx>
        <c:axId val="2040515792"/>
        <c:scaling>
          <c:orientation val="minMax"/>
        </c:scaling>
        <c:delete val="0"/>
        <c:axPos val="b"/>
        <c:numFmt formatCode="dd/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0"/>
        <c:lblAlgn val="ctr"/>
        <c:lblOffset val="100"/>
        <c:noMultiLvlLbl val="0"/>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589868399"/>
        <c:scaling>
          <c:orientation val="minMax"/>
          <c:max val="1.0000000000000002E-3"/>
          <c:min val="-1.0000000000000002E-3"/>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00867599"/>
        <c:crosses val="max"/>
        <c:crossBetween val="between"/>
      </c:valAx>
      <c:dateAx>
        <c:axId val="1600867599"/>
        <c:scaling>
          <c:orientation val="minMax"/>
        </c:scaling>
        <c:delete val="1"/>
        <c:axPos val="b"/>
        <c:numFmt formatCode="dd/mm/yy;@" sourceLinked="1"/>
        <c:majorTickMark val="out"/>
        <c:minorTickMark val="none"/>
        <c:tickLblPos val="nextTo"/>
        <c:crossAx val="1589868399"/>
        <c:crosses val="autoZero"/>
        <c:auto val="1"/>
        <c:lblOffset val="100"/>
        <c:baseTimeUnit val="day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Eigenvalues</a:t>
            </a:r>
            <a:r>
              <a:rPr lang="en-US" baseline="0"/>
              <a:t> are the roots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28575" cap="rnd">
              <a:solidFill>
                <a:schemeClr val="accent1"/>
              </a:solidFill>
              <a:round/>
            </a:ln>
            <a:effectLst/>
          </c:spPr>
          <c:marker>
            <c:symbol val="none"/>
          </c:marker>
          <c:cat>
            <c:numRef>
              <c:f>EIGENVALUES!$O$9:$O$3011</c:f>
              <c:numCache>
                <c:formatCode>General</c:formatCode>
                <c:ptCount val="3003"/>
              </c:numCache>
            </c:numRef>
          </c:cat>
          <c:val>
            <c:numRef>
              <c:f>EIGENVALUES!$P$9:$P$3011</c:f>
              <c:numCache>
                <c:formatCode>General</c:formatCode>
                <c:ptCount val="3003"/>
              </c:numCache>
            </c:numRef>
          </c:val>
          <c:smooth val="0"/>
          <c:extLst>
            <c:ext xmlns:c16="http://schemas.microsoft.com/office/drawing/2014/chart" uri="{C3380CC4-5D6E-409C-BE32-E72D297353CC}">
              <c16:uniqueId val="{00000000-C125-47CC-A264-9EB83AA2066E}"/>
            </c:ext>
          </c:extLst>
        </c:ser>
        <c:dLbls>
          <c:showLegendKey val="0"/>
          <c:showVal val="0"/>
          <c:showCatName val="0"/>
          <c:showSerName val="0"/>
          <c:showPercent val="0"/>
          <c:showBubbleSize val="0"/>
        </c:dLbls>
        <c:smooth val="0"/>
        <c:axId val="1954061487"/>
        <c:axId val="1954062319"/>
      </c:lineChart>
      <c:catAx>
        <c:axId val="19540614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crossAx val="1954062319"/>
        <c:crosses val="autoZero"/>
        <c:auto val="1"/>
        <c:lblAlgn val="ctr"/>
        <c:lblOffset val="100"/>
        <c:tickLblSkip val="100"/>
        <c:tickMarkSkip val="1"/>
        <c:noMultiLvlLbl val="0"/>
      </c:catAx>
      <c:valAx>
        <c:axId val="1954062319"/>
        <c:scaling>
          <c:orientation val="minMax"/>
          <c:max val="1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pt-BR"/>
          </a:p>
        </c:txPr>
        <c:crossAx val="1954061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0.xml"/></Relationships>
</file>

<file path=xl/drawings/drawing1.xml><?xml version="1.0" encoding="utf-8"?>
<xdr:wsDr xmlns:xdr="http://schemas.openxmlformats.org/drawingml/2006/spreadsheetDrawing" xmlns:a="http://schemas.openxmlformats.org/drawingml/2006/main">
  <xdr:twoCellAnchor>
    <xdr:from>
      <xdr:col>24</xdr:col>
      <xdr:colOff>28575</xdr:colOff>
      <xdr:row>10</xdr:row>
      <xdr:rowOff>114300</xdr:rowOff>
    </xdr:from>
    <xdr:to>
      <xdr:col>29</xdr:col>
      <xdr:colOff>295275</xdr:colOff>
      <xdr:row>20</xdr:row>
      <xdr:rowOff>57150</xdr:rowOff>
    </xdr:to>
    <xdr:graphicFrame macro="">
      <xdr:nvGraphicFramePr>
        <xdr:cNvPr id="2" name="Gráfico 1">
          <a:extLst>
            <a:ext uri="{FF2B5EF4-FFF2-40B4-BE49-F238E27FC236}">
              <a16:creationId xmlns:a16="http://schemas.microsoft.com/office/drawing/2014/main" id="{EE73AF66-4E40-4439-A56C-FE949935AE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28575</xdr:colOff>
      <xdr:row>20</xdr:row>
      <xdr:rowOff>171449</xdr:rowOff>
    </xdr:from>
    <xdr:to>
      <xdr:col>29</xdr:col>
      <xdr:colOff>295275</xdr:colOff>
      <xdr:row>29</xdr:row>
      <xdr:rowOff>38099</xdr:rowOff>
    </xdr:to>
    <xdr:graphicFrame macro="">
      <xdr:nvGraphicFramePr>
        <xdr:cNvPr id="3" name="Gráfico 2">
          <a:extLst>
            <a:ext uri="{FF2B5EF4-FFF2-40B4-BE49-F238E27FC236}">
              <a16:creationId xmlns:a16="http://schemas.microsoft.com/office/drawing/2014/main" id="{2D24D7EE-FBD9-4753-A471-FA4E578337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18</xdr:col>
      <xdr:colOff>152399</xdr:colOff>
      <xdr:row>4</xdr:row>
      <xdr:rowOff>142876</xdr:rowOff>
    </xdr:from>
    <xdr:to>
      <xdr:col>26</xdr:col>
      <xdr:colOff>19050</xdr:colOff>
      <xdr:row>11</xdr:row>
      <xdr:rowOff>180976</xdr:rowOff>
    </xdr:to>
    <xdr:graphicFrame macro="">
      <xdr:nvGraphicFramePr>
        <xdr:cNvPr id="4" name="Chart 3">
          <a:extLst>
            <a:ext uri="{FF2B5EF4-FFF2-40B4-BE49-F238E27FC236}">
              <a16:creationId xmlns:a16="http://schemas.microsoft.com/office/drawing/2014/main" id="{BDC7EB88-9778-470E-BCE9-B8EE9E975B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20</xdr:col>
      <xdr:colOff>457200</xdr:colOff>
      <xdr:row>18</xdr:row>
      <xdr:rowOff>200025</xdr:rowOff>
    </xdr:from>
    <xdr:to>
      <xdr:col>25</xdr:col>
      <xdr:colOff>19050</xdr:colOff>
      <xdr:row>28</xdr:row>
      <xdr:rowOff>66675</xdr:rowOff>
    </xdr:to>
    <xdr:graphicFrame macro="">
      <xdr:nvGraphicFramePr>
        <xdr:cNvPr id="2" name="Gráfico 1">
          <a:extLst>
            <a:ext uri="{FF2B5EF4-FFF2-40B4-BE49-F238E27FC236}">
              <a16:creationId xmlns:a16="http://schemas.microsoft.com/office/drawing/2014/main" id="{C1D0859E-2EF1-4A65-8B47-D1CB48AE20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133350</xdr:colOff>
      <xdr:row>18</xdr:row>
      <xdr:rowOff>180974</xdr:rowOff>
    </xdr:from>
    <xdr:to>
      <xdr:col>31</xdr:col>
      <xdr:colOff>161925</xdr:colOff>
      <xdr:row>27</xdr:row>
      <xdr:rowOff>47624</xdr:rowOff>
    </xdr:to>
    <xdr:graphicFrame macro="">
      <xdr:nvGraphicFramePr>
        <xdr:cNvPr id="3" name="Gráfico 2">
          <a:extLst>
            <a:ext uri="{FF2B5EF4-FFF2-40B4-BE49-F238E27FC236}">
              <a16:creationId xmlns:a16="http://schemas.microsoft.com/office/drawing/2014/main" id="{0DC2C4A2-00CE-4CC6-8E08-95C698058A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20</xdr:col>
      <xdr:colOff>152400</xdr:colOff>
      <xdr:row>20</xdr:row>
      <xdr:rowOff>200026</xdr:rowOff>
    </xdr:from>
    <xdr:to>
      <xdr:col>26</xdr:col>
      <xdr:colOff>28575</xdr:colOff>
      <xdr:row>29</xdr:row>
      <xdr:rowOff>57151</xdr:rowOff>
    </xdr:to>
    <xdr:graphicFrame macro="">
      <xdr:nvGraphicFramePr>
        <xdr:cNvPr id="2" name="Gráfico 1">
          <a:extLst>
            <a:ext uri="{FF2B5EF4-FFF2-40B4-BE49-F238E27FC236}">
              <a16:creationId xmlns:a16="http://schemas.microsoft.com/office/drawing/2014/main" id="{164E9EBD-238E-47FC-BFC3-B912115557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133350</xdr:colOff>
      <xdr:row>20</xdr:row>
      <xdr:rowOff>180974</xdr:rowOff>
    </xdr:from>
    <xdr:to>
      <xdr:col>32</xdr:col>
      <xdr:colOff>161925</xdr:colOff>
      <xdr:row>29</xdr:row>
      <xdr:rowOff>47624</xdr:rowOff>
    </xdr:to>
    <xdr:graphicFrame macro="">
      <xdr:nvGraphicFramePr>
        <xdr:cNvPr id="3" name="Gráfico 2">
          <a:extLst>
            <a:ext uri="{FF2B5EF4-FFF2-40B4-BE49-F238E27FC236}">
              <a16:creationId xmlns:a16="http://schemas.microsoft.com/office/drawing/2014/main" id="{199B36DB-E4D1-4011-BF67-877AA093AA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152400</xdr:colOff>
      <xdr:row>29</xdr:row>
      <xdr:rowOff>161927</xdr:rowOff>
    </xdr:from>
    <xdr:to>
      <xdr:col>26</xdr:col>
      <xdr:colOff>28575</xdr:colOff>
      <xdr:row>38</xdr:row>
      <xdr:rowOff>19052</xdr:rowOff>
    </xdr:to>
    <xdr:graphicFrame macro="">
      <xdr:nvGraphicFramePr>
        <xdr:cNvPr id="6" name="Gráfico 1">
          <a:extLst>
            <a:ext uri="{FF2B5EF4-FFF2-40B4-BE49-F238E27FC236}">
              <a16:creationId xmlns:a16="http://schemas.microsoft.com/office/drawing/2014/main" id="{167DE328-71E8-46C0-908A-A0E6632074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133350</xdr:colOff>
      <xdr:row>29</xdr:row>
      <xdr:rowOff>142875</xdr:rowOff>
    </xdr:from>
    <xdr:to>
      <xdr:col>32</xdr:col>
      <xdr:colOff>161925</xdr:colOff>
      <xdr:row>38</xdr:row>
      <xdr:rowOff>9525</xdr:rowOff>
    </xdr:to>
    <xdr:graphicFrame macro="">
      <xdr:nvGraphicFramePr>
        <xdr:cNvPr id="7" name="Gráfico 2">
          <a:extLst>
            <a:ext uri="{FF2B5EF4-FFF2-40B4-BE49-F238E27FC236}">
              <a16:creationId xmlns:a16="http://schemas.microsoft.com/office/drawing/2014/main" id="{3A3C3D4A-E80F-4DF6-A867-80FBE388D1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12</xdr:col>
      <xdr:colOff>409575</xdr:colOff>
      <xdr:row>16</xdr:row>
      <xdr:rowOff>190500</xdr:rowOff>
    </xdr:from>
    <xdr:to>
      <xdr:col>23</xdr:col>
      <xdr:colOff>19050</xdr:colOff>
      <xdr:row>27</xdr:row>
      <xdr:rowOff>204787</xdr:rowOff>
    </xdr:to>
    <xdr:graphicFrame macro="">
      <xdr:nvGraphicFramePr>
        <xdr:cNvPr id="3" name="Gráfico 2">
          <a:extLst>
            <a:ext uri="{FF2B5EF4-FFF2-40B4-BE49-F238E27FC236}">
              <a16:creationId xmlns:a16="http://schemas.microsoft.com/office/drawing/2014/main" id="{72699B8C-4EFD-441C-8AFB-4D70F6DDF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647700</xdr:colOff>
      <xdr:row>18</xdr:row>
      <xdr:rowOff>144780</xdr:rowOff>
    </xdr:from>
    <xdr:to>
      <xdr:col>9</xdr:col>
      <xdr:colOff>250426</xdr:colOff>
      <xdr:row>34</xdr:row>
      <xdr:rowOff>187341</xdr:rowOff>
    </xdr:to>
    <xdr:pic>
      <xdr:nvPicPr>
        <xdr:cNvPr id="3" name="Imagem 2">
          <a:extLst>
            <a:ext uri="{FF2B5EF4-FFF2-40B4-BE49-F238E27FC236}">
              <a16:creationId xmlns:a16="http://schemas.microsoft.com/office/drawing/2014/main" id="{F53F2AF0-B454-4A19-A077-F6564F54026E}"/>
            </a:ext>
          </a:extLst>
        </xdr:cNvPr>
        <xdr:cNvPicPr>
          <a:picLocks noChangeAspect="1"/>
        </xdr:cNvPicPr>
      </xdr:nvPicPr>
      <xdr:blipFill>
        <a:blip xmlns:r="http://schemas.openxmlformats.org/officeDocument/2006/relationships" r:embed="rId1"/>
        <a:stretch>
          <a:fillRect/>
        </a:stretch>
      </xdr:blipFill>
      <xdr:spPr>
        <a:xfrm>
          <a:off x="647700" y="4564380"/>
          <a:ext cx="5576806" cy="370778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22</xdr:col>
      <xdr:colOff>561975</xdr:colOff>
      <xdr:row>5</xdr:row>
      <xdr:rowOff>180975</xdr:rowOff>
    </xdr:from>
    <xdr:to>
      <xdr:col>28</xdr:col>
      <xdr:colOff>352425</xdr:colOff>
      <xdr:row>18</xdr:row>
      <xdr:rowOff>66672</xdr:rowOff>
    </xdr:to>
    <xdr:graphicFrame macro="">
      <xdr:nvGraphicFramePr>
        <xdr:cNvPr id="2" name="Gráfico 1">
          <a:extLst>
            <a:ext uri="{FF2B5EF4-FFF2-40B4-BE49-F238E27FC236}">
              <a16:creationId xmlns:a16="http://schemas.microsoft.com/office/drawing/2014/main" id="{C9983100-FB6F-491D-AED5-10446DBDB4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23</xdr:col>
      <xdr:colOff>76200</xdr:colOff>
      <xdr:row>7</xdr:row>
      <xdr:rowOff>161924</xdr:rowOff>
    </xdr:from>
    <xdr:to>
      <xdr:col>30</xdr:col>
      <xdr:colOff>19050</xdr:colOff>
      <xdr:row>19</xdr:row>
      <xdr:rowOff>219071</xdr:rowOff>
    </xdr:to>
    <xdr:graphicFrame macro="">
      <xdr:nvGraphicFramePr>
        <xdr:cNvPr id="2" name="Gráfico 1">
          <a:extLst>
            <a:ext uri="{FF2B5EF4-FFF2-40B4-BE49-F238E27FC236}">
              <a16:creationId xmlns:a16="http://schemas.microsoft.com/office/drawing/2014/main" id="{4CDB18C6-6033-49FC-A763-A876A9468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16</xdr:col>
      <xdr:colOff>342900</xdr:colOff>
      <xdr:row>5</xdr:row>
      <xdr:rowOff>133349</xdr:rowOff>
    </xdr:from>
    <xdr:to>
      <xdr:col>22</xdr:col>
      <xdr:colOff>123825</xdr:colOff>
      <xdr:row>14</xdr:row>
      <xdr:rowOff>190500</xdr:rowOff>
    </xdr:to>
    <xdr:graphicFrame macro="">
      <xdr:nvGraphicFramePr>
        <xdr:cNvPr id="2" name="Gráfico 1">
          <a:extLst>
            <a:ext uri="{FF2B5EF4-FFF2-40B4-BE49-F238E27FC236}">
              <a16:creationId xmlns:a16="http://schemas.microsoft.com/office/drawing/2014/main" id="{A1CD280E-63C6-467A-944C-F8A758048B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361950</xdr:colOff>
      <xdr:row>5</xdr:row>
      <xdr:rowOff>133349</xdr:rowOff>
    </xdr:from>
    <xdr:to>
      <xdr:col>21</xdr:col>
      <xdr:colOff>352425</xdr:colOff>
      <xdr:row>18</xdr:row>
      <xdr:rowOff>66672</xdr:rowOff>
    </xdr:to>
    <xdr:graphicFrame macro="">
      <xdr:nvGraphicFramePr>
        <xdr:cNvPr id="2" name="Gráfico 1">
          <a:extLst>
            <a:ext uri="{FF2B5EF4-FFF2-40B4-BE49-F238E27FC236}">
              <a16:creationId xmlns:a16="http://schemas.microsoft.com/office/drawing/2014/main" id="{14E6D6EB-81DE-4966-9371-53D828015C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21</xdr:col>
      <xdr:colOff>504825</xdr:colOff>
      <xdr:row>5</xdr:row>
      <xdr:rowOff>133349</xdr:rowOff>
    </xdr:from>
    <xdr:to>
      <xdr:col>29</xdr:col>
      <xdr:colOff>495300</xdr:colOff>
      <xdr:row>20</xdr:row>
      <xdr:rowOff>66672</xdr:rowOff>
    </xdr:to>
    <xdr:graphicFrame macro="">
      <xdr:nvGraphicFramePr>
        <xdr:cNvPr id="2" name="Gráfico 1">
          <a:extLst>
            <a:ext uri="{FF2B5EF4-FFF2-40B4-BE49-F238E27FC236}">
              <a16:creationId xmlns:a16="http://schemas.microsoft.com/office/drawing/2014/main" id="{46FEC9A4-B963-4D29-8C31-1556EB6A8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19</xdr:col>
      <xdr:colOff>361950</xdr:colOff>
      <xdr:row>5</xdr:row>
      <xdr:rowOff>133349</xdr:rowOff>
    </xdr:from>
    <xdr:to>
      <xdr:col>27</xdr:col>
      <xdr:colOff>352425</xdr:colOff>
      <xdr:row>20</xdr:row>
      <xdr:rowOff>66672</xdr:rowOff>
    </xdr:to>
    <xdr:graphicFrame macro="">
      <xdr:nvGraphicFramePr>
        <xdr:cNvPr id="2" name="Gráfico 1">
          <a:extLst>
            <a:ext uri="{FF2B5EF4-FFF2-40B4-BE49-F238E27FC236}">
              <a16:creationId xmlns:a16="http://schemas.microsoft.com/office/drawing/2014/main" id="{7A882AE3-7766-4F33-AC7C-D6A68B4212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19</xdr:col>
      <xdr:colOff>361950</xdr:colOff>
      <xdr:row>5</xdr:row>
      <xdr:rowOff>133349</xdr:rowOff>
    </xdr:from>
    <xdr:to>
      <xdr:col>27</xdr:col>
      <xdr:colOff>352425</xdr:colOff>
      <xdr:row>20</xdr:row>
      <xdr:rowOff>66672</xdr:rowOff>
    </xdr:to>
    <xdr:graphicFrame macro="">
      <xdr:nvGraphicFramePr>
        <xdr:cNvPr id="2" name="Gráfico 1">
          <a:extLst>
            <a:ext uri="{FF2B5EF4-FFF2-40B4-BE49-F238E27FC236}">
              <a16:creationId xmlns:a16="http://schemas.microsoft.com/office/drawing/2014/main" id="{7E32262E-7210-440E-9F07-864816A694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361950</xdr:colOff>
      <xdr:row>5</xdr:row>
      <xdr:rowOff>133349</xdr:rowOff>
    </xdr:from>
    <xdr:to>
      <xdr:col>20</xdr:col>
      <xdr:colOff>352425</xdr:colOff>
      <xdr:row>17</xdr:row>
      <xdr:rowOff>66672</xdr:rowOff>
    </xdr:to>
    <xdr:graphicFrame macro="">
      <xdr:nvGraphicFramePr>
        <xdr:cNvPr id="2" name="Gráfico 1">
          <a:extLst>
            <a:ext uri="{FF2B5EF4-FFF2-40B4-BE49-F238E27FC236}">
              <a16:creationId xmlns:a16="http://schemas.microsoft.com/office/drawing/2014/main" id="{451595B5-D615-4700-AF97-A0F95685FB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361950</xdr:colOff>
      <xdr:row>5</xdr:row>
      <xdr:rowOff>133349</xdr:rowOff>
    </xdr:from>
    <xdr:to>
      <xdr:col>20</xdr:col>
      <xdr:colOff>352425</xdr:colOff>
      <xdr:row>17</xdr:row>
      <xdr:rowOff>66672</xdr:rowOff>
    </xdr:to>
    <xdr:graphicFrame macro="">
      <xdr:nvGraphicFramePr>
        <xdr:cNvPr id="2" name="Gráfico 1">
          <a:extLst>
            <a:ext uri="{FF2B5EF4-FFF2-40B4-BE49-F238E27FC236}">
              <a16:creationId xmlns:a16="http://schemas.microsoft.com/office/drawing/2014/main" id="{DE1F184A-7C9C-4C72-8BA7-316DDD10D6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361950</xdr:colOff>
      <xdr:row>5</xdr:row>
      <xdr:rowOff>133349</xdr:rowOff>
    </xdr:from>
    <xdr:to>
      <xdr:col>21</xdr:col>
      <xdr:colOff>352425</xdr:colOff>
      <xdr:row>17</xdr:row>
      <xdr:rowOff>66672</xdr:rowOff>
    </xdr:to>
    <xdr:graphicFrame macro="">
      <xdr:nvGraphicFramePr>
        <xdr:cNvPr id="5" name="Gráfico 4">
          <a:extLst>
            <a:ext uri="{FF2B5EF4-FFF2-40B4-BE49-F238E27FC236}">
              <a16:creationId xmlns:a16="http://schemas.microsoft.com/office/drawing/2014/main" id="{525901D2-1581-4E4B-8DCE-FA1700536C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361950</xdr:colOff>
      <xdr:row>5</xdr:row>
      <xdr:rowOff>133349</xdr:rowOff>
    </xdr:from>
    <xdr:to>
      <xdr:col>21</xdr:col>
      <xdr:colOff>352425</xdr:colOff>
      <xdr:row>17</xdr:row>
      <xdr:rowOff>66672</xdr:rowOff>
    </xdr:to>
    <xdr:graphicFrame macro="">
      <xdr:nvGraphicFramePr>
        <xdr:cNvPr id="2" name="Gráfico 4">
          <a:extLst>
            <a:ext uri="{FF2B5EF4-FFF2-40B4-BE49-F238E27FC236}">
              <a16:creationId xmlns:a16="http://schemas.microsoft.com/office/drawing/2014/main" id="{0240F7BD-12E9-42F2-8BF5-B8E86B462C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28575</xdr:colOff>
      <xdr:row>8</xdr:row>
      <xdr:rowOff>47625</xdr:rowOff>
    </xdr:from>
    <xdr:to>
      <xdr:col>20</xdr:col>
      <xdr:colOff>152400</xdr:colOff>
      <xdr:row>23</xdr:row>
      <xdr:rowOff>47625</xdr:rowOff>
    </xdr:to>
    <xdr:graphicFrame macro="">
      <xdr:nvGraphicFramePr>
        <xdr:cNvPr id="2" name="Gráfico 1">
          <a:extLst>
            <a:ext uri="{FF2B5EF4-FFF2-40B4-BE49-F238E27FC236}">
              <a16:creationId xmlns:a16="http://schemas.microsoft.com/office/drawing/2014/main" id="{4B9F3D74-996B-4D75-A3AB-0089FCD268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571500</xdr:colOff>
      <xdr:row>12</xdr:row>
      <xdr:rowOff>57150</xdr:rowOff>
    </xdr:from>
    <xdr:to>
      <xdr:col>22</xdr:col>
      <xdr:colOff>104775</xdr:colOff>
      <xdr:row>27</xdr:row>
      <xdr:rowOff>57150</xdr:rowOff>
    </xdr:to>
    <xdr:graphicFrame macro="">
      <xdr:nvGraphicFramePr>
        <xdr:cNvPr id="2" name="Gráfico 1">
          <a:extLst>
            <a:ext uri="{FF2B5EF4-FFF2-40B4-BE49-F238E27FC236}">
              <a16:creationId xmlns:a16="http://schemas.microsoft.com/office/drawing/2014/main" id="{0C50905D-7A5D-4E88-A718-D6A4F43E41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323850</xdr:colOff>
      <xdr:row>13</xdr:row>
      <xdr:rowOff>52387</xdr:rowOff>
    </xdr:from>
    <xdr:to>
      <xdr:col>20</xdr:col>
      <xdr:colOff>552450</xdr:colOff>
      <xdr:row>27</xdr:row>
      <xdr:rowOff>128587</xdr:rowOff>
    </xdr:to>
    <xdr:graphicFrame macro="">
      <xdr:nvGraphicFramePr>
        <xdr:cNvPr id="2" name="Chart 1">
          <a:extLst>
            <a:ext uri="{FF2B5EF4-FFF2-40B4-BE49-F238E27FC236}">
              <a16:creationId xmlns:a16="http://schemas.microsoft.com/office/drawing/2014/main" id="{F6C44998-98CA-4027-A7DC-62F74E0626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403411</xdr:colOff>
      <xdr:row>12</xdr:row>
      <xdr:rowOff>190501</xdr:rowOff>
    </xdr:from>
    <xdr:to>
      <xdr:col>21</xdr:col>
      <xdr:colOff>392206</xdr:colOff>
      <xdr:row>29</xdr:row>
      <xdr:rowOff>212912</xdr:rowOff>
    </xdr:to>
    <xdr:graphicFrame macro="">
      <xdr:nvGraphicFramePr>
        <xdr:cNvPr id="2" name="Chart 1">
          <a:extLst>
            <a:ext uri="{FF2B5EF4-FFF2-40B4-BE49-F238E27FC236}">
              <a16:creationId xmlns:a16="http://schemas.microsoft.com/office/drawing/2014/main" id="{5D5C1B49-A6D4-4FF8-8833-6DBAA23AE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15</xdr:col>
      <xdr:colOff>247650</xdr:colOff>
      <xdr:row>17</xdr:row>
      <xdr:rowOff>28574</xdr:rowOff>
    </xdr:from>
    <xdr:to>
      <xdr:col>23</xdr:col>
      <xdr:colOff>238125</xdr:colOff>
      <xdr:row>32</xdr:row>
      <xdr:rowOff>9522</xdr:rowOff>
    </xdr:to>
    <xdr:graphicFrame macro="">
      <xdr:nvGraphicFramePr>
        <xdr:cNvPr id="2" name="Gráfico 1">
          <a:extLst>
            <a:ext uri="{FF2B5EF4-FFF2-40B4-BE49-F238E27FC236}">
              <a16:creationId xmlns:a16="http://schemas.microsoft.com/office/drawing/2014/main" id="{6C98862F-C8AE-440A-AE08-E27FCE2466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15</xdr:col>
      <xdr:colOff>247650</xdr:colOff>
      <xdr:row>17</xdr:row>
      <xdr:rowOff>28574</xdr:rowOff>
    </xdr:from>
    <xdr:to>
      <xdr:col>23</xdr:col>
      <xdr:colOff>238125</xdr:colOff>
      <xdr:row>32</xdr:row>
      <xdr:rowOff>9522</xdr:rowOff>
    </xdr:to>
    <xdr:graphicFrame macro="">
      <xdr:nvGraphicFramePr>
        <xdr:cNvPr id="2" name="Gráfico 1">
          <a:extLst>
            <a:ext uri="{FF2B5EF4-FFF2-40B4-BE49-F238E27FC236}">
              <a16:creationId xmlns:a16="http://schemas.microsoft.com/office/drawing/2014/main" id="{0AEBDA6B-4721-4855-89F2-360A62B429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16</xdr:col>
      <xdr:colOff>247650</xdr:colOff>
      <xdr:row>18</xdr:row>
      <xdr:rowOff>28574</xdr:rowOff>
    </xdr:from>
    <xdr:to>
      <xdr:col>24</xdr:col>
      <xdr:colOff>238125</xdr:colOff>
      <xdr:row>33</xdr:row>
      <xdr:rowOff>9522</xdr:rowOff>
    </xdr:to>
    <xdr:graphicFrame macro="">
      <xdr:nvGraphicFramePr>
        <xdr:cNvPr id="2" name="Gráfico 1">
          <a:extLst>
            <a:ext uri="{FF2B5EF4-FFF2-40B4-BE49-F238E27FC236}">
              <a16:creationId xmlns:a16="http://schemas.microsoft.com/office/drawing/2014/main" id="{8A4C1490-3177-4D75-93A9-FEF841E924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16</xdr:col>
      <xdr:colOff>247650</xdr:colOff>
      <xdr:row>18</xdr:row>
      <xdr:rowOff>28574</xdr:rowOff>
    </xdr:from>
    <xdr:to>
      <xdr:col>24</xdr:col>
      <xdr:colOff>238125</xdr:colOff>
      <xdr:row>33</xdr:row>
      <xdr:rowOff>9522</xdr:rowOff>
    </xdr:to>
    <xdr:graphicFrame macro="">
      <xdr:nvGraphicFramePr>
        <xdr:cNvPr id="2" name="Gráfico 1">
          <a:extLst>
            <a:ext uri="{FF2B5EF4-FFF2-40B4-BE49-F238E27FC236}">
              <a16:creationId xmlns:a16="http://schemas.microsoft.com/office/drawing/2014/main" id="{5C1A1D68-8CC1-44F4-92D3-14503EF25B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21</xdr:col>
      <xdr:colOff>560294</xdr:colOff>
      <xdr:row>7</xdr:row>
      <xdr:rowOff>0</xdr:rowOff>
    </xdr:from>
    <xdr:to>
      <xdr:col>30</xdr:col>
      <xdr:colOff>403412</xdr:colOff>
      <xdr:row>23</xdr:row>
      <xdr:rowOff>145676</xdr:rowOff>
    </xdr:to>
    <xdr:graphicFrame macro="">
      <xdr:nvGraphicFramePr>
        <xdr:cNvPr id="2" name="Chart 2">
          <a:extLst>
            <a:ext uri="{FF2B5EF4-FFF2-40B4-BE49-F238E27FC236}">
              <a16:creationId xmlns:a16="http://schemas.microsoft.com/office/drawing/2014/main" id="{5D2E1383-AAC8-419E-945E-8F54C8F20B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Eduardo Amaral" id="{D6DB9FE1-3307-4620-8E2D-D33C5FE10F9B}" userId="1bfa2ac83e16c31e"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0">
  <rv s="0">
    <v>5</v>
    <v>2</v>
    <v>19</v>
  </rv>
  <rv s="0">
    <v>3</v>
    <v>2</v>
    <v>19</v>
  </rv>
  <rv s="0">
    <v>7</v>
    <v>2</v>
    <v>19</v>
  </rv>
  <rv s="0">
    <v>2</v>
    <v>2</v>
    <v>19</v>
  </rv>
  <rv s="1">
    <v>2</v>
    <v>4</v>
    <v>19</v>
  </rv>
  <rv s="0">
    <v>4</v>
    <v>2</v>
    <v>19</v>
  </rv>
  <rv s="0">
    <v>1</v>
    <v>2</v>
    <v>19</v>
  </rv>
  <rv s="1">
    <v>2</v>
    <v>3</v>
    <v>19</v>
  </rv>
  <rv s="0">
    <v>6</v>
    <v>2</v>
    <v>19</v>
  </rv>
  <rv s="0">
    <v>8</v>
    <v>2</v>
    <v>19</v>
  </rv>
</rvData>
</file>

<file path=xl/richData/rdrichvaluestructure.xml><?xml version="1.0" encoding="utf-8"?>
<rvStructures xmlns="http://schemas.microsoft.com/office/spreadsheetml/2017/richdata" count="2">
  <s t="_error">
    <k n="argument" t="s"/>
    <k n="errorType" t="i"/>
    <k n="subType" t="i"/>
  </s>
  <s t="_error">
    <k n="errorType" t="i"/>
    <k n="argument" t="s"/>
    <k n="subType" t="i"/>
  </s>
</rvStructures>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Y21" dT="2022-08-28T20:34:50.17" personId="{D6DB9FE1-3307-4620-8E2D-D33C5FE10F9B}" id="{69D6092B-5AD3-4BA5-8EC3-971B5270794C}">
    <text>Excel's LINEST function calculates wrongly the ESS if the parameter CONSTANT is FALSE, but X still has a constant.</text>
  </threadedComment>
  <threadedComment ref="Y21" dT="2023-10-03T02:13:25.56" personId="{D6DB9FE1-3307-4620-8E2D-D33C5FE10F9B}" id="{86FC117C-2AD7-4CBC-9904-CE46304BE3DE}" parentId="{69D6092B-5AD3-4BA5-8EC3-971B5270794C}">
    <text>Controversy: http://web.ist.utl.pt/~ist11038/compute/errtheory/,regression/regrthroughorigin.pdf</text>
    <extLst>
      <x:ext xmlns:xltc2="http://schemas.microsoft.com/office/spreadsheetml/2020/threadedcomments2" uri="{F7C98A9C-CBB3-438F-8F68-D28B6AF4A901}">
        <xltc2:checksum>1223930333</xltc2:checksum>
        <xltc2:hyperlink startIndex="13" length="83" url="http://web.ist.utl.pt/~ist11038/compute/errtheory/,regression/regrthroughorigin.pdf"/>
      </x:ext>
    </extLst>
  </threadedComment>
  <threadedComment ref="Y30" dT="2023-10-04T01:02:49.47" personId="{D6DB9FE1-3307-4620-8E2D-D33C5FE10F9B}" id="{B811DD19-5DE6-4508-8B69-5E437616D3D4}">
    <text>In case of regression without a constant, it returns "non-centered R2".</text>
  </threadedComment>
</ThreadedComment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900" row="9">
    <wetp:webextensionref xmlns:r="http://schemas.openxmlformats.org/officeDocument/2006/relationships" r:id="rId1"/>
  </wetp:taskpane>
  <wetp:taskpane dockstate="right" visibility="0" width="350"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E4794065-FD69-45EC-974B-6C48C1D93FA4}">
  <we:reference id="wa200003696" version="1.0.0.0" store="en-US" storeType="OMEX"/>
  <we:alternateReferences>
    <we:reference id="wa200003696" version="1.0.0.0" store="en-US" storeType="OMEX"/>
  </we:alternateReferences>
  <we:properties>
    <we:property name="projectV0_1-56c6e055-265e-4713-816e-a646dbb708de" value="{&quot;kind&quot;:&quot;AFEJSONBlobNode&quot;,&quot;id&quot;:&quot;{86D63367-6E00-4284-8E3B-867B08054859}&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5422697-017C-4CD3-8353-F9EA1F35FBDC}">
  <we:reference id="wa104381504" version="1.0.0.0" store="pt-BR" storeType="OMEX"/>
  <we:alternateReferences>
    <we:reference id="WA104381504" version="1.0.0.0"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3.bin"/><Relationship Id="rId1" Type="http://schemas.openxmlformats.org/officeDocument/2006/relationships/hyperlink" Target="https://consultglp.com/wp-content/uploads/2018/07/Using-Excel-functions-for-one-way-ANOVA.pdf"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69.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5.xml.rels><?xml version="1.0" encoding="UTF-8" standalone="yes"?>
<Relationships xmlns="http://schemas.openxmlformats.org/package/2006/relationships"><Relationship Id="rId1" Type="http://schemas.openxmlformats.org/officeDocument/2006/relationships/drawing" Target="../drawings/drawing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E1965-C276-4C4D-805E-36C4D53F123D}">
  <sheetPr codeName="Planilha10"/>
  <dimension ref="A1:L205"/>
  <sheetViews>
    <sheetView showGridLines="0" tabSelected="1" workbookViewId="0"/>
  </sheetViews>
  <sheetFormatPr defaultColWidth="8.85546875" defaultRowHeight="15" x14ac:dyDescent="0.25"/>
  <cols>
    <col min="1" max="3" width="8" customWidth="1"/>
    <col min="6" max="6" width="79.140625" customWidth="1"/>
    <col min="7" max="7" width="22.42578125" customWidth="1"/>
    <col min="8" max="8" width="59.28515625" customWidth="1"/>
    <col min="9" max="9" width="36" customWidth="1"/>
    <col min="10" max="12" width="10.7109375" customWidth="1"/>
    <col min="13" max="17" width="12" bestFit="1" customWidth="1"/>
  </cols>
  <sheetData>
    <row r="1" spans="1:12" ht="23.25" x14ac:dyDescent="0.35">
      <c r="A1" s="4" t="s">
        <v>674</v>
      </c>
    </row>
    <row r="2" spans="1:12" ht="21" x14ac:dyDescent="0.35">
      <c r="A2" s="3" t="s">
        <v>0</v>
      </c>
    </row>
    <row r="3" spans="1:12" s="9" customFormat="1" ht="15.75" x14ac:dyDescent="0.25">
      <c r="A3" s="9" t="s">
        <v>11</v>
      </c>
    </row>
    <row r="4" spans="1:12" s="9" customFormat="1" ht="15.75" x14ac:dyDescent="0.25">
      <c r="A4" s="44" t="s">
        <v>952</v>
      </c>
    </row>
    <row r="5" spans="1:12" s="9" customFormat="1" ht="15.75" x14ac:dyDescent="0.25">
      <c r="A5" s="9" t="s">
        <v>12</v>
      </c>
    </row>
    <row r="6" spans="1:12" s="9" customFormat="1" ht="66.75" customHeight="1" x14ac:dyDescent="0.25">
      <c r="A6" s="130" t="s">
        <v>500</v>
      </c>
      <c r="B6" s="130"/>
      <c r="C6" s="130"/>
      <c r="D6" s="130"/>
      <c r="E6" s="130"/>
      <c r="F6" s="130"/>
    </row>
    <row r="7" spans="1:12" s="9" customFormat="1" ht="15.75" x14ac:dyDescent="0.25"/>
    <row r="8" spans="1:12" s="9" customFormat="1" ht="50.25" customHeight="1" x14ac:dyDescent="0.25">
      <c r="A8" s="131" t="s">
        <v>153</v>
      </c>
      <c r="B8" s="131"/>
      <c r="C8" s="131"/>
      <c r="D8" s="131"/>
      <c r="E8" s="131"/>
      <c r="F8" s="131"/>
      <c r="G8" s="131"/>
      <c r="H8" s="131"/>
      <c r="I8" s="131"/>
    </row>
    <row r="10" spans="1:12" ht="46.5" x14ac:dyDescent="0.35">
      <c r="B10" s="3" t="s">
        <v>98</v>
      </c>
      <c r="F10" s="1" t="s">
        <v>16</v>
      </c>
      <c r="G10" s="1" t="s">
        <v>77</v>
      </c>
      <c r="H10" s="1" t="s">
        <v>79</v>
      </c>
      <c r="I10" s="33" t="s">
        <v>154</v>
      </c>
      <c r="J10" s="34"/>
      <c r="K10" s="34"/>
      <c r="L10" s="34"/>
    </row>
    <row r="11" spans="1:12" x14ac:dyDescent="0.25">
      <c r="B11" s="31" t="s">
        <v>429</v>
      </c>
      <c r="F11" s="29" t="s">
        <v>455</v>
      </c>
      <c r="G11" s="32"/>
      <c r="H11" s="30"/>
      <c r="I11" t="e" cm="1" vm="1">
        <f t="array" ref="I11">GET()</f>
        <v>#VALUE!</v>
      </c>
    </row>
    <row r="12" spans="1:12" x14ac:dyDescent="0.25">
      <c r="B12" s="31" t="s">
        <v>96</v>
      </c>
      <c r="F12" s="29" t="s">
        <v>274</v>
      </c>
      <c r="G12" s="32"/>
      <c r="H12" s="30"/>
      <c r="I12" t="e" cm="1" vm="2">
        <f t="array" ref="I12">M()</f>
        <v>#VALUE!</v>
      </c>
    </row>
    <row r="13" spans="1:12" x14ac:dyDescent="0.25">
      <c r="B13" s="31" t="s">
        <v>49</v>
      </c>
      <c r="F13" s="29" t="s">
        <v>456</v>
      </c>
      <c r="G13" s="32"/>
      <c r="H13" s="30"/>
      <c r="I13" t="e" cm="1" vm="3">
        <f t="array" ref="I13">SLICE()</f>
        <v>#VALUE!</v>
      </c>
    </row>
    <row r="14" spans="1:12" x14ac:dyDescent="0.25">
      <c r="B14" s="31" t="s">
        <v>75</v>
      </c>
      <c r="F14" s="29" t="s">
        <v>452</v>
      </c>
      <c r="G14" s="32" t="s">
        <v>75</v>
      </c>
      <c r="H14" s="30" t="s">
        <v>80</v>
      </c>
      <c r="I14" t="e" cm="1" vm="4">
        <f t="array" ref="I14">VERTCAT()</f>
        <v>#VALUE!</v>
      </c>
    </row>
    <row r="15" spans="1:12" x14ac:dyDescent="0.25">
      <c r="B15" s="31" t="s">
        <v>76</v>
      </c>
      <c r="F15" s="29" t="s">
        <v>453</v>
      </c>
      <c r="G15" s="32" t="s">
        <v>76</v>
      </c>
      <c r="H15" s="30" t="s">
        <v>81</v>
      </c>
      <c r="I15" t="e" cm="1" vm="4">
        <f t="array" ref="I15">HORZCAT()</f>
        <v>#VALUE!</v>
      </c>
    </row>
    <row r="16" spans="1:12" x14ac:dyDescent="0.25">
      <c r="B16" s="31" t="s">
        <v>919</v>
      </c>
      <c r="F16" s="29" t="s">
        <v>921</v>
      </c>
      <c r="G16" s="32"/>
      <c r="H16" s="30"/>
      <c r="I16" t="e" cm="1" vm="2">
        <f t="array" ref="I16">VERTCAT_EX()</f>
        <v>#VALUE!</v>
      </c>
    </row>
    <row r="17" spans="2:9" x14ac:dyDescent="0.25">
      <c r="B17" s="31" t="s">
        <v>920</v>
      </c>
      <c r="F17" s="29" t="s">
        <v>922</v>
      </c>
      <c r="G17" s="32"/>
      <c r="H17" s="30"/>
      <c r="I17" t="e" cm="1" vm="2">
        <f t="array" ref="I17">HORZCAT_EX()</f>
        <v>#VALUE!</v>
      </c>
    </row>
    <row r="18" spans="2:9" x14ac:dyDescent="0.25">
      <c r="B18" s="31" t="s">
        <v>41</v>
      </c>
      <c r="F18" s="29" t="s">
        <v>447</v>
      </c>
      <c r="G18" s="32" t="s">
        <v>82</v>
      </c>
      <c r="H18" s="30"/>
      <c r="I18" t="e" cm="1" vm="4">
        <f t="array" ref="I18">VEC()</f>
        <v>#VALUE!</v>
      </c>
    </row>
    <row r="19" spans="2:9" x14ac:dyDescent="0.25">
      <c r="B19" s="31" t="s">
        <v>68</v>
      </c>
      <c r="F19" s="29" t="s">
        <v>450</v>
      </c>
      <c r="G19" s="32"/>
      <c r="H19" s="30"/>
      <c r="I19" t="e" cm="1" vm="5">
        <f t="array" aca="1" ref="I19" ca="1">SAMPLE()</f>
        <v>#VALUE!</v>
      </c>
    </row>
    <row r="20" spans="2:9" x14ac:dyDescent="0.25">
      <c r="B20" s="31" t="s">
        <v>83</v>
      </c>
      <c r="F20" s="29" t="s">
        <v>65</v>
      </c>
      <c r="G20" s="32" t="s">
        <v>78</v>
      </c>
      <c r="H20" s="30"/>
      <c r="I20" t="e" cm="1" vm="6">
        <f t="array" ref="I20">NOZERO()</f>
        <v>#VALUE!</v>
      </c>
    </row>
    <row r="21" spans="2:9" x14ac:dyDescent="0.25">
      <c r="B21" s="31" t="s">
        <v>377</v>
      </c>
      <c r="F21" s="29" t="s">
        <v>378</v>
      </c>
      <c r="G21" s="32"/>
      <c r="H21" s="30"/>
      <c r="I21" t="e" cm="1" vm="7">
        <f t="array" ref="I21">ISEMPTY()</f>
        <v>#VALUE!</v>
      </c>
    </row>
    <row r="24" spans="2:9" ht="21" x14ac:dyDescent="0.35">
      <c r="B24" s="3" t="s">
        <v>637</v>
      </c>
    </row>
    <row r="25" spans="2:9" ht="30" x14ac:dyDescent="0.25">
      <c r="B25" s="31" t="s">
        <v>613</v>
      </c>
      <c r="F25" s="29" t="str" cm="1">
        <f t="array" aca="1" ref="F25" ca="1">INDIRECT(B25&amp;"!A2")</f>
        <v>Evaluates a formula expression (workbook file will have to be saved with the .xlsm extension)</v>
      </c>
      <c r="G25" s="32"/>
      <c r="H25" s="30"/>
      <c r="I25" t="e" cm="1" vm="7">
        <f t="array" ref="I25">EVALS()</f>
        <v>#VALUE!</v>
      </c>
    </row>
    <row r="26" spans="2:9" ht="30" x14ac:dyDescent="0.25">
      <c r="B26" s="31" t="s">
        <v>604</v>
      </c>
      <c r="F26" s="29" t="str" cm="1">
        <f t="array" aca="1" ref="F26" ca="1">INDIRECT(B26&amp;"!A2")</f>
        <v>Find the roots of a function (workbook file will have to be saved with the .xlsm extension)</v>
      </c>
      <c r="G26" s="32"/>
      <c r="H26" s="30"/>
      <c r="I26" t="e" cm="1" vm="6">
        <f t="array" ref="I26">FZERO()</f>
        <v>#VALUE!</v>
      </c>
    </row>
    <row r="27" spans="2:9" ht="30" x14ac:dyDescent="0.25">
      <c r="B27" s="31" t="s">
        <v>867</v>
      </c>
      <c r="F27" s="29" t="str" cm="1">
        <f t="array" aca="1" ref="F27" ca="1">INDIRECT(B27&amp;"!A2")</f>
        <v>Evaluates a formula expression after replacing variables with numbers (workbook file will have to be saved with the .xlsm extension)</v>
      </c>
      <c r="G27" s="32"/>
      <c r="H27" s="30"/>
      <c r="I27" t="e" cm="1" vm="2">
        <f t="array" ref="I27">SUBS()</f>
        <v>#VALUE!</v>
      </c>
    </row>
    <row r="30" spans="2:9" ht="21" x14ac:dyDescent="0.35">
      <c r="B30" s="3" t="s">
        <v>99</v>
      </c>
    </row>
    <row r="31" spans="2:9" x14ac:dyDescent="0.25">
      <c r="B31" s="31" t="s">
        <v>14</v>
      </c>
      <c r="F31" s="29" t="str" cm="1">
        <f t="array" aca="1" ref="F31" ca="1">INDIRECT(B31&amp;"!A2")</f>
        <v>Returns an identity matrix</v>
      </c>
      <c r="G31" s="32" t="s">
        <v>14</v>
      </c>
      <c r="H31" s="30"/>
      <c r="I31" t="e" cm="1" vm="4">
        <f t="array" ref="I31">EYE()</f>
        <v>#VALUE!</v>
      </c>
    </row>
    <row r="32" spans="2:9" x14ac:dyDescent="0.25">
      <c r="B32" s="31" t="s">
        <v>23</v>
      </c>
      <c r="F32" s="29" t="str" cm="1">
        <f t="array" aca="1" ref="F32" ca="1">INDIRECT(B32&amp;"!A2")</f>
        <v>Returns a matrix of zeros</v>
      </c>
      <c r="G32" s="32" t="s">
        <v>23</v>
      </c>
      <c r="H32" s="30"/>
      <c r="I32" t="e" cm="1" vm="4">
        <f t="array" ref="I32">ZEROS()</f>
        <v>#VALUE!</v>
      </c>
    </row>
    <row r="33" spans="2:9" x14ac:dyDescent="0.25">
      <c r="B33" s="31" t="s">
        <v>32</v>
      </c>
      <c r="F33" s="29" t="str" cm="1">
        <f t="array" aca="1" ref="F33" ca="1">INDIRECT(B33&amp;"!A2")</f>
        <v>Returns a matrix of ones</v>
      </c>
      <c r="G33" s="32" t="s">
        <v>32</v>
      </c>
      <c r="H33" s="30"/>
      <c r="I33" t="e" cm="1" vm="4">
        <f t="array" ref="I33">ONES()</f>
        <v>#VALUE!</v>
      </c>
    </row>
    <row r="34" spans="2:9" x14ac:dyDescent="0.25">
      <c r="B34" s="31" t="s">
        <v>20</v>
      </c>
      <c r="F34" s="29" t="str" cm="1">
        <f t="array" aca="1" ref="F34" ca="1">INDIRECT(B34&amp;"!A2")</f>
        <v>Returns the diagonal of a matrix</v>
      </c>
      <c r="G34" s="32" t="s">
        <v>20</v>
      </c>
      <c r="H34" s="30"/>
      <c r="I34" t="e" cm="1" vm="4">
        <f t="array" ref="I34">DIAG()</f>
        <v>#VALUE!</v>
      </c>
    </row>
    <row r="35" spans="2:9" x14ac:dyDescent="0.25">
      <c r="B35" s="31" t="s">
        <v>30</v>
      </c>
      <c r="F35" s="29" t="str" cm="1">
        <f t="array" aca="1" ref="F35" ca="1">INDIRECT(B35&amp;"!A2")</f>
        <v>Returns the lower triangular part of a matrix</v>
      </c>
      <c r="G35" s="32" t="s">
        <v>30</v>
      </c>
      <c r="H35" s="30"/>
      <c r="I35" t="e" cm="1" vm="4">
        <f t="array" ref="I35">TRIL()</f>
        <v>#VALUE!</v>
      </c>
    </row>
    <row r="36" spans="2:9" x14ac:dyDescent="0.25">
      <c r="B36" s="31" t="s">
        <v>31</v>
      </c>
      <c r="F36" s="29" t="str" cm="1">
        <f t="array" aca="1" ref="F36" ca="1">INDIRECT(B36&amp;"!A2")</f>
        <v>Returns the upper triangular part of a matrix</v>
      </c>
      <c r="G36" s="32" t="s">
        <v>31</v>
      </c>
      <c r="H36" s="30"/>
      <c r="I36" t="e" cm="1" vm="4">
        <f t="array" ref="I36">TRIU()</f>
        <v>#VALUE!</v>
      </c>
    </row>
    <row r="37" spans="2:9" ht="30" x14ac:dyDescent="0.25">
      <c r="B37" s="31" t="s">
        <v>45</v>
      </c>
      <c r="F37" s="29" t="str" cm="1">
        <f t="array" aca="1" ref="F37" ca="1">INDIRECT(B37&amp;"!A2")</f>
        <v>Flip array left to right</v>
      </c>
      <c r="G37" s="32" t="s">
        <v>45</v>
      </c>
      <c r="H37" s="30" t="s">
        <v>879</v>
      </c>
      <c r="I37" t="e" cm="1" vm="4">
        <f t="array" ref="I37">FLIPLR()</f>
        <v>#VALUE!</v>
      </c>
    </row>
    <row r="38" spans="2:9" ht="30" x14ac:dyDescent="0.25">
      <c r="B38" s="31" t="s">
        <v>47</v>
      </c>
      <c r="F38" s="29" t="str" cm="1">
        <f t="array" aca="1" ref="F38" ca="1">INDIRECT(B38&amp;"!A2")</f>
        <v>Flip array up to down</v>
      </c>
      <c r="G38" s="32" t="s">
        <v>47</v>
      </c>
      <c r="H38" s="30" t="s">
        <v>880</v>
      </c>
      <c r="I38" t="e" cm="1" vm="4">
        <f t="array" ref="I38">FLIPUD()</f>
        <v>#VALUE!</v>
      </c>
    </row>
    <row r="39" spans="2:9" ht="30" x14ac:dyDescent="0.25">
      <c r="B39" s="31" t="s">
        <v>50</v>
      </c>
      <c r="F39" s="29" t="str" cm="1">
        <f t="array" aca="1" ref="F39" ca="1">INDIRECT(B39&amp;"!A2")</f>
        <v>Repeat copies of array</v>
      </c>
      <c r="G39" s="32" t="s">
        <v>50</v>
      </c>
      <c r="H39" s="30" t="s">
        <v>905</v>
      </c>
      <c r="I39" t="e" cm="1" vm="6">
        <f t="array" ref="I39">REPMAT()</f>
        <v>#VALUE!</v>
      </c>
    </row>
    <row r="40" spans="2:9" ht="30" x14ac:dyDescent="0.25">
      <c r="B40" s="31" t="s">
        <v>122</v>
      </c>
      <c r="F40" s="29" t="str" cm="1">
        <f t="array" aca="1" ref="F40" ca="1">INDIRECT(B40&amp;"!A2")</f>
        <v>Reshape array</v>
      </c>
      <c r="G40" s="32" t="s">
        <v>122</v>
      </c>
      <c r="H40" s="30" t="s">
        <v>131</v>
      </c>
      <c r="I40" t="e" cm="1" vm="6">
        <f t="array" ref="I40">RESHAPE()</f>
        <v>#VALUE!</v>
      </c>
    </row>
    <row r="41" spans="2:9" x14ac:dyDescent="0.25">
      <c r="B41" s="31" t="s">
        <v>69</v>
      </c>
      <c r="F41" s="29" t="str" cm="1">
        <f t="array" aca="1" ref="F41" ca="1">INDIRECT(B41&amp;"!A2")</f>
        <v>Create a block diagonal matrix from existing matrices</v>
      </c>
      <c r="G41" s="32" t="s">
        <v>69</v>
      </c>
      <c r="H41" s="30"/>
      <c r="I41" t="e" cm="1" vm="4">
        <f t="array" ref="I41">BLKDIAG()</f>
        <v>#VALUE!</v>
      </c>
    </row>
    <row r="42" spans="2:9" x14ac:dyDescent="0.25">
      <c r="B42" s="31" t="s">
        <v>85</v>
      </c>
      <c r="F42" s="29" t="str" cm="1">
        <f t="array" aca="1" ref="F42" ca="1">INDIRECT(B42&amp;"!A2")</f>
        <v>Determine if all array elements are nonzero or true</v>
      </c>
      <c r="G42" s="32" t="s">
        <v>85</v>
      </c>
      <c r="H42" s="30"/>
      <c r="I42" t="e" cm="1" vm="4">
        <f t="array" ref="I42">ALL()</f>
        <v>#VALUE!</v>
      </c>
    </row>
    <row r="43" spans="2:9" x14ac:dyDescent="0.25">
      <c r="B43" s="31" t="s">
        <v>91</v>
      </c>
      <c r="F43" s="29" t="str" cm="1">
        <f t="array" aca="1" ref="F43" ca="1">INDIRECT(B43&amp;"!A2")</f>
        <v>Determine if any array elements are nonzero</v>
      </c>
      <c r="G43" s="32" t="s">
        <v>91</v>
      </c>
      <c r="H43" s="30"/>
      <c r="I43" t="e" cm="1" vm="4">
        <f t="array" ref="I43">ANY()</f>
        <v>#VALUE!</v>
      </c>
    </row>
    <row r="44" spans="2:9" x14ac:dyDescent="0.25">
      <c r="B44" s="31" t="s">
        <v>117</v>
      </c>
      <c r="F44" s="29" t="str" cm="1">
        <f t="array" aca="1" ref="F44" ca="1">INDIRECT(B44&amp;"!A2")</f>
        <v>Number of nonzero (nor FALSE) matrix elements</v>
      </c>
      <c r="G44" s="32" t="s">
        <v>117</v>
      </c>
      <c r="H44" s="30"/>
      <c r="I44" t="e" cm="1" vm="7">
        <f t="array" ref="I44">NNZ()</f>
        <v>#VALUE!</v>
      </c>
    </row>
    <row r="45" spans="2:9" x14ac:dyDescent="0.25">
      <c r="B45" s="31" t="s">
        <v>105</v>
      </c>
      <c r="F45" s="29" t="str" cm="1">
        <f t="array" aca="1" ref="F45" ca="1">INDIRECT(B45&amp;"!A2")</f>
        <v>Generate linearly spaced vector</v>
      </c>
      <c r="G45" s="32" t="s">
        <v>105</v>
      </c>
      <c r="H45" s="30"/>
      <c r="I45" t="e" cm="1" vm="2">
        <f t="array" ref="I45">LINSPACE()</f>
        <v>#VALUE!</v>
      </c>
    </row>
    <row r="46" spans="2:9" x14ac:dyDescent="0.25">
      <c r="B46" s="31" t="s">
        <v>112</v>
      </c>
      <c r="F46" s="29" t="str" cm="1">
        <f t="array" aca="1" ref="F46" ca="1">INDIRECT(B46&amp;"!A2")</f>
        <v>Length of largest array dimension</v>
      </c>
      <c r="G46" s="32" t="s">
        <v>112</v>
      </c>
      <c r="H46" s="30"/>
      <c r="I46" t="e" cm="1" vm="7">
        <f t="array" ref="I46">LENGTH()</f>
        <v>#VALUE!</v>
      </c>
    </row>
    <row r="47" spans="2:9" x14ac:dyDescent="0.25">
      <c r="B47" s="31" t="s">
        <v>464</v>
      </c>
      <c r="F47" s="29" t="str" cm="1">
        <f t="array" aca="1" ref="F47" ca="1">INDIRECT(B47&amp;"!A2")</f>
        <v>Array length at specified dimension</v>
      </c>
      <c r="G47" s="32" t="s">
        <v>189</v>
      </c>
      <c r="H47" s="30"/>
      <c r="I47" t="e" cm="1" vm="4">
        <f t="array" ref="I47">DIM()</f>
        <v>#VALUE!</v>
      </c>
    </row>
    <row r="48" spans="2:9" x14ac:dyDescent="0.25">
      <c r="B48" s="31" t="s">
        <v>116</v>
      </c>
      <c r="F48" s="29" t="str" cm="1">
        <f t="array" aca="1" ref="F48" ca="1">INDIRECT(B48&amp;"!A2")</f>
        <v>Number of array elements</v>
      </c>
      <c r="G48" s="32" t="s">
        <v>116</v>
      </c>
      <c r="H48" s="30"/>
      <c r="I48" t="e" cm="1" vm="7">
        <f t="array" ref="I48">NUMEL()</f>
        <v>#VALUE!</v>
      </c>
    </row>
    <row r="49" spans="2:9" x14ac:dyDescent="0.25">
      <c r="B49" s="31" t="s">
        <v>137</v>
      </c>
      <c r="F49" s="29" t="str" cm="1">
        <f t="array" aca="1" ref="F49" ca="1">INDIRECT(B49&amp;"!A2")</f>
        <v>Remove rows or columns with missing entries</v>
      </c>
      <c r="G49" s="32" t="s">
        <v>137</v>
      </c>
      <c r="H49" s="30"/>
      <c r="I49" t="e" cm="1" vm="4">
        <f t="array" ref="I49">RMMISSING()</f>
        <v>#VALUE!</v>
      </c>
    </row>
    <row r="50" spans="2:9" x14ac:dyDescent="0.25">
      <c r="B50" s="31" t="s">
        <v>440</v>
      </c>
      <c r="F50" s="29" t="str" cm="1">
        <f t="array" aca="1" ref="F50" ca="1">INDIRECT(B50&amp;"!A2")</f>
        <v>Detect outliers in a matrix</v>
      </c>
      <c r="G50" s="32"/>
      <c r="H50" s="30"/>
      <c r="I50" t="e" cm="1" vm="1">
        <f t="array" ref="I50">ISOUTLIER()</f>
        <v>#VALUE!</v>
      </c>
    </row>
    <row r="51" spans="2:9" x14ac:dyDescent="0.25">
      <c r="B51" s="31" t="s">
        <v>433</v>
      </c>
      <c r="F51" s="29" t="str" cm="1">
        <f t="array" aca="1" ref="F51" ca="1">INDIRECT(B51&amp;"!A2")</f>
        <v>Remove rows or columns with outliers</v>
      </c>
      <c r="G51" s="32"/>
      <c r="H51" s="30"/>
      <c r="I51" t="e" cm="1" vm="1">
        <f t="array" ref="I51">RMOUTLIERS()</f>
        <v>#VALUE!</v>
      </c>
    </row>
    <row r="52" spans="2:9" x14ac:dyDescent="0.25">
      <c r="B52" s="31" t="s">
        <v>278</v>
      </c>
      <c r="F52" s="29" t="str" cm="1">
        <f t="array" aca="1" ref="F52" ca="1">INDIRECT(B52&amp;"!A2")</f>
        <v>Filter dataset based on (multiple) criteria passed as string</v>
      </c>
      <c r="G52" s="32"/>
      <c r="H52" s="30"/>
      <c r="I52" t="e" cm="1" vm="6">
        <f t="array" ref="I52">MULTIFILTER()</f>
        <v>#VALUE!</v>
      </c>
    </row>
    <row r="53" spans="2:9" x14ac:dyDescent="0.25">
      <c r="B53" s="31" t="s">
        <v>315</v>
      </c>
      <c r="F53" s="29" t="str" cm="1">
        <f t="array" aca="1" ref="F53" ca="1">INDIRECT(B53&amp;"!A2")</f>
        <v>Return the elements in a continuous range of integers that do not belong to a matrix</v>
      </c>
      <c r="G53" s="32"/>
      <c r="H53" s="30"/>
      <c r="I53" t="e" cm="1" vm="2">
        <f t="array" ref="I53">COMPLEMENT()</f>
        <v>#VALUE!</v>
      </c>
    </row>
    <row r="54" spans="2:9" x14ac:dyDescent="0.25">
      <c r="B54" s="31" t="s">
        <v>392</v>
      </c>
      <c r="F54" s="29" t="str" cm="1">
        <f t="array" aca="1" ref="F54" ca="1">INDIRECT(B54&amp;"!A2")</f>
        <v>Sort each column or row of a range independently. Range may contain text values.</v>
      </c>
      <c r="G54" s="32"/>
      <c r="H54" s="30"/>
      <c r="I54" t="e" cm="1" vm="2">
        <f t="array" ref="I54">SORTRANGE()</f>
        <v>#VALUE!</v>
      </c>
    </row>
    <row r="55" spans="2:9" x14ac:dyDescent="0.25">
      <c r="B55" s="31" t="s">
        <v>942</v>
      </c>
      <c r="F55" s="29" t="str" cm="1">
        <f t="array" aca="1" ref="F55" ca="1">INDIRECT(B55&amp;"!A2")</f>
        <v>Rank each column or row of a range independently. Range may contain text values.</v>
      </c>
      <c r="G55" s="32"/>
      <c r="H55" s="30"/>
      <c r="I55" t="e" cm="1" vm="6">
        <f t="array" ref="I55">RANKRANGE()</f>
        <v>#VALUE!</v>
      </c>
    </row>
    <row r="56" spans="2:9" x14ac:dyDescent="0.25">
      <c r="B56" s="31" t="s">
        <v>402</v>
      </c>
      <c r="F56" s="29" t="str" cm="1">
        <f t="array" aca="1" ref="F56" ca="1">INDIRECT(B56&amp;"!A2")</f>
        <v>Checks whether a value is unique in a range</v>
      </c>
      <c r="G56" s="32"/>
      <c r="H56" s="30"/>
      <c r="I56" t="e" cm="1" vm="4">
        <f t="array" ref="I56">ISUNIQUE()</f>
        <v>#VALUE!</v>
      </c>
    </row>
    <row r="57" spans="2:9" x14ac:dyDescent="0.25">
      <c r="B57" s="31" t="s">
        <v>559</v>
      </c>
      <c r="F57" s="29" t="str" cm="1">
        <f t="array" aca="1" ref="F57" ca="1">INDIRECT(B57&amp;"!A2")</f>
        <v>Checks whether a matrix contains a certain element</v>
      </c>
      <c r="G57" s="32"/>
      <c r="H57" s="30"/>
      <c r="I57" t="e" vm="6">
        <v>#VALUE!</v>
      </c>
    </row>
    <row r="58" spans="2:9" x14ac:dyDescent="0.25">
      <c r="B58" s="31" t="s">
        <v>588</v>
      </c>
      <c r="F58" s="29" t="str" cm="1">
        <f t="array" aca="1" ref="F58" ca="1">INDIRECT(B58&amp;"!A2")</f>
        <v>Real eigenvalues of a squared matrix calculated using QR decomposition</v>
      </c>
      <c r="G58" s="32"/>
      <c r="H58" s="30"/>
      <c r="I58" t="e" cm="1" vm="2">
        <f t="array" ref="I58">EIGENVALUES()</f>
        <v>#VALUE!</v>
      </c>
    </row>
    <row r="59" spans="2:9" x14ac:dyDescent="0.25">
      <c r="B59" s="31" t="s">
        <v>592</v>
      </c>
      <c r="F59" s="29" t="str" cm="1">
        <f t="array" aca="1" ref="F59" ca="1">INDIRECT(B59&amp;"!A2")</f>
        <v>Real eigenvectors of a squared matrix calculated using QR decomposition</v>
      </c>
      <c r="G59" s="32"/>
      <c r="H59" s="30"/>
      <c r="I59" t="e" cm="1" vm="6">
        <f t="array" ref="I59">EIGENVECTORS()</f>
        <v>#VALUE!</v>
      </c>
    </row>
    <row r="60" spans="2:9" x14ac:dyDescent="0.25">
      <c r="B60" s="31" t="s">
        <v>595</v>
      </c>
      <c r="F60" s="29" t="str" cm="1">
        <f t="array" aca="1" ref="F60" ca="1">INDIRECT(B60&amp;"!A2")</f>
        <v>Returns a matrix p-norm</v>
      </c>
      <c r="G60" s="32"/>
      <c r="H60" s="30"/>
      <c r="I60" t="e" cm="1" vm="4">
        <f t="array" ref="I60">MNORM()</f>
        <v>#VALUE!</v>
      </c>
    </row>
    <row r="61" spans="2:9" ht="32.25" customHeight="1" x14ac:dyDescent="0.25">
      <c r="B61" s="31" t="s">
        <v>923</v>
      </c>
      <c r="F61" s="29" t="str" cm="1">
        <f t="array" aca="1" ref="F61" ca="1">INDIRECT(B61&amp;"!A2")</f>
        <v>Factorizes a matrix into its QR decomposition (Q is orthogonal and R is upper-triangular) using the Gram-Schmidt algorithm.</v>
      </c>
      <c r="G61" s="32" t="s">
        <v>861</v>
      </c>
      <c r="H61" s="30"/>
      <c r="I61" t="e" cm="1" vm="1">
        <f t="array" ref="I61">FACTORIZE_QR()</f>
        <v>#VALUE!</v>
      </c>
    </row>
    <row r="62" spans="2:9" ht="32.25" customHeight="1" x14ac:dyDescent="0.25">
      <c r="B62" s="31" t="s">
        <v>924</v>
      </c>
      <c r="F62" s="29" t="str" cm="1">
        <f t="array" aca="1" ref="F62" ca="1">INDIRECT(B62&amp;"!A2")</f>
        <v>Factorizes a positive-definite matrix into a lower-triangular matrix (L) and an upper-triangular matrix (U).</v>
      </c>
      <c r="G62" s="32" t="s">
        <v>933</v>
      </c>
      <c r="H62" s="30"/>
      <c r="I62" t="e" cm="1" vm="6">
        <f t="array" ref="I62">FACTORIZE_CHOL()</f>
        <v>#VALUE!</v>
      </c>
    </row>
    <row r="63" spans="2:9" ht="30" x14ac:dyDescent="0.25">
      <c r="B63" s="31" t="s">
        <v>862</v>
      </c>
      <c r="F63" s="29" t="str" cm="1">
        <f t="array" aca="1" ref="F63" ca="1">INDIRECT(B63&amp;"!A2")</f>
        <v>Solve linear system of equations (AX = B) using QR decomposition. Only determined systems.</v>
      </c>
      <c r="G63" s="32" t="s">
        <v>862</v>
      </c>
      <c r="H63" s="30"/>
      <c r="I63" t="e" cm="1" vm="4">
        <f t="array" ref="I63">LINSOLVE()</f>
        <v>#VALUE!</v>
      </c>
    </row>
    <row r="64" spans="2:9" x14ac:dyDescent="0.25">
      <c r="B64" s="31" t="s">
        <v>937</v>
      </c>
      <c r="F64" s="29" t="str" cm="1">
        <f t="array" aca="1" ref="F64" ca="1">INDIRECT(B64&amp;"!A2")</f>
        <v>Bootstrap sampling</v>
      </c>
      <c r="G64" s="32" t="s">
        <v>937</v>
      </c>
      <c r="H64" s="30"/>
      <c r="I64" t="e" cm="1" vm="8">
        <f t="array" ref="I64">BOOTSTRP()</f>
        <v>#VALUE!</v>
      </c>
    </row>
    <row r="67" spans="2:9" ht="21" x14ac:dyDescent="0.35">
      <c r="B67" s="3" t="s">
        <v>145</v>
      </c>
    </row>
    <row r="68" spans="2:9" x14ac:dyDescent="0.25">
      <c r="B68" s="31" t="s">
        <v>97</v>
      </c>
      <c r="F68" s="29" t="s">
        <v>132</v>
      </c>
      <c r="G68" s="32" t="s">
        <v>97</v>
      </c>
      <c r="H68" s="30"/>
      <c r="I68" t="e" cm="1" vm="6">
        <f t="array" ref="I68">_xludf.SPLIT()</f>
        <v>#VALUE!</v>
      </c>
    </row>
    <row r="69" spans="2:9" x14ac:dyDescent="0.25">
      <c r="B69" s="31" t="s">
        <v>360</v>
      </c>
      <c r="F69" s="29" t="s">
        <v>391</v>
      </c>
      <c r="G69" s="32"/>
      <c r="H69" s="30"/>
      <c r="I69" t="e" cm="1" vm="6">
        <f t="array" ref="I69">SPLITTWO()</f>
        <v>#VALUE!</v>
      </c>
    </row>
    <row r="70" spans="2:9" x14ac:dyDescent="0.25">
      <c r="B70" s="31" t="s">
        <v>331</v>
      </c>
      <c r="F70" s="29" t="s">
        <v>332</v>
      </c>
      <c r="G70" s="32"/>
      <c r="H70" s="30"/>
      <c r="I70" t="e" cm="1" vm="4">
        <f t="array" ref="I70">SPLITALL()</f>
        <v>#VALUE!</v>
      </c>
    </row>
    <row r="71" spans="2:9" x14ac:dyDescent="0.25">
      <c r="B71" s="31" t="s">
        <v>329</v>
      </c>
      <c r="F71" s="29" t="s">
        <v>330</v>
      </c>
      <c r="G71" s="32"/>
      <c r="H71" s="30"/>
      <c r="I71" t="e" cm="1" vm="6">
        <f t="array" ref="I71">REPLACEALL()</f>
        <v>#VALUE!</v>
      </c>
    </row>
    <row r="72" spans="2:9" x14ac:dyDescent="0.25">
      <c r="B72" s="31" t="s">
        <v>104</v>
      </c>
      <c r="F72" s="29" t="s">
        <v>133</v>
      </c>
      <c r="G72" s="32"/>
      <c r="H72" s="30"/>
      <c r="I72" t="e" cm="1" vm="7">
        <f t="array" ref="I72">TEXTTOCHAR()</f>
        <v>#VALUE!</v>
      </c>
    </row>
    <row r="73" spans="2:9" x14ac:dyDescent="0.25">
      <c r="B73" s="31" t="s">
        <v>292</v>
      </c>
      <c r="F73" s="29" t="str" cm="1">
        <f t="array" aca="1" ref="F73" ca="1">INDIRECT(B73&amp;"!A2")</f>
        <v>Convert a text that represents a matrix into an array</v>
      </c>
      <c r="G73" s="32"/>
      <c r="H73" s="30"/>
      <c r="I73" t="e" cm="1" vm="2">
        <f t="array" ref="I73">TEXTTOARRAY()</f>
        <v>#VALUE!</v>
      </c>
    </row>
    <row r="74" spans="2:9" x14ac:dyDescent="0.25">
      <c r="B74" s="31" t="s">
        <v>535</v>
      </c>
      <c r="F74" s="29" t="str" cm="1">
        <f t="array" aca="1" ref="F74" ca="1">INDIRECT(B74&amp;"!A2")</f>
        <v>Checks whether a string starts with a certain sequence of characters</v>
      </c>
      <c r="G74" s="32"/>
      <c r="H74" s="30"/>
      <c r="I74" t="e" cm="1" vm="6">
        <f t="array" ref="I74">STARTSWITH()</f>
        <v>#VALUE!</v>
      </c>
    </row>
    <row r="75" spans="2:9" x14ac:dyDescent="0.25">
      <c r="B75" s="31" t="s">
        <v>543</v>
      </c>
      <c r="F75" s="29" t="str" cm="1">
        <f t="array" aca="1" ref="F75" ca="1">INDIRECT(B75&amp;"!A2")</f>
        <v>Checks whether a string ends with a certain sequence of characters</v>
      </c>
      <c r="G75" s="32"/>
      <c r="H75" s="30"/>
      <c r="I75" t="e" cm="1" vm="6">
        <f t="array" ref="I75">ENDSWITH()</f>
        <v>#VALUE!</v>
      </c>
    </row>
    <row r="76" spans="2:9" x14ac:dyDescent="0.25">
      <c r="B76" s="31" t="s">
        <v>547</v>
      </c>
      <c r="F76" s="29" t="str" cm="1">
        <f t="array" aca="1" ref="F76" ca="1">INDIRECT(B76&amp;"!A2")</f>
        <v>Checks whether a string contains a certain sequence of characters</v>
      </c>
      <c r="G76" s="32"/>
      <c r="H76" s="30"/>
      <c r="I76" t="e" cm="1" vm="6">
        <f t="array" ref="I76">CONTAINS()</f>
        <v>#VALUE!</v>
      </c>
    </row>
    <row r="79" spans="2:9" ht="21" x14ac:dyDescent="0.35">
      <c r="B79" s="3" t="s">
        <v>100</v>
      </c>
    </row>
    <row r="80" spans="2:9" x14ac:dyDescent="0.25">
      <c r="B80" s="31" t="s">
        <v>171</v>
      </c>
      <c r="F80" s="29" t="str" cm="1">
        <f t="array" aca="1" ref="F80" ca="1">INDIRECT(B80&amp;"!A2")</f>
        <v>Add a column of ones to a matrix</v>
      </c>
      <c r="G80" s="32"/>
      <c r="H80" s="30"/>
      <c r="I80" t="e" cm="1" vm="2">
        <f t="array" ref="I80">ADDCONST()</f>
        <v>#VALUE!</v>
      </c>
    </row>
    <row r="81" spans="2:9" x14ac:dyDescent="0.25">
      <c r="B81" s="31" t="s">
        <v>175</v>
      </c>
      <c r="F81" s="29" t="str" cm="1">
        <f t="array" aca="1" ref="F81" ca="1">INDIRECT(B81&amp;"!A2")</f>
        <v>Add a column with a deterministic trend to a matrix</v>
      </c>
      <c r="G81" s="32"/>
      <c r="H81" s="30"/>
      <c r="I81" t="e" cm="1" vm="6">
        <f t="array" ref="I81">ADDTREND()</f>
        <v>#VALUE!</v>
      </c>
    </row>
    <row r="82" spans="2:9" x14ac:dyDescent="0.25">
      <c r="B82" s="31" t="s">
        <v>910</v>
      </c>
      <c r="F82" s="29" t="str" cm="1">
        <f t="array" aca="1" ref="F82" ca="1">INDIRECT(B82&amp;"!A2")</f>
        <v>Checks whether a matrix has a constant column or row</v>
      </c>
      <c r="G82" s="32"/>
      <c r="H82" s="30"/>
      <c r="I82" t="e" cm="1" vm="2">
        <f t="array" ref="I82">HASCONST()</f>
        <v>#VALUE!</v>
      </c>
    </row>
    <row r="83" spans="2:9" ht="30" x14ac:dyDescent="0.25">
      <c r="B83" s="31" t="s">
        <v>159</v>
      </c>
      <c r="F83" s="29" t="str" cm="1">
        <f t="array" aca="1" ref="F83" ca="1">INDIRECT(B83&amp;"!A2")</f>
        <v>Create alphabetically ordered dummy variables from categorical ones</v>
      </c>
      <c r="G83" s="32" t="s">
        <v>159</v>
      </c>
      <c r="H83" s="30" t="s">
        <v>166</v>
      </c>
      <c r="I83" t="e" cm="1" vm="4">
        <f t="array" ref="I83">DUMMYVAR()</f>
        <v>#VALUE!</v>
      </c>
    </row>
    <row r="84" spans="2:9" x14ac:dyDescent="0.25">
      <c r="B84" s="31" t="s">
        <v>355</v>
      </c>
      <c r="F84" s="29" t="str" cm="1">
        <f t="array" aca="1" ref="F84" ca="1">INDIRECT(B84&amp;"!A2")</f>
        <v>Differences between adjacent elements</v>
      </c>
      <c r="G84" s="32" t="s">
        <v>355</v>
      </c>
      <c r="H84" s="30"/>
      <c r="I84" t="e" cm="1" vm="2">
        <f t="array" ref="I84">DIFF()</f>
        <v>#VALUE!</v>
      </c>
    </row>
    <row r="85" spans="2:9" x14ac:dyDescent="0.25">
      <c r="B85" s="31" t="s">
        <v>340</v>
      </c>
      <c r="F85" s="29" t="str" cm="1">
        <f t="array" aca="1" ref="F85" ca="1">INDIRECT(B85&amp;"!A2")</f>
        <v>Critical values for the (Augmented) Dicky-Fuller test</v>
      </c>
      <c r="G85" s="32"/>
      <c r="H85" s="30"/>
      <c r="I85" t="e" cm="1" vm="6">
        <f t="array" ref="I85">DFTABLE()</f>
        <v>#VALUE!</v>
      </c>
    </row>
    <row r="86" spans="2:9" x14ac:dyDescent="0.25">
      <c r="B86" s="31" t="s">
        <v>502</v>
      </c>
      <c r="F86" s="29" t="str" cm="1">
        <f t="array" aca="1" ref="F86" ca="1">INDIRECT(B86&amp;"!A2")</f>
        <v>Tests whether a vector is stationary according to the Dickey-Fuller test</v>
      </c>
      <c r="G86" s="32"/>
      <c r="H86" s="30"/>
      <c r="I86" t="e" cm="1" vm="9">
        <f t="array" ref="I86">ISSTATIONARY()</f>
        <v>#VALUE!</v>
      </c>
    </row>
    <row r="87" spans="2:9" x14ac:dyDescent="0.25">
      <c r="B87" s="31" t="s">
        <v>335</v>
      </c>
      <c r="F87" s="29" t="str" cm="1">
        <f t="array" aca="1" ref="F87" ca="1">INDIRECT(B87&amp;"!A2")</f>
        <v>Stationarize a vector</v>
      </c>
      <c r="G87" s="32"/>
      <c r="H87" s="30"/>
      <c r="I87" t="e" cm="1" vm="3">
        <f t="array" ref="I87">STATIONARIZE()</f>
        <v>#VALUE!</v>
      </c>
    </row>
    <row r="88" spans="2:9" x14ac:dyDescent="0.25">
      <c r="B88" s="31" t="s">
        <v>468</v>
      </c>
      <c r="F88" s="29" t="str" cm="1">
        <f t="array" aca="1" ref="F88" ca="1">INDIRECT(B88&amp;"!A2")</f>
        <v>Returns the integration order of a vector</v>
      </c>
      <c r="G88" s="32"/>
      <c r="H88" s="30"/>
      <c r="I88" t="e" cm="1" vm="1">
        <f t="array" ref="I88">IORDER()</f>
        <v>#VALUE!</v>
      </c>
    </row>
    <row r="89" spans="2:9" x14ac:dyDescent="0.25">
      <c r="B89" s="31" t="s">
        <v>503</v>
      </c>
      <c r="F89" s="29" t="str" cm="1">
        <f t="array" aca="1" ref="F89" ca="1">INDIRECT(B89&amp;"!A2")</f>
        <v>Test whether two vectors are cointegrated (Engle–Granger method)</v>
      </c>
      <c r="G89" s="32"/>
      <c r="H89" s="30"/>
      <c r="I89" t="e" cm="1" vm="9">
        <f t="array" ref="I89">ISCOINTEGRATED()</f>
        <v>#VALUE!</v>
      </c>
    </row>
    <row r="90" spans="2:9" x14ac:dyDescent="0.25">
      <c r="B90" s="31" t="s">
        <v>155</v>
      </c>
      <c r="F90" s="29" t="str" cm="1">
        <f t="array" aca="1" ref="F90" ca="1">INDIRECT(B90&amp;"!A2")</f>
        <v>Seasonally adjust a (stationarized) time series with seasonal dummies</v>
      </c>
      <c r="G90" s="32"/>
      <c r="H90" s="30"/>
      <c r="I90" t="e" cm="1" vm="4">
        <f t="array" ref="I90">SEASADJ()</f>
        <v>#VALUE!</v>
      </c>
    </row>
    <row r="91" spans="2:9" x14ac:dyDescent="0.25">
      <c r="B91" s="31" t="s">
        <v>516</v>
      </c>
      <c r="F91" s="29" t="str" cm="1">
        <f t="array" aca="1" ref="F91" ca="1">INDIRECT(B91&amp;"!A2")</f>
        <v>Seasonal factors of a stationarized time series</v>
      </c>
      <c r="G91" s="32"/>
      <c r="H91" s="30"/>
      <c r="I91" t="e" cm="1" vm="4">
        <f t="array" ref="I91">SEASFACTOR()</f>
        <v>#VALUE!</v>
      </c>
    </row>
    <row r="92" spans="2:9" x14ac:dyDescent="0.25">
      <c r="B92" s="31" t="s">
        <v>185</v>
      </c>
      <c r="F92" s="29" t="str" cm="1">
        <f t="array" aca="1" ref="F92" ca="1">INDIRECT(B92&amp;"!A2")</f>
        <v>Detrend a time series</v>
      </c>
      <c r="G92" s="32"/>
      <c r="H92" s="30"/>
      <c r="I92" t="e" cm="1" vm="4">
        <f t="array" ref="I92">DETREND()</f>
        <v>#VALUE!</v>
      </c>
    </row>
    <row r="93" spans="2:9" x14ac:dyDescent="0.25">
      <c r="B93" s="31" t="s">
        <v>518</v>
      </c>
      <c r="F93" s="29" t="str" cm="1">
        <f t="array" aca="1" ref="F93" ca="1">INDIRECT(B93&amp;"!A2")</f>
        <v>Trend of a time series</v>
      </c>
      <c r="G93" s="32"/>
      <c r="H93" s="30"/>
      <c r="I93" t="e" cm="1" vm="4">
        <f t="array" ref="I93">TSTREND()</f>
        <v>#VALUE!</v>
      </c>
    </row>
    <row r="94" spans="2:9" x14ac:dyDescent="0.25">
      <c r="B94" s="31" t="s">
        <v>192</v>
      </c>
      <c r="F94" s="29" t="str" cm="1">
        <f t="array" aca="1" ref="F94" ca="1">INDIRECT(B94&amp;"!A2")</f>
        <v>Hodrick-Prescott filter for trend and cyclical components</v>
      </c>
      <c r="G94" s="32" t="s">
        <v>192</v>
      </c>
      <c r="H94" s="30"/>
      <c r="I94" t="e" cm="1" vm="2">
        <f t="array" ref="I94">HPFILTER()</f>
        <v>#VALUE!</v>
      </c>
    </row>
    <row r="95" spans="2:9" x14ac:dyDescent="0.25">
      <c r="B95" s="31" t="s">
        <v>207</v>
      </c>
      <c r="F95" s="29" t="str" cm="1">
        <f t="array" aca="1" ref="F95" ca="1">INDIRECT(B95&amp;"!A2")</f>
        <v>Lag a vector</v>
      </c>
      <c r="G95" s="32"/>
      <c r="H95" s="30"/>
      <c r="I95" t="e" cm="1" vm="9">
        <f t="array" ref="I95">LAG()</f>
        <v>#VALUE!</v>
      </c>
    </row>
    <row r="96" spans="2:9" x14ac:dyDescent="0.25">
      <c r="B96" s="31" t="s">
        <v>215</v>
      </c>
      <c r="F96" s="29" t="str" cm="1">
        <f t="array" aca="1" ref="F96" ca="1">INDIRECT(B96&amp;"!A2")</f>
        <v>Lead a vector</v>
      </c>
      <c r="G96" s="32"/>
      <c r="H96" s="30"/>
      <c r="I96" t="e" cm="1" vm="9">
        <f t="array" ref="I96">LEAD()</f>
        <v>#VALUE!</v>
      </c>
    </row>
    <row r="97" spans="2:9" x14ac:dyDescent="0.25">
      <c r="B97" s="31" t="s">
        <v>219</v>
      </c>
      <c r="F97" s="29" t="str" cm="1">
        <f t="array" aca="1" ref="F97" ca="1">INDIRECT(B97&amp;"!A2")</f>
        <v>Granger causality</v>
      </c>
      <c r="G97" s="32"/>
      <c r="H97" s="30"/>
      <c r="I97" t="e" cm="1" vm="6">
        <f t="array" ref="I97">GRANGER()</f>
        <v>#VALUE!</v>
      </c>
    </row>
    <row r="98" spans="2:9" x14ac:dyDescent="0.25">
      <c r="B98" s="31" t="s">
        <v>206</v>
      </c>
      <c r="F98" s="29" t="str" cm="1">
        <f t="array" aca="1" ref="F98" ca="1">INDIRECT(B98&amp;"!A2")</f>
        <v>Analysis of variance (1 factor or one-way)</v>
      </c>
      <c r="G98" s="32"/>
      <c r="H98" s="30"/>
      <c r="I98" t="e" cm="1" vm="2">
        <f t="array" ref="I98">ANOVA()</f>
        <v>#VALUE!</v>
      </c>
    </row>
    <row r="99" spans="2:9" x14ac:dyDescent="0.25">
      <c r="B99" s="31" t="s">
        <v>496</v>
      </c>
      <c r="F99" s="29" t="str" cm="1">
        <f t="array" aca="1" ref="F99" ca="1">INDIRECT(B99&amp;"!A2")</f>
        <v>Time series operation</v>
      </c>
      <c r="G99" s="32"/>
      <c r="H99" s="30"/>
      <c r="I99" t="e" cm="1" vm="2">
        <f t="array" ref="I99">TSOPER()</f>
        <v>#VALUE!</v>
      </c>
    </row>
    <row r="100" spans="2:9" x14ac:dyDescent="0.25">
      <c r="B100" s="31" t="s">
        <v>524</v>
      </c>
      <c r="F100" s="29" t="str" cm="1">
        <f t="array" aca="1" ref="F100" ca="1">INDIRECT(B100&amp;"!A2")</f>
        <v>Moving average of a matrix</v>
      </c>
      <c r="G100" s="32"/>
      <c r="H100" s="30"/>
      <c r="I100" t="e" cm="1" vm="1">
        <f t="array" ref="I100">MOVAVG()</f>
        <v>#VALUE!</v>
      </c>
    </row>
    <row r="101" spans="2:9" x14ac:dyDescent="0.25">
      <c r="B101" s="31" t="s">
        <v>531</v>
      </c>
      <c r="F101" s="29" t="str" cm="1">
        <f t="array" aca="1" ref="F101" ca="1">INDIRECT(B101&amp;"!A2")</f>
        <v>Moving sum of a matrix</v>
      </c>
      <c r="G101" s="32"/>
      <c r="H101" s="30"/>
      <c r="I101" t="e" cm="1" vm="1">
        <f t="array" ref="I101">MOVSUM()</f>
        <v>#VALUE!</v>
      </c>
    </row>
    <row r="102" spans="2:9" x14ac:dyDescent="0.25">
      <c r="B102" s="31" t="s">
        <v>532</v>
      </c>
      <c r="F102" s="29" t="str" cm="1">
        <f t="array" aca="1" ref="F102" ca="1">INDIRECT(B102&amp;"!A2")</f>
        <v>Moving product of a matrix</v>
      </c>
      <c r="G102" s="32"/>
      <c r="H102" s="30"/>
      <c r="I102" t="e" cm="1" vm="1">
        <f t="array" ref="I102">MOVPROD()</f>
        <v>#VALUE!</v>
      </c>
    </row>
    <row r="103" spans="2:9" x14ac:dyDescent="0.25">
      <c r="B103" s="31" t="s">
        <v>567</v>
      </c>
      <c r="F103" s="29" t="str" cm="1">
        <f t="array" aca="1" ref="F103" ca="1">INDIRECT(B103&amp;"!A2")</f>
        <v>Aggregate a time series to a lower time frequency</v>
      </c>
      <c r="G103" s="32"/>
      <c r="H103" s="30"/>
      <c r="I103" t="e" cm="1" vm="9">
        <f t="array" ref="I103">AGGREGBYDATE()</f>
        <v>#VALUE!</v>
      </c>
    </row>
    <row r="104" spans="2:9" x14ac:dyDescent="0.25">
      <c r="B104" s="31" t="s">
        <v>664</v>
      </c>
      <c r="F104" s="29" t="str" cm="1">
        <f t="array" aca="1" ref="F104" ca="1">INDIRECT(B104&amp;"!A2")</f>
        <v>Test for contagion using the Forbes and Rigobon test.</v>
      </c>
      <c r="G104" s="32"/>
      <c r="H104" s="30"/>
      <c r="I104" t="e" cm="1" vm="1">
        <f t="array" ref="I104">CONTAGION_FORBESRIGOBON()</f>
        <v>#VALUE!</v>
      </c>
    </row>
    <row r="105" spans="2:9" x14ac:dyDescent="0.25">
      <c r="B105" s="31" t="s">
        <v>659</v>
      </c>
      <c r="F105" s="29" t="str" cm="1">
        <f t="array" aca="1" ref="F105" ca="1">INDIRECT(B105&amp;"!A2")</f>
        <v>Test for contagion using the Covolatility test.</v>
      </c>
      <c r="G105" s="32"/>
      <c r="H105" s="30"/>
      <c r="I105" t="e" cm="1" vm="1">
        <f t="array" ref="I105">CONTAGION_COVOLATILITY()</f>
        <v>#VALUE!</v>
      </c>
    </row>
    <row r="106" spans="2:9" x14ac:dyDescent="0.25">
      <c r="B106" s="31" t="s">
        <v>668</v>
      </c>
      <c r="F106" s="29" t="str" cm="1">
        <f t="array" aca="1" ref="F106" ca="1">INDIRECT(B106&amp;"!A2")</f>
        <v>Test for contagion using the Cokurtosis test.</v>
      </c>
      <c r="G106" s="32"/>
      <c r="H106" s="30"/>
      <c r="I106" t="e" cm="1" vm="9">
        <f t="array" ref="I106">CONTAGION_COKURTOSIS()</f>
        <v>#VALUE!</v>
      </c>
    </row>
    <row r="107" spans="2:9" x14ac:dyDescent="0.25">
      <c r="B107" s="31" t="s">
        <v>671</v>
      </c>
      <c r="F107" s="29" t="str" cm="1">
        <f t="array" aca="1" ref="F107" ca="1">INDIRECT(B107&amp;"!A2")</f>
        <v>Test for contagion using the Coskewness test.</v>
      </c>
      <c r="G107" s="32"/>
      <c r="H107" s="30"/>
      <c r="I107" t="e" cm="1" vm="9">
        <f t="array" ref="I107">CONTAGION_COSKEWNESS()</f>
        <v>#VALUE!</v>
      </c>
    </row>
    <row r="108" spans="2:9" x14ac:dyDescent="0.25">
      <c r="B108" s="31" t="s">
        <v>816</v>
      </c>
      <c r="F108" s="29" t="str" cm="1">
        <f t="array" aca="1" ref="F108" ca="1">INDIRECT(B108&amp;"!A2")</f>
        <v>Correlation coefficients</v>
      </c>
      <c r="G108" s="32" t="s">
        <v>816</v>
      </c>
      <c r="H108" s="30"/>
      <c r="I108" t="e" cm="1" vm="4">
        <f t="array" ref="I108">CORRCOEF()</f>
        <v>#VALUE!</v>
      </c>
    </row>
    <row r="109" spans="2:9" ht="30" x14ac:dyDescent="0.25">
      <c r="B109" s="31" t="s">
        <v>831</v>
      </c>
      <c r="F109" s="29" t="str" cm="1">
        <f t="array" aca="1" ref="F109" ca="1">INDIRECT(B109&amp;"!A2")</f>
        <v>Test for multicollinearity using either the variance inflation factor test, the eigenvalues test or the condition index test</v>
      </c>
      <c r="G109" s="32"/>
      <c r="H109" s="30"/>
      <c r="I109" t="e" cm="1" vm="10">
        <f t="array" ref="I109">ISMULTICOLLINEAR()</f>
        <v>#VALUE!</v>
      </c>
    </row>
    <row r="110" spans="2:9" x14ac:dyDescent="0.25">
      <c r="B110" s="31" t="s">
        <v>834</v>
      </c>
      <c r="F110" s="29" t="str" cm="1">
        <f t="array" aca="1" ref="F110" ca="1">INDIRECT(B110&amp;"!A2")</f>
        <v>Calculates the variance inflation factor of a linear regression</v>
      </c>
      <c r="G110" s="32"/>
      <c r="H110" s="30"/>
      <c r="I110" t="e" cm="1" vm="2">
        <f t="array" ref="I110">VARINFLATIONFACTOR()</f>
        <v>#VALUE!</v>
      </c>
    </row>
    <row r="111" spans="2:9" ht="25.5" customHeight="1" x14ac:dyDescent="0.25"/>
    <row r="112" spans="2:9" ht="21" x14ac:dyDescent="0.35">
      <c r="B112" s="3" t="s">
        <v>501</v>
      </c>
    </row>
    <row r="113" spans="2:9" ht="22.5" customHeight="1" x14ac:dyDescent="0.25">
      <c r="B113" s="31" t="s">
        <v>883</v>
      </c>
      <c r="F113" s="29" t="s">
        <v>887</v>
      </c>
      <c r="G113" s="32"/>
      <c r="H113" s="30"/>
      <c r="I113" t="e" cm="1" vm="9">
        <f t="array" ref="I113">OLS_SUMMARY()</f>
        <v>#VALUE!</v>
      </c>
    </row>
    <row r="114" spans="2:9" x14ac:dyDescent="0.25">
      <c r="B114" s="31" t="s">
        <v>101</v>
      </c>
      <c r="F114" s="29" t="s">
        <v>134</v>
      </c>
      <c r="G114" s="32"/>
      <c r="H114" s="30"/>
      <c r="I114" t="e" cm="1" vm="4">
        <f t="array" ref="I114">OLS_COEFF()</f>
        <v>#VALUE!</v>
      </c>
    </row>
    <row r="115" spans="2:9" ht="30" x14ac:dyDescent="0.25">
      <c r="B115" s="31" t="s">
        <v>142</v>
      </c>
      <c r="F115" s="29" t="s">
        <v>271</v>
      </c>
      <c r="G115" s="32"/>
      <c r="H115" s="30"/>
      <c r="I115" t="e" cm="1" vm="2">
        <f t="array" ref="I115">OLS_COEFF_STDEV()</f>
        <v>#VALUE!</v>
      </c>
    </row>
    <row r="116" spans="2:9" ht="30" x14ac:dyDescent="0.25">
      <c r="B116" s="31" t="s">
        <v>422</v>
      </c>
      <c r="F116" s="29" t="s">
        <v>424</v>
      </c>
      <c r="G116" s="32"/>
      <c r="H116" s="30"/>
      <c r="I116" t="e" cm="1" vm="2">
        <f t="array" ref="I116">OLS_COEFF_STDEV_HAC()</f>
        <v>#VALUE!</v>
      </c>
    </row>
    <row r="117" spans="2:9" ht="30" x14ac:dyDescent="0.25">
      <c r="B117" s="31" t="s">
        <v>269</v>
      </c>
      <c r="F117" s="29" t="s">
        <v>270</v>
      </c>
      <c r="G117" s="32"/>
      <c r="H117" s="30"/>
      <c r="I117" t="e" cm="1" vm="2">
        <f t="array" ref="I117">OLS_COEFF_TSTAT()</f>
        <v>#VALUE!</v>
      </c>
    </row>
    <row r="118" spans="2:9" ht="30" x14ac:dyDescent="0.25">
      <c r="B118" s="31" t="s">
        <v>425</v>
      </c>
      <c r="F118" s="29" t="s">
        <v>427</v>
      </c>
      <c r="G118" s="32"/>
      <c r="H118" s="30"/>
      <c r="I118" t="e" cm="1" vm="2">
        <f t="array" ref="I118">OLS_COEFF_TSTAT_HAC()</f>
        <v>#VALUE!</v>
      </c>
    </row>
    <row r="119" spans="2:9" ht="30" x14ac:dyDescent="0.25">
      <c r="B119" s="31" t="s">
        <v>303</v>
      </c>
      <c r="F119" s="29" t="s">
        <v>304</v>
      </c>
      <c r="G119" s="32"/>
      <c r="H119" s="30"/>
      <c r="I119" t="e" cm="1" vm="2">
        <f t="array" ref="I119">OLS_COEFF_PVALUE()</f>
        <v>#VALUE!</v>
      </c>
    </row>
    <row r="120" spans="2:9" ht="30" x14ac:dyDescent="0.25">
      <c r="B120" s="31" t="s">
        <v>426</v>
      </c>
      <c r="F120" s="29" t="s">
        <v>304</v>
      </c>
      <c r="G120" s="32"/>
      <c r="H120" s="30"/>
      <c r="I120" t="e" cm="1" vm="2">
        <f t="array" ref="I120">OLS_COEFF_PVALUE_HAC()</f>
        <v>#VALUE!</v>
      </c>
    </row>
    <row r="121" spans="2:9" ht="30" x14ac:dyDescent="0.25">
      <c r="B121" s="31" t="s">
        <v>143</v>
      </c>
      <c r="F121" s="29" t="s">
        <v>144</v>
      </c>
      <c r="G121" s="32"/>
      <c r="H121" s="30"/>
      <c r="I121" t="e" cm="1" vm="2">
        <f t="array" ref="I121">OLS_VARCOV()</f>
        <v>#VALUE!</v>
      </c>
    </row>
    <row r="122" spans="2:9" ht="30" x14ac:dyDescent="0.25">
      <c r="B122" s="31" t="s">
        <v>421</v>
      </c>
      <c r="F122" s="29" t="s">
        <v>423</v>
      </c>
      <c r="G122" s="32"/>
      <c r="H122" s="30"/>
      <c r="I122" t="e" cm="1" vm="2">
        <f t="array" ref="I122">OLS_VARCOV_HAC()</f>
        <v>#VALUE!</v>
      </c>
    </row>
    <row r="123" spans="2:9" x14ac:dyDescent="0.25">
      <c r="B123" s="31" t="s">
        <v>102</v>
      </c>
      <c r="F123" s="29" t="s">
        <v>135</v>
      </c>
      <c r="G123" s="32"/>
      <c r="H123" s="30"/>
      <c r="I123" t="e" cm="1" vm="2">
        <f t="array" ref="I123">OLS_FITTED()</f>
        <v>#VALUE!</v>
      </c>
    </row>
    <row r="124" spans="2:9" x14ac:dyDescent="0.25">
      <c r="B124" s="31" t="s">
        <v>103</v>
      </c>
      <c r="F124" s="29" t="s">
        <v>136</v>
      </c>
      <c r="G124" s="32"/>
      <c r="H124" s="30"/>
      <c r="I124" t="e" cm="1" vm="2">
        <f t="array" ref="I124">OLS_RESIDUALS()</f>
        <v>#VALUE!</v>
      </c>
    </row>
    <row r="125" spans="2:9" x14ac:dyDescent="0.25">
      <c r="B125" s="31" t="s">
        <v>489</v>
      </c>
      <c r="F125" s="29" t="s">
        <v>492</v>
      </c>
      <c r="G125" s="32"/>
      <c r="H125" s="30"/>
      <c r="I125" t="e" cm="1" vm="6">
        <f t="array" ref="I125">OLS_RESIDUALS_STD()</f>
        <v>#VALUE!</v>
      </c>
    </row>
    <row r="126" spans="2:9" ht="30" x14ac:dyDescent="0.25">
      <c r="B126" s="31" t="s">
        <v>491</v>
      </c>
      <c r="F126" s="29" t="s">
        <v>493</v>
      </c>
      <c r="G126" s="32"/>
      <c r="H126" s="30"/>
      <c r="I126" t="e" cm="1" vm="2">
        <f t="array" ref="I126">OLS_RESIDUALS_PARTIAL()</f>
        <v>#VALUE!</v>
      </c>
    </row>
    <row r="127" spans="2:9" ht="30" x14ac:dyDescent="0.25">
      <c r="B127" s="31" t="s">
        <v>886</v>
      </c>
      <c r="F127" s="29" t="s">
        <v>888</v>
      </c>
      <c r="G127" s="32"/>
      <c r="H127" s="30"/>
      <c r="I127" t="e" cm="1" vm="6">
        <f t="array" ref="I127">OLS_RESIDUALS_AR()</f>
        <v>#VALUE!</v>
      </c>
    </row>
    <row r="128" spans="2:9" ht="30" x14ac:dyDescent="0.25">
      <c r="B128" s="31" t="s">
        <v>410</v>
      </c>
      <c r="F128" s="29" t="s">
        <v>411</v>
      </c>
      <c r="G128" s="32"/>
      <c r="H128" s="30"/>
      <c r="I128" t="e" cm="1" vm="2">
        <f t="array" ref="I128">OLS_STDEV()</f>
        <v>#VALUE!</v>
      </c>
    </row>
    <row r="129" spans="2:9" ht="30" x14ac:dyDescent="0.25">
      <c r="B129" s="31" t="s">
        <v>412</v>
      </c>
      <c r="F129" s="29" t="s">
        <v>414</v>
      </c>
      <c r="G129" s="32"/>
      <c r="H129" s="30"/>
      <c r="I129" t="e" cm="1" vm="2">
        <f t="array" ref="I129">OLS_ESS()</f>
        <v>#VALUE!</v>
      </c>
    </row>
    <row r="130" spans="2:9" x14ac:dyDescent="0.25">
      <c r="B130" s="31" t="s">
        <v>413</v>
      </c>
      <c r="F130" s="29" t="s">
        <v>415</v>
      </c>
      <c r="G130" s="32"/>
      <c r="H130" s="30"/>
      <c r="I130" t="e" cm="1" vm="2">
        <f t="array" ref="I130">OLS_RSS()</f>
        <v>#VALUE!</v>
      </c>
    </row>
    <row r="131" spans="2:9" x14ac:dyDescent="0.25">
      <c r="B131" s="31" t="s">
        <v>417</v>
      </c>
      <c r="F131" s="29" t="s">
        <v>418</v>
      </c>
      <c r="G131" s="32"/>
      <c r="H131" s="30"/>
      <c r="I131" t="e" cm="1" vm="2">
        <f t="array" ref="I131">OLS_TSS()</f>
        <v>#VALUE!</v>
      </c>
    </row>
    <row r="132" spans="2:9" x14ac:dyDescent="0.25">
      <c r="B132" s="31" t="s">
        <v>443</v>
      </c>
      <c r="F132" s="29" t="s">
        <v>444</v>
      </c>
      <c r="G132" s="32"/>
      <c r="H132" s="30"/>
      <c r="I132" t="e" cm="1" vm="2">
        <f t="array" ref="I132">OLS_FSTAT()</f>
        <v>#VALUE!</v>
      </c>
    </row>
    <row r="133" spans="2:9" x14ac:dyDescent="0.25">
      <c r="B133" s="31" t="s">
        <v>445</v>
      </c>
      <c r="F133" s="29" t="s">
        <v>446</v>
      </c>
      <c r="G133" s="32"/>
      <c r="H133" s="30"/>
      <c r="I133" t="e" cm="1" vm="2">
        <f t="array" ref="I133">OLS_FSTAT_PVALUE()</f>
        <v>#VALUE!</v>
      </c>
    </row>
    <row r="134" spans="2:9" x14ac:dyDescent="0.25">
      <c r="B134" s="31" t="s">
        <v>409</v>
      </c>
      <c r="F134" s="29" t="s">
        <v>416</v>
      </c>
      <c r="G134" s="32"/>
      <c r="H134" s="30"/>
      <c r="I134" t="e" cm="1" vm="2">
        <f t="array" ref="I134">OLS_R2()</f>
        <v>#VALUE!</v>
      </c>
    </row>
    <row r="135" spans="2:9" ht="30" x14ac:dyDescent="0.25">
      <c r="B135" s="31" t="s">
        <v>419</v>
      </c>
      <c r="F135" s="29" t="s">
        <v>420</v>
      </c>
      <c r="G135" s="32"/>
      <c r="H135" s="30"/>
      <c r="I135" t="e" cm="1" vm="2">
        <f t="array" ref="I135">OLS_R2_ADJUSTED()</f>
        <v>#VALUE!</v>
      </c>
    </row>
    <row r="136" spans="2:9" x14ac:dyDescent="0.25">
      <c r="B136" s="31" t="s">
        <v>305</v>
      </c>
      <c r="F136" s="29" t="s">
        <v>308</v>
      </c>
      <c r="G136" s="32"/>
      <c r="H136" s="30"/>
      <c r="I136" t="e" cm="1" vm="2">
        <f t="array" ref="I136">OLS_LOGLIKELIHOOD()</f>
        <v>#VALUE!</v>
      </c>
    </row>
    <row r="137" spans="2:9" ht="30" x14ac:dyDescent="0.25">
      <c r="B137" s="31" t="s">
        <v>306</v>
      </c>
      <c r="F137" s="29" t="s">
        <v>309</v>
      </c>
      <c r="G137" s="32"/>
      <c r="H137" s="30"/>
      <c r="I137" t="e" cm="1" vm="2">
        <f t="array" ref="I137">OLS_AIC()</f>
        <v>#VALUE!</v>
      </c>
    </row>
    <row r="138" spans="2:9" ht="30" x14ac:dyDescent="0.25">
      <c r="B138" s="31" t="s">
        <v>307</v>
      </c>
      <c r="F138" s="29" t="s">
        <v>310</v>
      </c>
      <c r="G138" s="32"/>
      <c r="H138" s="30"/>
      <c r="I138" t="e" cm="1" vm="2">
        <f t="array" ref="I138">OLS_BIC()</f>
        <v>#VALUE!</v>
      </c>
    </row>
    <row r="139" spans="2:9" ht="30" x14ac:dyDescent="0.25">
      <c r="B139" s="31" t="s">
        <v>884</v>
      </c>
      <c r="F139" s="29" t="s">
        <v>885</v>
      </c>
      <c r="G139" s="32"/>
      <c r="H139" s="30"/>
      <c r="I139" t="e" cm="1" vm="2">
        <f t="array" ref="I139">OLS_HQC()</f>
        <v>#VALUE!</v>
      </c>
    </row>
    <row r="140" spans="2:9" ht="30" x14ac:dyDescent="0.25">
      <c r="B140" s="31" t="s">
        <v>311</v>
      </c>
      <c r="F140" s="29" t="s">
        <v>312</v>
      </c>
      <c r="G140" s="32"/>
      <c r="H140" s="30"/>
      <c r="I140" t="e" cm="1" vm="3">
        <f t="array" ref="I140">OLS_OPTIMAL_LAG()</f>
        <v>#VALUE!</v>
      </c>
    </row>
    <row r="141" spans="2:9" ht="30" x14ac:dyDescent="0.25">
      <c r="B141" s="31" t="s">
        <v>484</v>
      </c>
      <c r="F141" s="29" t="s">
        <v>486</v>
      </c>
      <c r="G141" s="32"/>
      <c r="H141" s="30"/>
      <c r="I141" t="e" cm="1" vm="1">
        <f t="array" ref="I141">OLS_LEVERAGE()</f>
        <v>#VALUE!</v>
      </c>
    </row>
    <row r="142" spans="2:9" ht="30" x14ac:dyDescent="0.25">
      <c r="B142" s="31" t="s">
        <v>485</v>
      </c>
      <c r="F142" s="29" t="s">
        <v>487</v>
      </c>
      <c r="G142" s="32"/>
      <c r="H142" s="30"/>
      <c r="I142" t="e" cm="1" vm="1">
        <f t="array" ref="I142">OLS_COOKS_DISTANCE()</f>
        <v>#VALUE!</v>
      </c>
    </row>
    <row r="143" spans="2:9" ht="30" x14ac:dyDescent="0.25">
      <c r="B143" s="31" t="s">
        <v>488</v>
      </c>
      <c r="F143" s="29" t="s">
        <v>494</v>
      </c>
      <c r="G143" s="32"/>
      <c r="H143" s="30"/>
      <c r="I143" t="e" cm="1" vm="1">
        <f t="array" ref="I143">OLS_CONF_INTERVAL()</f>
        <v>#VALUE!</v>
      </c>
    </row>
    <row r="144" spans="2:9" ht="30" x14ac:dyDescent="0.25">
      <c r="B144" s="31" t="s">
        <v>490</v>
      </c>
      <c r="F144" s="29" t="s">
        <v>495</v>
      </c>
      <c r="G144" s="32"/>
      <c r="H144" s="30"/>
      <c r="I144" t="e" cm="1" vm="1">
        <f t="array" ref="I144">OLS_PRED_INTERVAL()</f>
        <v>#VALUE!</v>
      </c>
    </row>
    <row r="146" spans="1:1" ht="18.75" x14ac:dyDescent="0.3">
      <c r="A146" s="16" t="s">
        <v>57</v>
      </c>
    </row>
    <row r="148" spans="1:1" x14ac:dyDescent="0.25">
      <c r="A148" t="s">
        <v>675</v>
      </c>
    </row>
    <row r="149" spans="1:1" x14ac:dyDescent="0.25">
      <c r="A149" t="s">
        <v>951</v>
      </c>
    </row>
    <row r="150" spans="1:1" x14ac:dyDescent="0.25">
      <c r="A150" t="s">
        <v>908</v>
      </c>
    </row>
    <row r="151" spans="1:1" x14ac:dyDescent="0.25">
      <c r="A151" t="s">
        <v>850</v>
      </c>
    </row>
    <row r="152" spans="1:1" x14ac:dyDescent="0.25">
      <c r="A152" t="s">
        <v>882</v>
      </c>
    </row>
    <row r="153" spans="1:1" x14ac:dyDescent="0.25">
      <c r="A153" t="s">
        <v>878</v>
      </c>
    </row>
    <row r="154" spans="1:1" x14ac:dyDescent="0.25">
      <c r="A154" t="s">
        <v>890</v>
      </c>
    </row>
    <row r="155" spans="1:1" x14ac:dyDescent="0.25">
      <c r="A155" t="s">
        <v>898</v>
      </c>
    </row>
    <row r="156" spans="1:1" x14ac:dyDescent="0.25">
      <c r="A156" t="s">
        <v>899</v>
      </c>
    </row>
    <row r="157" spans="1:1" x14ac:dyDescent="0.25">
      <c r="A157" t="s">
        <v>904</v>
      </c>
    </row>
    <row r="158" spans="1:1" x14ac:dyDescent="0.25">
      <c r="A158" t="s">
        <v>915</v>
      </c>
    </row>
    <row r="159" spans="1:1" x14ac:dyDescent="0.25">
      <c r="A159" t="s">
        <v>916</v>
      </c>
    </row>
    <row r="160" spans="1:1" x14ac:dyDescent="0.25">
      <c r="A160" t="s">
        <v>953</v>
      </c>
    </row>
    <row r="162" spans="1:1" x14ac:dyDescent="0.25">
      <c r="A162" t="s">
        <v>507</v>
      </c>
    </row>
    <row r="163" spans="1:1" x14ac:dyDescent="0.25">
      <c r="A163" t="s">
        <v>633</v>
      </c>
    </row>
    <row r="164" spans="1:1" x14ac:dyDescent="0.25">
      <c r="A164" t="s">
        <v>508</v>
      </c>
    </row>
    <row r="165" spans="1:1" x14ac:dyDescent="0.25">
      <c r="A165" t="s">
        <v>523</v>
      </c>
    </row>
    <row r="167" spans="1:1" x14ac:dyDescent="0.25">
      <c r="A167" t="s">
        <v>301</v>
      </c>
    </row>
    <row r="168" spans="1:1" x14ac:dyDescent="0.25">
      <c r="A168" t="s">
        <v>504</v>
      </c>
    </row>
    <row r="169" spans="1:1" x14ac:dyDescent="0.25">
      <c r="A169" t="s">
        <v>380</v>
      </c>
    </row>
    <row r="170" spans="1:1" x14ac:dyDescent="0.25">
      <c r="A170" t="s">
        <v>379</v>
      </c>
    </row>
    <row r="171" spans="1:1" x14ac:dyDescent="0.25">
      <c r="A171" t="s">
        <v>325</v>
      </c>
    </row>
    <row r="172" spans="1:1" x14ac:dyDescent="0.25">
      <c r="A172" t="s">
        <v>273</v>
      </c>
    </row>
    <row r="173" spans="1:1" x14ac:dyDescent="0.25">
      <c r="A173" t="s">
        <v>279</v>
      </c>
    </row>
    <row r="174" spans="1:1" x14ac:dyDescent="0.25">
      <c r="A174" t="s">
        <v>327</v>
      </c>
    </row>
    <row r="175" spans="1:1" x14ac:dyDescent="0.25">
      <c r="A175" t="s">
        <v>374</v>
      </c>
    </row>
    <row r="176" spans="1:1" x14ac:dyDescent="0.25">
      <c r="A176" t="s">
        <v>361</v>
      </c>
    </row>
    <row r="177" spans="1:1" x14ac:dyDescent="0.25">
      <c r="A177" t="s">
        <v>348</v>
      </c>
    </row>
    <row r="178" spans="1:1" x14ac:dyDescent="0.25">
      <c r="A178" t="s">
        <v>369</v>
      </c>
    </row>
    <row r="179" spans="1:1" x14ac:dyDescent="0.25">
      <c r="A179" t="s">
        <v>385</v>
      </c>
    </row>
    <row r="180" spans="1:1" x14ac:dyDescent="0.25">
      <c r="A180" t="s">
        <v>390</v>
      </c>
    </row>
    <row r="181" spans="1:1" x14ac:dyDescent="0.25">
      <c r="A181" t="s">
        <v>428</v>
      </c>
    </row>
    <row r="182" spans="1:1" x14ac:dyDescent="0.25">
      <c r="A182" t="s">
        <v>451</v>
      </c>
    </row>
    <row r="183" spans="1:1" x14ac:dyDescent="0.25">
      <c r="A183" t="s">
        <v>467</v>
      </c>
    </row>
    <row r="185" spans="1:1" x14ac:dyDescent="0.25">
      <c r="A185" t="s">
        <v>262</v>
      </c>
    </row>
    <row r="186" spans="1:1" x14ac:dyDescent="0.25">
      <c r="A186" t="s">
        <v>263</v>
      </c>
    </row>
    <row r="188" spans="1:1" x14ac:dyDescent="0.25">
      <c r="A188" t="s">
        <v>191</v>
      </c>
    </row>
    <row r="189" spans="1:1" x14ac:dyDescent="0.25">
      <c r="A189" t="s">
        <v>205</v>
      </c>
    </row>
    <row r="191" spans="1:1" x14ac:dyDescent="0.25">
      <c r="A191" t="s">
        <v>183</v>
      </c>
    </row>
    <row r="192" spans="1:1" x14ac:dyDescent="0.25">
      <c r="A192" t="s">
        <v>184</v>
      </c>
    </row>
    <row r="194" spans="1:1" x14ac:dyDescent="0.25">
      <c r="A194" t="s">
        <v>181</v>
      </c>
    </row>
    <row r="195" spans="1:1" x14ac:dyDescent="0.25">
      <c r="A195" t="s">
        <v>180</v>
      </c>
    </row>
    <row r="197" spans="1:1" x14ac:dyDescent="0.25">
      <c r="A197" t="s">
        <v>59</v>
      </c>
    </row>
    <row r="198" spans="1:1" x14ac:dyDescent="0.25">
      <c r="A198" t="s">
        <v>60</v>
      </c>
    </row>
    <row r="199" spans="1:1" x14ac:dyDescent="0.25">
      <c r="A199" t="s">
        <v>149</v>
      </c>
    </row>
    <row r="200" spans="1:1" x14ac:dyDescent="0.25">
      <c r="A200" t="s">
        <v>151</v>
      </c>
    </row>
    <row r="201" spans="1:1" x14ac:dyDescent="0.25">
      <c r="A201" t="s">
        <v>152</v>
      </c>
    </row>
    <row r="202" spans="1:1" x14ac:dyDescent="0.25">
      <c r="A202" t="s">
        <v>150</v>
      </c>
    </row>
    <row r="204" spans="1:1" x14ac:dyDescent="0.25">
      <c r="A204" t="s">
        <v>58</v>
      </c>
    </row>
    <row r="205" spans="1:1" x14ac:dyDescent="0.25">
      <c r="A205" t="s">
        <v>61</v>
      </c>
    </row>
  </sheetData>
  <mergeCells count="2">
    <mergeCell ref="A6:F6"/>
    <mergeCell ref="A8:I8"/>
  </mergeCells>
  <pageMargins left="0.511811024" right="0.511811024" top="0.78740157499999996" bottom="0.78740157499999996" header="0.31496062000000002" footer="0.31496062000000002"/>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23F5C-C4F5-4E87-B96E-C1138A322570}">
  <sheetPr codeName="Planilha1">
    <tabColor theme="9" tint="0.59999389629810485"/>
  </sheetPr>
  <dimension ref="A1:CK33"/>
  <sheetViews>
    <sheetView showGridLines="0" topLeftCell="AS1" workbookViewId="0">
      <selection activeCell="BL21" sqref="BL21"/>
    </sheetView>
  </sheetViews>
  <sheetFormatPr defaultColWidth="8.85546875" defaultRowHeight="15" x14ac:dyDescent="0.25"/>
  <cols>
    <col min="1" max="3" width="8" customWidth="1"/>
    <col min="7" max="7" width="3.7109375" customWidth="1"/>
    <col min="8" max="9" width="11.42578125" customWidth="1"/>
    <col min="10" max="10" width="10" customWidth="1"/>
    <col min="11" max="12" width="11.42578125" customWidth="1"/>
    <col min="13" max="14" width="10" customWidth="1"/>
    <col min="15" max="16" width="11.42578125" customWidth="1"/>
    <col min="17" max="18" width="10" customWidth="1"/>
    <col min="19" max="20" width="11.42578125" customWidth="1"/>
    <col min="21" max="22" width="10" customWidth="1"/>
    <col min="25" max="25" width="3.7109375" customWidth="1"/>
    <col min="26" max="27" width="11.42578125" customWidth="1"/>
    <col min="28" max="28" width="10" customWidth="1"/>
    <col min="29" max="31" width="11.42578125" customWidth="1"/>
    <col min="32" max="32" width="10" customWidth="1"/>
    <col min="33" max="35" width="11.42578125" customWidth="1"/>
    <col min="36" max="36" width="7.7109375" customWidth="1"/>
    <col min="37" max="37" width="5.7109375" customWidth="1"/>
    <col min="39" max="39" width="3.7109375" customWidth="1"/>
    <col min="40" max="40" width="5.7109375" customWidth="1"/>
    <col min="42" max="42" width="9.5703125" customWidth="1"/>
    <col min="43" max="43" width="7.7109375" customWidth="1"/>
    <col min="45" max="45" width="9.5703125" customWidth="1"/>
    <col min="48" max="48" width="6" bestFit="1" customWidth="1"/>
    <col min="51" max="51" width="8.85546875" customWidth="1"/>
    <col min="52" max="52" width="2.7109375" customWidth="1"/>
    <col min="55" max="55" width="6" bestFit="1" customWidth="1"/>
    <col min="58" max="58" width="8.85546875" customWidth="1"/>
    <col min="59" max="59" width="2.7109375" customWidth="1"/>
    <col min="60" max="60" width="8.85546875" customWidth="1"/>
    <col min="63" max="63" width="6.42578125" customWidth="1"/>
    <col min="67" max="67" width="6.42578125" customWidth="1"/>
    <col min="68" max="68" width="12.42578125" customWidth="1"/>
    <col min="69" max="69" width="9.85546875" customWidth="1"/>
    <col min="71" max="71" width="6.42578125" customWidth="1"/>
    <col min="72" max="72" width="12.42578125" customWidth="1"/>
    <col min="73" max="73" width="9.85546875" customWidth="1"/>
    <col min="75" max="75" width="6.42578125" customWidth="1"/>
    <col min="76" max="76" width="12.42578125" customWidth="1"/>
    <col min="77" max="77" width="9.85546875" customWidth="1"/>
    <col min="79" max="79" width="6.42578125" customWidth="1"/>
    <col min="82" max="82" width="6.42578125" customWidth="1"/>
    <col min="85" max="85" width="6.42578125" customWidth="1"/>
    <col min="87" max="88" width="12.42578125" bestFit="1" customWidth="1"/>
  </cols>
  <sheetData>
    <row r="1" spans="1:89" ht="23.25" x14ac:dyDescent="0.35">
      <c r="A1" s="4" t="s">
        <v>67</v>
      </c>
    </row>
    <row r="3" spans="1:89" x14ac:dyDescent="0.25">
      <c r="E3" s="7" t="s">
        <v>7</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c r="CK3" s="7"/>
    </row>
    <row r="4" spans="1:89" x14ac:dyDescent="0.25">
      <c r="A4" s="1" t="s">
        <v>4</v>
      </c>
      <c r="E4" s="1" t="s">
        <v>5</v>
      </c>
      <c r="F4" s="1"/>
      <c r="G4" s="1"/>
      <c r="H4" s="1" t="s">
        <v>6</v>
      </c>
      <c r="I4" s="1"/>
      <c r="J4" s="1"/>
      <c r="K4" s="1" t="s">
        <v>272</v>
      </c>
      <c r="L4" s="1"/>
      <c r="M4" s="1"/>
      <c r="N4" s="1"/>
      <c r="O4" s="1" t="s">
        <v>323</v>
      </c>
      <c r="P4" s="1"/>
      <c r="Q4" s="1"/>
      <c r="R4" s="1"/>
      <c r="S4" s="1" t="s">
        <v>375</v>
      </c>
      <c r="T4" s="1"/>
      <c r="U4" s="1"/>
      <c r="V4" s="1"/>
      <c r="W4" s="1" t="s">
        <v>94</v>
      </c>
      <c r="X4" s="1"/>
      <c r="Y4" s="1"/>
      <c r="Z4" s="1" t="s">
        <v>95</v>
      </c>
      <c r="AA4" s="1"/>
      <c r="AB4" s="1"/>
      <c r="AC4" s="1" t="s">
        <v>324</v>
      </c>
      <c r="AD4" s="1"/>
      <c r="AE4" s="1"/>
      <c r="AF4" s="1"/>
      <c r="AG4" s="1" t="s">
        <v>376</v>
      </c>
      <c r="AH4" s="1"/>
      <c r="AI4" s="1"/>
      <c r="AJ4" s="1"/>
      <c r="AK4" s="1" t="s">
        <v>430</v>
      </c>
      <c r="AL4" s="1"/>
      <c r="AM4" s="1"/>
      <c r="AN4" s="1" t="s">
        <v>431</v>
      </c>
      <c r="AO4" s="1"/>
      <c r="AP4" s="1"/>
      <c r="AQ4" s="1" t="s">
        <v>454</v>
      </c>
      <c r="AR4" s="1"/>
      <c r="AS4" s="1"/>
      <c r="AT4" s="1" t="s">
        <v>75</v>
      </c>
      <c r="AU4" s="1"/>
      <c r="AV4" s="1"/>
      <c r="AW4" s="1" t="s">
        <v>76</v>
      </c>
      <c r="AX4" s="1"/>
      <c r="AY4" s="1"/>
      <c r="BA4" s="1" t="s">
        <v>919</v>
      </c>
      <c r="BB4" s="1"/>
      <c r="BC4" s="1"/>
      <c r="BD4" s="1" t="s">
        <v>920</v>
      </c>
      <c r="BE4" s="1"/>
      <c r="BF4" s="1"/>
      <c r="BH4" s="1" t="s">
        <v>457</v>
      </c>
      <c r="BL4" s="1" t="s">
        <v>458</v>
      </c>
      <c r="BP4" s="1" t="s">
        <v>97</v>
      </c>
      <c r="BT4" s="1" t="s">
        <v>360</v>
      </c>
      <c r="BX4" s="1" t="s">
        <v>331</v>
      </c>
      <c r="CB4" s="1" t="s">
        <v>104</v>
      </c>
      <c r="CE4" s="1" t="s">
        <v>329</v>
      </c>
      <c r="CH4" s="1" t="s">
        <v>377</v>
      </c>
    </row>
    <row r="5" spans="1:89" x14ac:dyDescent="0.25">
      <c r="A5" s="5" t="s">
        <v>1</v>
      </c>
      <c r="B5" s="5" t="s">
        <v>2</v>
      </c>
      <c r="C5" s="5" t="s">
        <v>3</v>
      </c>
      <c r="E5" s="5" t="s">
        <v>1</v>
      </c>
      <c r="F5" s="5" t="s">
        <v>2</v>
      </c>
      <c r="H5" s="5" t="s">
        <v>1</v>
      </c>
      <c r="I5" s="5" t="s">
        <v>2</v>
      </c>
      <c r="K5" s="5" t="s">
        <v>1</v>
      </c>
      <c r="L5" s="5" t="s">
        <v>2</v>
      </c>
      <c r="M5" s="5" t="s">
        <v>3</v>
      </c>
      <c r="O5" s="5" t="s">
        <v>1</v>
      </c>
      <c r="P5" s="5" t="s">
        <v>2</v>
      </c>
      <c r="Q5" s="5" t="s">
        <v>3</v>
      </c>
      <c r="S5" s="98"/>
      <c r="T5" s="98"/>
      <c r="U5" s="98"/>
      <c r="W5" s="5" t="s">
        <v>1</v>
      </c>
      <c r="X5" s="5" t="s">
        <v>2</v>
      </c>
      <c r="Z5" s="5" t="s">
        <v>1</v>
      </c>
      <c r="AA5" s="5" t="s">
        <v>2</v>
      </c>
      <c r="AC5" s="5" t="s">
        <v>1</v>
      </c>
      <c r="AD5" s="5" t="s">
        <v>2</v>
      </c>
      <c r="AE5" s="5" t="s">
        <v>3</v>
      </c>
      <c r="AG5" s="5" t="s">
        <v>1</v>
      </c>
      <c r="AH5" s="5" t="s">
        <v>2</v>
      </c>
      <c r="AI5" s="5" t="s">
        <v>3</v>
      </c>
      <c r="AK5" s="5"/>
      <c r="AL5" s="5"/>
      <c r="AN5" s="5"/>
      <c r="AO5" s="5"/>
      <c r="AQ5" s="5"/>
      <c r="AR5" s="5"/>
      <c r="AT5" s="8" t="s">
        <v>9</v>
      </c>
      <c r="AU5" s="8"/>
      <c r="AW5" s="8" t="s">
        <v>10</v>
      </c>
      <c r="AX5" s="5"/>
      <c r="AY5" s="5"/>
      <c r="BA5" s="8" t="s">
        <v>917</v>
      </c>
      <c r="BB5" s="8"/>
      <c r="BD5" s="8" t="s">
        <v>918</v>
      </c>
      <c r="BE5" s="5"/>
      <c r="BF5" s="5"/>
      <c r="BH5" s="8"/>
      <c r="BI5" s="5"/>
      <c r="BJ5" s="5"/>
      <c r="BL5" s="8"/>
      <c r="BM5" s="5"/>
      <c r="BN5" s="5"/>
      <c r="BP5" s="8"/>
      <c r="BQ5" s="5"/>
      <c r="BR5" s="5"/>
      <c r="BT5" s="8"/>
      <c r="BU5" s="5"/>
      <c r="BV5" s="5"/>
      <c r="BX5" s="8"/>
      <c r="BY5" s="5"/>
      <c r="BZ5" s="5"/>
      <c r="CB5" s="8"/>
      <c r="CC5" s="5"/>
      <c r="CE5" s="8"/>
      <c r="CF5" s="5"/>
      <c r="CH5" s="8"/>
      <c r="CI5" s="5"/>
      <c r="CJ5" s="5"/>
      <c r="CK5" s="5"/>
    </row>
    <row r="6" spans="1:89" x14ac:dyDescent="0.25">
      <c r="A6" s="10">
        <v>1</v>
      </c>
      <c r="B6" s="10">
        <v>100</v>
      </c>
      <c r="C6" s="10">
        <v>1000</v>
      </c>
      <c r="E6" cm="1">
        <f t="array" ref="E6:F8">_xlfn.LAMBDA(_xlpm.matrix,_xlop.lin_start,_xlop.lin_end,_xlop.col_start,_xlop.col_end,_xlop.patch,_xlop.remove,
_xlfn.LET(
_xlpm.lin_start, IF( OR( _xlfn.ISOMITTED(_xlpm.lin_start), _xlpm.lin_start=0), 1, IF(ISTEXT(_xlpm.lin_start), MATCH(_xlpm.lin_start,INDEX(_xlpm.matrix,0,1),0),_xlpm.lin_start)),
_xlpm.lin_end, IF( OR(_xlfn.ISOMITTED(_xlpm.lin_end), _xlpm.lin_end=0), ROWS(_xlpm.matrix), IF(ISTEXT(_xlpm.lin_end),MATCH(_xlpm.lin_end,INDEX(_xlpm.matrix,0,1),0),_xlpm.lin_end)),
_xlpm.col_start, IF(OR(_xlfn.ISOMITTED(_xlpm.col_start), _xlpm.col_start=0),1, IF(ISTEXT(_xlpm.col_start), MATCH(_xlpm.col_start,INDEX(_xlpm.matrix,1,0),0),_xlpm.col_start)),
_xlpm.col_end, IF( OR(_xlfn.ISOMITTED(_xlpm.col_end), _xlpm.col_end=0), COLUMNS(_xlpm.matrix), IF(ISTEXT(_xlpm.col_end), MATCH(_xlpm.col_end,INDEX(_xlpm.matrix,1,0),0),_xlpm.col_end)),
_xlpm.remove, IF( OR(_xlfn.ISOMITTED(_xlpm.remove), _xlpm.remove=0), FALSE, _xlpm.remove),
_xlpm.idxLins, _xlfn.SEQUENCE(
IF( _xlpm.lin_end &gt; 0, _xlpm.lin_end, ROWS(_xlpm.matrix) + _xlpm.lin_end + 1) - IF( _xlpm.lin_start &gt; 0, _xlpm.lin_start, ROWS(_xlpm.matrix) + _xlpm.lin_start + 1) + 1,
1,
IF( _xlpm.lin_start &gt; 0, _xlpm.lin_start, ROWS(_xlpm.matrix) + _xlpm.lin_start + 1) ),
_xlpm.idxCols, _xlfn.SEQUENCE(
1,
IF( _xlpm.col_end &gt; 0, _xlpm.col_end, COLUMNS(_xlpm.matrix) + _xlpm.col_end + 1) - IF( _xlpm.col_start &gt; 0, _xlpm.col_start, COLUMNS(_xlpm.matrix) + _xlpm.col_start + 1) + 1,
IF( _xlpm.col_start &gt; 0, _xlpm.col_start, COLUMNS(_xlpm.matrix) + _xlpm.col_start + 1) ),
IF(_xlfn.ISOMITTED(_xlpm.patch), IF(_xlpm.remove=FALSE, INDEX(_xlpm.matrix, _xlpm.idxLins,_xlpm.idxCols), INDEX(_xlpm.matrix, IFERROR(COMPLEMENT(_xlpm.idxLins,1,ROWS(_xlpm.matrix)), _xlpm.idxLins), IFERROR(TRANSPOSE(COMPLEMENT(_xlpm.idxCols,1,COLUMNS(_xlpm.matrix))),_xlpm.idxCols)) ),
_xlfn.LET(
_xlpm.patchLeft, IF(_xlpm.col_start-1 &gt;=1,HORZCAT(  M(_xlpm.matrix, "[" &amp; (_xlpm.lin_start) &amp; ":" &amp; (_xlpm.lin_end) &amp; ",1:" &amp; (_xlpm.col_start-1) &amp; "]"), _xlpm.patch), _xlpm.patch ),
_xlpm.patchRight, IF(_xlpm.col_end+1 &lt;= COLUMNS(_xlpm.matrix), HORZCAT(_xlpm.patchLeft, M(_xlpm.matrix, "[" &amp; (_xlpm.lin_start) &amp; ":" &amp; (_xlpm.lin_end) &amp; "," &amp; (_xlpm.col_end+1) &amp; ":]") ), _xlpm.patchLeft),
_xlpm.patchUpper, IF(_xlpm.lin_start-1 &gt;= 1, VERTCAT( M(_xlpm.matrix, "[1:" &amp; (_xlpm.lin_start-1) &amp; ",:]"), _xlpm.patchRight), _xlpm.patchRight),
_xlpm.patchLower, IF(_xlpm.lin_end+1 &lt;= ROWS(_xlpm.matrix), VERTCAT( _xlpm.patchUpper, M(_xlpm.matrix, "[" &amp; (_xlpm.lin_end+1) &amp; ":,:]") ), _xlpm.patchUpper),
IF( AND( ROWS(_xlpm.patch) = (_xlpm.lin_end - _xlpm.lin_start + 1), COLUMNS(_xlpm.patch) = (_xlpm.col_end - _xlpm.col_start + 1) ), _xlpm.patchLower,
"# Patch range size is different" ))))
)($A$6:$C$17,2,4,1,2)</f>
        <v>2</v>
      </c>
      <c r="F6">
        <v>200</v>
      </c>
      <c r="H6" cm="1">
        <f t="array" ref="H6:I16">_xlfn.LAMBDA(_xlpm.matrix,_xlop.lin_start,_xlop.lin_end,_xlop.col_start,_xlop.col_end,_xlop.patch,_xlop.remove,
_xlfn.LET(
_xlpm.lin_start, IF( OR( _xlfn.ISOMITTED(_xlpm.lin_start), _xlpm.lin_start=0), 1, IF(ISTEXT(_xlpm.lin_start), MATCH(_xlpm.lin_start,INDEX(_xlpm.matrix,0,1),0),_xlpm.lin_start)),
_xlpm.lin_end, IF( OR(_xlfn.ISOMITTED(_xlpm.lin_end), _xlpm.lin_end=0), ROWS(_xlpm.matrix), IF(ISTEXT(_xlpm.lin_end),MATCH(_xlpm.lin_end,INDEX(_xlpm.matrix,0,1),0),_xlpm.lin_end)),
_xlpm.col_start, IF(OR(_xlfn.ISOMITTED(_xlpm.col_start), _xlpm.col_start=0),1, IF(ISTEXT(_xlpm.col_start), MATCH(_xlpm.col_start,INDEX(_xlpm.matrix,1,0),0),_xlpm.col_start)),
_xlpm.col_end, IF( OR(_xlfn.ISOMITTED(_xlpm.col_end), _xlpm.col_end=0), COLUMNS(_xlpm.matrix), IF(ISTEXT(_xlpm.col_end), MATCH(_xlpm.col_end,INDEX(_xlpm.matrix,1,0),0),_xlpm.col_end)),
_xlpm.remove, IF( OR(_xlfn.ISOMITTED(_xlpm.remove), _xlpm.remove=0), FALSE, _xlpm.remove),
_xlpm.idxLins, _xlfn.SEQUENCE(
IF( _xlpm.lin_end &gt; 0, _xlpm.lin_end, ROWS(_xlpm.matrix) + _xlpm.lin_end + 1) - IF( _xlpm.lin_start &gt; 0, _xlpm.lin_start, ROWS(_xlpm.matrix) + _xlpm.lin_start + 1) + 1,
1,
IF( _xlpm.lin_start &gt; 0, _xlpm.lin_start, ROWS(_xlpm.matrix) + _xlpm.lin_start + 1) ),
_xlpm.idxCols, _xlfn.SEQUENCE(
1,
IF( _xlpm.col_end &gt; 0, _xlpm.col_end, COLUMNS(_xlpm.matrix) + _xlpm.col_end + 1) - IF( _xlpm.col_start &gt; 0, _xlpm.col_start, COLUMNS(_xlpm.matrix) + _xlpm.col_start + 1) + 1,
IF( _xlpm.col_start &gt; 0, _xlpm.col_start, COLUMNS(_xlpm.matrix) + _xlpm.col_start + 1) ),
IF(_xlfn.ISOMITTED(_xlpm.patch), IF(_xlpm.remove=FALSE, INDEX(_xlpm.matrix, _xlpm.idxLins,_xlpm.idxCols), INDEX(_xlpm.matrix, IFERROR(COMPLEMENT(_xlpm.idxLins,1,ROWS(_xlpm.matrix)), _xlpm.idxLins), IFERROR(TRANSPOSE(COMPLEMENT(_xlpm.idxCols,1,COLUMNS(_xlpm.matrix))),_xlpm.idxCols)) ),
_xlfn.LET(
_xlpm.patchLeft, IF(_xlpm.col_start-1 &gt;=1,HORZCAT(  M(_xlpm.matrix, "[" &amp; (_xlpm.lin_start) &amp; ":" &amp; (_xlpm.lin_end) &amp; ",1:" &amp; (_xlpm.col_start-1) &amp; "]"), _xlpm.patch), _xlpm.patch ),
_xlpm.patchRight, IF(_xlpm.col_end+1 &lt;= COLUMNS(_xlpm.matrix), HORZCAT(_xlpm.patchLeft, M(_xlpm.matrix, "[" &amp; (_xlpm.lin_start) &amp; ":" &amp; (_xlpm.lin_end) &amp; "," &amp; (_xlpm.col_end+1) &amp; ":]") ), _xlpm.patchLeft),
_xlpm.patchUpper, IF(_xlpm.lin_start-1 &gt;= 1, VERTCAT( M(_xlpm.matrix, "[1:" &amp; (_xlpm.lin_start-1) &amp; ",:]"), _xlpm.patchRight), _xlpm.patchRight),
_xlpm.patchLower, IF(_xlpm.lin_end+1 &lt;= ROWS(_xlpm.matrix), VERTCAT( _xlpm.patchUpper, M(_xlpm.matrix, "[" &amp; (_xlpm.lin_end+1) &amp; ":,:]") ), _xlpm.patchUpper),
IF( AND( ROWS(_xlpm.patch) = (_xlpm.lin_end - _xlpm.lin_start + 1), COLUMNS(_xlpm.patch) = (_xlpm.col_end - _xlpm.col_start + 1) ), _xlpm.patchLower,
"# Patch range size is different" ))))
)($A$6:$C$17,2,,1,2)</f>
        <v>2</v>
      </c>
      <c r="I6">
        <v>200</v>
      </c>
      <c r="K6" cm="1">
        <f t="array" ref="K6:M17">_xlfn.LAMBDA(_xlpm.matrix,_xlop.lin_start,_xlop.lin_end,_xlop.col_start,_xlop.col_end,_xlop.patch,_xlop.remove,
_xlfn.LET(
_xlpm.lin_start, IF( OR( _xlfn.ISOMITTED(_xlpm.lin_start), _xlpm.lin_start=0), 1, IF(ISTEXT(_xlpm.lin_start), MATCH(_xlpm.lin_start,INDEX(_xlpm.matrix,0,1),0),_xlpm.lin_start)),
_xlpm.lin_end, IF( OR(_xlfn.ISOMITTED(_xlpm.lin_end), _xlpm.lin_end=0), ROWS(_xlpm.matrix), IF(ISTEXT(_xlpm.lin_end),MATCH(_xlpm.lin_end,INDEX(_xlpm.matrix,0,1),0),_xlpm.lin_end)),
_xlpm.col_start, IF(OR(_xlfn.ISOMITTED(_xlpm.col_start), _xlpm.col_start=0),1, IF(ISTEXT(_xlpm.col_start), MATCH(_xlpm.col_start,INDEX(_xlpm.matrix,1,0),0),_xlpm.col_start)),
_xlpm.col_end, IF( OR(_xlfn.ISOMITTED(_xlpm.col_end), _xlpm.col_end=0), COLUMNS(_xlpm.matrix), IF(ISTEXT(_xlpm.col_end), MATCH(_xlpm.col_end,INDEX(_xlpm.matrix,1,0),0),_xlpm.col_end)),
_xlpm.remove, IF( OR(_xlfn.ISOMITTED(_xlpm.remove), _xlpm.remove=0), FALSE, _xlpm.remove),
_xlpm.idxLins, _xlfn.SEQUENCE(
IF( _xlpm.lin_end &gt; 0, _xlpm.lin_end, ROWS(_xlpm.matrix) + _xlpm.lin_end + 1) - IF( _xlpm.lin_start &gt; 0, _xlpm.lin_start, ROWS(_xlpm.matrix) + _xlpm.lin_start + 1) + 1,
1,
IF( _xlpm.lin_start &gt; 0, _xlpm.lin_start, ROWS(_xlpm.matrix) + _xlpm.lin_start + 1) ),
_xlpm.idxCols, _xlfn.SEQUENCE(
1,
IF( _xlpm.col_end &gt; 0, _xlpm.col_end, COLUMNS(_xlpm.matrix) + _xlpm.col_end + 1) - IF( _xlpm.col_start &gt; 0, _xlpm.col_start, COLUMNS(_xlpm.matrix) + _xlpm.col_start + 1) + 1,
IF( _xlpm.col_start &gt; 0, _xlpm.col_start, COLUMNS(_xlpm.matrix) + _xlpm.col_start + 1) ),
IF(_xlfn.ISOMITTED(_xlpm.patch), IF(_xlpm.remove=FALSE, INDEX(_xlpm.matrix, _xlpm.idxLins,_xlpm.idxCols), INDEX(_xlpm.matrix, IFERROR(COMPLEMENT(_xlpm.idxLins,1,ROWS(_xlpm.matrix)), _xlpm.idxLins), IFERROR(TRANSPOSE(COMPLEMENT(_xlpm.idxCols,1,COLUMNS(_xlpm.matrix))),_xlpm.idxCols)) ),
_xlfn.LET(
_xlpm.patchLeft, IF(_xlpm.col_start-1 &gt;=1,HORZCAT(  M(_xlpm.matrix, "[" &amp; (_xlpm.lin_start) &amp; ":" &amp; (_xlpm.lin_end) &amp; ",1:" &amp; (_xlpm.col_start-1) &amp; "]"), _xlpm.patch), _xlpm.patch ),
_xlpm.patchRight, IF(_xlpm.col_end+1 &lt;= COLUMNS(_xlpm.matrix), HORZCAT(_xlpm.patchLeft, M(_xlpm.matrix, "[" &amp; (_xlpm.lin_start) &amp; ":" &amp; (_xlpm.lin_end) &amp; "," &amp; (_xlpm.col_end+1) &amp; ":]") ), _xlpm.patchLeft),
_xlpm.patchUpper, IF(_xlpm.lin_start-1 &gt;= 1, VERTCAT( M(_xlpm.matrix, "[1:" &amp; (_xlpm.lin_start-1) &amp; ",:]"), _xlpm.patchRight), _xlpm.patchRight),
_xlpm.patchLower, IF(_xlpm.lin_end+1 &lt;= ROWS(_xlpm.matrix), VERTCAT( _xlpm.patchUpper, M(_xlpm.matrix, "[" &amp; (_xlpm.lin_end+1) &amp; ":,:]") ), _xlpm.patchUpper),
IF( AND( ROWS(_xlpm.patch) = (_xlpm.lin_end - _xlpm.lin_start + 1), COLUMNS(_xlpm.patch) = (_xlpm.col_end - _xlpm.col_start + 1) ), _xlpm.patchLower,
"# Patch range size is different" ))))
)($A$6:$C$17,2,4,1,2,A15:B17)</f>
        <v>1</v>
      </c>
      <c r="L6">
        <v>100</v>
      </c>
      <c r="M6">
        <v>1000</v>
      </c>
      <c r="O6" cm="1">
        <f t="array" ref="O6:Q14">_xlfn.LAMBDA(_xlpm.matrix,_xlop.lin_start,_xlop.lin_end,_xlop.col_start,_xlop.col_end,_xlop.patch,_xlop.remove,
_xlfn.LET(
_xlpm.lin_start, IF( OR( _xlfn.ISOMITTED(_xlpm.lin_start), _xlpm.lin_start=0), 1, IF(ISTEXT(_xlpm.lin_start), MATCH(_xlpm.lin_start,INDEX(_xlpm.matrix,0,1),0),_xlpm.lin_start)),
_xlpm.lin_end, IF( OR(_xlfn.ISOMITTED(_xlpm.lin_end), _xlpm.lin_end=0), ROWS(_xlpm.matrix), IF(ISTEXT(_xlpm.lin_end),MATCH(_xlpm.lin_end,INDEX(_xlpm.matrix,0,1),0),_xlpm.lin_end)),
_xlpm.col_start, IF(OR(_xlfn.ISOMITTED(_xlpm.col_start), _xlpm.col_start=0),1, IF(ISTEXT(_xlpm.col_start), MATCH(_xlpm.col_start,INDEX(_xlpm.matrix,1,0),0),_xlpm.col_start)),
_xlpm.col_end, IF( OR(_xlfn.ISOMITTED(_xlpm.col_end), _xlpm.col_end=0), COLUMNS(_xlpm.matrix), IF(ISTEXT(_xlpm.col_end), MATCH(_xlpm.col_end,INDEX(_xlpm.matrix,1,0),0),_xlpm.col_end)),
_xlpm.remove, IF( OR(_xlfn.ISOMITTED(_xlpm.remove), _xlpm.remove=0), FALSE, _xlpm.remove),
_xlpm.idxLins, _xlfn.SEQUENCE(
IF( _xlpm.lin_end &gt; 0, _xlpm.lin_end, ROWS(_xlpm.matrix) + _xlpm.lin_end + 1) - IF( _xlpm.lin_start &gt; 0, _xlpm.lin_start, ROWS(_xlpm.matrix) + _xlpm.lin_start + 1) + 1,
1,
IF( _xlpm.lin_start &gt; 0, _xlpm.lin_start, ROWS(_xlpm.matrix) + _xlpm.lin_start + 1) ),
_xlpm.idxCols, _xlfn.SEQUENCE(
1,
IF( _xlpm.col_end &gt; 0, _xlpm.col_end, COLUMNS(_xlpm.matrix) + _xlpm.col_end + 1) - IF( _xlpm.col_start &gt; 0, _xlpm.col_start, COLUMNS(_xlpm.matrix) + _xlpm.col_start + 1) + 1,
IF( _xlpm.col_start &gt; 0, _xlpm.col_start, COLUMNS(_xlpm.matrix) + _xlpm.col_start + 1) ),
IF(_xlfn.ISOMITTED(_xlpm.patch), IF(_xlpm.remove=FALSE, INDEX(_xlpm.matrix, _xlpm.idxLins,_xlpm.idxCols), INDEX(_xlpm.matrix, IFERROR(COMPLEMENT(_xlpm.idxLins,1,ROWS(_xlpm.matrix)), _xlpm.idxLins), IFERROR(TRANSPOSE(COMPLEMENT(_xlpm.idxCols,1,COLUMNS(_xlpm.matrix))),_xlpm.idxCols)) ),
_xlfn.LET(
_xlpm.patchLeft, IF(_xlpm.col_start-1 &gt;=1,HORZCAT(  M(_xlpm.matrix, "[" &amp; (_xlpm.lin_start) &amp; ":" &amp; (_xlpm.lin_end) &amp; ",1:" &amp; (_xlpm.col_start-1) &amp; "]"), _xlpm.patch), _xlpm.patch ),
_xlpm.patchRight, IF(_xlpm.col_end+1 &lt;= COLUMNS(_xlpm.matrix), HORZCAT(_xlpm.patchLeft, M(_xlpm.matrix, "[" &amp; (_xlpm.lin_start) &amp; ":" &amp; (_xlpm.lin_end) &amp; "," &amp; (_xlpm.col_end+1) &amp; ":]") ), _xlpm.patchLeft),
_xlpm.patchUpper, IF(_xlpm.lin_start-1 &gt;= 1, VERTCAT( M(_xlpm.matrix, "[1:" &amp; (_xlpm.lin_start-1) &amp; ",:]"), _xlpm.patchRight), _xlpm.patchRight),
_xlpm.patchLower, IF(_xlpm.lin_end+1 &lt;= ROWS(_xlpm.matrix), VERTCAT( _xlpm.patchUpper, M(_xlpm.matrix, "[" &amp; (_xlpm.lin_end+1) &amp; ":,:]") ), _xlpm.patchUpper),
IF( AND( ROWS(_xlpm.patch) = (_xlpm.lin_end - _xlpm.lin_start + 1), COLUMNS(_xlpm.patch) = (_xlpm.col_end - _xlpm.col_start + 1) ), _xlpm.patchLower,
"# Patch range size is different" ))))
)($A$6:$C$17,2,4,,,,TRUE)</f>
        <v>1</v>
      </c>
      <c r="P6">
        <v>100</v>
      </c>
      <c r="Q6">
        <v>1000</v>
      </c>
      <c r="S6" t="str" cm="1">
        <f t="array" ref="S6:T18">_xlfn.LAMBDA(_xlpm.matrix,_xlop.lin_start,_xlop.lin_end,_xlop.col_start,_xlop.col_end,_xlop.patch,_xlop.remove,
_xlfn.LET(
_xlpm.lin_start, IF( OR( _xlfn.ISOMITTED(_xlpm.lin_start), _xlpm.lin_start=0), 1, IF(ISTEXT(_xlpm.lin_start), MATCH(_xlpm.lin_start,INDEX(_xlpm.matrix,0,1),0),_xlpm.lin_start)),
_xlpm.lin_end, IF( OR(_xlfn.ISOMITTED(_xlpm.lin_end), _xlpm.lin_end=0), ROWS(_xlpm.matrix), IF(ISTEXT(_xlpm.lin_end),MATCH(_xlpm.lin_end,INDEX(_xlpm.matrix,0,1),0),_xlpm.lin_end)),
_xlpm.col_start, IF(OR(_xlfn.ISOMITTED(_xlpm.col_start), _xlpm.col_start=0),1, IF(ISTEXT(_xlpm.col_start), MATCH(_xlpm.col_start,INDEX(_xlpm.matrix,1,0),0),_xlpm.col_start)),
_xlpm.col_end, IF( OR(_xlfn.ISOMITTED(_xlpm.col_end), _xlpm.col_end=0), COLUMNS(_xlpm.matrix), IF(ISTEXT(_xlpm.col_end), MATCH(_xlpm.col_end,INDEX(_xlpm.matrix,1,0),0),_xlpm.col_end)),
_xlpm.remove, IF( OR(_xlfn.ISOMITTED(_xlpm.remove), _xlpm.remove=0), FALSE, _xlpm.remove),
_xlpm.idxLins, _xlfn.SEQUENCE(
IF( _xlpm.lin_end &gt; 0, _xlpm.lin_end, ROWS(_xlpm.matrix) + _xlpm.lin_end + 1) - IF( _xlpm.lin_start &gt; 0, _xlpm.lin_start, ROWS(_xlpm.matrix) + _xlpm.lin_start + 1) + 1,
1,
IF( _xlpm.lin_start &gt; 0, _xlpm.lin_start, ROWS(_xlpm.matrix) + _xlpm.lin_start + 1) ),
_xlpm.idxCols, _xlfn.SEQUENCE(
1,
IF( _xlpm.col_end &gt; 0, _xlpm.col_end, COLUMNS(_xlpm.matrix) + _xlpm.col_end + 1) - IF( _xlpm.col_start &gt; 0, _xlpm.col_start, COLUMNS(_xlpm.matrix) + _xlpm.col_start + 1) + 1,
IF( _xlpm.col_start &gt; 0, _xlpm.col_start, COLUMNS(_xlpm.matrix) + _xlpm.col_start + 1) ),
IF(_xlfn.ISOMITTED(_xlpm.patch), IF(_xlpm.remove=FALSE, INDEX(_xlpm.matrix, _xlpm.idxLins,_xlpm.idxCols), INDEX(_xlpm.matrix, IFERROR(COMPLEMENT(_xlpm.idxLins,1,ROWS(_xlpm.matrix)), _xlpm.idxLins), IFERROR(TRANSPOSE(COMPLEMENT(_xlpm.idxCols,1,COLUMNS(_xlpm.matrix))),_xlpm.idxCols)) ),
_xlfn.LET(
_xlpm.patchLeft, IF(_xlpm.col_start-1 &gt;=1,HORZCAT(  M(_xlpm.matrix, "[" &amp; (_xlpm.lin_start) &amp; ":" &amp; (_xlpm.lin_end) &amp; ",1:" &amp; (_xlpm.col_start-1) &amp; "]"), _xlpm.patch), _xlpm.patch ),
_xlpm.patchRight, IF(_xlpm.col_end+1 &lt;= COLUMNS(_xlpm.matrix), HORZCAT(_xlpm.patchLeft, M(_xlpm.matrix, "[" &amp; (_xlpm.lin_start) &amp; ":" &amp; (_xlpm.lin_end) &amp; "," &amp; (_xlpm.col_end+1) &amp; ":]") ), _xlpm.patchLeft),
_xlpm.patchUpper, IF(_xlpm.lin_start-1 &gt;= 1, VERTCAT( M(_xlpm.matrix, "[1:" &amp; (_xlpm.lin_start-1) &amp; ",:]"), _xlpm.patchRight), _xlpm.patchRight),
_xlpm.patchLower, IF(_xlpm.lin_end+1 &lt;= ROWS(_xlpm.matrix), VERTCAT( _xlpm.patchUpper, M(_xlpm.matrix, "[" &amp; (_xlpm.lin_end+1) &amp; ":,:]") ), _xlpm.patchUpper),
IF( AND( ROWS(_xlpm.patch) = (_xlpm.lin_end - _xlpm.lin_start + 1), COLUMNS(_xlpm.patch) = (_xlpm.col_end - _xlpm.col_start + 1) ), _xlpm.patchLower,
"# Patch range size is different" ))))
)($A$5:$C$17,,,"y","z")</f>
        <v>y</v>
      </c>
      <c r="T6" t="str">
        <v>z</v>
      </c>
      <c r="W6" cm="1">
        <f t="array" ref="W6:X8">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)($A$6:$C$17,"[2:4,1:2]")</f>
        <v>2</v>
      </c>
      <c r="X6">
        <v>200</v>
      </c>
      <c r="Z6" cm="1">
        <f t="array" ref="Z6:AA16">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)($A$6:$C$17,"[2:,1:2]")</f>
        <v>2</v>
      </c>
      <c r="AA6">
        <v>200</v>
      </c>
      <c r="AC6" cm="1">
        <f t="array" ref="AC6:AE17">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)($A$6:$C$17,"[2:,1]",$C$7:$C$17)</f>
        <v>1</v>
      </c>
      <c r="AD6">
        <v>100</v>
      </c>
      <c r="AE6">
        <v>1000</v>
      </c>
      <c r="AG6" t="str" cm="1">
        <f t="array" ref="AG6:AH18">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)($A$5:$C$17,"[1:,y:z]")</f>
        <v>y</v>
      </c>
      <c r="AH6" t="str">
        <v>z</v>
      </c>
      <c r="AK6" cm="1">
        <f t="array" ref="AK6">_xlfn.LAMBDA(_xlpm.matrix,_xlpm.position,_xlop.patch,_xlop.remove,_xlop.rowsToCols,
_xlfn.LET(
_xlpm.nRows, ROWS(_xlpm.matrix), _xlpm.nCols, COLUMNS(_xlpm.matrix),
_xlpm.remove, IF(_xlfn.ISOMITTED(_xlpm.remove), FALSE,_xlpm.remove),
_xlpm.rowsToCols, IF(_xlfn.ISOMITTED(_xlpm.rowsToCols), TRUE, _xlpm.rowsToCols),
IF(_xlfn.ISOMITTED(_xlpm.patch),
IF(_xlpm.remove=FALSE,
IF(AND(_xlpm.nRows&gt;1,_xlpm.nCols&gt;1),INDEX(VEC(_xlpm.matrix,_xlpm.rowsToCols),_xlpm.position,1), IF(_xlpm.nRows&gt;1, INDEX(_xlpm.matrix,_xlpm.position,1), INDEX(_xlpm.matrix,1,_xlpm.position) )),
IF(AND(_xlpm.nRows&gt;1,_xlpm.nCols&gt;1),SLICE(VEC(_xlpm.matrix,_xlpm.rowsToCols),_xlpm.position,_xlpm.position,1,1,,TRUE), IF(_xlpm.nRows&gt;1, SLICE(_xlpm.matrix,_xlpm.position,_xlpm.position,1,1,,TRUE), SLICE(_xlpm.matrix,1,1,_xlpm.position,_xlpm.position,,TRUE) ))
),
IF(AND(_xlpm.nRows&gt;1,_xlpm.nCols&gt;1),SLICE(VEC(_xlpm.matrix,_xlpm.rowsToCols),_xlpm.position,_xlpm.position,1,1,_xlpm.patch), IF(_xlpm.nRows&gt;1, SLICE(_xlpm.matrix,_xlpm.position,_xlpm.position,1,1,_xlpm.patch), SLICE(_xlpm.matrix,1,1,_xlpm.position,_xlpm.position,_xlpm.patch) ))
)))($A$6:$C$17,2,,FALSE,FALSE)</f>
        <v>2</v>
      </c>
      <c r="AN6" cm="1">
        <f t="array" ref="AN6:AN17">_xlfn.LAMBDA(_xlpm.matrix,_xlpm.position,_xlop.patch,_xlop.remove,_xlop.rowsToCols,
_xlfn.LET(
_xlpm.nRows, ROWS(_xlpm.matrix), _xlpm.nCols, COLUMNS(_xlpm.matrix),
_xlpm.remove, IF(_xlfn.ISOMITTED(_xlpm.remove), FALSE,_xlpm.remove),
_xlpm.rowsToCols, IF(_xlfn.ISOMITTED(_xlpm.rowsToCols), TRUE, _xlpm.rowsToCols),
IF(_xlfn.ISOMITTED(_xlpm.patch),
IF(_xlpm.remove=FALSE,
IF(AND(_xlpm.nRows&gt;1,_xlpm.nCols&gt;1),INDEX(VEC(_xlpm.matrix,_xlpm.rowsToCols),_xlpm.position,1), IF(_xlpm.nRows&gt;1, INDEX(_xlpm.matrix,_xlpm.position,1), INDEX(_xlpm.matrix,1,_xlpm.position) )),
IF(AND(_xlpm.nRows&gt;1,_xlpm.nCols&gt;1),SLICE(VEC(_xlpm.matrix,_xlpm.rowsToCols),_xlpm.position,_xlpm.position,1,1,,TRUE), IF(_xlpm.nRows&gt;1, SLICE(_xlpm.matrix,_xlpm.position,_xlpm.position,1,1,,TRUE), SLICE(_xlpm.matrix,1,1,_xlpm.position,_xlpm.position,,TRUE) ))
),
IF(AND(_xlpm.nRows&gt;1,_xlpm.nCols&gt;1),SLICE(VEC(_xlpm.matrix,_xlpm.rowsToCols),_xlpm.position,_xlpm.position,1,1,_xlpm.patch), IF(_xlpm.nRows&gt;1, SLICE(_xlpm.matrix,_xlpm.position,_xlpm.position,1,1,_xlpm.patch), SLICE(_xlpm.matrix,1,1,_xlpm.position,_xlpm.position,_xlpm.patch) ))
)))($A$6:$A$17,2,"XXX",FALSE,FALSE)</f>
        <v>1</v>
      </c>
      <c r="AQ6" cm="1">
        <f t="array" ref="AQ6:AQ16">_xlfn.LAMBDA(_xlpm.matrix,_xlpm.position,_xlop.patch,_xlop.remove,_xlop.rowsToCols,
_xlfn.LET(
_xlpm.nRows, ROWS(_xlpm.matrix), _xlpm.nCols, COLUMNS(_xlpm.matrix),
_xlpm.remove, IF(_xlfn.ISOMITTED(_xlpm.remove), FALSE,_xlpm.remove),
_xlpm.rowsToCols, IF(_xlfn.ISOMITTED(_xlpm.rowsToCols), TRUE, _xlpm.rowsToCols),
IF(_xlfn.ISOMITTED(_xlpm.patch),
IF(_xlpm.remove=FALSE,
IF(AND(_xlpm.nRows&gt;1,_xlpm.nCols&gt;1),INDEX(VEC(_xlpm.matrix,_xlpm.rowsToCols),_xlpm.position,1), IF(_xlpm.nRows&gt;1, INDEX(_xlpm.matrix,_xlpm.position,1), INDEX(_xlpm.matrix,1,_xlpm.position) )),
IF(AND(_xlpm.nRows&gt;1,_xlpm.nCols&gt;1),SLICE(VEC(_xlpm.matrix,_xlpm.rowsToCols),_xlpm.position,_xlpm.position,1,1,,TRUE), IF(_xlpm.nRows&gt;1, SLICE(_xlpm.matrix,_xlpm.position,_xlpm.position,1,1,,TRUE), SLICE(_xlpm.matrix,1,1,_xlpm.position,_xlpm.position,,TRUE) ))
),
IF(AND(_xlpm.nRows&gt;1,_xlpm.nCols&gt;1),SLICE(VEC(_xlpm.matrix,_xlpm.rowsToCols),_xlpm.position,_xlpm.position,1,1,_xlpm.patch), IF(_xlpm.nRows&gt;1, SLICE(_xlpm.matrix,_xlpm.position,_xlpm.position,1,1,_xlpm.patch), SLICE(_xlpm.matrix,1,1,_xlpm.position,_xlpm.position,_xlpm.patch) ))
)))($A$6:$A$17,2,,TRUE,FALSE)</f>
        <v>1</v>
      </c>
      <c r="AT6" cm="1">
        <f t="array" ref="AT6:AU11">_xlfn.LAMBDA(_xlpm.matrixA,_xlpm.matrixB,
_xlfn.LET(
_xlpm.LinsA, IFERROR(ROWS(_xlpm.matrixA), 1),
_xlpm.LinsB, IFERROR(ROWS(_xlpm.matrixB), 1),
_xlpm.ColsA, IFERROR(COLUMNS(_xlpm.matrixA), 1),
_xlpm.ColsB, IFERROR(COLUMNS(_xlpm.matrixB), 1),
_xlpm.DataA, INDEX(_xlpm.matrixA, _xlfn.SEQUENCE(_xlpm.LinsA), _xlfn.SEQUENCE(1,MAX(_xlpm.ColsA,_xlpm.ColsB)) ),
_xlpm.DataB, INDEX(_xlpm.matrixB, _xlfn.SEQUENCE(_xlpm.LinsB), _xlfn.SEQUENCE(1,MAX(_xlpm.ColsA,_xlpm.ColsB)) ),
_xlpm.NumCols, COLUMNS(_xlpm.DataA),
_xlpm.SeqCol, _xlfn.SEQUENCE( _xlpm.LinsA + _xlpm.LinsB ),
_xlpm.SeqRow, _xlfn.SEQUENCE( 1, _xlpm.NumCols),
_xlfn.IFS(_xlfn.ISOMITTED(_xlpm.matrixA), _xlpm.matrixB, _xlfn.ISOMITTED(_xlpm.matrixB), _xlpm.matrixA, TRUE,
IF( _xlpm.SeqCol &lt;= _xlpm.LinsA, INDEX( _xlpm.DataA, _xlpm.SeqCol, _xlpm.SeqRow ), INDEX( _xlpm.DataB, _xlpm.SeqCol - _xlpm.LinsA, _xlpm.SeqRow ) ) ) )
)(A6:B8,A15:B17)</f>
        <v>1</v>
      </c>
      <c r="AU6">
        <v>100</v>
      </c>
      <c r="AW6" cm="1">
        <f t="array" ref="AW6:AY11">_xlfn.LAMBDA(_xlpm.matrixA,_xlpm.matrixB,
_xlfn.LET(
_xlpm.LinsA, IFERROR(ROWS(_xlpm.matrixA), 1),
_xlpm.LinsB, IFERROR(ROWS(_xlpm.matrixB), 1),
_xlpm.ColsA, IFERROR(COLUMNS(_xlpm.matrixA), 1),
_xlpm.ColsB, IFERROR(COLUMNS(_xlpm.matrixB), 1),
_xlpm.DataC, INDEX(_xlpm.matrixA, _xlfn.SEQUENCE(MAX(_xlpm.LinsA,_xlpm.LinsB)), _xlfn.SEQUENCE(1,_xlpm.ColsA) ),
_xlpm.DataD, INDEX(_xlpm.matrixB, _xlfn.SEQUENCE(MAX(_xlpm.LinsA,_xlpm.LinsB)), _xlfn.SEQUENCE(1,_xlpm.ColsB) ),
_xlpm.NumRows, ROWS(_xlpm.DataC),
_xlpm.SeqCol, _xlfn.SEQUENCE( _xlpm.NumRows ),
_xlpm.SeqRow, _xlfn.SEQUENCE(1, _xlpm.ColsA + _xlpm.ColsB),
_xlfn.IFS(_xlfn.ISOMITTED(_xlpm.matrixA), _xlpm.matrixB, _xlfn.ISOMITTED(_xlpm.matrixB), _xlpm.matrixA, TRUE,
IF( _xlpm.SeqRow &lt;= _xlpm.ColsA, INDEX( _xlpm.DataC, _xlpm.SeqCol,_xlpm.SeqRow), INDEX( _xlpm.DataD, _xlpm.SeqCol, _xlpm.SeqRow-_xlpm.ColsA ) ) ) )
)(A6:B11,C12:C17)</f>
        <v>1</v>
      </c>
      <c r="AX6">
        <v>100</v>
      </c>
      <c r="AY6">
        <v>7000</v>
      </c>
      <c r="BA6" cm="1">
        <f t="array" ref="BA6:BB8">_xlfn.LAMBDA(_xlpm.matrixA,_xlpm.matrixB,_xlpm.excludeValue,
_xlfn.LET(
_xlpm.testA, ALL(_xlpm.matrixA=_xlpm.excludeValue),
_xlpm.testB, ALL(_xlpm.matrixB=_xlpm.excludeValue),
_xlfn.IFS(AND(_xlpm.testA,_xlpm.testB), NA(), _xlpm.testA, _xlpm.matrixB, _xlpm.testB, _xlpm.matrixA, TRUE, VERTCAT(_xlpm.matrixA,_xlpm.matrixB))
))(H6:I8,1,1)</f>
        <v>2</v>
      </c>
      <c r="BB6">
        <v>200</v>
      </c>
      <c r="BD6" cm="1">
        <f t="array" ref="BD6:BE11">_xlfn.LAMBDA(_xlpm.matrixA,_xlpm.matrixB,_xlpm.excludeValue,
_xlfn.LET(
_xlpm.testA, ALL(_xlpm.matrixA=_xlpm.excludeValue),
_xlpm.testB, ALL(_xlpm.matrixB=_xlpm.excludeValue),
_xlfn.IFS(AND(_xlpm.testA,_xlpm.testB), NA(), _xlpm.testA, _xlpm.matrixB, _xlpm.testB, _xlpm.matrixA, TRUE, HORZCAT(_xlpm.matrixA,_xlpm.matrixB))
))($A$6:$B$11,1,1)</f>
        <v>1</v>
      </c>
      <c r="BE6">
        <v>100</v>
      </c>
      <c r="BH6" cm="1">
        <f t="array" aca="1" ref="BH6:BJ10" ca="1">_xlfn.LAMBDA(_xlpm.matrix,_xlpm.n,_xlop.dim,_xlop.withoutReplacement,
_xlfn.LET(
_xlpm.dim,IF(_xlfn.ISOMITTED(_xlpm.dim),1,_xlpm.dim),
_xlpm.withoutReplacement,IF(_xlfn.ISOMITTED(_xlpm.withoutReplacement),TRUE,_xlpm.withoutReplacement),
_xlpm.matrixClass, IF(_xlpm.dim=1,_xlpm.matrix,IF(_xlpm.dim=2,TRANSPOSE(_xlpm.matrix),#VALUE!)),
_xlpm.matrixSample, IF(_xlpm.withoutReplacement = FALSE,
SLICE(_xlpm.matrixClass, _xlfn.RANDARRAY(_xlpm.n,1,1,ROWS(_xlpm.matrixClass),TRUE), 0 ),
IF(_xlpm.withoutReplacement = TRUE,
SLICE(_xlfn.SORTBY(_xlpm.matrixClass, _xlfn.RANDARRAY(ROWS(_xlpm.matrixClass))), _xlfn.SEQUENCE(_xlpm.n), 0),
#VALUE!)),
IF(_xlpm.dim=1,_xlpm.matrixSample,TRANSPOSE(_xlpm.matrixSample))
))($A$6:$C$17,5,1,TRUE)</f>
        <v>10</v>
      </c>
      <c r="BI6">
        <f ca="1"/>
        <v>1000</v>
      </c>
      <c r="BJ6">
        <f ca="1"/>
        <v>10000</v>
      </c>
      <c r="BL6" cm="1">
        <f t="array" aca="1" ref="BL6:BM17" ca="1">SAMPLE($A$6:$C$17,2,2,FALSE)</f>
        <v>1000</v>
      </c>
      <c r="BM6">
        <f ca="1"/>
        <v>1000</v>
      </c>
      <c r="BP6" s="92" t="str" cm="1">
        <f t="array" ref="BP6:BR6">_xlfn.LAMBDA(_xlpm.txt,_xlpm.delim,_xlop.n,_xlop.list,
_xlfn.LET(
_xlpm.p,IFERROR(FIND(_xlpm.delim,_xlpm.txt),0),
_xlpm.delimLength, LEN(_xlpm.delim),
_xlpm.list,IF(_xlfn.ISOMITTED(_xlpm.list), {""}, _xlpm.list),
IF(_xlpm.p,
_xludf.SPLIT(MID(_xlpm.txt,_xlpm.p+_xlpm.delimLength,9999999),_xlpm.delim,_xlpm.n+1, IF(_xlfn.SEQUENCE(1,_xlpm.n+1)&lt;_xlpm.n+1,_xlpm.list,LEFT(_xlpm.txt,_xlpm.p-1))),
IF(_xlpm.n=0,_xlpm.txt,IF(_xlfn.SEQUENCE(1,_xlpm.n+1)&lt;_xlpm.n+1,_xlpm.list,_xlpm.txt)) )
)
)("A--B--C","--")</f>
        <v>A</v>
      </c>
      <c r="BQ6" t="str">
        <v>B</v>
      </c>
      <c r="BR6" t="str">
        <v>C</v>
      </c>
      <c r="BT6" s="92" t="str" cm="1">
        <f t="array" ref="BT6:BT11">_xlfn.LAMBDA(_xlpm.txt,_xlpm.delim1,_xlpm.delim2,_xlop.returnedObject, _xlfn.LET(
_xlpm.returnedObject, IF(_xlfn.ISOMITTED(_xlpm.returnedObject), "ELEMENTS", UPPER(_xlpm.returnedObject)),
_xlpm.txtVec, TEXTTOCHAR(_xlpm.txt),
_xlpm.posPlus, NOZERO( _xlpm.txtVec = _xlpm.delim1 ),
_xlpm.posMin, NOZERO( _xlpm.txtVec = _xlpm.delim2 ),
_xlpm.posAll, RMMISSING( _xlfn._xlws.SORT( VEC( HORZCAT(_xlpm.posPlus,_xlpm.posMin) ) ) ),
_xlpm.posStart,  IF(SUM(ISERR(_xlpm.posAll)*1), 1, VERTCAT(1, _xlpm.posAll + 1 )),
_xlpm.posEnd, IF( SUM(ISERR(_xlpm.posAll)*1), LEN(_xlpm.txt), VERTCAT(_xlpm.posAll - 1, LEN(_xlpm.txt)) ),
_xlpm.items, MID(_xlpm.txt,_xlpm.posStart,_xlpm.posEnd-_xlpm.posStart+1),
_xlpm.itemsPlus, VERTCAT(1, _xlfn.MAP(_xlpm.posAll, _xlfn.LAMBDA(_xlpm.val, SUM(1*(_xlpm.val=_xlpm.posPlus))))),
_xlpm.itemsMin, 1*NOT(_xlpm.itemsPlus),
_xlfn.SWITCH(_xlpm.returnedObject, "ELEMENTS", _xlpm.items, "DELIM1POS", _xlpm.itemsPlus, "DELIM2POS", _xlpm.itemsMin )
) )("aa+b+c-dd+e-f", "+", "-", "ELEMENTS")</f>
        <v>aa</v>
      </c>
      <c r="BX6" t="str" cm="1">
        <f t="array" ref="BX6:BZ6">_xlfn.LAMBDA(_xlpm.text,_xlpm.delim,
_xlfn.LET(
_xlpm.delim, VEC(_xlpm.delim),
_xlpm.text, SUBSTITUTE(_xlpm.text, INDEX(_xlpm.delim,1,1),"&lt;/y&gt;&lt;y&gt;"),
IF( LENGTH(_xlpm.delim) = 1,
TRANSPOSE( _xlfn.FILTERXML("&lt;x&gt;&lt;y&gt;"&amp; _xlpm.text &amp; "&lt;/y&gt;&lt;/x&gt;", "//y") ),
SPLITALL(_xlpm.text, SLICE(_xlpm.delim,2,-1))
)
))("A--B;;C", {"--";";;"})</f>
        <v>A</v>
      </c>
      <c r="BY6" t="str">
        <v>B</v>
      </c>
      <c r="BZ6" t="str">
        <v>C</v>
      </c>
      <c r="CB6" t="str" cm="1">
        <f t="array" ref="CB6:CB11">_xlfn.LAMBDA(_xlpm.txt,MID(_xlpm.txt,_xlfn.SEQUENCE(LEN(_xlpm.txt)),1))("ABCDEF")</f>
        <v>A</v>
      </c>
      <c r="CE6" t="str" cm="1">
        <f t="array" ref="CE6">_xlfn.LAMBDA(_xlpm.text,_xlpm.oldChars,_xlpm.newText,_xlop.treatCharsAsText,
_xlfn.LET(_xlpm.treatCharsAsText, IF(_xlfn.ISOMITTED(_xlpm.treatCharsAsText), TRUE, _xlpm.treatCharsAsText),
_xlpm.oldChars, IF(_xlpm.treatCharsAsText, VEC(_xlpm.oldChars), _xlfn.TEXTJOIN("",TRUE,_xlpm.oldChars) ),
IF(_xlpm.treatCharsAsText,
IF(AND(LENGTH(_xlpm.oldChars)=1,_xlpm.oldChars=""), _xlpm.text,
REPLACEALL(
SUBSTITUTE( _xlpm.text, SLICE(_xlpm.oldChars,1,1), _xlpm.newText),
IFERROR(SLICE(_xlpm.oldChars,2,-1), ""),
_xlpm.newText,_xlpm.treatCharsAsText)),
IF(_xlpm.oldChars ="", _xlpm.text,
REPLACEALL(
SUBSTITUTE( _xlpm.text, LEFT(_xlpm.oldChars,1), _xlpm.newText),
MID(_xlpm.oldChars, 2, LEN(_xlpm.oldChars)-1),
_xlpm.newText,_xlpm.treatCharsAsText)
))))("Hello World",{"e";"o"},"",FALSE)</f>
        <v>Hll Wrld</v>
      </c>
      <c r="CH6" t="b" cm="1">
        <f t="array" ref="CH6:CJ8">_xlfn.LAMBDA(_xlpm.values,
LEN(_xlpm.values)=0
)($A$4:$C$6)</f>
        <v>0</v>
      </c>
      <c r="CI6" t="b">
        <v>1</v>
      </c>
      <c r="CJ6" t="b">
        <v>1</v>
      </c>
    </row>
    <row r="7" spans="1:89" x14ac:dyDescent="0.25">
      <c r="A7" s="10">
        <v>2</v>
      </c>
      <c r="B7" s="10">
        <v>200</v>
      </c>
      <c r="C7" s="10">
        <v>2000</v>
      </c>
      <c r="E7">
        <v>3</v>
      </c>
      <c r="F7">
        <v>300</v>
      </c>
      <c r="H7">
        <v>3</v>
      </c>
      <c r="I7">
        <v>300</v>
      </c>
      <c r="K7">
        <v>10</v>
      </c>
      <c r="L7">
        <v>1000</v>
      </c>
      <c r="M7">
        <v>2000</v>
      </c>
      <c r="O7">
        <v>5</v>
      </c>
      <c r="P7">
        <v>500</v>
      </c>
      <c r="Q7">
        <v>5000</v>
      </c>
      <c r="S7">
        <v>100</v>
      </c>
      <c r="T7">
        <v>1000</v>
      </c>
      <c r="W7">
        <v>3</v>
      </c>
      <c r="X7">
        <v>300</v>
      </c>
      <c r="Z7">
        <v>3</v>
      </c>
      <c r="AA7">
        <v>300</v>
      </c>
      <c r="AC7">
        <v>2000</v>
      </c>
      <c r="AD7">
        <v>200</v>
      </c>
      <c r="AE7">
        <v>2000</v>
      </c>
      <c r="AG7">
        <v>100</v>
      </c>
      <c r="AH7">
        <v>1000</v>
      </c>
      <c r="AN7" t="str">
        <v>XXX</v>
      </c>
      <c r="AQ7">
        <v>3</v>
      </c>
      <c r="AT7">
        <v>2</v>
      </c>
      <c r="AU7">
        <v>200</v>
      </c>
      <c r="AW7">
        <v>2</v>
      </c>
      <c r="AX7">
        <v>200</v>
      </c>
      <c r="AY7">
        <v>8000</v>
      </c>
      <c r="BA7">
        <v>3</v>
      </c>
      <c r="BB7">
        <v>300</v>
      </c>
      <c r="BD7">
        <v>2</v>
      </c>
      <c r="BE7">
        <v>200</v>
      </c>
      <c r="BH7">
        <f ca="1"/>
        <v>6</v>
      </c>
      <c r="BI7">
        <f ca="1"/>
        <v>600</v>
      </c>
      <c r="BJ7">
        <f ca="1"/>
        <v>6000</v>
      </c>
      <c r="BL7">
        <f ca="1"/>
        <v>2000</v>
      </c>
      <c r="BM7">
        <f ca="1"/>
        <v>2000</v>
      </c>
      <c r="BT7" t="str">
        <v>b</v>
      </c>
      <c r="CB7" t="str">
        <v>B</v>
      </c>
      <c r="CH7" t="b">
        <v>0</v>
      </c>
      <c r="CI7" t="b">
        <v>0</v>
      </c>
      <c r="CJ7" t="b">
        <v>0</v>
      </c>
    </row>
    <row r="8" spans="1:89" x14ac:dyDescent="0.25">
      <c r="A8" s="10">
        <v>3</v>
      </c>
      <c r="B8" s="10">
        <v>300</v>
      </c>
      <c r="C8" s="10">
        <v>3000</v>
      </c>
      <c r="E8">
        <v>4</v>
      </c>
      <c r="F8">
        <v>400</v>
      </c>
      <c r="H8">
        <v>4</v>
      </c>
      <c r="I8">
        <v>400</v>
      </c>
      <c r="K8">
        <v>11</v>
      </c>
      <c r="L8">
        <v>1100</v>
      </c>
      <c r="M8">
        <v>3000</v>
      </c>
      <c r="O8">
        <v>6</v>
      </c>
      <c r="P8">
        <v>600</v>
      </c>
      <c r="Q8">
        <v>6000</v>
      </c>
      <c r="S8">
        <v>200</v>
      </c>
      <c r="T8">
        <v>2000</v>
      </c>
      <c r="W8">
        <v>4</v>
      </c>
      <c r="X8">
        <v>400</v>
      </c>
      <c r="Z8">
        <v>4</v>
      </c>
      <c r="AA8">
        <v>400</v>
      </c>
      <c r="AC8">
        <v>3000</v>
      </c>
      <c r="AD8">
        <v>300</v>
      </c>
      <c r="AE8">
        <v>3000</v>
      </c>
      <c r="AG8">
        <v>200</v>
      </c>
      <c r="AH8">
        <v>2000</v>
      </c>
      <c r="AN8">
        <v>3</v>
      </c>
      <c r="AQ8">
        <v>4</v>
      </c>
      <c r="AT8">
        <v>3</v>
      </c>
      <c r="AU8">
        <v>300</v>
      </c>
      <c r="AW8">
        <v>3</v>
      </c>
      <c r="AX8">
        <v>300</v>
      </c>
      <c r="AY8">
        <v>9000</v>
      </c>
      <c r="BA8">
        <v>4</v>
      </c>
      <c r="BB8">
        <v>400</v>
      </c>
      <c r="BD8">
        <v>3</v>
      </c>
      <c r="BE8">
        <v>300</v>
      </c>
      <c r="BH8">
        <f ca="1"/>
        <v>1</v>
      </c>
      <c r="BI8">
        <f ca="1"/>
        <v>100</v>
      </c>
      <c r="BJ8">
        <f ca="1"/>
        <v>1000</v>
      </c>
      <c r="BL8">
        <f ca="1"/>
        <v>3000</v>
      </c>
      <c r="BM8">
        <f ca="1"/>
        <v>3000</v>
      </c>
      <c r="BT8" t="str">
        <v>c</v>
      </c>
      <c r="CB8" t="str">
        <v>C</v>
      </c>
      <c r="CH8" t="b">
        <v>0</v>
      </c>
      <c r="CI8" t="b">
        <v>0</v>
      </c>
      <c r="CJ8" t="b">
        <v>0</v>
      </c>
    </row>
    <row r="9" spans="1:89" x14ac:dyDescent="0.25">
      <c r="A9" s="10">
        <v>4</v>
      </c>
      <c r="B9" s="10">
        <v>400</v>
      </c>
      <c r="C9" s="10">
        <v>4000</v>
      </c>
      <c r="H9">
        <v>5</v>
      </c>
      <c r="I9">
        <v>500</v>
      </c>
      <c r="K9">
        <v>12</v>
      </c>
      <c r="L9">
        <v>1200</v>
      </c>
      <c r="M9">
        <v>4000</v>
      </c>
      <c r="O9">
        <v>7</v>
      </c>
      <c r="P9">
        <v>700</v>
      </c>
      <c r="Q9">
        <v>7000</v>
      </c>
      <c r="S9">
        <v>300</v>
      </c>
      <c r="T9">
        <v>3000</v>
      </c>
      <c r="Z9">
        <v>5</v>
      </c>
      <c r="AA9">
        <v>500</v>
      </c>
      <c r="AC9">
        <v>4000</v>
      </c>
      <c r="AD9">
        <v>400</v>
      </c>
      <c r="AE9">
        <v>4000</v>
      </c>
      <c r="AG9">
        <v>300</v>
      </c>
      <c r="AH9">
        <v>3000</v>
      </c>
      <c r="AN9">
        <v>4</v>
      </c>
      <c r="AQ9">
        <v>5</v>
      </c>
      <c r="AT9">
        <v>10</v>
      </c>
      <c r="AU9">
        <v>1000</v>
      </c>
      <c r="AW9">
        <v>4</v>
      </c>
      <c r="AX9">
        <v>400</v>
      </c>
      <c r="AY9">
        <v>10000</v>
      </c>
      <c r="BD9">
        <v>4</v>
      </c>
      <c r="BE9">
        <v>400</v>
      </c>
      <c r="BH9">
        <f ca="1"/>
        <v>2</v>
      </c>
      <c r="BI9">
        <f ca="1"/>
        <v>200</v>
      </c>
      <c r="BJ9">
        <f ca="1"/>
        <v>2000</v>
      </c>
      <c r="BL9">
        <f ca="1"/>
        <v>4000</v>
      </c>
      <c r="BM9">
        <f ca="1"/>
        <v>4000</v>
      </c>
      <c r="BT9" t="str">
        <v>dd</v>
      </c>
      <c r="CB9" t="str">
        <v>D</v>
      </c>
    </row>
    <row r="10" spans="1:89" x14ac:dyDescent="0.25">
      <c r="A10" s="10">
        <v>5</v>
      </c>
      <c r="B10" s="10">
        <v>500</v>
      </c>
      <c r="C10" s="10">
        <v>5000</v>
      </c>
      <c r="H10">
        <v>6</v>
      </c>
      <c r="I10">
        <v>600</v>
      </c>
      <c r="K10">
        <v>5</v>
      </c>
      <c r="L10">
        <v>500</v>
      </c>
      <c r="M10">
        <v>5000</v>
      </c>
      <c r="O10">
        <v>8</v>
      </c>
      <c r="P10">
        <v>800</v>
      </c>
      <c r="Q10">
        <v>8000</v>
      </c>
      <c r="S10">
        <v>400</v>
      </c>
      <c r="T10">
        <v>4000</v>
      </c>
      <c r="Z10">
        <v>6</v>
      </c>
      <c r="AA10">
        <v>600</v>
      </c>
      <c r="AC10">
        <v>5000</v>
      </c>
      <c r="AD10">
        <v>500</v>
      </c>
      <c r="AE10">
        <v>5000</v>
      </c>
      <c r="AG10">
        <v>400</v>
      </c>
      <c r="AH10">
        <v>4000</v>
      </c>
      <c r="AN10">
        <v>5</v>
      </c>
      <c r="AQ10">
        <v>6</v>
      </c>
      <c r="AT10">
        <v>11</v>
      </c>
      <c r="AU10">
        <v>1100</v>
      </c>
      <c r="AW10">
        <v>5</v>
      </c>
      <c r="AX10">
        <v>500</v>
      </c>
      <c r="AY10">
        <v>11000</v>
      </c>
      <c r="BD10">
        <v>5</v>
      </c>
      <c r="BE10">
        <v>500</v>
      </c>
      <c r="BH10">
        <f ca="1"/>
        <v>5</v>
      </c>
      <c r="BI10">
        <f ca="1"/>
        <v>500</v>
      </c>
      <c r="BJ10">
        <f ca="1"/>
        <v>5000</v>
      </c>
      <c r="BL10">
        <f ca="1"/>
        <v>5000</v>
      </c>
      <c r="BM10">
        <f ca="1"/>
        <v>5000</v>
      </c>
      <c r="BT10" t="str">
        <v>e</v>
      </c>
      <c r="CB10" t="str">
        <v>E</v>
      </c>
    </row>
    <row r="11" spans="1:89" x14ac:dyDescent="0.25">
      <c r="A11" s="10">
        <v>6</v>
      </c>
      <c r="B11" s="10">
        <v>600</v>
      </c>
      <c r="C11" s="10">
        <v>6000</v>
      </c>
      <c r="H11">
        <v>7</v>
      </c>
      <c r="I11">
        <v>700</v>
      </c>
      <c r="K11">
        <v>6</v>
      </c>
      <c r="L11">
        <v>600</v>
      </c>
      <c r="M11">
        <v>6000</v>
      </c>
      <c r="O11">
        <v>9</v>
      </c>
      <c r="P11">
        <v>900</v>
      </c>
      <c r="Q11">
        <v>9000</v>
      </c>
      <c r="S11">
        <v>500</v>
      </c>
      <c r="T11">
        <v>5000</v>
      </c>
      <c r="Z11">
        <v>7</v>
      </c>
      <c r="AA11">
        <v>700</v>
      </c>
      <c r="AC11">
        <v>6000</v>
      </c>
      <c r="AD11">
        <v>600</v>
      </c>
      <c r="AE11">
        <v>6000</v>
      </c>
      <c r="AG11">
        <v>500</v>
      </c>
      <c r="AH11">
        <v>5000</v>
      </c>
      <c r="AN11">
        <v>6</v>
      </c>
      <c r="AQ11">
        <v>7</v>
      </c>
      <c r="AT11">
        <v>12</v>
      </c>
      <c r="AU11">
        <v>1200</v>
      </c>
      <c r="AW11">
        <v>6</v>
      </c>
      <c r="AX11">
        <v>600</v>
      </c>
      <c r="AY11">
        <v>12000</v>
      </c>
      <c r="BD11">
        <v>6</v>
      </c>
      <c r="BE11">
        <v>600</v>
      </c>
      <c r="BL11">
        <f ca="1"/>
        <v>6000</v>
      </c>
      <c r="BM11">
        <f ca="1"/>
        <v>6000</v>
      </c>
      <c r="BT11" t="str">
        <v>f</v>
      </c>
      <c r="CB11" t="str">
        <v>F</v>
      </c>
    </row>
    <row r="12" spans="1:89" x14ac:dyDescent="0.25">
      <c r="A12" s="10">
        <v>7</v>
      </c>
      <c r="B12" s="10">
        <v>700</v>
      </c>
      <c r="C12" s="10">
        <v>7000</v>
      </c>
      <c r="H12">
        <v>8</v>
      </c>
      <c r="I12">
        <v>800</v>
      </c>
      <c r="K12">
        <v>7</v>
      </c>
      <c r="L12">
        <v>700</v>
      </c>
      <c r="M12">
        <v>7000</v>
      </c>
      <c r="O12">
        <v>10</v>
      </c>
      <c r="P12">
        <v>1000</v>
      </c>
      <c r="Q12">
        <v>10000</v>
      </c>
      <c r="S12">
        <v>600</v>
      </c>
      <c r="T12">
        <v>6000</v>
      </c>
      <c r="Z12">
        <v>8</v>
      </c>
      <c r="AA12">
        <v>800</v>
      </c>
      <c r="AC12">
        <v>7000</v>
      </c>
      <c r="AD12">
        <v>700</v>
      </c>
      <c r="AE12">
        <v>7000</v>
      </c>
      <c r="AG12">
        <v>600</v>
      </c>
      <c r="AH12">
        <v>6000</v>
      </c>
      <c r="AN12">
        <v>7</v>
      </c>
      <c r="AQ12">
        <v>8</v>
      </c>
      <c r="BL12">
        <f ca="1"/>
        <v>7000</v>
      </c>
      <c r="BM12">
        <f ca="1"/>
        <v>7000</v>
      </c>
      <c r="BP12" s="92"/>
      <c r="BT12" s="92"/>
      <c r="BX12" s="92"/>
    </row>
    <row r="13" spans="1:89" x14ac:dyDescent="0.25">
      <c r="A13" s="10">
        <v>8</v>
      </c>
      <c r="B13" s="10">
        <v>800</v>
      </c>
      <c r="C13" s="10">
        <v>8000</v>
      </c>
      <c r="H13">
        <v>9</v>
      </c>
      <c r="I13">
        <v>900</v>
      </c>
      <c r="K13">
        <v>8</v>
      </c>
      <c r="L13">
        <v>800</v>
      </c>
      <c r="M13">
        <v>8000</v>
      </c>
      <c r="O13">
        <v>11</v>
      </c>
      <c r="P13">
        <v>1100</v>
      </c>
      <c r="Q13">
        <v>11000</v>
      </c>
      <c r="S13">
        <v>700</v>
      </c>
      <c r="T13">
        <v>7000</v>
      </c>
      <c r="Z13">
        <v>9</v>
      </c>
      <c r="AA13">
        <v>900</v>
      </c>
      <c r="AC13">
        <v>8000</v>
      </c>
      <c r="AD13">
        <v>800</v>
      </c>
      <c r="AE13">
        <v>8000</v>
      </c>
      <c r="AG13">
        <v>700</v>
      </c>
      <c r="AH13">
        <v>7000</v>
      </c>
      <c r="AN13">
        <v>8</v>
      </c>
      <c r="AQ13">
        <v>9</v>
      </c>
      <c r="BL13">
        <f ca="1"/>
        <v>8000</v>
      </c>
      <c r="BM13">
        <f ca="1"/>
        <v>8000</v>
      </c>
    </row>
    <row r="14" spans="1:89" x14ac:dyDescent="0.25">
      <c r="A14" s="10">
        <v>9</v>
      </c>
      <c r="B14" s="10">
        <v>900</v>
      </c>
      <c r="C14" s="10">
        <v>9000</v>
      </c>
      <c r="H14">
        <v>10</v>
      </c>
      <c r="I14">
        <v>1000</v>
      </c>
      <c r="K14">
        <v>9</v>
      </c>
      <c r="L14">
        <v>900</v>
      </c>
      <c r="M14">
        <v>9000</v>
      </c>
      <c r="O14">
        <v>12</v>
      </c>
      <c r="P14">
        <v>1200</v>
      </c>
      <c r="Q14">
        <v>12000</v>
      </c>
      <c r="S14">
        <v>800</v>
      </c>
      <c r="T14">
        <v>8000</v>
      </c>
      <c r="Z14">
        <v>10</v>
      </c>
      <c r="AA14">
        <v>1000</v>
      </c>
      <c r="AC14">
        <v>9000</v>
      </c>
      <c r="AD14">
        <v>900</v>
      </c>
      <c r="AE14">
        <v>9000</v>
      </c>
      <c r="AG14">
        <v>800</v>
      </c>
      <c r="AH14">
        <v>8000</v>
      </c>
      <c r="AN14">
        <v>9</v>
      </c>
      <c r="AQ14">
        <v>10</v>
      </c>
      <c r="BL14">
        <f ca="1"/>
        <v>9000</v>
      </c>
      <c r="BM14">
        <f ca="1"/>
        <v>9000</v>
      </c>
    </row>
    <row r="15" spans="1:89" x14ac:dyDescent="0.25">
      <c r="A15" s="10">
        <v>10</v>
      </c>
      <c r="B15" s="10">
        <v>1000</v>
      </c>
      <c r="C15" s="10">
        <v>10000</v>
      </c>
      <c r="H15">
        <v>11</v>
      </c>
      <c r="I15">
        <v>1100</v>
      </c>
      <c r="K15">
        <v>10</v>
      </c>
      <c r="L15">
        <v>1000</v>
      </c>
      <c r="M15">
        <v>10000</v>
      </c>
      <c r="S15">
        <v>900</v>
      </c>
      <c r="T15">
        <v>9000</v>
      </c>
      <c r="Z15">
        <v>11</v>
      </c>
      <c r="AA15">
        <v>1100</v>
      </c>
      <c r="AC15">
        <v>10000</v>
      </c>
      <c r="AD15">
        <v>1000</v>
      </c>
      <c r="AE15">
        <v>10000</v>
      </c>
      <c r="AG15">
        <v>900</v>
      </c>
      <c r="AH15">
        <v>9000</v>
      </c>
      <c r="AN15">
        <v>10</v>
      </c>
      <c r="AQ15">
        <v>11</v>
      </c>
      <c r="BL15">
        <f ca="1"/>
        <v>10000</v>
      </c>
      <c r="BM15">
        <f ca="1"/>
        <v>10000</v>
      </c>
    </row>
    <row r="16" spans="1:89" x14ac:dyDescent="0.25">
      <c r="A16" s="10">
        <v>11</v>
      </c>
      <c r="B16" s="10">
        <v>1100</v>
      </c>
      <c r="C16" s="10">
        <v>11000</v>
      </c>
      <c r="H16">
        <v>12</v>
      </c>
      <c r="I16">
        <v>1200</v>
      </c>
      <c r="K16">
        <v>11</v>
      </c>
      <c r="L16">
        <v>1100</v>
      </c>
      <c r="M16">
        <v>11000</v>
      </c>
      <c r="S16">
        <v>1000</v>
      </c>
      <c r="T16">
        <v>10000</v>
      </c>
      <c r="Z16">
        <v>12</v>
      </c>
      <c r="AA16">
        <v>1200</v>
      </c>
      <c r="AC16">
        <v>11000</v>
      </c>
      <c r="AD16">
        <v>1100</v>
      </c>
      <c r="AE16">
        <v>11000</v>
      </c>
      <c r="AG16">
        <v>1000</v>
      </c>
      <c r="AH16">
        <v>10000</v>
      </c>
      <c r="AN16">
        <v>11</v>
      </c>
      <c r="AQ16">
        <v>12</v>
      </c>
      <c r="BL16">
        <f ca="1"/>
        <v>11000</v>
      </c>
      <c r="BM16">
        <f ca="1"/>
        <v>11000</v>
      </c>
    </row>
    <row r="17" spans="1:89" x14ac:dyDescent="0.25">
      <c r="A17" s="10">
        <v>12</v>
      </c>
      <c r="B17" s="10">
        <v>1200</v>
      </c>
      <c r="C17" s="10">
        <v>12000</v>
      </c>
      <c r="K17">
        <v>12</v>
      </c>
      <c r="L17">
        <v>1200</v>
      </c>
      <c r="M17">
        <v>12000</v>
      </c>
      <c r="S17">
        <v>1100</v>
      </c>
      <c r="T17">
        <v>11000</v>
      </c>
      <c r="AC17">
        <v>12000</v>
      </c>
      <c r="AD17">
        <v>1200</v>
      </c>
      <c r="AE17">
        <v>12000</v>
      </c>
      <c r="AG17">
        <v>1100</v>
      </c>
      <c r="AH17">
        <v>11000</v>
      </c>
      <c r="AN17">
        <v>12</v>
      </c>
      <c r="BL17">
        <f ca="1"/>
        <v>12000</v>
      </c>
      <c r="BM17">
        <f ca="1"/>
        <v>12000</v>
      </c>
    </row>
    <row r="18" spans="1:89" x14ac:dyDescent="0.25">
      <c r="S18">
        <v>1200</v>
      </c>
      <c r="T18">
        <v>12000</v>
      </c>
      <c r="AG18">
        <v>1200</v>
      </c>
      <c r="AH18">
        <v>12000</v>
      </c>
    </row>
    <row r="20" spans="1:89" x14ac:dyDescent="0.25">
      <c r="E20" s="7" t="s">
        <v>8</v>
      </c>
      <c r="F20" s="6"/>
      <c r="G20" s="6"/>
      <c r="H20" s="6"/>
      <c r="I20" s="6"/>
      <c r="J20" s="6"/>
      <c r="K20" s="6"/>
      <c r="L20" s="6"/>
      <c r="M20" s="6"/>
      <c r="N20" s="6"/>
      <c r="O20" s="6"/>
      <c r="P20" s="6"/>
      <c r="Q20" s="6"/>
      <c r="R20" s="6"/>
      <c r="S20" s="6"/>
      <c r="T20" s="6"/>
      <c r="U20" s="6"/>
      <c r="V20" s="6"/>
      <c r="W20" s="7"/>
      <c r="X20" s="6"/>
      <c r="Y20" s="6"/>
      <c r="Z20" s="6"/>
      <c r="AA20" s="6"/>
      <c r="AB20" s="6"/>
      <c r="AC20" s="6"/>
      <c r="AD20" s="6"/>
      <c r="AE20" s="6"/>
      <c r="AF20" s="6"/>
      <c r="AG20" s="6"/>
      <c r="AH20" s="6"/>
      <c r="AI20" s="6"/>
      <c r="AJ20" s="6"/>
      <c r="AK20" s="7"/>
      <c r="AL20" s="6"/>
      <c r="AM20" s="6"/>
      <c r="AN20" s="7"/>
      <c r="AO20" s="6"/>
      <c r="AP20" s="6"/>
      <c r="AQ20" s="7"/>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c r="CD20" s="6"/>
      <c r="CE20" s="6"/>
      <c r="CF20" s="6"/>
      <c r="CG20" s="6"/>
      <c r="CH20" s="6"/>
      <c r="CI20" s="6"/>
      <c r="CJ20" s="6"/>
      <c r="CK20" s="6"/>
    </row>
    <row r="21" spans="1:89" x14ac:dyDescent="0.25">
      <c r="E21" cm="1">
        <f t="array" ref="E21:F23">SLICE($A$6:$C$17,2,4,1,2)</f>
        <v>2</v>
      </c>
      <c r="F21">
        <v>200</v>
      </c>
      <c r="H21" cm="1">
        <f t="array" ref="H21:I31">SLICE($A$6:$C$17,2,,1,2)</f>
        <v>2</v>
      </c>
      <c r="I21">
        <v>200</v>
      </c>
      <c r="K21" cm="1">
        <f t="array" ref="K21:M32">SLICE($A$6:$C$17,2,4,1,2,A15:B17)</f>
        <v>1</v>
      </c>
      <c r="L21">
        <v>100</v>
      </c>
      <c r="M21">
        <v>1000</v>
      </c>
      <c r="O21" cm="1">
        <f t="array" ref="O21:P29">SLICE($A$6:$C$17,2,4,1,2,,TRUE)</f>
        <v>1000</v>
      </c>
      <c r="P21">
        <v>1000</v>
      </c>
      <c r="S21" t="str" cm="1">
        <f t="array" ref="S21:T33">SLICE($A$5:$C$17,,,"y","z")</f>
        <v>y</v>
      </c>
      <c r="T21" t="str">
        <v>z</v>
      </c>
      <c r="W21" cm="1">
        <f t="array" ref="W21:X23">M($A$6:$C$17,"[2:4,1:2]")</f>
        <v>2</v>
      </c>
      <c r="X21">
        <v>200</v>
      </c>
      <c r="Z21" cm="1">
        <f t="array" ref="Z21:AA31">M($A$6:$C$17,"[2:,1:2]")</f>
        <v>2</v>
      </c>
      <c r="AA21">
        <v>200</v>
      </c>
      <c r="AC21" cm="1">
        <f t="array" ref="AC21:AE32">M($A$6:$C$17,"[2:,1]",$C$7:$C$17)</f>
        <v>1</v>
      </c>
      <c r="AD21">
        <v>100</v>
      </c>
      <c r="AE21">
        <v>1000</v>
      </c>
      <c r="AG21" t="str" cm="1">
        <f t="array" ref="AG21:AH33">M($A$5:$C$17,"[1:,y:z]")</f>
        <v>y</v>
      </c>
      <c r="AH21" t="str">
        <v>z</v>
      </c>
      <c r="AK21" cm="1">
        <f t="array" ref="AK21">GET($A$6:$C$17,2,,FALSE,FALSE)</f>
        <v>2</v>
      </c>
      <c r="AN21" cm="1">
        <f t="array" ref="AN21:AN32">GET($A$6:$A$17,2,"XXX",FALSE,FALSE)</f>
        <v>1</v>
      </c>
      <c r="AQ21" cm="1">
        <f t="array" ref="AQ21:AQ31">GET($A$6:$A$17,2,,TRUE,FALSE)</f>
        <v>1</v>
      </c>
      <c r="AT21" cm="1">
        <f t="array" ref="AT21:AU26">VERTCAT($A$6:$B$8,$A$15:$B$17)</f>
        <v>1</v>
      </c>
      <c r="AU21">
        <v>100</v>
      </c>
      <c r="AW21" cm="1">
        <f t="array" ref="AW21:AY26">HORZCAT($A$6:$B$11,$C$12:$C$17)</f>
        <v>1</v>
      </c>
      <c r="AX21">
        <v>100</v>
      </c>
      <c r="AY21">
        <v>7000</v>
      </c>
      <c r="BA21" cm="1">
        <f t="array" ref="BA21:BB23">VERTCAT_EX($A$6:$B$8,1,1)</f>
        <v>1</v>
      </c>
      <c r="BB21">
        <v>100</v>
      </c>
      <c r="BD21" cm="1">
        <f t="array" ref="BD21:BE26">HORZCAT_EX($A$6:$B$11,1,1)</f>
        <v>1</v>
      </c>
      <c r="BE21">
        <v>100</v>
      </c>
      <c r="BH21" cm="1">
        <f t="array" aca="1" ref="BH21:BJ25" ca="1">SAMPLE(A6:C17,5,1,TRUE)</f>
        <v>9</v>
      </c>
      <c r="BI21">
        <f ca="1"/>
        <v>900</v>
      </c>
      <c r="BJ21">
        <f ca="1"/>
        <v>9000</v>
      </c>
      <c r="BL21" cm="1">
        <f t="array" aca="1" ref="BL21:BM32" ca="1">SAMPLE($A$6:$C$17,2,2,FALSE)</f>
        <v>100</v>
      </c>
      <c r="BM21">
        <f ca="1"/>
        <v>1000</v>
      </c>
      <c r="BP21" t="str" cm="1">
        <f t="array" ref="BP21:BR21">_xludf.SPLIT("A--B--C","--")</f>
        <v>A</v>
      </c>
      <c r="BQ21" t="str">
        <v>B</v>
      </c>
      <c r="BR21" t="str">
        <v>C</v>
      </c>
      <c r="BT21" t="str" cm="1">
        <f t="array" ref="BT21:BT26">SPLITTWO("aa+b+c-dd+e-f", "+", "-", "ELEMENTS")</f>
        <v>aa</v>
      </c>
      <c r="BX21" t="str" cm="1">
        <f t="array" ref="BX21:BZ21">SPLITALL("A--B--C","--")</f>
        <v>A</v>
      </c>
      <c r="BY21" t="str">
        <v>B</v>
      </c>
      <c r="BZ21" t="str">
        <v>C</v>
      </c>
      <c r="CB21" t="str" cm="1">
        <f t="array" ref="CB21:CB26">TEXTTOCHAR("ABCDEF")</f>
        <v>A</v>
      </c>
      <c r="CE21" t="str" cm="1">
        <f t="array" ref="CE21">REPLACEALL("Hello World",{"e";"o"},"",FALSE)</f>
        <v>Hll Wrld</v>
      </c>
      <c r="CH21" t="b" cm="1">
        <f t="array" ref="CH21:CJ23">ISEMPTY($A$4:$C$6)</f>
        <v>0</v>
      </c>
      <c r="CI21" t="b">
        <v>1</v>
      </c>
      <c r="CJ21" t="b">
        <v>1</v>
      </c>
    </row>
    <row r="22" spans="1:89" x14ac:dyDescent="0.25">
      <c r="E22">
        <v>3</v>
      </c>
      <c r="F22">
        <v>300</v>
      </c>
      <c r="H22">
        <v>3</v>
      </c>
      <c r="I22">
        <v>300</v>
      </c>
      <c r="K22">
        <v>10</v>
      </c>
      <c r="L22">
        <v>1000</v>
      </c>
      <c r="M22">
        <v>2000</v>
      </c>
      <c r="O22">
        <v>5000</v>
      </c>
      <c r="P22">
        <v>5000</v>
      </c>
      <c r="S22">
        <v>100</v>
      </c>
      <c r="T22">
        <v>1000</v>
      </c>
      <c r="W22">
        <v>3</v>
      </c>
      <c r="X22">
        <v>300</v>
      </c>
      <c r="Z22">
        <v>3</v>
      </c>
      <c r="AA22">
        <v>300</v>
      </c>
      <c r="AC22">
        <v>2000</v>
      </c>
      <c r="AD22">
        <v>200</v>
      </c>
      <c r="AE22">
        <v>2000</v>
      </c>
      <c r="AG22">
        <v>100</v>
      </c>
      <c r="AH22">
        <v>1000</v>
      </c>
      <c r="AN22" t="str">
        <v>XXX</v>
      </c>
      <c r="AQ22">
        <v>3</v>
      </c>
      <c r="AT22">
        <v>2</v>
      </c>
      <c r="AU22">
        <v>200</v>
      </c>
      <c r="AW22">
        <v>2</v>
      </c>
      <c r="AX22">
        <v>200</v>
      </c>
      <c r="AY22">
        <v>8000</v>
      </c>
      <c r="BA22">
        <v>2</v>
      </c>
      <c r="BB22">
        <v>200</v>
      </c>
      <c r="BD22">
        <v>2</v>
      </c>
      <c r="BE22">
        <v>200</v>
      </c>
      <c r="BH22">
        <f ca="1"/>
        <v>4</v>
      </c>
      <c r="BI22">
        <f ca="1"/>
        <v>400</v>
      </c>
      <c r="BJ22">
        <f ca="1"/>
        <v>4000</v>
      </c>
      <c r="BL22">
        <f ca="1"/>
        <v>200</v>
      </c>
      <c r="BM22">
        <f ca="1"/>
        <v>2000</v>
      </c>
      <c r="BT22" t="str">
        <v>b</v>
      </c>
      <c r="CB22" t="str">
        <v>B</v>
      </c>
      <c r="CH22" t="b">
        <v>0</v>
      </c>
      <c r="CI22" t="b">
        <v>0</v>
      </c>
      <c r="CJ22" t="b">
        <v>0</v>
      </c>
    </row>
    <row r="23" spans="1:89" x14ac:dyDescent="0.25">
      <c r="E23">
        <v>4</v>
      </c>
      <c r="F23">
        <v>400</v>
      </c>
      <c r="H23">
        <v>4</v>
      </c>
      <c r="I23">
        <v>400</v>
      </c>
      <c r="K23">
        <v>11</v>
      </c>
      <c r="L23">
        <v>1100</v>
      </c>
      <c r="M23">
        <v>3000</v>
      </c>
      <c r="O23">
        <v>6000</v>
      </c>
      <c r="P23">
        <v>6000</v>
      </c>
      <c r="S23">
        <v>200</v>
      </c>
      <c r="T23">
        <v>2000</v>
      </c>
      <c r="W23">
        <v>4</v>
      </c>
      <c r="X23">
        <v>400</v>
      </c>
      <c r="Z23">
        <v>4</v>
      </c>
      <c r="AA23">
        <v>400</v>
      </c>
      <c r="AC23">
        <v>3000</v>
      </c>
      <c r="AD23">
        <v>300</v>
      </c>
      <c r="AE23">
        <v>3000</v>
      </c>
      <c r="AG23">
        <v>200</v>
      </c>
      <c r="AH23">
        <v>2000</v>
      </c>
      <c r="AN23">
        <v>3</v>
      </c>
      <c r="AQ23">
        <v>4</v>
      </c>
      <c r="AT23">
        <v>3</v>
      </c>
      <c r="AU23">
        <v>300</v>
      </c>
      <c r="AW23">
        <v>3</v>
      </c>
      <c r="AX23">
        <v>300</v>
      </c>
      <c r="AY23">
        <v>9000</v>
      </c>
      <c r="BA23">
        <v>3</v>
      </c>
      <c r="BB23">
        <v>300</v>
      </c>
      <c r="BD23">
        <v>3</v>
      </c>
      <c r="BE23">
        <v>300</v>
      </c>
      <c r="BH23">
        <f ca="1"/>
        <v>11</v>
      </c>
      <c r="BI23">
        <f ca="1"/>
        <v>1100</v>
      </c>
      <c r="BJ23">
        <f ca="1"/>
        <v>11000</v>
      </c>
      <c r="BL23">
        <f ca="1"/>
        <v>300</v>
      </c>
      <c r="BM23">
        <f ca="1"/>
        <v>3000</v>
      </c>
      <c r="BT23" t="str">
        <v>c</v>
      </c>
      <c r="CB23" t="str">
        <v>C</v>
      </c>
      <c r="CH23" t="b">
        <v>0</v>
      </c>
      <c r="CI23" t="b">
        <v>0</v>
      </c>
      <c r="CJ23" t="b">
        <v>0</v>
      </c>
    </row>
    <row r="24" spans="1:89" x14ac:dyDescent="0.25">
      <c r="H24">
        <v>5</v>
      </c>
      <c r="I24">
        <v>500</v>
      </c>
      <c r="K24">
        <v>12</v>
      </c>
      <c r="L24">
        <v>1200</v>
      </c>
      <c r="M24">
        <v>4000</v>
      </c>
      <c r="O24">
        <v>7000</v>
      </c>
      <c r="P24">
        <v>7000</v>
      </c>
      <c r="S24">
        <v>300</v>
      </c>
      <c r="T24">
        <v>3000</v>
      </c>
      <c r="Z24">
        <v>5</v>
      </c>
      <c r="AA24">
        <v>500</v>
      </c>
      <c r="AC24">
        <v>4000</v>
      </c>
      <c r="AD24">
        <v>400</v>
      </c>
      <c r="AE24">
        <v>4000</v>
      </c>
      <c r="AG24">
        <v>300</v>
      </c>
      <c r="AH24">
        <v>3000</v>
      </c>
      <c r="AN24">
        <v>4</v>
      </c>
      <c r="AQ24">
        <v>5</v>
      </c>
      <c r="AT24">
        <v>10</v>
      </c>
      <c r="AU24">
        <v>1000</v>
      </c>
      <c r="AW24">
        <v>4</v>
      </c>
      <c r="AX24">
        <v>400</v>
      </c>
      <c r="AY24">
        <v>10000</v>
      </c>
      <c r="BD24">
        <v>4</v>
      </c>
      <c r="BE24">
        <v>400</v>
      </c>
      <c r="BH24">
        <f ca="1"/>
        <v>10</v>
      </c>
      <c r="BI24">
        <f ca="1"/>
        <v>1000</v>
      </c>
      <c r="BJ24">
        <f ca="1"/>
        <v>10000</v>
      </c>
      <c r="BL24">
        <f ca="1"/>
        <v>400</v>
      </c>
      <c r="BM24">
        <f ca="1"/>
        <v>4000</v>
      </c>
      <c r="BT24" t="str">
        <v>dd</v>
      </c>
      <c r="CB24" t="str">
        <v>D</v>
      </c>
    </row>
    <row r="25" spans="1:89" x14ac:dyDescent="0.25">
      <c r="H25">
        <v>6</v>
      </c>
      <c r="I25">
        <v>600</v>
      </c>
      <c r="K25">
        <v>5</v>
      </c>
      <c r="L25">
        <v>500</v>
      </c>
      <c r="M25">
        <v>5000</v>
      </c>
      <c r="O25">
        <v>8000</v>
      </c>
      <c r="P25">
        <v>8000</v>
      </c>
      <c r="S25">
        <v>400</v>
      </c>
      <c r="T25">
        <v>4000</v>
      </c>
      <c r="Z25">
        <v>6</v>
      </c>
      <c r="AA25">
        <v>600</v>
      </c>
      <c r="AC25">
        <v>5000</v>
      </c>
      <c r="AD25">
        <v>500</v>
      </c>
      <c r="AE25">
        <v>5000</v>
      </c>
      <c r="AG25">
        <v>400</v>
      </c>
      <c r="AH25">
        <v>4000</v>
      </c>
      <c r="AN25">
        <v>5</v>
      </c>
      <c r="AQ25">
        <v>6</v>
      </c>
      <c r="AT25">
        <v>11</v>
      </c>
      <c r="AU25">
        <v>1100</v>
      </c>
      <c r="AW25">
        <v>5</v>
      </c>
      <c r="AX25">
        <v>500</v>
      </c>
      <c r="AY25">
        <v>11000</v>
      </c>
      <c r="BD25">
        <v>5</v>
      </c>
      <c r="BE25">
        <v>500</v>
      </c>
      <c r="BH25">
        <f ca="1"/>
        <v>8</v>
      </c>
      <c r="BI25">
        <f ca="1"/>
        <v>800</v>
      </c>
      <c r="BJ25">
        <f ca="1"/>
        <v>8000</v>
      </c>
      <c r="BL25">
        <f ca="1"/>
        <v>500</v>
      </c>
      <c r="BM25">
        <f ca="1"/>
        <v>5000</v>
      </c>
      <c r="BT25" t="str">
        <v>e</v>
      </c>
      <c r="CB25" t="str">
        <v>E</v>
      </c>
    </row>
    <row r="26" spans="1:89" x14ac:dyDescent="0.25">
      <c r="H26">
        <v>7</v>
      </c>
      <c r="I26">
        <v>700</v>
      </c>
      <c r="K26">
        <v>6</v>
      </c>
      <c r="L26">
        <v>600</v>
      </c>
      <c r="M26">
        <v>6000</v>
      </c>
      <c r="O26">
        <v>9000</v>
      </c>
      <c r="P26">
        <v>9000</v>
      </c>
      <c r="S26">
        <v>500</v>
      </c>
      <c r="T26">
        <v>5000</v>
      </c>
      <c r="Z26">
        <v>7</v>
      </c>
      <c r="AA26">
        <v>700</v>
      </c>
      <c r="AC26">
        <v>6000</v>
      </c>
      <c r="AD26">
        <v>600</v>
      </c>
      <c r="AE26">
        <v>6000</v>
      </c>
      <c r="AG26">
        <v>500</v>
      </c>
      <c r="AH26">
        <v>5000</v>
      </c>
      <c r="AN26">
        <v>6</v>
      </c>
      <c r="AQ26">
        <v>7</v>
      </c>
      <c r="AT26">
        <v>12</v>
      </c>
      <c r="AU26">
        <v>1200</v>
      </c>
      <c r="AW26">
        <v>6</v>
      </c>
      <c r="AX26">
        <v>600</v>
      </c>
      <c r="AY26">
        <v>12000</v>
      </c>
      <c r="BD26">
        <v>6</v>
      </c>
      <c r="BE26">
        <v>600</v>
      </c>
      <c r="BL26">
        <f ca="1"/>
        <v>600</v>
      </c>
      <c r="BM26">
        <f ca="1"/>
        <v>6000</v>
      </c>
      <c r="BT26" t="str">
        <v>f</v>
      </c>
      <c r="CB26" t="str">
        <v>F</v>
      </c>
    </row>
    <row r="27" spans="1:89" x14ac:dyDescent="0.25">
      <c r="H27">
        <v>8</v>
      </c>
      <c r="I27">
        <v>800</v>
      </c>
      <c r="K27">
        <v>7</v>
      </c>
      <c r="L27">
        <v>700</v>
      </c>
      <c r="M27">
        <v>7000</v>
      </c>
      <c r="O27">
        <v>10000</v>
      </c>
      <c r="P27">
        <v>10000</v>
      </c>
      <c r="S27">
        <v>600</v>
      </c>
      <c r="T27">
        <v>6000</v>
      </c>
      <c r="Z27">
        <v>8</v>
      </c>
      <c r="AA27">
        <v>800</v>
      </c>
      <c r="AC27">
        <v>7000</v>
      </c>
      <c r="AD27">
        <v>700</v>
      </c>
      <c r="AE27">
        <v>7000</v>
      </c>
      <c r="AG27">
        <v>600</v>
      </c>
      <c r="AH27">
        <v>6000</v>
      </c>
      <c r="AN27">
        <v>7</v>
      </c>
      <c r="AQ27">
        <v>8</v>
      </c>
      <c r="BL27">
        <f ca="1"/>
        <v>700</v>
      </c>
      <c r="BM27">
        <f ca="1"/>
        <v>7000</v>
      </c>
    </row>
    <row r="28" spans="1:89" x14ac:dyDescent="0.25">
      <c r="H28">
        <v>9</v>
      </c>
      <c r="I28">
        <v>900</v>
      </c>
      <c r="K28">
        <v>8</v>
      </c>
      <c r="L28">
        <v>800</v>
      </c>
      <c r="M28">
        <v>8000</v>
      </c>
      <c r="O28">
        <v>11000</v>
      </c>
      <c r="P28">
        <v>11000</v>
      </c>
      <c r="S28">
        <v>700</v>
      </c>
      <c r="T28">
        <v>7000</v>
      </c>
      <c r="Z28">
        <v>9</v>
      </c>
      <c r="AA28">
        <v>900</v>
      </c>
      <c r="AC28">
        <v>8000</v>
      </c>
      <c r="AD28">
        <v>800</v>
      </c>
      <c r="AE28">
        <v>8000</v>
      </c>
      <c r="AG28">
        <v>700</v>
      </c>
      <c r="AH28">
        <v>7000</v>
      </c>
      <c r="AN28">
        <v>8</v>
      </c>
      <c r="AQ28">
        <v>9</v>
      </c>
      <c r="BL28">
        <f ca="1"/>
        <v>800</v>
      </c>
      <c r="BM28">
        <f ca="1"/>
        <v>8000</v>
      </c>
    </row>
    <row r="29" spans="1:89" x14ac:dyDescent="0.25">
      <c r="H29">
        <v>10</v>
      </c>
      <c r="I29">
        <v>1000</v>
      </c>
      <c r="K29">
        <v>9</v>
      </c>
      <c r="L29">
        <v>900</v>
      </c>
      <c r="M29">
        <v>9000</v>
      </c>
      <c r="O29">
        <v>12000</v>
      </c>
      <c r="P29">
        <v>12000</v>
      </c>
      <c r="S29">
        <v>800</v>
      </c>
      <c r="T29">
        <v>8000</v>
      </c>
      <c r="Z29">
        <v>10</v>
      </c>
      <c r="AA29">
        <v>1000</v>
      </c>
      <c r="AC29">
        <v>9000</v>
      </c>
      <c r="AD29">
        <v>900</v>
      </c>
      <c r="AE29">
        <v>9000</v>
      </c>
      <c r="AG29">
        <v>800</v>
      </c>
      <c r="AH29">
        <v>8000</v>
      </c>
      <c r="AN29">
        <v>9</v>
      </c>
      <c r="AQ29">
        <v>10</v>
      </c>
      <c r="BL29">
        <f ca="1"/>
        <v>900</v>
      </c>
      <c r="BM29">
        <f ca="1"/>
        <v>9000</v>
      </c>
    </row>
    <row r="30" spans="1:89" x14ac:dyDescent="0.25">
      <c r="H30">
        <v>11</v>
      </c>
      <c r="I30">
        <v>1100</v>
      </c>
      <c r="K30">
        <v>10</v>
      </c>
      <c r="L30">
        <v>1000</v>
      </c>
      <c r="M30">
        <v>10000</v>
      </c>
      <c r="S30">
        <v>900</v>
      </c>
      <c r="T30">
        <v>9000</v>
      </c>
      <c r="Z30">
        <v>11</v>
      </c>
      <c r="AA30">
        <v>1100</v>
      </c>
      <c r="AC30">
        <v>10000</v>
      </c>
      <c r="AD30">
        <v>1000</v>
      </c>
      <c r="AE30">
        <v>10000</v>
      </c>
      <c r="AG30">
        <v>900</v>
      </c>
      <c r="AH30">
        <v>9000</v>
      </c>
      <c r="AN30">
        <v>10</v>
      </c>
      <c r="AQ30">
        <v>11</v>
      </c>
      <c r="BL30">
        <f ca="1"/>
        <v>1000</v>
      </c>
      <c r="BM30">
        <f ca="1"/>
        <v>10000</v>
      </c>
    </row>
    <row r="31" spans="1:89" x14ac:dyDescent="0.25">
      <c r="H31">
        <v>12</v>
      </c>
      <c r="I31">
        <v>1200</v>
      </c>
      <c r="K31">
        <v>11</v>
      </c>
      <c r="L31">
        <v>1100</v>
      </c>
      <c r="M31">
        <v>11000</v>
      </c>
      <c r="S31">
        <v>1000</v>
      </c>
      <c r="T31">
        <v>10000</v>
      </c>
      <c r="Z31">
        <v>12</v>
      </c>
      <c r="AA31">
        <v>1200</v>
      </c>
      <c r="AC31">
        <v>11000</v>
      </c>
      <c r="AD31">
        <v>1100</v>
      </c>
      <c r="AE31">
        <v>11000</v>
      </c>
      <c r="AG31">
        <v>1000</v>
      </c>
      <c r="AH31">
        <v>10000</v>
      </c>
      <c r="AN31">
        <v>11</v>
      </c>
      <c r="AQ31">
        <v>12</v>
      </c>
      <c r="BL31">
        <f ca="1"/>
        <v>1100</v>
      </c>
      <c r="BM31">
        <f ca="1"/>
        <v>11000</v>
      </c>
    </row>
    <row r="32" spans="1:89" x14ac:dyDescent="0.25">
      <c r="K32">
        <v>12</v>
      </c>
      <c r="L32">
        <v>1200</v>
      </c>
      <c r="M32">
        <v>12000</v>
      </c>
      <c r="S32">
        <v>1100</v>
      </c>
      <c r="T32">
        <v>11000</v>
      </c>
      <c r="AC32">
        <v>12000</v>
      </c>
      <c r="AD32">
        <v>1200</v>
      </c>
      <c r="AE32">
        <v>12000</v>
      </c>
      <c r="AG32">
        <v>1100</v>
      </c>
      <c r="AH32">
        <v>11000</v>
      </c>
      <c r="AN32">
        <v>12</v>
      </c>
      <c r="BL32">
        <f ca="1"/>
        <v>1200</v>
      </c>
      <c r="BM32">
        <f ca="1"/>
        <v>12000</v>
      </c>
    </row>
    <row r="33" spans="19:34" x14ac:dyDescent="0.25">
      <c r="S33">
        <v>1200</v>
      </c>
      <c r="T33">
        <v>12000</v>
      </c>
      <c r="AG33">
        <v>1200</v>
      </c>
      <c r="AH33">
        <v>12000</v>
      </c>
    </row>
  </sheetData>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8FA3B-3932-0343-A170-6ECBA7142B27}">
  <sheetPr codeName="Planilha2">
    <tabColor theme="9" tint="0.59999389629810485"/>
  </sheetPr>
  <dimension ref="A1:AL70"/>
  <sheetViews>
    <sheetView topLeftCell="A23" zoomScale="85" zoomScaleNormal="85" workbookViewId="0">
      <selection activeCell="R32" sqref="R32"/>
    </sheetView>
  </sheetViews>
  <sheetFormatPr defaultColWidth="11.42578125" defaultRowHeight="15" x14ac:dyDescent="0.25"/>
  <cols>
    <col min="1" max="1" width="15" customWidth="1"/>
    <col min="7" max="8" width="12.42578125" bestFit="1" customWidth="1"/>
    <col min="10" max="11" width="12" bestFit="1" customWidth="1"/>
    <col min="13" max="13" width="12" bestFit="1" customWidth="1"/>
    <col min="18" max="18" width="18.85546875" bestFit="1" customWidth="1"/>
    <col min="19" max="19" width="11.42578125" customWidth="1"/>
    <col min="25" max="25" width="12.7109375" bestFit="1" customWidth="1"/>
    <col min="27" max="28" width="12.5703125" bestFit="1" customWidth="1"/>
    <col min="35" max="35" width="12.42578125" customWidth="1"/>
    <col min="38" max="38" width="11.42578125" style="110"/>
  </cols>
  <sheetData>
    <row r="1" spans="1:11" ht="21" x14ac:dyDescent="0.35">
      <c r="A1" s="3" t="s">
        <v>148</v>
      </c>
    </row>
    <row r="3" spans="1:11" x14ac:dyDescent="0.25">
      <c r="A3" s="5" t="s">
        <v>146</v>
      </c>
      <c r="B3" s="5" t="s">
        <v>1</v>
      </c>
      <c r="C3" s="5" t="s">
        <v>2</v>
      </c>
      <c r="D3" s="5" t="s">
        <v>3</v>
      </c>
      <c r="E3" s="5" t="s">
        <v>13</v>
      </c>
      <c r="H3" s="41" t="s">
        <v>147</v>
      </c>
    </row>
    <row r="4" spans="1:11" x14ac:dyDescent="0.25">
      <c r="A4" s="10">
        <v>1</v>
      </c>
      <c r="B4" s="10">
        <v>1</v>
      </c>
      <c r="C4" s="10">
        <v>100</v>
      </c>
      <c r="D4" s="10">
        <v>10</v>
      </c>
      <c r="E4" s="11">
        <v>265.3</v>
      </c>
      <c r="F4" s="38"/>
      <c r="H4" s="1" t="s">
        <v>3</v>
      </c>
      <c r="I4" s="1" t="s">
        <v>2</v>
      </c>
      <c r="J4" s="1" t="s">
        <v>1</v>
      </c>
      <c r="K4" s="1" t="s">
        <v>146</v>
      </c>
    </row>
    <row r="5" spans="1:11" x14ac:dyDescent="0.25">
      <c r="A5" s="10">
        <v>1</v>
      </c>
      <c r="B5" s="10">
        <v>20</v>
      </c>
      <c r="C5" s="10">
        <v>200</v>
      </c>
      <c r="D5" s="10">
        <v>15</v>
      </c>
      <c r="E5" s="11">
        <v>475.3</v>
      </c>
      <c r="F5" s="38"/>
      <c r="H5" s="39" cm="1">
        <f t="array" ref="H5:K9">LINEST($E$4:$E$15,$B$4:$D$15,TRUE,TRUE)</f>
        <v>2.820090979262333</v>
      </c>
      <c r="I5" s="39">
        <v>2.0218596221156862</v>
      </c>
      <c r="J5" s="39">
        <v>2.1770734285392526</v>
      </c>
      <c r="K5" s="39">
        <v>77.506630385486261</v>
      </c>
    </row>
    <row r="6" spans="1:11" x14ac:dyDescent="0.25">
      <c r="A6" s="10">
        <v>1</v>
      </c>
      <c r="B6" s="10">
        <v>3</v>
      </c>
      <c r="C6" s="10">
        <v>250</v>
      </c>
      <c r="D6" s="10">
        <v>24</v>
      </c>
      <c r="E6" s="11">
        <v>754.4</v>
      </c>
      <c r="F6" s="38"/>
      <c r="H6" s="42">
        <v>1.5121761755365046</v>
      </c>
      <c r="I6" s="42">
        <v>0.17018261882389146</v>
      </c>
      <c r="J6" s="42">
        <v>1.4892549500200285</v>
      </c>
      <c r="K6" s="42">
        <v>128.65286416500052</v>
      </c>
    </row>
    <row r="7" spans="1:11" x14ac:dyDescent="0.25">
      <c r="A7" s="10">
        <v>1</v>
      </c>
      <c r="B7" s="10">
        <v>40</v>
      </c>
      <c r="C7" s="10">
        <v>300</v>
      </c>
      <c r="D7" s="10">
        <v>80</v>
      </c>
      <c r="E7" s="11">
        <v>1090.5</v>
      </c>
      <c r="F7" s="38"/>
      <c r="H7" s="99">
        <v>0.96272594438086201</v>
      </c>
      <c r="I7" s="40">
        <v>169.7408689973665</v>
      </c>
      <c r="J7" s="40" t="e">
        <v>#N/A</v>
      </c>
      <c r="K7" s="40" t="e">
        <v>#N/A</v>
      </c>
    </row>
    <row r="8" spans="1:11" x14ac:dyDescent="0.25">
      <c r="A8" s="10">
        <v>1</v>
      </c>
      <c r="B8" s="10">
        <v>5</v>
      </c>
      <c r="C8" s="10">
        <v>380</v>
      </c>
      <c r="D8" s="10">
        <v>99</v>
      </c>
      <c r="E8" s="11">
        <v>1181.4000000000001</v>
      </c>
      <c r="F8" s="38"/>
      <c r="H8" s="99">
        <v>68.875499120559766</v>
      </c>
      <c r="I8" s="40">
        <v>8</v>
      </c>
      <c r="J8" s="40" t="e">
        <v>#N/A</v>
      </c>
      <c r="K8" s="40" t="e">
        <v>#N/A</v>
      </c>
    </row>
    <row r="9" spans="1:11" x14ac:dyDescent="0.25">
      <c r="A9" s="10">
        <v>1</v>
      </c>
      <c r="B9" s="10">
        <v>6</v>
      </c>
      <c r="C9" s="10">
        <v>600</v>
      </c>
      <c r="D9" s="10">
        <v>101</v>
      </c>
      <c r="E9" s="11">
        <v>1671.8</v>
      </c>
      <c r="F9" s="38"/>
      <c r="H9" s="99">
        <v>5953314.9158028169</v>
      </c>
      <c r="I9" s="40">
        <v>230495.70086384911</v>
      </c>
      <c r="J9" s="40" t="e">
        <v>#N/A</v>
      </c>
      <c r="K9" s="40" t="e">
        <v>#N/A</v>
      </c>
    </row>
    <row r="10" spans="1:11" x14ac:dyDescent="0.25">
      <c r="A10" s="10">
        <v>1</v>
      </c>
      <c r="B10" s="10">
        <v>2</v>
      </c>
      <c r="C10" s="10">
        <v>750</v>
      </c>
      <c r="D10" s="10">
        <v>78</v>
      </c>
      <c r="E10" s="11">
        <v>1646.3</v>
      </c>
      <c r="F10" s="38"/>
    </row>
    <row r="11" spans="1:11" x14ac:dyDescent="0.25">
      <c r="A11" s="10">
        <v>1</v>
      </c>
      <c r="B11" s="10">
        <v>8</v>
      </c>
      <c r="C11" s="10">
        <v>800</v>
      </c>
      <c r="D11" s="10">
        <v>50</v>
      </c>
      <c r="E11" s="11">
        <v>1768.1</v>
      </c>
      <c r="F11" s="38"/>
    </row>
    <row r="12" spans="1:11" x14ac:dyDescent="0.25">
      <c r="A12" s="10">
        <v>1</v>
      </c>
      <c r="B12" s="10">
        <v>9</v>
      </c>
      <c r="C12" s="10">
        <v>870</v>
      </c>
      <c r="D12" s="10">
        <v>27</v>
      </c>
      <c r="E12" s="11">
        <v>1710.2</v>
      </c>
      <c r="F12" s="38"/>
      <c r="H12" s="7" t="s">
        <v>101</v>
      </c>
      <c r="I12" s="6"/>
    </row>
    <row r="13" spans="1:11" x14ac:dyDescent="0.25">
      <c r="A13" s="10">
        <v>1</v>
      </c>
      <c r="B13" s="10">
        <v>100</v>
      </c>
      <c r="C13" s="10">
        <v>900</v>
      </c>
      <c r="D13" s="10">
        <v>30</v>
      </c>
      <c r="E13" s="11">
        <v>2200.6999999999998</v>
      </c>
      <c r="F13" s="38"/>
      <c r="G13" s="7" t="s">
        <v>146</v>
      </c>
      <c r="H13" s="37" cm="1">
        <f t="array" ref="H13:H16">_xlfn.LAMBDA(_xlpm.y,_xlpm.X,MMULT(MINVERSE(MMULT(TRANSPOSE(_xlpm.X),_xlpm.X)),MMULT(TRANSPOSE(_xlpm.X),_xlpm.y)))($E$4:$E$15,$A$4:$D$15)</f>
        <v>77.506630385482822</v>
      </c>
      <c r="I13" s="38" cm="1">
        <f t="array" ref="I13:I16">OLS_COEFF($E$4:$E$15,$A$4:$D$15)</f>
        <v>77.506630385482822</v>
      </c>
    </row>
    <row r="14" spans="1:11" x14ac:dyDescent="0.25">
      <c r="A14" s="10">
        <v>1</v>
      </c>
      <c r="B14" s="10">
        <v>11</v>
      </c>
      <c r="C14" s="10">
        <v>1000</v>
      </c>
      <c r="D14" s="10">
        <v>10</v>
      </c>
      <c r="E14" s="11">
        <v>2476.6</v>
      </c>
      <c r="F14" s="38"/>
      <c r="G14" s="7" t="s">
        <v>1</v>
      </c>
      <c r="H14" s="37">
        <v>2.1770734285392486</v>
      </c>
      <c r="I14" s="38">
        <v>2.1770734285392486</v>
      </c>
    </row>
    <row r="15" spans="1:11" x14ac:dyDescent="0.25">
      <c r="A15" s="10">
        <v>1</v>
      </c>
      <c r="B15" s="10">
        <v>120</v>
      </c>
      <c r="C15" s="10">
        <v>1100</v>
      </c>
      <c r="D15" s="10">
        <v>18</v>
      </c>
      <c r="E15" s="11">
        <v>2584</v>
      </c>
      <c r="F15" s="38"/>
      <c r="G15" s="7" t="s">
        <v>2</v>
      </c>
      <c r="H15" s="37">
        <v>2.0218596221156897</v>
      </c>
      <c r="I15" s="38">
        <v>2.0218596221156897</v>
      </c>
    </row>
    <row r="16" spans="1:11" x14ac:dyDescent="0.25">
      <c r="G16" s="7" t="s">
        <v>3</v>
      </c>
      <c r="H16" s="37">
        <v>2.8200909792623605</v>
      </c>
      <c r="I16" s="38">
        <v>2.8200909792623605</v>
      </c>
    </row>
    <row r="18" spans="1:35" x14ac:dyDescent="0.25">
      <c r="A18" s="7" t="s">
        <v>102</v>
      </c>
      <c r="B18" s="6"/>
      <c r="D18" s="7" t="s">
        <v>103</v>
      </c>
      <c r="E18" s="6"/>
      <c r="H18" s="7" t="s">
        <v>143</v>
      </c>
      <c r="I18" s="6"/>
      <c r="J18" s="6"/>
      <c r="K18" s="6"/>
      <c r="L18" s="6"/>
      <c r="M18" s="6"/>
      <c r="N18" s="6"/>
      <c r="O18" s="6"/>
      <c r="R18" s="7" t="s">
        <v>142</v>
      </c>
      <c r="S18" s="6"/>
      <c r="V18" s="7" t="s">
        <v>269</v>
      </c>
      <c r="W18" s="6"/>
      <c r="Y18" s="7" t="s">
        <v>410</v>
      </c>
      <c r="Z18" s="6"/>
      <c r="AF18" s="7" t="s">
        <v>421</v>
      </c>
      <c r="AG18" s="6"/>
      <c r="AH18" s="6"/>
      <c r="AI18" s="6"/>
    </row>
    <row r="19" spans="1:35" x14ac:dyDescent="0.25">
      <c r="A19" s="35" cm="1">
        <f t="array" ref="A19:A30">_xlfn.LAMBDA(_xlpm.y,_xlpm.X,_xlop.coeff,_xlfn.LET(_xlpm.bbeta, IF(_xlfn.ISOMITTED(_xlpm.coeff), OLS_COEFF(_xlpm.y,_xlpm.X), VEC(_xlpm.coeff)), MMULT(_xlpm.X,_xlpm.bbeta)))($E$4:$E$15,$A$4:$D$15)</f>
        <v>310.07057581821471</v>
      </c>
      <c r="B19" cm="1">
        <f t="array" ref="B19:B30">OLS_FITTED($E$4:$E$15,$A$4:$D$15)</f>
        <v>310.07057581821471</v>
      </c>
      <c r="D19" s="35" cm="1">
        <f t="array" ref="D19:D30">_xlfn.LAMBDA(_xlpm.y,_xlpm.X,_xlop.coeff,_xlfn.LET(_xlpm.bbeta, IF(_xlfn.ISOMITTED(_xlpm.coeff), OLS_COEFF(_xlpm.y,_xlpm.X), VEC(_xlpm.coeff)), _xlpm.y - MMULT(_xlpm.X,_xlpm.bbeta)))($E$4:$E$15,$B$4:$B$15)</f>
        <v>240.55095920122659</v>
      </c>
      <c r="E19" cm="1">
        <f t="array" ref="E19:E30">OLS_RESIDUALS($E$4:$E$15,$A$4:$D$15)</f>
        <v>-44.770575818214695</v>
      </c>
      <c r="G19" s="109" t="s">
        <v>146</v>
      </c>
      <c r="H19" s="35" cm="1">
        <f t="array" ref="H19:K22">_xlfn.LAMBDA(_xlpm.y,_xlpm.X,_xlop.coeff,_xlfn.LET(_xlpm.bbeta, IF(_xlfn.ISOMITTED(_xlpm.coeff), OLS_COEFF(_xlpm.y,_xlpm.X), VEC(_xlpm.coeff)),_xlpm.XX,MINVERSE(MMULT(TRANSPOSE(_xlpm.X),_xlpm.X)), ( SUM(OLS_RESIDUALS(_xlpm.y,_xlpm.X,_xlpm.bbeta)^2) / (ROWS(_xlpm.X) - COLUMNS(_xlpm.X) ) ) *_xlpm.XX))($E$4:$E$15,$A$4:$D$15)</f>
        <v>16551.559457858086</v>
      </c>
      <c r="I19" s="35">
        <v>-9.7774288290804314</v>
      </c>
      <c r="J19" s="35">
        <v>-14.241018600395551</v>
      </c>
      <c r="K19" s="35">
        <v>-116.94040897416426</v>
      </c>
      <c r="L19" cm="1">
        <f t="array" ref="L19:O22">OLS_VARCOV($E$4:$E$15,$A$4:$D$15)</f>
        <v>16551.559457858086</v>
      </c>
      <c r="M19">
        <v>-9.7774288290804314</v>
      </c>
      <c r="N19">
        <v>-14.241018600395551</v>
      </c>
      <c r="O19">
        <v>-116.94040897416426</v>
      </c>
      <c r="Q19" s="7" t="s">
        <v>146</v>
      </c>
      <c r="R19" s="36" cm="1">
        <f t="array" ref="R19:R22">_xlfn.LAMBDA(_xlpm.y,_xlpm.X,_xlop.coeff,_xlfn.LET(_xlpm.bbeta, IF(_xlfn.ISOMITTED(_xlpm.coeff), OLS_COEFF(_xlpm.y,_xlpm.X), VEC(_xlpm.coeff)), DIAG(SQRT(OLS_VARCOV(_xlpm.y,_xlpm.X,_xlpm.coeff))) ))($E$4:$E$15,$A$4:$D$15)</f>
        <v>128.65286416500055</v>
      </c>
      <c r="S19" s="43" cm="1">
        <f t="array" ref="S19:S22">OLS_COEFF_STDEV($E$4:$E$15,$A$4:$D$15)</f>
        <v>128.65286416500055</v>
      </c>
      <c r="U19" s="7" t="s">
        <v>146</v>
      </c>
      <c r="V19" s="36" cm="1">
        <f t="array" ref="V19:V22">_xlfn.LAMBDA(_xlpm.y,_xlpm.X,_xlop.coeff,_xlfn.LET(_xlpm.bbeta, IF(_xlfn.ISOMITTED(_xlpm.coeff), OLS_COEFF(_xlpm.y,_xlpm.X), VEC(_xlpm.coeff)), _xlpm.bbeta / DIAG(SQRT(OLS_VARCOV(_xlpm.y,_xlpm.X,_xlpm.coeff))) ))($E$4:$E$15,$A$4:$D$15)</f>
        <v>0.60244776428823699</v>
      </c>
      <c r="W19" s="43" cm="1">
        <f t="array" ref="W19:W22">OLS_COEFF_TSTAT($E$4:$E$15,$A$4:$D$15)</f>
        <v>0.60244776428823699</v>
      </c>
      <c r="Y19" s="36" cm="1">
        <f t="array" ref="Y19">_xlfn.LAMBDA(_xlpm.y,_xlpm.X,_xlop.coeff,_xlfn.LET(_xlpm.bbeta, IF(_xlfn.ISOMITTED(_xlpm.coeff), OLS_COEFF(_xlpm.y,_xlpm.X), VEC(_xlpm.coeff)), SQRT(SUMSQ(OLS_RESIDUALS(_xlpm.y,_xlpm.X,_xlpm.bbeta))/(LENGTH(_xlpm.y)-DIM(_xlpm.X,2)))  ))($E$4:$E$15,$A$4:$D$15)</f>
        <v>169.74086899736662</v>
      </c>
      <c r="Z19" s="43" cm="1">
        <f t="array" ref="Z19">OLS_STDEV($E$4:$E$15,$A$4:$D$15)</f>
        <v>169.74086899736662</v>
      </c>
      <c r="AF19" cm="1">
        <f t="array" ref="AF19:AI22">_xlfn.LAMBDA(_xlpm.y,_xlpm.X,_xlop.coeff,_xlfn.LET(_xlpm.bbeta, IF(_xlfn.ISOMITTED(_xlpm.coeff), OLS_COEFF(_xlpm.y,_xlpm.X), VEC(_xlpm.coeff)),_xlpm.XX,MINVERSE(MMULT(TRANSPOSE(_xlpm.X),_xlpm.X)),
_xlpm.n, LENGTH(_xlpm.y),
_xlpm.resMatrix, _xlpm.n/(_xlpm.n - DIM(_xlpm.X,2)) * MMULT(OLS_RESIDUALS(_xlpm.y,_xlpm.X,_xlpm.bbeta),TRANSPOSE(OLS_RESIDUALS(_xlpm.y,_xlpm.X,_xlpm.bbeta))),
_xlpm.lags, ROUNDDOWN(4*(_xlpm.n/100)^(2/9),0),
_xlpm.weightMatrix, _xlfn.MAKEARRAY(_xlpm.n,_xlpm.n, _xlfn.LAMBDA(_xlpm.lin,_xlpm.col, IF(ABS(_xlpm.col-_xlpm.lin)&gt;_xlpm.lags,0,INDEX(_xlpm.resMatrix,_xlpm.lin,_xlpm.col)*(1-ABS(_xlpm.col-_xlpm.lin)/(_xlpm.lags+1))) ) ),
_xlpm.covMatrix, MMULT( MMULT(_xlpm.XX, MMULT(MMULT(TRANSPOSE(_xlpm.X),_xlpm.weightMatrix),_xlpm.X)),_xlpm.XX),
_xlpm.covMatrix
))($E$4:$E$15,$A$4:$D$15)</f>
        <v>3619.7243255217782</v>
      </c>
      <c r="AG19">
        <v>-2.8032142958705553</v>
      </c>
      <c r="AH19">
        <v>-2.4861052676042683</v>
      </c>
      <c r="AI19">
        <v>-26.159890244696776</v>
      </c>
    </row>
    <row r="20" spans="1:35" x14ac:dyDescent="0.25">
      <c r="A20" s="35">
        <v>567.72138806834118</v>
      </c>
      <c r="B20">
        <v>567.72138806834118</v>
      </c>
      <c r="D20" s="35">
        <v>-19.680815975468363</v>
      </c>
      <c r="E20">
        <v>-92.421388068341173</v>
      </c>
      <c r="G20" s="109" t="s">
        <v>1</v>
      </c>
      <c r="H20" s="35">
        <v>-9.777428829080467</v>
      </c>
      <c r="I20" s="35">
        <v>2.2178803061591599</v>
      </c>
      <c r="J20" s="35">
        <v>-0.12059877918587016</v>
      </c>
      <c r="K20" s="35">
        <v>0.49974021318228257</v>
      </c>
      <c r="L20">
        <v>-9.777428829080467</v>
      </c>
      <c r="M20">
        <v>2.2178803061591599</v>
      </c>
      <c r="N20">
        <v>-0.12059877918587016</v>
      </c>
      <c r="O20">
        <v>0.49974021318228257</v>
      </c>
      <c r="Q20" s="7" t="s">
        <v>1</v>
      </c>
      <c r="R20" s="36">
        <v>1.4892549500200292</v>
      </c>
      <c r="S20" s="43">
        <v>1.4892549500200292</v>
      </c>
      <c r="U20" s="7" t="s">
        <v>1</v>
      </c>
      <c r="V20" s="36">
        <v>1.4618540824792752</v>
      </c>
      <c r="W20" s="43">
        <v>1.4618540824792752</v>
      </c>
      <c r="AF20">
        <v>-2.8032142958709017</v>
      </c>
      <c r="AG20">
        <v>2.9776868067459916</v>
      </c>
      <c r="AH20">
        <v>-0.36502838992245207</v>
      </c>
      <c r="AI20">
        <v>1.7004038948243931</v>
      </c>
    </row>
    <row r="21" spans="1:35" x14ac:dyDescent="0.25">
      <c r="A21" s="35">
        <v>657.18493970231964</v>
      </c>
      <c r="B21">
        <v>657.18493970231964</v>
      </c>
      <c r="D21" s="35">
        <v>680.15287760367971</v>
      </c>
      <c r="E21">
        <v>97.215060297680338</v>
      </c>
      <c r="G21" s="109" t="s">
        <v>2</v>
      </c>
      <c r="H21" s="35">
        <v>-14.24101860039554</v>
      </c>
      <c r="I21" s="35">
        <v>-0.12059877918587017</v>
      </c>
      <c r="J21" s="35">
        <v>2.8962123749757963E-2</v>
      </c>
      <c r="K21" s="35">
        <v>2.0558903027506482E-4</v>
      </c>
      <c r="L21">
        <v>-14.24101860039554</v>
      </c>
      <c r="M21">
        <v>-0.12059877918587017</v>
      </c>
      <c r="N21">
        <v>2.8962123749757963E-2</v>
      </c>
      <c r="O21">
        <v>2.0558903027506482E-4</v>
      </c>
      <c r="Q21" s="7" t="s">
        <v>2</v>
      </c>
      <c r="R21" s="36">
        <v>0.17018261882389155</v>
      </c>
      <c r="S21" s="43">
        <v>0.17018261882389155</v>
      </c>
      <c r="U21" s="7" t="s">
        <v>2</v>
      </c>
      <c r="V21" s="36">
        <v>11.880529492896988</v>
      </c>
      <c r="W21" s="43">
        <v>11.880529492896988</v>
      </c>
      <c r="Y21" s="7" t="s">
        <v>412</v>
      </c>
      <c r="Z21" s="6"/>
      <c r="AF21">
        <v>-2.4861052676042235</v>
      </c>
      <c r="AG21">
        <v>-0.36502838992245235</v>
      </c>
      <c r="AH21">
        <v>4.7418741915088082E-2</v>
      </c>
      <c r="AI21">
        <v>-0.20092476143098847</v>
      </c>
    </row>
    <row r="22" spans="1:35" x14ac:dyDescent="0.25">
      <c r="A22" s="35">
        <v>996.75473250274854</v>
      </c>
      <c r="B22">
        <v>996.75473250274854</v>
      </c>
      <c r="D22" s="35">
        <v>100.53836804906325</v>
      </c>
      <c r="E22">
        <v>93.745267497251461</v>
      </c>
      <c r="G22" s="109" t="s">
        <v>3</v>
      </c>
      <c r="H22" s="35">
        <v>-116.94040897416434</v>
      </c>
      <c r="I22" s="35">
        <v>0.49974021318228229</v>
      </c>
      <c r="J22" s="35">
        <v>2.055890302751985E-4</v>
      </c>
      <c r="K22" s="35">
        <v>2.2866767858602124</v>
      </c>
      <c r="L22">
        <v>-116.94040897416434</v>
      </c>
      <c r="M22">
        <v>0.49974021318228229</v>
      </c>
      <c r="N22">
        <v>2.055890302751985E-4</v>
      </c>
      <c r="O22">
        <v>2.2866767858602124</v>
      </c>
      <c r="Q22" s="7" t="s">
        <v>3</v>
      </c>
      <c r="R22" s="36">
        <v>1.5121761755365055</v>
      </c>
      <c r="S22" s="43">
        <v>1.5121761755365055</v>
      </c>
      <c r="U22" s="7" t="s">
        <v>3</v>
      </c>
      <c r="V22" s="36">
        <v>1.8649222391444036</v>
      </c>
      <c r="W22" s="43">
        <v>1.8649222391444036</v>
      </c>
      <c r="Y22" s="36" cm="1">
        <f t="array" ref="Y22">_xlfn.LAMBDA(_xlpm.y,_xlpm.X,_xlop.coeff,
_xlfn.LET(
_xlpm.bbeta, IF(_xlfn.ISOMITTED(_xlpm.coeff), OLS_COEFF(_xlpm.y,_xlpm.X), VEC(_xlpm.coeff)),
_xlpm.hasConst, HASCONST(_xlpm.X,1,FALSE),
IF(_xlpm.hasConst, _xlfn.VAR.P(OLS_FITTED(_xlpm.y,_xlpm.X,_xlpm.bbeta))*LENGTH(_xlpm.y), SUM(OLS_FITTED(_xlpm.y,_xlpm.X,_xlpm.bbeta)^2))
))($E$4:$E$15,$A$4:$D$15)</f>
        <v>5953314.9158028364</v>
      </c>
      <c r="Z22" s="43" cm="1">
        <f t="array" ref="Z22">OLS_ESS($E$4:$E$15,$A$4:$D$15)</f>
        <v>5953314.9158028364</v>
      </c>
      <c r="AF22">
        <v>-26.159890244696868</v>
      </c>
      <c r="AG22">
        <v>1.7004038948243902</v>
      </c>
      <c r="AH22">
        <v>-0.20092476143098803</v>
      </c>
      <c r="AI22">
        <v>1.7254785237802013</v>
      </c>
    </row>
    <row r="23" spans="1:35" x14ac:dyDescent="0.25">
      <c r="A23" s="35">
        <v>1135.8876608791147</v>
      </c>
      <c r="B23">
        <v>1135.8876608791147</v>
      </c>
      <c r="D23" s="35">
        <v>1057.654796006133</v>
      </c>
      <c r="E23">
        <v>45.512339120885372</v>
      </c>
    </row>
    <row r="24" spans="1:35" x14ac:dyDescent="0.25">
      <c r="A24" s="35">
        <v>1588.5140331316306</v>
      </c>
      <c r="B24">
        <v>1588.5140331316306</v>
      </c>
      <c r="D24" s="35">
        <v>1523.3057552073594</v>
      </c>
      <c r="E24">
        <v>83.285966868369314</v>
      </c>
      <c r="Y24" s="7" t="s">
        <v>413</v>
      </c>
      <c r="Z24" s="6"/>
    </row>
    <row r="25" spans="1:35" x14ac:dyDescent="0.25">
      <c r="A25" s="35">
        <v>1818.222590211793</v>
      </c>
      <c r="B25">
        <v>1818.222590211793</v>
      </c>
      <c r="D25" s="35">
        <v>1596.8019184024531</v>
      </c>
      <c r="E25">
        <v>-171.92259021179302</v>
      </c>
      <c r="H25" s="7" t="s">
        <v>489</v>
      </c>
      <c r="I25" s="6"/>
      <c r="R25" s="7" t="s">
        <v>303</v>
      </c>
      <c r="S25" s="6"/>
      <c r="V25" s="7" t="s">
        <v>305</v>
      </c>
      <c r="W25" s="6"/>
      <c r="Y25" s="36" cm="1">
        <f t="array" ref="Y25">_xlfn.LAMBDA(_xlpm.y,_xlpm.X,_xlop.coeff,
_xlfn.LET(
_xlpm.bbeta, IF(_xlfn.ISOMITTED(_xlpm.coeff), OLS_COEFF(_xlpm.y,_xlpm.X), VEC(_xlpm.coeff)),
SUM(OLS_RESIDUALS(_xlpm.y,_xlpm.X,_xlpm.bbeta)^2)
))($E$4:$E$15,$A$4:$D$15)</f>
        <v>230495.70086384937</v>
      </c>
      <c r="Z25" s="43" cm="1">
        <f t="array" ref="Z25">OLS_RSS($E$4:$E$15,$A$4:$D$15)</f>
        <v>230495.70086384937</v>
      </c>
      <c r="AG25" s="7" t="s">
        <v>422</v>
      </c>
      <c r="AH25" s="6"/>
    </row>
    <row r="26" spans="1:35" x14ac:dyDescent="0.25">
      <c r="A26" s="35">
        <v>1853.4154644694665</v>
      </c>
      <c r="B26">
        <v>1853.4154644694665</v>
      </c>
      <c r="D26" s="35">
        <v>1570.1076736098125</v>
      </c>
      <c r="E26">
        <v>-85.315464469466633</v>
      </c>
      <c r="H26" s="35" cm="1">
        <f t="array" ref="H26:H37">_xlfn.LAMBDA(_xlpm.y,_xlpm.X,_xlop.coeff,_xlop.standardized,
_xlfn.LET(
_xlpm.bbeta, IF(_xlfn.ISOMITTED(_xlpm.coeff), OLS_COEFF(_xlpm.y,_xlpm.X), VEC(_xlpm.coeff)),
_xlpm.standardized, IF(_xlfn.ISOMITTED(_xlpm.standardized), TRUE, _xlpm.standardized),
_xlpm.res, _xlpm.y - MMULT(_xlpm.X,_xlpm.bbeta),
_xlpm.n, LENGTH(_xlpm.y),
_xlpm.df, _xlpm.n - DIM(_xlpm.X,2),
_xlpm.MSres, SUM(_xlpm.res^2)/_xlpm.df,
_xlfn.SWITCH(_xlpm.standardized,
FALSE, _xlpm.res,
TRUE, _xlpm.res / SQRT(_xlpm.MSres),
"N", _xlpm.res / SQRT(_xlpm.MSres),
"T", _xlpm.res / SQRT(_xlpm.MSres*(1-OLS_LEVERAGE(_xlpm.y,_xlpm.X,_xlpm.bbeta))),
"TOUT", _xlfn.LET(_xlpm.lev, OLS_LEVERAGE(_xlpm.y,_xlpm.X,_xlpm.bbeta), _xlpm.MSresi, ( (_xlpm.n-_xlpm.df+1)*_xlpm.MSres - _xlpm.res^2 / (1-_xlpm.lev) ) / (_xlpm.n - _xlpm.df), _xlpm.res / SQRT(_xlpm.MSresi * (1 - _xlpm.lev)) ),
"# param standardized must be FALSE (default), TRUE (or ""N""), ""T"" or ""TOUT"""
)
))($E$4:$E$15,$A$4:$D$15)</f>
        <v>-0.26375837523790024</v>
      </c>
      <c r="I26" cm="1">
        <f t="array" ref="I26:I37">OLS_RESIDUALS_STD($E$4:$E$15,$A$4:$D$15)</f>
        <v>-0.26375837523790024</v>
      </c>
      <c r="Q26" s="7" t="s">
        <v>146</v>
      </c>
      <c r="R26" s="36" cm="1">
        <f t="array" ref="R26:R29">_xlfn.LAMBDA(_xlpm.y,_xlpm.X,_xlop.coeff,_xlfn.LET(_xlpm.bbeta, IF(_xlfn.ISOMITTED(_xlpm.coeff), OLS_COEFF(_xlpm.y,_xlpm.X), VEC(_xlpm.coeff)), _xlpm.tstat, _xlpm.bbeta / DIAG(SQRT(OLS_VARCOV(_xlpm.y,_xlpm.X,_xlpm.coeff))), _xlfn.T.DIST.2T(ABS(_xlpm.tstat), LENGTH(_xlpm.y) - DIM(_xlpm.X,2) )))($E$4:$E$15,$A$4:$D$15)</f>
        <v>0.56355836543262661</v>
      </c>
      <c r="S26" s="43" cm="1">
        <f t="array" ref="S26:S29">OLS_COEFF_PVALUE($E$4:$E$15,$A$4:$D$15)</f>
        <v>0.56355836543262661</v>
      </c>
      <c r="V26" s="36" cm="1">
        <f t="array" ref="V26">_xlfn.LAMBDA(_xlpm.y,_xlpm.X,_xlop.coeff,
_xlfn.LET(
_xlpm.bbeta, IF(_xlfn.ISOMITTED(_xlpm.coeff), OLS_COEFF(_xlpm.y,_xlpm.X), VEC(_xlpm.coeff)),
_xlpm.resid, OLS_RESIDUALS(_xlpm.y,_xlpm.X,_xlpm.bbeta),
-LENGTH(_xlpm.y)/2*(1 + LN(2*PI()) - LN(LENGTH(_xlpm.y))) -LENGTH(_xlpm.y)/2*LN(SUMSQ(_xlpm.resid))
))($E$4:$E$15,$A$4:$D$15)</f>
        <v>-76.205747439098118</v>
      </c>
      <c r="W26" s="43" cm="1">
        <f t="array" ref="W26">OLS_LOGLIKELIHOOD($E$4:$E$15,$A$4:$D$15)</f>
        <v>-76.205747439098118</v>
      </c>
      <c r="AF26" s="7" t="s">
        <v>146</v>
      </c>
      <c r="AG26" s="36" cm="1">
        <f t="array" ref="AG26:AG29">_xlfn.LAMBDA(_xlpm.y,_xlpm.X,_xlop.coeff,_xlfn.LET(_xlpm.bbeta, IF(_xlfn.ISOMITTED(_xlpm.coeff), OLS_COEFF(_xlpm.y,_xlpm.X), VEC(_xlpm.coeff)), DIAG(SQRT(OLS_VARCOV_HAC(_xlpm.y,_xlpm.X,_xlpm.coeff))) ))($E$4:$E$15,$A$4:$D$15)</f>
        <v>60.164144849916866</v>
      </c>
      <c r="AH26" s="43" cm="1">
        <f t="array" ref="AH26:AH29">OLS_COEFF_STDEV_HAC($E$4:$E$15,$A$4:$D$15)</f>
        <v>60.164144849916866</v>
      </c>
    </row>
    <row r="27" spans="1:35" x14ac:dyDescent="0.25">
      <c r="A27" s="35">
        <v>1932.2606189230698</v>
      </c>
      <c r="B27">
        <v>1932.2606189230698</v>
      </c>
      <c r="D27" s="35">
        <v>1487.4586328110393</v>
      </c>
      <c r="E27">
        <v>-222.0606189230698</v>
      </c>
      <c r="H27" s="35">
        <v>-0.54448518270384849</v>
      </c>
      <c r="I27">
        <v>-0.54448518270384849</v>
      </c>
      <c r="Q27" s="7" t="s">
        <v>1</v>
      </c>
      <c r="R27" s="36">
        <v>0.18192076333892523</v>
      </c>
      <c r="S27" s="43">
        <v>0.18192076333892523</v>
      </c>
      <c r="W27" s="43"/>
      <c r="Y27" s="7" t="s">
        <v>417</v>
      </c>
      <c r="Z27" s="6"/>
      <c r="AF27" s="7" t="s">
        <v>1</v>
      </c>
      <c r="AG27" s="36">
        <v>1.7255975216561918</v>
      </c>
      <c r="AH27" s="43">
        <v>1.7255975216561918</v>
      </c>
    </row>
    <row r="28" spans="1:35" x14ac:dyDescent="0.25">
      <c r="A28" s="35">
        <v>2199.4903625213992</v>
      </c>
      <c r="B28">
        <v>2199.4903625213992</v>
      </c>
      <c r="D28" s="35">
        <v>-274.20407987734188</v>
      </c>
      <c r="E28">
        <v>1.2096374786005981</v>
      </c>
      <c r="H28" s="35">
        <v>0.57272630258060331</v>
      </c>
      <c r="I28">
        <v>0.57272630258060331</v>
      </c>
      <c r="Q28" s="7" t="s">
        <v>2</v>
      </c>
      <c r="R28" s="36">
        <v>2.3136489083180648E-6</v>
      </c>
      <c r="S28" s="43">
        <v>2.3136489083180648E-6</v>
      </c>
      <c r="V28" s="7" t="s">
        <v>306</v>
      </c>
      <c r="W28" s="6"/>
      <c r="Y28" s="36" cm="1">
        <f t="array" ref="Y28">_xlfn.LAMBDA(_xlpm.y,_xlpm.X,_xlop.coeff,_xlfn.LET(_xlpm.bbeta, IF(_xlfn.ISOMITTED(_xlpm.coeff), OLS_COEFF(_xlpm.y,_xlpm.X), VEC(_xlpm.coeff)), OLS_ESS(_xlpm.y,_xlpm.X,_xlpm.bbeta) + OLS_RSS(_xlpm.y,_xlpm.X,_xlpm.bbeta)  ))($E$4:$E$15,$A$4:$D$15)</f>
        <v>6183810.6166666858</v>
      </c>
      <c r="Z28" s="43" cm="1">
        <f t="array" ref="Z28">OLS_TSS($E$4:$E$15,$A$4:$D$15)</f>
        <v>6183810.6166666858</v>
      </c>
      <c r="AF28" s="7" t="s">
        <v>2</v>
      </c>
      <c r="AG28" s="36">
        <v>0.21775844855042498</v>
      </c>
      <c r="AH28" s="43">
        <v>0.21775844855042498</v>
      </c>
    </row>
    <row r="29" spans="1:35" x14ac:dyDescent="0.25">
      <c r="A29" s="35">
        <v>2151.5149700077277</v>
      </c>
      <c r="B29">
        <v>2151.5149700077277</v>
      </c>
      <c r="D29" s="35">
        <v>2204.3605512134923</v>
      </c>
      <c r="E29">
        <v>325.08502999227221</v>
      </c>
      <c r="H29" s="35">
        <v>0.55228459740421054</v>
      </c>
      <c r="I29">
        <v>0.55228459740421054</v>
      </c>
      <c r="Q29" s="7" t="s">
        <v>3</v>
      </c>
      <c r="R29" s="36">
        <v>9.9177867111032852E-2</v>
      </c>
      <c r="S29" s="43">
        <v>9.9177867111032852E-2</v>
      </c>
      <c r="V29" s="36" cm="1">
        <f t="array" ref="V29">_xlfn.LAMBDA(_xlpm.y,_xlpm.X,_xlop.coeff,_xlfn.LET(_xlpm.bbeta, IF(_xlfn.ISOMITTED(_xlpm.coeff), OLS_COEFF(_xlpm.y,_xlpm.X), VEC(_xlpm.coeff)), 2*DIM(_xlpm.X,2) - 2*OLS_LOGLIKELIHOOD(_xlpm.y,_xlpm.X,_xlpm.coeff)  ))($E$4:$E$15,$A$4:$D$15)</f>
        <v>160.41149487819624</v>
      </c>
      <c r="W29" s="43" cm="1">
        <f t="array" ref="W29">OLS_AIC($E$4:$E$15,$A$4:$D$15)</f>
        <v>160.41149487819624</v>
      </c>
      <c r="AF29" s="7" t="s">
        <v>3</v>
      </c>
      <c r="AG29" s="36">
        <v>1.3135747119140964</v>
      </c>
      <c r="AH29" s="43">
        <v>1.3135747119140964</v>
      </c>
    </row>
    <row r="30" spans="1:35" x14ac:dyDescent="0.25">
      <c r="A30" s="35">
        <v>2613.562663764174</v>
      </c>
      <c r="B30">
        <v>2613.562663764174</v>
      </c>
      <c r="D30" s="35">
        <v>-385.88489585281013</v>
      </c>
      <c r="E30">
        <v>-29.562663764173976</v>
      </c>
      <c r="H30" s="35">
        <v>0.26812834993552115</v>
      </c>
      <c r="I30">
        <v>0.26812834993552115</v>
      </c>
      <c r="Y30" s="7" t="s">
        <v>409</v>
      </c>
      <c r="Z30" s="6"/>
    </row>
    <row r="31" spans="1:35" x14ac:dyDescent="0.25">
      <c r="H31" s="35">
        <v>0.49066537340315741</v>
      </c>
      <c r="I31">
        <v>0.49066537340315741</v>
      </c>
      <c r="R31" s="7" t="s">
        <v>311</v>
      </c>
      <c r="S31" s="6"/>
      <c r="V31" s="7" t="s">
        <v>307</v>
      </c>
      <c r="W31" s="6"/>
      <c r="Y31" s="36" cm="1">
        <f t="array" ref="Y31">_xlfn.LAMBDA(_xlpm.y,_xlpm.X,_xlop.coeff,_xlfn.LET(_xlpm.bbeta, IF(_xlfn.ISOMITTED(_xlpm.coeff), OLS_COEFF(_xlpm.y,_xlpm.X), VEC(_xlpm.coeff)), OLS_ESS(_xlpm.y,_xlpm.X,_xlpm.bbeta)/(OLS_ESS(_xlpm.y,_xlpm.X,_xlpm.bbeta) + OLS_RSS(_xlpm.y,_xlpm.X,_xlpm.bbeta))  ))($E$4:$E$15,$A$4:$D$15)</f>
        <v>0.96272594438086212</v>
      </c>
      <c r="Z31" s="43" cm="1">
        <f t="array" ref="Z31">OLS_R2($E$4:$E$15,$A$4:$D$15)</f>
        <v>0.96272594438086212</v>
      </c>
    </row>
    <row r="32" spans="1:35" x14ac:dyDescent="0.25">
      <c r="H32" s="35">
        <v>-1.0128532464062043</v>
      </c>
      <c r="I32">
        <v>-1.0128532464062043</v>
      </c>
      <c r="Q32" s="6">
        <v>0</v>
      </c>
      <c r="R32" s="36" cm="1">
        <f t="array" ref="R32:R35">_xlfn.LAMBDA(_xlpm.y,_xlpm.X,_xlpm.nLags,_xlop.addConstant,_xlop.criterion,_xlop.returnCriterionValues,_xlop.includeZeroLag,
_xlfn.LET(
_xlpm.criterion, IF(_xlfn.ISOMITTED(_xlpm.criterion), "BIC", UPPER(_xlpm.criterion)),
_xlpm.returnCriterionValues, IF(_xlfn.ISOMITTED(_xlpm.returnCriterionValues), FALSE, _xlpm.returnCriterionValues),
_xlpm.includeZeroLag, IF(_xlfn.ISOMITTED(_xlpm.includeZeroLag), FALSE, _xlpm.includeZeroLag),
_xlpm.X_1, IF( OR( _xlfn.ISOMITTED(_xlpm.addConstant), _xlpm.addConstant), ADDCONST(_xlpm.X), _xlpm.X),
_xlpm.X_2, RMMISSING( HORZCAT(_xlpm.y, HORZCAT( _xlpm.X_1, LAG(_xlpm.y,_xlpm.nLags,TRUE,TRUE,FALSE) ) ) ),
_xlpm.y, SLICE(_xlpm.X_2,0,0,1,1),
IF( AND(_xlpm.criterion &lt;&gt; "AIC", _xlpm.criterion &lt;&gt; "BIC"), "# Criterion must be AIC or BIC",
IF( DIM(_xlpm.X_2,1) &lt;= DIM(_xlpm.X_2,2), "# Number of parameters must be smaller than the non-missing sample size (after adding lags)",
_xlfn.LET(
_xlpm.critFunc, _xlfn.SWITCH(_xlpm.criterion,"AIC",_xlfn.LAMBDA(_xlpm.funcY,_xlpm.funcX,OLS_AIC(_xlpm.funcY,_xlpm.funcX)), "BIC",_xlfn.LAMBDA(_xlpm.funcY,_xlpm.funcX,OLS_BIC(_xlpm.funcY,_xlpm.funcX))),
_xlpm.critValues, _xlfn.MAP(_xlfn.SEQUENCE(_xlpm.nLags + _xlpm.includeZeroLag), _xlfn.LAMBDA(_xlpm.row, _xlpm.critFunc(_xlpm.y, SLICE(_xlpm.X_2,0,0,2,DIM(_xlpm.X_2,2) - (_xlpm.nLags - _xlpm.row + _xlpm.includeZeroLag))) ) ),
IF(_xlpm.returnCriterionValues, _xlpm.critValues, MATCH( MIN(_xlpm.critValues), _xlpm.critValues, 0) - _xlpm.includeZeroLag )
)))))($E$4:$E$15,$A$4:$D$15,3,FALSE,"BIC",TRUE,TRUE)</f>
        <v>124.12964918396943</v>
      </c>
      <c r="S32" s="43" cm="1">
        <f t="array" ref="S32:S35">OLS_OPTIMAL_LAG($E$4:$E$15,$A$4:$D$15,3,FALSE,"BIC",TRUE,TRUE)</f>
        <v>124.12964918396943</v>
      </c>
      <c r="V32" s="36" cm="1">
        <f t="array" ref="V32">_xlfn.LAMBDA(_xlpm.y,_xlpm.X,_xlop.coeff,_xlfn.LET(_xlpm.bbeta, IF(_xlfn.ISOMITTED(_xlpm.coeff), OLS_COEFF(_xlpm.y,_xlpm.X), VEC(_xlpm.coeff)), DIM(_xlpm.X,2)*LN(LENGTH(_xlpm.y)) - 2*OLS_LOGLIKELIHOOD(_xlpm.y,_xlpm.X,_xlpm.coeff)  ))($E$4:$E$15,$A$4:$D$15)</f>
        <v>162.35112147734824</v>
      </c>
      <c r="W32" s="43" cm="1">
        <f t="array" ref="W32">OLS_BIC($E$4:$E$15,$A$4:$D$15)</f>
        <v>162.35112147734824</v>
      </c>
    </row>
    <row r="33" spans="8:34" x14ac:dyDescent="0.25">
      <c r="H33" s="35">
        <v>-0.50262181979750686</v>
      </c>
      <c r="I33">
        <v>-0.50262181979750686</v>
      </c>
      <c r="Q33" s="6">
        <v>1</v>
      </c>
      <c r="R33" s="36">
        <v>125.94233979462327</v>
      </c>
      <c r="S33" s="43">
        <v>125.94233979462327</v>
      </c>
      <c r="Y33" s="7" t="s">
        <v>419</v>
      </c>
      <c r="Z33" s="6"/>
      <c r="AG33" s="7" t="s">
        <v>425</v>
      </c>
      <c r="AH33" s="6"/>
    </row>
    <row r="34" spans="8:34" x14ac:dyDescent="0.25">
      <c r="H34" s="35">
        <v>-1.3082330745373696</v>
      </c>
      <c r="I34">
        <v>-1.3082330745373696</v>
      </c>
      <c r="Q34" s="6">
        <v>2</v>
      </c>
      <c r="R34" s="36">
        <v>127.38172081981627</v>
      </c>
      <c r="S34" s="43">
        <v>127.38172081981627</v>
      </c>
      <c r="V34" s="7" t="s">
        <v>884</v>
      </c>
      <c r="W34" s="6"/>
      <c r="Y34" s="36" cm="1">
        <f t="array" ref="Y34">_xlfn.LAMBDA(_xlpm.y,_xlpm.X,_xlop.coeff,_xlfn.LET(_xlpm.bbeta, IF(_xlfn.ISOMITTED(_xlpm.coeff), OLS_COEFF(_xlpm.y,_xlpm.X), VEC(_xlpm.coeff)), 1 - (1-OLS_R2(_xlpm.y,_xlpm.X,_xlpm.coeff))*(LENGTH(_xlpm.y)-1)/(LENGTH(_xlpm.y)-DIM(_xlpm.X,2)) ))($E$4:$E$15,$A$4:$D$15)</f>
        <v>0.94874817352368546</v>
      </c>
      <c r="Z34" s="43" cm="1">
        <f t="array" ref="Z34">OLS_R2_ADJUSTED($E$4:$E$15,$A$4:$D$15)</f>
        <v>0.94874817352368546</v>
      </c>
      <c r="AF34" s="7" t="s">
        <v>146</v>
      </c>
      <c r="AG34" s="36" cm="1">
        <f t="array" ref="AG34:AG37">_xlfn.LAMBDA(_xlpm.y,_xlpm.X,_xlop.coeff,_xlfn.LET(_xlpm.bbeta, IF(_xlfn.ISOMITTED(_xlpm.coeff), OLS_COEFF(_xlpm.y,_xlpm.X), VEC(_xlpm.coeff)), _xlpm.bbeta / DIAG(SQRT(OLS_VARCOV_HAC(_xlpm.y,_xlpm.X,_xlpm.coeff))) ))($E$4:$E$15,$A$4:$D$15)</f>
        <v>1.2882528386105685</v>
      </c>
      <c r="AH34" s="43" cm="1">
        <f t="array" ref="AH34:AH37">OLS_COEFF_TSTAT_HAC($E$4:$E$15,$A$4:$D$15)</f>
        <v>1.2882528386105685</v>
      </c>
    </row>
    <row r="35" spans="8:34" x14ac:dyDescent="0.25">
      <c r="H35" s="35">
        <v>7.1263773170583012E-3</v>
      </c>
      <c r="I35">
        <v>7.1263773170583012E-3</v>
      </c>
      <c r="Q35" s="6">
        <v>3</v>
      </c>
      <c r="R35" s="36">
        <v>128.97020083550788</v>
      </c>
      <c r="S35" s="43">
        <v>128.97020083550788</v>
      </c>
      <c r="V35" s="36" cm="1">
        <f t="array" ref="V35">_xlfn.LAMBDA(_xlpm.y,_xlpm.X,_xlop.coeff,_xlfn.LET(_xlpm.bbeta, IF(_xlfn.ISOMITTED(_xlpm.coeff), OLS_COEFF(_xlpm.y,_xlpm.X), VEC(_xlpm.coeff)), 2*DIM(_xlpm.X,2)*LN(LN(LENGTH(_xlpm.y))) - 2*OLS_LOGLIKELIHOOD(_xlpm.y,_xlpm.X,_xlpm.coeff)  ))($E$4:$E$15,$A$4:$D$15)</f>
        <v>159.69337562511885</v>
      </c>
      <c r="W35" s="43" cm="1">
        <f t="array" ref="W35">OLS_HQC($E$4:$E$15,$A$4:$D$15)</f>
        <v>159.69337562511885</v>
      </c>
      <c r="AF35" s="7" t="s">
        <v>1</v>
      </c>
      <c r="AG35" s="36">
        <v>1.2616345359894465</v>
      </c>
      <c r="AH35" s="43">
        <v>1.2616345359894465</v>
      </c>
    </row>
    <row r="36" spans="8:34" x14ac:dyDescent="0.25">
      <c r="H36" s="35">
        <v>1.9151841976095669</v>
      </c>
      <c r="I36">
        <v>1.9151841976095669</v>
      </c>
      <c r="Y36" s="7" t="s">
        <v>488</v>
      </c>
      <c r="Z36" s="6"/>
      <c r="AA36" s="6"/>
      <c r="AB36" s="6"/>
      <c r="AC36" s="6"/>
      <c r="AD36" s="6"/>
      <c r="AF36" s="7" t="s">
        <v>2</v>
      </c>
      <c r="AG36" s="36">
        <v>9.2848733795396239</v>
      </c>
      <c r="AH36" s="43">
        <v>9.2848733795396239</v>
      </c>
    </row>
    <row r="37" spans="8:34" x14ac:dyDescent="0.25">
      <c r="H37" s="35">
        <v>-0.17416349956728816</v>
      </c>
      <c r="I37">
        <v>-0.17416349956728816</v>
      </c>
      <c r="V37" s="7" t="s">
        <v>443</v>
      </c>
      <c r="W37" s="6"/>
      <c r="Y37" s="36" cm="1">
        <f t="array" ref="Y37:AA48">_xlfn.LAMBDA(_xlpm.Xtarget,_xlpm.significance,_xlpm.y,_xlpm.X,_xlop.coeff,_xlfn.LET(_xlpm.Xtarget, TRANSPOSE(_xlpm.Xtarget), _xlpm.bbeta, IF(_xlfn.ISOMITTED(_xlpm.coeff), OLS_COEFF(_xlpm.y,_xlpm.X), VEC(_xlpm.coeff)),
_xlpm.df, LENGTH(_xlpm.y)-DIM(_xlpm.X,2),
_xlpm.MSres, SUM(OLS_RESIDUALS(_xlpm.y,_xlpm.X,_xlpm.bbeta)^2)/_xlpm.df,
_xlpm.seFIT, SQRT( _xlpm.MSres * MMULT(MMULT(TRANSPOSE(_xlpm.Xtarget), MINVERSE(MMULT(TRANSPOSE(_xlpm.X),_xlpm.X))),_xlpm.Xtarget) ),
_xlpm.fcst, TRANSPOSE(_xlfn.BYCOL(_xlpm.Xtarget, _xlfn.LAMBDA(_xlpm.col, SUM(_xlpm.col*_xlpm.bbeta)))),
_xlpm.tcrit, _xlfn.T.DIST.2T(_xlpm.significance, _xlpm.df),
HORZCAT(HORZCAT(_xlpm.fcst-_xlpm.tcrit*DIAG(_xlpm.seFIT), _xlpm.fcst),_xlpm.fcst+_xlpm.tcrit*DIAG(_xlpm.seFIT))
))($A$4:$D$15,5%,$E$4:$E$15,$A$4:$D$15)</f>
        <v>205.41253036764979</v>
      </c>
      <c r="Z37">
        <v>310.07057581821471</v>
      </c>
      <c r="AA37">
        <v>414.72862126877965</v>
      </c>
      <c r="AB37" s="43" cm="1">
        <f t="array" ref="AB37:AD48">OLS_CONF_INTERVAL($A$4:$D$15,5%,$E$4:$E$15,$A$4:$D$15)</f>
        <v>205.41253036764979</v>
      </c>
      <c r="AC37">
        <v>310.07057581821471</v>
      </c>
      <c r="AD37">
        <v>414.72862126877965</v>
      </c>
      <c r="AF37" s="7" t="s">
        <v>3</v>
      </c>
      <c r="AG37" s="36">
        <v>2.1468828180720836</v>
      </c>
      <c r="AH37" s="43">
        <v>2.1468828180720836</v>
      </c>
    </row>
    <row r="38" spans="8:34" x14ac:dyDescent="0.25">
      <c r="V38" s="36" cm="1">
        <f t="array" ref="V38">_xlfn.LAMBDA(_xlpm.y,_xlpm.X,_xlop.coeff,
_xlfn.LET(
_xlpm.bbeta, IF(_xlfn.ISOMITTED(_xlpm.coeff), OLS_COEFF(_xlpm.y,_xlpm.X), VEC(_xlpm.coeff)),
_xlpm.kRestricted, IF(HASCONST(_xlpm.X,1,FALSE), 1, 0),
(OLS_R2(_xlpm.y,_xlpm.X,_xlpm.coeff)/(DIM(_xlpm.X,2)-_xlpm.kRestricted))/((1-OLS_R2(_xlpm.y,_xlpm.X,_xlpm.coeff))/(LENGTH(_xlpm.y)-DIM(_xlpm.X,2)))
))($E$4:$E$15,$A$4:$D$15)</f>
        <v>68.875499120559908</v>
      </c>
      <c r="W38" s="43" cm="1">
        <f t="array" ref="W38">OLS_FSTAT($E$4:$E$15,$A$4:$D$15)</f>
        <v>68.875499120559908</v>
      </c>
      <c r="Y38" s="36">
        <v>477.27149978753789</v>
      </c>
      <c r="Z38">
        <v>567.72138806834118</v>
      </c>
      <c r="AA38">
        <v>658.17127634914448</v>
      </c>
      <c r="AB38" s="43">
        <v>477.27149978753789</v>
      </c>
      <c r="AC38">
        <v>567.72138806834118</v>
      </c>
      <c r="AD38">
        <v>658.17127634914448</v>
      </c>
    </row>
    <row r="39" spans="8:34" x14ac:dyDescent="0.25">
      <c r="Y39" s="36">
        <v>577.91015292220936</v>
      </c>
      <c r="Z39">
        <v>657.18493970231964</v>
      </c>
      <c r="AA39">
        <v>736.45972648242991</v>
      </c>
      <c r="AB39" s="43">
        <v>577.91015292220936</v>
      </c>
      <c r="AC39">
        <v>657.18493970231964</v>
      </c>
      <c r="AD39">
        <v>736.45972648242991</v>
      </c>
    </row>
    <row r="40" spans="8:34" x14ac:dyDescent="0.25">
      <c r="H40" s="7" t="s">
        <v>491</v>
      </c>
      <c r="I40" s="6"/>
      <c r="J40" s="6"/>
      <c r="K40" s="6"/>
      <c r="L40" s="6"/>
      <c r="M40" s="6"/>
      <c r="N40" s="6"/>
      <c r="O40" s="6"/>
      <c r="R40" s="7" t="s">
        <v>484</v>
      </c>
      <c r="S40" s="6"/>
      <c r="V40" s="7" t="s">
        <v>445</v>
      </c>
      <c r="W40" s="6"/>
      <c r="Y40" s="36">
        <v>902.47369733997994</v>
      </c>
      <c r="Z40">
        <v>996.75473250274854</v>
      </c>
      <c r="AA40">
        <v>1091.0357676655171</v>
      </c>
      <c r="AB40" s="43">
        <v>902.47369733997994</v>
      </c>
      <c r="AC40">
        <v>996.75473250274854</v>
      </c>
      <c r="AD40">
        <v>1091.0357676655171</v>
      </c>
      <c r="AG40" s="7" t="s">
        <v>426</v>
      </c>
      <c r="AH40" s="6"/>
    </row>
    <row r="41" spans="8:34" x14ac:dyDescent="0.25">
      <c r="H41" s="35" cm="1">
        <f t="array" ref="H41:K52">_xlfn.LAMBDA(_xlpm.y,_xlpm.X,_xlop.coeff,_xlfn.LET(_xlpm.bbeta, IF(_xlfn.ISOMITTED(_xlpm.coeff), OLS_COEFF(_xlpm.y,_xlpm.X), VEC(_xlpm.coeff)), _xlpm.res, _xlpm.y - MMULT(_xlpm.X,_xlpm.bbeta), _xlpm.resMat, REPMAT(_xlpm.res, 1, DIM(_xlpm.X,2)), _xlfn.MAKEARRAY(LENGTH(_xlpm.y), DIM(_xlpm.X,2), _xlfn.LAMBDA(_xlpm.row,_xlpm.col, INDEX(_xlpm.resMat,_xlpm.row,_xlpm.col) + INDEX(_xlpm.bbeta,_xlpm.col,1)*INDEX(_xlpm.X,_xlpm.row,_xlpm.col) ))))($E$4:$E$15,$A$4:$D$15)</f>
        <v>32.736054567268127</v>
      </c>
      <c r="I41" s="35">
        <v>-42.59350238967545</v>
      </c>
      <c r="J41" s="35">
        <v>157.41538639335428</v>
      </c>
      <c r="K41" s="35">
        <v>-16.56966602559109</v>
      </c>
      <c r="L41" cm="1">
        <f t="array" ref="L41:O52">OLS_RESIDUALS_PARTIAL($E$4:$E$15,$A$4:$D$15)</f>
        <v>32.736054567268127</v>
      </c>
      <c r="M41">
        <v>-42.59350238967545</v>
      </c>
      <c r="N41">
        <v>157.41538639335428</v>
      </c>
      <c r="O41">
        <v>-16.56966602559109</v>
      </c>
      <c r="R41" s="36" cm="1">
        <f t="array" ref="R41:R52">_xlfn.LAMBDA(_xlpm.y,_xlpm.X,_xlop.coeff,_xlop.returnCriticalStatus,_xlop.criticalThreshold,
_xlfn.LET(
_xlpm.bbeta, IF(_xlfn.ISOMITTED(_xlpm.coeff), OLS_COEFF(_xlpm.y,_xlpm.X), VEC(_xlpm.coeff)),
_xlpm.returnCriticalStatus, IF(_xlfn.ISOMITTED(_xlpm.returnCriticalStatus),FALSE,_xlpm.returnCriticalStatus),
_xlpm.criticalThreshold, IF(_xlfn.ISOMITTED(_xlpm.criticalThreshold), 3*DIM(_xlpm.X,2)/LENGTH(_xlpm.y), _xlpm.criticalThreshold),
_xlpm.levValues, DIAG(MMULT(MMULT(_xlpm.X,MINVERSE(MMULT(TRANSPOSE(_xlpm.X),_xlpm.X))),TRANSPOSE(_xlpm.X))),
IF( _xlpm.returnCriticalStatus=FALSE, _xlpm.levValues, _xlpm.levValues&gt;=_xlpm.criticalThreshold )
))($E$4:$E$15,$A$4:$D$15)</f>
        <v>0.41134947607599853</v>
      </c>
      <c r="S41" s="43" cm="1">
        <f t="array" ref="S41:S52">OLS_LEVERAGE($E$4:$E$15,$A$4:$D$15)</f>
        <v>0.41134947607599853</v>
      </c>
      <c r="V41" s="100" cm="1">
        <f t="array" ref="V41">_xlfn.LAMBDA(_xlpm.y,_xlpm.X,_xlop.coeff,
_xlfn.LET(
_xlpm.bbeta, IF(_xlfn.ISOMITTED(_xlpm.coeff), OLS_COEFF(_xlpm.y,_xlpm.X), VEC(_xlpm.coeff)),
_xlpm.kRestricted, IF(HASCONST(_xlpm.X,1,FALSE), 1, 0),
_xlfn.F.DIST.RT(OLS_FSTAT(_xlpm.y,_xlpm.X,_xlpm.bbeta),DIM(_xlpm.X,2)-_xlpm.kRestricted,LENGTH(_xlpm.y)-DIM(_xlpm.X,2))
))($E$4:$E$15,$A$4:$D$15)</f>
        <v>4.6789820355237948E-6</v>
      </c>
      <c r="W41" s="106" cm="1">
        <f t="array" ref="W41">OLS_FSTAT_PVALUE($E$4:$E$15,$A$4:$D$15)</f>
        <v>4.6789820355237948E-6</v>
      </c>
      <c r="Y41" s="36">
        <v>1043.7904874217629</v>
      </c>
      <c r="Z41">
        <v>1135.8876608791147</v>
      </c>
      <c r="AA41">
        <v>1227.9848343364665</v>
      </c>
      <c r="AB41" s="43">
        <v>1043.7904874217629</v>
      </c>
      <c r="AC41">
        <v>1135.8876608791147</v>
      </c>
      <c r="AD41">
        <v>1227.9848343364665</v>
      </c>
      <c r="AF41" s="7" t="s">
        <v>146</v>
      </c>
      <c r="AG41" s="36" cm="1">
        <f t="array" ref="AG41:AG44">_xlfn.LAMBDA(_xlpm.y,_xlpm.X,_xlop.coeff,_xlfn.LET(_xlpm.bbeta, IF(_xlfn.ISOMITTED(_xlpm.coeff), OLS_COEFF(_xlpm.y,_xlpm.X), VEC(_xlpm.coeff)), _xlpm.tstat, _xlpm.bbeta / DIAG(SQRT(OLS_VARCOV_HAC(_xlpm.y,_xlpm.X,_xlpm.coeff))), _xlfn.T.DIST.2T(ABS(_xlpm.tstat), LENGTH(_xlpm.y) - DIM(_xlpm.X,2) )))($E$4:$E$15,$A$4:$D$15)</f>
        <v>0.23366606272602222</v>
      </c>
      <c r="AH41" s="43" cm="1">
        <f t="array" ref="AH41:AH44">OLS_COEFF_PVALUE_HAC($E$4:$E$15,$A$4:$D$15)</f>
        <v>0.23366606272602222</v>
      </c>
    </row>
    <row r="42" spans="8:34" x14ac:dyDescent="0.25">
      <c r="H42" s="35">
        <v>-14.914757682858351</v>
      </c>
      <c r="I42" s="35">
        <v>-48.879919497556202</v>
      </c>
      <c r="J42" s="35">
        <v>311.95053635479678</v>
      </c>
      <c r="K42" s="35">
        <v>-50.120023379405765</v>
      </c>
      <c r="L42">
        <v>-14.914757682858351</v>
      </c>
      <c r="M42">
        <v>-48.879919497556202</v>
      </c>
      <c r="N42">
        <v>311.95053635479678</v>
      </c>
      <c r="O42">
        <v>-50.120023379405765</v>
      </c>
      <c r="R42" s="36">
        <v>0.30724284539839547</v>
      </c>
      <c r="S42" s="43">
        <v>0.30724284539839547</v>
      </c>
      <c r="Y42" s="36">
        <v>1495.7156181061753</v>
      </c>
      <c r="Z42">
        <v>1588.5140331316306</v>
      </c>
      <c r="AA42">
        <v>1681.312448157086</v>
      </c>
      <c r="AB42" s="43">
        <v>1495.7156181061753</v>
      </c>
      <c r="AC42">
        <v>1588.5140331316306</v>
      </c>
      <c r="AD42">
        <v>1681.312448157086</v>
      </c>
      <c r="AF42" s="7" t="s">
        <v>1</v>
      </c>
      <c r="AG42" s="36">
        <v>0.24262172238992033</v>
      </c>
      <c r="AH42" s="43">
        <v>0.24262172238992033</v>
      </c>
    </row>
    <row r="43" spans="8:34" x14ac:dyDescent="0.25">
      <c r="H43" s="35">
        <v>174.72169068316316</v>
      </c>
      <c r="I43" s="35">
        <v>103.74628058329809</v>
      </c>
      <c r="J43" s="35">
        <v>602.67996582660271</v>
      </c>
      <c r="K43" s="35">
        <v>164.89724379997699</v>
      </c>
      <c r="L43">
        <v>174.72169068316316</v>
      </c>
      <c r="M43">
        <v>103.74628058329809</v>
      </c>
      <c r="N43">
        <v>602.67996582660271</v>
      </c>
      <c r="O43">
        <v>164.89724379997699</v>
      </c>
      <c r="R43" s="36">
        <v>0.2360129721984236</v>
      </c>
      <c r="S43" s="43">
        <v>0.2360129721984236</v>
      </c>
      <c r="V43" s="7" t="s">
        <v>485</v>
      </c>
      <c r="W43" s="6"/>
      <c r="Y43" s="36">
        <v>1738.143944269164</v>
      </c>
      <c r="Z43">
        <v>1818.222590211793</v>
      </c>
      <c r="AA43">
        <v>1898.301236154422</v>
      </c>
      <c r="AB43" s="43">
        <v>1738.143944269164</v>
      </c>
      <c r="AC43">
        <v>1818.222590211793</v>
      </c>
      <c r="AD43">
        <v>1898.301236154422</v>
      </c>
      <c r="AF43" s="7" t="s">
        <v>2</v>
      </c>
      <c r="AG43" s="36">
        <v>1.4728654599447252E-5</v>
      </c>
      <c r="AH43" s="43">
        <v>1.4728654599447252E-5</v>
      </c>
    </row>
    <row r="44" spans="8:34" x14ac:dyDescent="0.25">
      <c r="H44" s="35">
        <v>171.25189788273428</v>
      </c>
      <c r="I44" s="35">
        <v>180.8282046388214</v>
      </c>
      <c r="J44" s="35">
        <v>700.30315413195842</v>
      </c>
      <c r="K44" s="35">
        <v>319.3525458382403</v>
      </c>
      <c r="L44">
        <v>171.25189788273428</v>
      </c>
      <c r="M44">
        <v>180.8282046388214</v>
      </c>
      <c r="N44">
        <v>700.30315413195842</v>
      </c>
      <c r="O44">
        <v>319.3525458382403</v>
      </c>
      <c r="R44" s="36">
        <v>0.33382156850921751</v>
      </c>
      <c r="S44" s="43">
        <v>0.33382156850921751</v>
      </c>
      <c r="V44" s="36" cm="1">
        <f t="array" ref="V44:V55">_xlfn.LAMBDA(_xlpm.y,_xlpm.X,_xlop.coeff,_xlop.returnCriticalStatus,_xlop.criticalThreshold,
_xlfn.LET(
_xlpm.bbeta, IF(_xlfn.ISOMITTED(_xlpm.coeff), OLS_COEFF(_xlpm.y,_xlpm.X), VEC(_xlpm.coeff)),
_xlpm.returnCriticalStatus, IF(_xlfn.ISOMITTED(_xlpm.returnCriticalStatus),FALSE,_xlpm.returnCriticalStatus),
_xlpm.criticalThreshold, IF(_xlfn.ISOMITTED(_xlpm.criticalThreshold), 1, _xlpm.criticalThreshold),
_xlpm.levValues, OLS_LEVERAGE(_xlpm.y,_xlpm.X,_xlpm.bbeta),
_xlpm.mse, MMULT(TRANSPOSE(OLS_RESIDUALS(_xlpm.y,_xlpm.X,_xlpm.bbeta)),OLS_RESIDUALS(_xlpm.y,_xlpm.X,_xlpm.bbeta)) / (LENGTH(_xlpm.y)-DIM(_xlpm.X,2)),
_xlpm.cooksDist, OLS_RESIDUALS(_xlpm.y,_xlpm.X,_xlpm.bbeta)^2/(DIM(_xlpm.X,2)*_xlpm.mse) * (_xlpm.levValues/((1-_xlpm.levValues)^2)),
IF( _xlpm.returnCriticalStatus=FALSE, _xlpm.cooksDist, _xlpm.cooksDist&gt;=_xlpm.criticalThreshold )
))($E$4:$E$15,$A$4:$D$15)</f>
        <v>2.064659339794209E-2</v>
      </c>
      <c r="W44" s="43" cm="1">
        <f t="array" ref="W44:W55">OLS_COOKS_DISTANCE($E$4:$E$15,$A$4:$D$15)</f>
        <v>2.064659339794209E-2</v>
      </c>
      <c r="Y44" s="36">
        <v>1784.2089394966727</v>
      </c>
      <c r="Z44">
        <v>1853.4154644694665</v>
      </c>
      <c r="AA44">
        <v>1922.6219894422604</v>
      </c>
      <c r="AB44" s="43">
        <v>1784.2089394966727</v>
      </c>
      <c r="AC44">
        <v>1853.4154644694665</v>
      </c>
      <c r="AD44">
        <v>1922.6219894422604</v>
      </c>
      <c r="AF44" s="7" t="s">
        <v>3</v>
      </c>
      <c r="AG44" s="36">
        <v>6.4085707868461864E-2</v>
      </c>
      <c r="AH44" s="43">
        <v>6.4085707868461864E-2</v>
      </c>
    </row>
    <row r="45" spans="8:34" x14ac:dyDescent="0.25">
      <c r="H45" s="35">
        <v>123.01896950636819</v>
      </c>
      <c r="I45" s="35">
        <v>56.397706263581611</v>
      </c>
      <c r="J45" s="35">
        <v>813.81899552484742</v>
      </c>
      <c r="K45" s="35">
        <v>324.70134606785905</v>
      </c>
      <c r="L45">
        <v>123.01896950636819</v>
      </c>
      <c r="M45">
        <v>56.397706263581611</v>
      </c>
      <c r="N45">
        <v>813.81899552484742</v>
      </c>
      <c r="O45">
        <v>324.70134606785905</v>
      </c>
      <c r="R45" s="36">
        <v>0.31853584586968986</v>
      </c>
      <c r="S45" s="43">
        <v>0.31853584586968986</v>
      </c>
      <c r="V45" s="36">
        <v>4.7449526058186933E-2</v>
      </c>
      <c r="W45" s="43">
        <v>4.7449526058186933E-2</v>
      </c>
      <c r="Y45" s="36">
        <v>1849.4872877961234</v>
      </c>
      <c r="Z45">
        <v>1932.2606189230698</v>
      </c>
      <c r="AA45">
        <v>2015.0339500500163</v>
      </c>
      <c r="AB45" s="43">
        <v>1849.4872877961234</v>
      </c>
      <c r="AC45">
        <v>1932.2606189230698</v>
      </c>
      <c r="AD45">
        <v>2015.0339500500163</v>
      </c>
    </row>
    <row r="46" spans="8:34" x14ac:dyDescent="0.25">
      <c r="H46" s="35">
        <v>160.79259725385214</v>
      </c>
      <c r="I46" s="35">
        <v>96.348407439604813</v>
      </c>
      <c r="J46" s="35">
        <v>1296.4017401377832</v>
      </c>
      <c r="K46" s="35">
        <v>368.11515577386774</v>
      </c>
      <c r="L46">
        <v>160.79259725385214</v>
      </c>
      <c r="M46">
        <v>96.348407439604813</v>
      </c>
      <c r="N46">
        <v>1296.4017401377832</v>
      </c>
      <c r="O46">
        <v>368.11515577386774</v>
      </c>
      <c r="R46" s="36">
        <v>0.32340507162378296</v>
      </c>
      <c r="S46" s="43">
        <v>0.32340507162378296</v>
      </c>
      <c r="V46" s="36">
        <v>3.3158751582867192E-2</v>
      </c>
      <c r="W46" s="43">
        <v>3.3158751582867192E-2</v>
      </c>
      <c r="Y46" s="36">
        <v>2098.9216175602978</v>
      </c>
      <c r="Z46">
        <v>2199.4903625213992</v>
      </c>
      <c r="AA46">
        <v>2300.0591074825006</v>
      </c>
      <c r="AB46" s="43">
        <v>2098.9216175602978</v>
      </c>
      <c r="AC46">
        <v>2199.4903625213992</v>
      </c>
      <c r="AD46">
        <v>2300.0591074825006</v>
      </c>
    </row>
    <row r="47" spans="8:34" x14ac:dyDescent="0.25">
      <c r="H47" s="35">
        <v>-94.4159598263102</v>
      </c>
      <c r="I47" s="35">
        <v>-167.56844335471453</v>
      </c>
      <c r="J47" s="35">
        <v>1344.4721263749743</v>
      </c>
      <c r="K47" s="35">
        <v>48.044506170671099</v>
      </c>
      <c r="L47">
        <v>-94.4159598263102</v>
      </c>
      <c r="M47">
        <v>-167.56844335471453</v>
      </c>
      <c r="N47">
        <v>1344.4721263749743</v>
      </c>
      <c r="O47">
        <v>48.044506170671099</v>
      </c>
      <c r="R47" s="36">
        <v>0.24082365916965465</v>
      </c>
      <c r="S47" s="43">
        <v>0.24082365916965465</v>
      </c>
      <c r="V47" s="36">
        <v>5.7358677524292717E-2</v>
      </c>
      <c r="W47" s="43">
        <v>5.7358677524292717E-2</v>
      </c>
      <c r="Y47" s="36">
        <v>2044.3100003129759</v>
      </c>
      <c r="Z47">
        <v>2151.5149700077277</v>
      </c>
      <c r="AA47">
        <v>2258.7199397024792</v>
      </c>
      <c r="AB47" s="43">
        <v>2044.3100003129759</v>
      </c>
      <c r="AC47">
        <v>2151.5149700077277</v>
      </c>
      <c r="AD47">
        <v>2258.7199397024792</v>
      </c>
    </row>
    <row r="48" spans="8:34" x14ac:dyDescent="0.25">
      <c r="H48" s="35">
        <v>-7.8088340839838111</v>
      </c>
      <c r="I48" s="35">
        <v>-67.898877041152645</v>
      </c>
      <c r="J48" s="35">
        <v>1532.1722332230852</v>
      </c>
      <c r="K48" s="35">
        <v>55.689084493651393</v>
      </c>
      <c r="L48">
        <v>-7.8088340839838111</v>
      </c>
      <c r="M48">
        <v>-67.898877041152645</v>
      </c>
      <c r="N48">
        <v>1532.1722332230852</v>
      </c>
      <c r="O48">
        <v>55.689084493651393</v>
      </c>
      <c r="R48" s="36">
        <v>0.17987043897476235</v>
      </c>
      <c r="S48" s="43">
        <v>0.17987043897476235</v>
      </c>
      <c r="V48" s="36">
        <v>1.2328145717645581E-2</v>
      </c>
      <c r="W48" s="43">
        <v>1.2328145717645581E-2</v>
      </c>
      <c r="Y48" s="36">
        <v>2489.2682891066561</v>
      </c>
      <c r="Z48">
        <v>2613.562663764174</v>
      </c>
      <c r="AA48">
        <v>2737.8570384216919</v>
      </c>
      <c r="AB48" s="43">
        <v>2489.2682891066561</v>
      </c>
      <c r="AC48">
        <v>2613.562663764174</v>
      </c>
      <c r="AD48">
        <v>2737.8570384216919</v>
      </c>
    </row>
    <row r="49" spans="8:30" x14ac:dyDescent="0.25">
      <c r="H49" s="35">
        <v>-144.55398853758697</v>
      </c>
      <c r="I49" s="35">
        <v>-202.46695806621656</v>
      </c>
      <c r="J49" s="35">
        <v>1536.9572523175802</v>
      </c>
      <c r="K49" s="35">
        <v>-145.91816248298608</v>
      </c>
      <c r="L49">
        <v>-144.55398853758697</v>
      </c>
      <c r="M49">
        <v>-202.46695806621656</v>
      </c>
      <c r="N49">
        <v>1536.9572523175802</v>
      </c>
      <c r="O49">
        <v>-145.91816248298608</v>
      </c>
      <c r="R49" s="36">
        <v>0.25730402238092975</v>
      </c>
      <c r="S49" s="43">
        <v>0.25730402238092975</v>
      </c>
      <c r="V49" s="36">
        <v>4.2520677913171961E-2</v>
      </c>
      <c r="W49" s="43">
        <v>4.2520677913171961E-2</v>
      </c>
    </row>
    <row r="50" spans="8:30" x14ac:dyDescent="0.25">
      <c r="H50" s="35">
        <v>78.71626786408342</v>
      </c>
      <c r="I50" s="35">
        <v>218.91698033252544</v>
      </c>
      <c r="J50" s="35">
        <v>1820.8832973827214</v>
      </c>
      <c r="K50" s="35">
        <v>85.812366856471414</v>
      </c>
      <c r="L50">
        <v>78.71626786408342</v>
      </c>
      <c r="M50">
        <v>218.91698033252544</v>
      </c>
      <c r="N50">
        <v>1820.8832973827214</v>
      </c>
      <c r="O50">
        <v>85.812366856471414</v>
      </c>
      <c r="R50" s="36">
        <v>0.37983219196912038</v>
      </c>
      <c r="S50" s="43">
        <v>0.37983219196912038</v>
      </c>
      <c r="V50" s="36">
        <v>0.1071634972327387</v>
      </c>
      <c r="W50" s="43">
        <v>0.1071634972327387</v>
      </c>
    </row>
    <row r="51" spans="8:30" x14ac:dyDescent="0.25">
      <c r="H51" s="35">
        <v>402.59166037775503</v>
      </c>
      <c r="I51" s="35">
        <v>349.03283770620396</v>
      </c>
      <c r="J51" s="35">
        <v>2346.9446521079617</v>
      </c>
      <c r="K51" s="35">
        <v>353.28593978489585</v>
      </c>
      <c r="L51">
        <v>402.59166037775503</v>
      </c>
      <c r="M51">
        <v>349.03283770620396</v>
      </c>
      <c r="N51">
        <v>2346.9446521079617</v>
      </c>
      <c r="O51">
        <v>353.28593978489585</v>
      </c>
      <c r="R51" s="36">
        <v>0.43161402238891083</v>
      </c>
      <c r="S51" s="43">
        <v>0.43161402238891083</v>
      </c>
      <c r="V51" s="36">
        <v>1.6889529354436859E-2</v>
      </c>
      <c r="W51" s="43">
        <v>1.6889529354436859E-2</v>
      </c>
      <c r="Y51" s="7" t="s">
        <v>490</v>
      </c>
      <c r="Z51" s="6"/>
      <c r="AA51" s="6"/>
      <c r="AB51" s="6"/>
      <c r="AC51" s="6"/>
      <c r="AD51" s="6"/>
    </row>
    <row r="52" spans="8:30" x14ac:dyDescent="0.25">
      <c r="H52" s="35">
        <v>47.943966621308846</v>
      </c>
      <c r="I52" s="35">
        <v>231.68614766053588</v>
      </c>
      <c r="J52" s="35">
        <v>2194.4829205630849</v>
      </c>
      <c r="K52" s="35">
        <v>21.198973862548513</v>
      </c>
      <c r="L52">
        <v>47.943966621308846</v>
      </c>
      <c r="M52">
        <v>231.68614766053588</v>
      </c>
      <c r="N52">
        <v>2194.4829205630849</v>
      </c>
      <c r="O52">
        <v>21.198973862548513</v>
      </c>
      <c r="R52" s="36">
        <v>0.58018788544111433</v>
      </c>
      <c r="S52" s="43">
        <v>0.58018788544111433</v>
      </c>
      <c r="V52" s="36">
        <v>0.19958812116647645</v>
      </c>
      <c r="W52" s="43">
        <v>0.19958812116647645</v>
      </c>
      <c r="Y52" s="36" cm="1">
        <f t="array" ref="Y52:AA63">_xlfn.LAMBDA(_xlpm.Xtarget,_xlpm.significance,_xlpm.y,_xlpm.X,_xlop.coeff,_xlfn.LET(_xlpm.Xtarget, TRANSPOSE(_xlpm.Xtarget), _xlpm.bbeta, IF(_xlfn.ISOMITTED(_xlpm.coeff), OLS_COEFF(_xlpm.y,_xlpm.X), VEC(_xlpm.coeff)),
_xlpm.df, LENGTH(_xlpm.y)-DIM(_xlpm.X,2),
_xlpm.MSres, SUM(OLS_RESIDUALS(_xlpm.y,_xlpm.X,_xlpm.bbeta)^2)/_xlpm.df,
_xlpm.sePRED, SQRT( _xlpm.MSres * (1 + MMULT(MMULT(TRANSPOSE(_xlpm.Xtarget), MINVERSE(MMULT(TRANSPOSE(_xlpm.X),_xlpm.X))),_xlpm.Xtarget)) ),
_xlpm.fcst, TRANSPOSE(_xlfn.BYCOL(_xlpm.Xtarget, _xlfn.LAMBDA(_xlpm.col, SUM(_xlpm.col*_xlpm.bbeta)))),
_xlpm.tcrit, _xlfn.T.DIST.2T(_xlpm.significance, _xlpm.df),
HORZCAT(HORZCAT(_xlpm.fcst-_xlpm.tcrit*DIAG(_xlpm.sePRED), _xlpm.fcst),_xlpm.fcst+_xlpm.tcrit*DIAG(_xlpm.sePRED))
))($A$4:$D$15,5%,$E$4:$E$15,$A$4:$D$15)</f>
        <v>116.21226298342108</v>
      </c>
      <c r="Z52">
        <v>310.07057581821471</v>
      </c>
      <c r="AA52">
        <v>503.92888865300836</v>
      </c>
      <c r="AB52" s="43" cm="1">
        <f t="array" ref="AB52:AD63">OLS_PRED_INTERVAL($A$4:$D$15,5%,$E$4:$E$15,$A$4:$D$15)</f>
        <v>116.21226298342108</v>
      </c>
      <c r="AC52">
        <v>310.07057581821471</v>
      </c>
      <c r="AD52">
        <v>503.92888865300836</v>
      </c>
    </row>
    <row r="53" spans="8:30" x14ac:dyDescent="0.25">
      <c r="V53" s="36">
        <v>1.2538655394842553E-5</v>
      </c>
      <c r="W53" s="43">
        <v>1.2538655394842553E-5</v>
      </c>
      <c r="Y53" s="36">
        <v>381.14989703171472</v>
      </c>
      <c r="Z53">
        <v>567.72138806834118</v>
      </c>
      <c r="AA53">
        <v>754.2928791049676</v>
      </c>
      <c r="AB53" s="43">
        <v>381.14989703171472</v>
      </c>
      <c r="AC53">
        <v>567.72138806834118</v>
      </c>
      <c r="AD53">
        <v>754.2928791049676</v>
      </c>
    </row>
    <row r="54" spans="8:30" x14ac:dyDescent="0.25">
      <c r="V54" s="36">
        <v>1.225095496832795</v>
      </c>
      <c r="W54" s="43">
        <v>1.225095496832795</v>
      </c>
      <c r="Y54" s="36">
        <v>475.76765608068627</v>
      </c>
      <c r="Z54">
        <v>657.18493970231964</v>
      </c>
      <c r="AA54">
        <v>838.60222332395301</v>
      </c>
      <c r="AB54" s="43">
        <v>475.76765608068627</v>
      </c>
      <c r="AC54">
        <v>657.18493970231964</v>
      </c>
      <c r="AD54">
        <v>838.60222332395301</v>
      </c>
    </row>
    <row r="55" spans="8:30" x14ac:dyDescent="0.25">
      <c r="H55" s="7" t="s">
        <v>883</v>
      </c>
      <c r="I55" s="6"/>
      <c r="J55" s="6"/>
      <c r="K55" s="6"/>
      <c r="L55" s="6"/>
      <c r="M55" s="6"/>
      <c r="N55" s="6"/>
      <c r="O55" s="6"/>
      <c r="P55" s="6"/>
      <c r="Q55" s="6"/>
      <c r="R55" s="6"/>
      <c r="S55" s="6"/>
      <c r="V55" s="36">
        <v>2.4963933468861051E-2</v>
      </c>
      <c r="W55" s="43">
        <v>2.4963933468861051E-2</v>
      </c>
      <c r="Y55" s="36">
        <v>808.2961095400849</v>
      </c>
      <c r="Z55">
        <v>996.75473250274854</v>
      </c>
      <c r="AA55">
        <v>1185.2133554654122</v>
      </c>
      <c r="AB55" s="43">
        <v>808.2961095400849</v>
      </c>
      <c r="AC55">
        <v>996.75473250274854</v>
      </c>
      <c r="AD55">
        <v>1185.2133554654122</v>
      </c>
    </row>
    <row r="56" spans="8:30" x14ac:dyDescent="0.25">
      <c r="H56" s="35" t="str" cm="1">
        <f t="array" ref="H56:M69">_xlfn.LAMBDA(_xlpm.y,_xlpm.X,_xlop.hasLabels,_xlop.addConstToX,_xlop.addTrendToX,_xlop.useHAC,
_xlfn.LET(
_xlpm.hasLabels, IF(OR(_xlfn.ISOMITTED(_xlpm.hasLabels),ISBLANK(_xlpm.hasLabels)),FALSE,_xlpm.hasLabels),
_xlpm.addConstToX, IF(OR(_xlfn.ISOMITTED(_xlpm.addConstToX),ISBLANK(_xlpm.addConstToX)),FALSE,_xlpm.addConstToX),
_xlpm.addTrendToX, IF(OR(_xlfn.ISOMITTED(_xlpm.addTrendToX),ISBLANK(_xlpm.addTrendToX)),FALSE,_xlpm.addTrendToX),
_xlpm.useHAC, IF(OR(_xlfn.ISOMITTED(_xlpm.useHAC),ISBLANK(_xlpm.useHAC)),FALSE,_xlpm.useHAC),
_xlpm.Xtrend, IF(1*_xlpm.addTrendToX&gt;0, ADDTREND(_xlpm.X,1,1,IF(_xlpm.hasLabels,"trend",FALSE)), _xlpm.X),
_xlpm.Xconst, IF(_xlpm.addConstToX, ADDCONST(_xlpm.Xtrend,1,IF(_xlpm.hasLabels,"const",FALSE)), _xlpm.Xtrend),
_xlpm.yLabel, IF(_xlpm.hasLabels, _xlfn.TAKE(_xlpm.y,1), "Y"), _xlpm.xLabels, IF(_xlpm.hasLabels, VEC(_xlfn.TAKE(_xlpm.Xconst,1)), VERTCAT_EX(VERTCAT_EX(IF(_xlpm.addConstToX=TRUE,"const","ex"), IF(_xlpm.addTrendToX*1&gt;0,"trend","ex"),"ex"), "X" &amp; _xlfn.SEQUENCE(COLUMNS(_xlpm.X)), "ex")),
_xlpm.y, IF(_xlpm.hasLabels, _xlfn.DROP(_xlpm.y,1), _xlpm.y), _xlpm.X, IF(_xlpm.hasLabels, _xlfn.DROP(_xlpm.Xconst,1), _xlpm.Xconst),
_xlpm.bbeta, OLS_COEFF(_xlpm.y,_xlpm.X),
_xlpm.std, IF(_xlpm.useHAC = FALSE, OLS_COEFF_STDEV(_xlpm.y,_xlpm.X,_xlpm.bbeta), OLS_COEFF_STDEV_HAC(_xlpm.y,_xlpm.X,_xlpm.bbeta)),
_xlpm.tStat, IF(_xlpm.useHAC = FALSE, OLS_COEFF_TSTAT(_xlpm.y,_xlpm.X,_xlpm.bbeta), OLS_COEFF_TSTAT_HAC(_xlpm.y,_xlpm.X,_xlpm.bbeta)),
_xlpm.pValue, IF(_xlpm.useHAC = FALSE, OLS_COEFF_PVALUE(_xlpm.y,_xlpm.X,_xlpm.bbeta), OLS_COEFF_PVALUE_HAC(_xlpm.y,_xlpm.X,_xlpm.bbeta)),
_xlpm.stars, _xlfn.MAKEARRAY(ROWS(_xlpm.pValue),1, _xlfn.LAMBDA(_xlpm.row,_xlpm.col, _xlfn.LET(_xlpm.val, INDEX(_xlpm.pValue,_xlpm.row), _xlfn.IFS(_xlpm.val&lt;=0.01, "***", _xlpm.val&lt;=0.05, "**", _xlpm.val&lt;=0.1, "*", _xlpm.val&gt;0.1, "")))),
_xlpm.meanDepVar, AVERAGE(_xlpm.y), _xlpm.stdevDepVar, _xlfn.STDEV.S(_xlpm.y), _xlpm.sumSqRes, OLS_RSS(_xlpm.y,_xlpm.X,_xlpm.bbeta), _xlpm.stdevReg, OLS_STDEV(_xlpm.y,_xlpm.X,_xlpm.bbeta),
_xlpm.rSquared, OLS_R2(_xlpm.y,_xlpm.X,_xlpm.bbeta), _xlpm.rSquaredAdj, OLS_R2_ADJUSTED(_xlpm.y,_xlpm.X,_xlpm.bbeta), _xlpm.fStat, OLS_FSTAT(_xlpm.y,_xlpm.X,_xlpm.bbeta), _xlpm.fStatPvalue, OLS_FSTAT_PVALUE(_xlpm.y,_xlpm.X,_xlpm.bbeta),
_xlpm.logLik, OLS_LOGLIKELIHOOD(_xlpm.y,_xlpm.X,_xlpm.bbeta), _xlpm.infoCritAkaike, OLS_AIC(_xlpm.y,_xlpm.X,_xlpm.bbeta), _xlpm.infoCritSchwarz, OLS_BIC(_xlpm.y,_xlpm.X,_xlpm.bbeta), _xlpm.infoCritHQ, OLS_HQC(_xlpm.y,_xlpm.X,_xlpm.bbeta),
_xlpm.resAR, OLS_RESIDUALS_AR(_xlpm.y,_xlpm.X,_xlpm.bbeta,1), _xlpm.durbinWatson, OLS_DURBINWATSON(_xlpm.y,_xlpm.X,_xlpm.bbeta),
_xlpm.titleLabel, _xlfn.EXPAND("Regression summary: " &amp; _xlpm.yLabel,1,6,""),
_xlpm.colLabel, _xlfn.HSTACK("", "coefficient", "standard error", "t-stat", "p-value", ""),
_xlpm.rowLabel, _xlpm.xLabels,
_xlpm.emptyLabel, _xlfn.EXPAND("",1,6,""),
_xlpm.mainTable, _xlfn.VSTACK(_xlpm.titleLabel, _xlpm.colLabel, _xlfn.HSTACK(_xlpm.rowLabel, _xlpm.bbeta, _xlpm.std, _xlpm.tStat, _xlpm.pValue, _xlpm.stars)),
_xlpm.otherStats, _xlfn.HSTACK(_xlfn.VSTACK("Mean of dependent var.", "Sum of squared res.", "R-squared", "F", "Loglikelihood", "Schwarz criterion", "AR coeff. of residuals"), _xlfn.VSTACK(_xlpm.meanDepVar, _xlpm.sumSqRes, _xlpm.rSquared, _xlpm.fStat, _xlpm.logLik, _xlpm.infoCritSchwarz, _xlpm.resAR), _xlfn.EXPAND("",7,1,""), _xlfn.VSTACK("Std of dependent var.", "Std of regression", "R-squared adjusted", "P-value(F)", "Akaike criterion", "Hannan-quinn criterion", "Durbin-Watson"), _xlfn.VSTACK(_xlpm.stdevDepVar, _xlpm.stdevReg, _xlpm.rSquaredAdj, _xlpm.fStatPvalue, _xlpm.infoCritAkaike, _xlpm.infoCritHQ, _xlpm.durbinWatson), _xlfn.EXPAND("",7,1,"") ),
IFERROR(_xlfn.VSTACK(_xlpm.mainTable, _xlpm.emptyLabel, _xlpm.otherStats), "# Error: check inputs")
))($E$3:$E$15,$A$3:$D$15,TRUE,FALSE,FALSE)</f>
        <v>Regression summary: w</v>
      </c>
      <c r="I56" s="35" t="str">
        <v/>
      </c>
      <c r="J56" s="35" t="str">
        <v/>
      </c>
      <c r="K56" s="35" t="str">
        <v/>
      </c>
      <c r="L56" s="35" t="str">
        <v/>
      </c>
      <c r="M56" s="35" t="str">
        <v/>
      </c>
      <c r="N56" t="str" cm="1">
        <f t="array" ref="N56:S69">OLS_SUMMARY($E$3:$E$15,$A$3:$D$15,TRUE)</f>
        <v>Regression summary: w</v>
      </c>
      <c r="O56" t="str">
        <v/>
      </c>
      <c r="P56" t="str">
        <v/>
      </c>
      <c r="Q56" t="str">
        <v/>
      </c>
      <c r="R56" t="str">
        <v/>
      </c>
      <c r="S56" t="str">
        <v/>
      </c>
      <c r="Y56" s="36">
        <v>948.51202656009832</v>
      </c>
      <c r="Z56">
        <v>1135.8876608791147</v>
      </c>
      <c r="AA56">
        <v>1323.2632951981311</v>
      </c>
      <c r="AB56" s="43">
        <v>948.51202656009832</v>
      </c>
      <c r="AC56">
        <v>1135.8876608791147</v>
      </c>
      <c r="AD56">
        <v>1323.2632951981311</v>
      </c>
    </row>
    <row r="57" spans="8:30" x14ac:dyDescent="0.25">
      <c r="H57" s="35" t="str">
        <v/>
      </c>
      <c r="I57" s="35" t="str">
        <v>coefficient</v>
      </c>
      <c r="J57" s="35" t="str">
        <v>standard error</v>
      </c>
      <c r="K57" s="35" t="str">
        <v>t-stat</v>
      </c>
      <c r="L57" s="35" t="str">
        <v>p-value</v>
      </c>
      <c r="M57" s="35" t="str">
        <v/>
      </c>
      <c r="N57" t="str">
        <v/>
      </c>
      <c r="O57" t="str">
        <v>coefficient</v>
      </c>
      <c r="P57" t="str">
        <v>standard error</v>
      </c>
      <c r="Q57" t="str">
        <v>t-stat</v>
      </c>
      <c r="R57" t="str">
        <v>p-value</v>
      </c>
      <c r="S57" t="str">
        <v/>
      </c>
      <c r="V57" s="7" t="s">
        <v>886</v>
      </c>
      <c r="W57" s="6"/>
      <c r="Y57" s="36">
        <v>1400.7927375659519</v>
      </c>
      <c r="Z57">
        <v>1588.5140331316306</v>
      </c>
      <c r="AA57">
        <v>1776.2353286973093</v>
      </c>
      <c r="AB57" s="43">
        <v>1400.7927375659519</v>
      </c>
      <c r="AC57">
        <v>1588.5140331316306</v>
      </c>
      <c r="AD57">
        <v>1776.2353286973093</v>
      </c>
    </row>
    <row r="58" spans="8:30" x14ac:dyDescent="0.25">
      <c r="H58" s="35" t="str">
        <v>const</v>
      </c>
      <c r="I58" s="35">
        <v>77.506630385482822</v>
      </c>
      <c r="J58" s="35">
        <v>128.65286416500055</v>
      </c>
      <c r="K58" s="35">
        <v>0.60244776428823699</v>
      </c>
      <c r="L58" s="35">
        <v>0.56355836543262661</v>
      </c>
      <c r="M58" s="35" t="str">
        <v/>
      </c>
      <c r="N58" t="str">
        <v>const</v>
      </c>
      <c r="O58">
        <v>77.506630385482822</v>
      </c>
      <c r="P58">
        <v>128.65286416500055</v>
      </c>
      <c r="Q58">
        <v>0.60244776428823699</v>
      </c>
      <c r="R58">
        <v>0.56355836543262661</v>
      </c>
      <c r="S58" t="str">
        <v/>
      </c>
      <c r="V58" s="36" cm="1">
        <f t="array" ref="V58">_xlfn.LAMBDA(_xlpm.y,_xlpm.X,_xlop.coeff,_xlop.order,
_xlfn.LET(
_xlpm.bbeta, IF(_xlfn.ISOMITTED(_xlpm.coeff), OLS_COEFF(_xlpm.y,_xlpm.X), VEC(_xlpm.coeff)),
_xlpm.order, IF(_xlfn.ISOMITTED(_xlpm.order), 1, _xlpm.order),
_xlpm.rho, OLS_COEFF(_xlfn.DROP(OLS_RESIDUALS(_xlpm.y,_xlpm.X,_xlpm.bbeta),_xlpm.order), _xlfn.DROP(OLS_RESIDUALS(_xlpm.y,_xlpm.X,_xlpm.bbeta),-_xlpm.order)),
_xlpm.rho
))($E$4:$E$15,$A$4:$D$15,,1)</f>
        <v>9.6384290495081598E-2</v>
      </c>
      <c r="W58" s="43" cm="1">
        <f t="array" ref="W58">OLS_RESIDUALS_AR($E$4:$E$15,$A$4:$D$15,,1)</f>
        <v>9.6384290495081598E-2</v>
      </c>
      <c r="Y58" s="36">
        <v>1636.4526022775217</v>
      </c>
      <c r="Z58">
        <v>1818.222590211793</v>
      </c>
      <c r="AA58">
        <v>1999.9925781460643</v>
      </c>
      <c r="AB58" s="43">
        <v>1636.4526022775217</v>
      </c>
      <c r="AC58">
        <v>1818.222590211793</v>
      </c>
      <c r="AD58">
        <v>1999.9925781460643</v>
      </c>
    </row>
    <row r="59" spans="8:30" x14ac:dyDescent="0.25">
      <c r="H59" s="35" t="str">
        <v>x</v>
      </c>
      <c r="I59" s="35">
        <v>2.1770734285392486</v>
      </c>
      <c r="J59" s="35">
        <v>1.4892549500200292</v>
      </c>
      <c r="K59" s="35">
        <v>1.4618540824792752</v>
      </c>
      <c r="L59" s="35">
        <v>0.18192076333892523</v>
      </c>
      <c r="M59" s="35" t="str">
        <v/>
      </c>
      <c r="N59" t="str">
        <v>x</v>
      </c>
      <c r="O59">
        <v>2.1770734285392486</v>
      </c>
      <c r="P59">
        <v>1.4892549500200292</v>
      </c>
      <c r="Q59">
        <v>1.4618540824792752</v>
      </c>
      <c r="R59">
        <v>0.18192076333892523</v>
      </c>
      <c r="S59" t="str">
        <v/>
      </c>
      <c r="Y59" s="36">
        <v>1676.166255510921</v>
      </c>
      <c r="Z59">
        <v>1853.4154644694665</v>
      </c>
      <c r="AA59">
        <v>2030.6646734280121</v>
      </c>
      <c r="AB59" s="43">
        <v>1676.166255510921</v>
      </c>
      <c r="AC59">
        <v>1853.4154644694665</v>
      </c>
      <c r="AD59">
        <v>2030.6646734280121</v>
      </c>
    </row>
    <row r="60" spans="8:30" x14ac:dyDescent="0.25">
      <c r="H60" s="35" t="str">
        <v>y</v>
      </c>
      <c r="I60" s="35">
        <v>2.0218596221156897</v>
      </c>
      <c r="J60" s="35">
        <v>0.17018261882389155</v>
      </c>
      <c r="K60" s="35">
        <v>11.880529492896988</v>
      </c>
      <c r="L60" s="35">
        <v>2.3136489083180648E-6</v>
      </c>
      <c r="M60" s="35" t="str">
        <v>***</v>
      </c>
      <c r="N60" t="str">
        <v>y</v>
      </c>
      <c r="O60">
        <v>2.0218596221156897</v>
      </c>
      <c r="P60">
        <v>0.17018261882389155</v>
      </c>
      <c r="Q60">
        <v>11.880529492896988</v>
      </c>
      <c r="R60">
        <v>2.3136489083180648E-6</v>
      </c>
      <c r="S60" t="str">
        <v>***</v>
      </c>
      <c r="V60" s="7" t="s">
        <v>889</v>
      </c>
      <c r="W60" s="6"/>
      <c r="Y60" s="36">
        <v>1749.2874970623132</v>
      </c>
      <c r="Z60">
        <v>1932.2606189230698</v>
      </c>
      <c r="AA60">
        <v>2115.2337407838268</v>
      </c>
      <c r="AB60" s="43">
        <v>1749.2874970623132</v>
      </c>
      <c r="AC60">
        <v>1932.2606189230698</v>
      </c>
      <c r="AD60">
        <v>2115.2337407838268</v>
      </c>
    </row>
    <row r="61" spans="8:30" x14ac:dyDescent="0.25">
      <c r="H61" s="35" t="str">
        <v>z</v>
      </c>
      <c r="I61" s="35">
        <v>2.8200909792623605</v>
      </c>
      <c r="J61" s="35">
        <v>1.5121761755365055</v>
      </c>
      <c r="K61" s="35">
        <v>1.8649222391444036</v>
      </c>
      <c r="L61" s="35">
        <v>9.9177867111032852E-2</v>
      </c>
      <c r="M61" s="35" t="str">
        <v>*</v>
      </c>
      <c r="N61" t="str">
        <v>z</v>
      </c>
      <c r="O61">
        <v>2.8200909792623605</v>
      </c>
      <c r="P61">
        <v>1.5121761755365055</v>
      </c>
      <c r="Q61">
        <v>1.8649222391444036</v>
      </c>
      <c r="R61">
        <v>9.9177867111032852E-2</v>
      </c>
      <c r="S61" t="str">
        <v>*</v>
      </c>
      <c r="V61" s="36" cm="1">
        <f t="array" ref="V61">_xlfn.LAMBDA(_xlpm.y,_xlpm.X,_xlop.coeff,
_xlfn.LET(
_xlpm.bbeta, IF(_xlfn.ISOMITTED(_xlpm.coeff), OLS_COEFF(_xlpm.y,_xlpm.X), VEC(_xlpm.coeff)),
_xlpm.res, OLS_RESIDUALS(_xlpm.y,_xlpm.X,_xlpm.bbeta),
_xlpm.dw, SUM((_xlfn.DROP(_xlpm.res,1) - _xlfn.DROP(_xlpm.res,-1))^2) / SUM(_xlpm.res^2),
_xlpm.dw
))($E$4:$E$15,$A$4:$D$15)</f>
        <v>1.795474647727237</v>
      </c>
      <c r="W61" s="43" cm="1">
        <f t="array" ref="W61">OLS_DURBINWATSON($E$4:$E$15,$A$4:$D$15)</f>
        <v>1.795474647727237</v>
      </c>
      <c r="Y61" s="36">
        <v>2007.8088260066079</v>
      </c>
      <c r="Z61">
        <v>2199.4903625213992</v>
      </c>
      <c r="AA61">
        <v>2391.1718990361906</v>
      </c>
      <c r="AB61" s="43">
        <v>2007.8088260066079</v>
      </c>
      <c r="AC61">
        <v>2199.4903625213992</v>
      </c>
      <c r="AD61">
        <v>2391.1718990361906</v>
      </c>
    </row>
    <row r="62" spans="8:30" x14ac:dyDescent="0.25">
      <c r="H62" s="35" t="str">
        <v/>
      </c>
      <c r="I62" s="35" t="str">
        <v/>
      </c>
      <c r="J62" s="35" t="str">
        <v/>
      </c>
      <c r="K62" s="35" t="str">
        <v/>
      </c>
      <c r="L62" s="35" t="str">
        <v/>
      </c>
      <c r="M62" s="35" t="str">
        <v/>
      </c>
      <c r="N62" t="str">
        <v/>
      </c>
      <c r="O62" t="str">
        <v/>
      </c>
      <c r="P62" t="str">
        <v/>
      </c>
      <c r="Q62" t="str">
        <v/>
      </c>
      <c r="R62" t="str">
        <v/>
      </c>
      <c r="S62" t="str">
        <v/>
      </c>
      <c r="Y62" s="36">
        <v>1956.2698817087571</v>
      </c>
      <c r="Z62">
        <v>2151.5149700077277</v>
      </c>
      <c r="AA62">
        <v>2346.7600583066983</v>
      </c>
      <c r="AB62" s="43">
        <v>1956.2698817087571</v>
      </c>
      <c r="AC62">
        <v>2151.5149700077277</v>
      </c>
      <c r="AD62">
        <v>2346.7600583066983</v>
      </c>
    </row>
    <row r="63" spans="8:30" x14ac:dyDescent="0.25">
      <c r="H63" s="35" t="str">
        <v>Mean of dependent var.</v>
      </c>
      <c r="I63" s="35">
        <v>1485.3833333333332</v>
      </c>
      <c r="J63" s="35" t="str">
        <v/>
      </c>
      <c r="K63" s="35" t="str">
        <v>Std of dependent var.</v>
      </c>
      <c r="L63" s="35">
        <v>749.77636766915452</v>
      </c>
      <c r="M63" s="35" t="str">
        <v/>
      </c>
      <c r="N63" t="str">
        <v>Mean of dependent var.</v>
      </c>
      <c r="O63">
        <v>1485.3833333333332</v>
      </c>
      <c r="P63" t="str">
        <v/>
      </c>
      <c r="Q63" t="str">
        <v>Std of dependent var.</v>
      </c>
      <c r="R63">
        <v>749.77636766915452</v>
      </c>
      <c r="S63" t="str">
        <v/>
      </c>
      <c r="Y63" s="36">
        <v>2408.4362867447289</v>
      </c>
      <c r="Z63">
        <v>2613.562663764174</v>
      </c>
      <c r="AA63">
        <v>2818.689040783619</v>
      </c>
      <c r="AB63" s="43">
        <v>2408.4362867447289</v>
      </c>
      <c r="AC63">
        <v>2613.562663764174</v>
      </c>
      <c r="AD63">
        <v>2818.689040783619</v>
      </c>
    </row>
    <row r="64" spans="8:30" x14ac:dyDescent="0.25">
      <c r="H64" s="35" t="str">
        <v>Sum of squared res.</v>
      </c>
      <c r="I64" s="35">
        <v>230495.70086384937</v>
      </c>
      <c r="J64" s="35" t="str">
        <v/>
      </c>
      <c r="K64" s="35" t="str">
        <v>Std of regression</v>
      </c>
      <c r="L64" s="35">
        <v>169.74086899736662</v>
      </c>
      <c r="M64" s="35" t="str">
        <v/>
      </c>
      <c r="N64" t="str">
        <v>Sum of squared res.</v>
      </c>
      <c r="O64">
        <v>230495.70086384937</v>
      </c>
      <c r="P64" t="str">
        <v/>
      </c>
      <c r="Q64" t="str">
        <v>Std of regression</v>
      </c>
      <c r="R64">
        <v>169.74086899736662</v>
      </c>
      <c r="S64" t="str">
        <v/>
      </c>
    </row>
    <row r="65" spans="8:19" x14ac:dyDescent="0.25">
      <c r="H65" s="35" t="str">
        <v>R-squared</v>
      </c>
      <c r="I65" s="35">
        <v>0.96272594438086212</v>
      </c>
      <c r="J65" s="35" t="str">
        <v/>
      </c>
      <c r="K65" s="35" t="str">
        <v>R-squared adjusted</v>
      </c>
      <c r="L65" s="35">
        <v>0.94874817352368546</v>
      </c>
      <c r="M65" s="35" t="str">
        <v/>
      </c>
      <c r="N65" t="str">
        <v>R-squared</v>
      </c>
      <c r="O65">
        <v>0.96272594438086212</v>
      </c>
      <c r="P65" t="str">
        <v/>
      </c>
      <c r="Q65" t="str">
        <v>R-squared adjusted</v>
      </c>
      <c r="R65">
        <v>0.94874817352368546</v>
      </c>
      <c r="S65" t="str">
        <v/>
      </c>
    </row>
    <row r="66" spans="8:19" x14ac:dyDescent="0.25">
      <c r="H66" s="35" t="str">
        <v>F</v>
      </c>
      <c r="I66" s="35">
        <v>68.875499120559908</v>
      </c>
      <c r="J66" s="35" t="str">
        <v/>
      </c>
      <c r="K66" s="35" t="str">
        <v>P-value(F)</v>
      </c>
      <c r="L66" s="35">
        <v>4.6789820355237948E-6</v>
      </c>
      <c r="M66" s="35" t="str">
        <v/>
      </c>
      <c r="N66" t="str">
        <v>F</v>
      </c>
      <c r="O66">
        <v>68.875499120559908</v>
      </c>
      <c r="P66" t="str">
        <v/>
      </c>
      <c r="Q66" t="str">
        <v>P-value(F)</v>
      </c>
      <c r="R66">
        <v>4.6789820355237948E-6</v>
      </c>
      <c r="S66" t="str">
        <v/>
      </c>
    </row>
    <row r="67" spans="8:19" x14ac:dyDescent="0.25">
      <c r="H67" s="35" t="str">
        <v>Loglikelihood</v>
      </c>
      <c r="I67" s="35">
        <v>-76.205747439098118</v>
      </c>
      <c r="J67" s="35" t="str">
        <v/>
      </c>
      <c r="K67" s="35" t="str">
        <v>Akaike criterion</v>
      </c>
      <c r="L67" s="35">
        <v>160.41149487819624</v>
      </c>
      <c r="M67" s="35" t="str">
        <v/>
      </c>
      <c r="N67" t="str">
        <v>Loglikelihood</v>
      </c>
      <c r="O67">
        <v>-76.205747439098118</v>
      </c>
      <c r="P67" t="str">
        <v/>
      </c>
      <c r="Q67" t="str">
        <v>Akaike criterion</v>
      </c>
      <c r="R67">
        <v>160.41149487819624</v>
      </c>
      <c r="S67" t="str">
        <v/>
      </c>
    </row>
    <row r="68" spans="8:19" x14ac:dyDescent="0.25">
      <c r="H68" s="35" t="str">
        <v>Schwarz criterion</v>
      </c>
      <c r="I68" s="35">
        <v>162.35112147734824</v>
      </c>
      <c r="J68" s="35" t="str">
        <v/>
      </c>
      <c r="K68" s="35" t="str">
        <v>Hannan-quinn criterion</v>
      </c>
      <c r="L68" s="35">
        <v>159.69337562511885</v>
      </c>
      <c r="M68" s="35" t="str">
        <v/>
      </c>
      <c r="N68" t="str">
        <v>Schwarz criterion</v>
      </c>
      <c r="O68">
        <v>162.35112147734824</v>
      </c>
      <c r="P68" t="str">
        <v/>
      </c>
      <c r="Q68" t="str">
        <v>Hannan-quinn criterion</v>
      </c>
      <c r="R68">
        <v>159.69337562511885</v>
      </c>
      <c r="S68" t="str">
        <v/>
      </c>
    </row>
    <row r="69" spans="8:19" x14ac:dyDescent="0.25">
      <c r="H69" s="35" t="str">
        <v>AR coeff. of residuals</v>
      </c>
      <c r="I69" s="35">
        <v>9.6384290495081598E-2</v>
      </c>
      <c r="J69" s="35" t="str">
        <v/>
      </c>
      <c r="K69" s="35" t="str">
        <v>Durbin-Watson</v>
      </c>
      <c r="L69" s="35">
        <v>1.795474647727237</v>
      </c>
      <c r="M69" s="35" t="str">
        <v/>
      </c>
      <c r="N69" t="str">
        <v>AR coeff. of residuals</v>
      </c>
      <c r="O69">
        <v>9.6384290495081598E-2</v>
      </c>
      <c r="P69" t="str">
        <v/>
      </c>
      <c r="Q69" t="str">
        <v>Durbin-Watson</v>
      </c>
      <c r="R69">
        <v>1.795474647727237</v>
      </c>
      <c r="S69" t="str">
        <v/>
      </c>
    </row>
    <row r="70" spans="8:19" x14ac:dyDescent="0.25">
      <c r="H70" s="35"/>
      <c r="I70" s="35"/>
      <c r="J70" s="35"/>
      <c r="K70" s="35"/>
      <c r="L70" s="35"/>
      <c r="M70" s="35"/>
    </row>
  </sheetData>
  <pageMargins left="0.511811024" right="0.511811024" top="0.78740157499999996" bottom="0.78740157499999996" header="0.31496062000000002" footer="0.31496062000000002"/>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D0705-CE65-43A3-8178-8068EE60A725}">
  <sheetPr codeName="Planilha30">
    <tabColor theme="9" tint="0.59999389629810485"/>
  </sheetPr>
  <dimension ref="A1:AD300"/>
  <sheetViews>
    <sheetView showGridLines="0" workbookViewId="0">
      <selection activeCell="J10" sqref="J10"/>
    </sheetView>
  </sheetViews>
  <sheetFormatPr defaultColWidth="8.85546875" defaultRowHeight="18.75" x14ac:dyDescent="0.3"/>
  <cols>
    <col min="1" max="1" width="12.7109375" style="17" customWidth="1"/>
    <col min="2" max="2" width="26.140625" customWidth="1"/>
    <col min="4" max="4" width="4.5703125" customWidth="1"/>
    <col min="5" max="5" width="4" bestFit="1" customWidth="1"/>
    <col min="6" max="8" width="7.140625" bestFit="1" customWidth="1"/>
    <col min="9" max="14" width="12.42578125" bestFit="1" customWidth="1"/>
    <col min="16" max="16" width="12.42578125" style="15" bestFit="1" customWidth="1"/>
    <col min="17" max="20" width="9" style="15" customWidth="1"/>
    <col min="21" max="21" width="15.42578125" style="15" bestFit="1" customWidth="1"/>
    <col min="22" max="23" width="12.42578125" style="15" bestFit="1" customWidth="1"/>
    <col min="24" max="30" width="8.85546875" style="15"/>
  </cols>
  <sheetData>
    <row r="1" spans="1:30" x14ac:dyDescent="0.3">
      <c r="A1" s="84" t="s">
        <v>335</v>
      </c>
      <c r="P1" s="14"/>
      <c r="Q1" s="14"/>
      <c r="R1" s="14"/>
      <c r="S1" s="14"/>
      <c r="T1" s="14"/>
      <c r="U1" s="14"/>
      <c r="V1" s="14"/>
      <c r="W1" s="14"/>
      <c r="X1" s="14"/>
      <c r="Y1" s="14"/>
      <c r="Z1" s="14"/>
      <c r="AA1" s="14"/>
      <c r="AB1" s="14"/>
      <c r="AC1" s="14"/>
      <c r="AD1" s="14"/>
    </row>
    <row r="2" spans="1:30" x14ac:dyDescent="0.3">
      <c r="A2" s="17" t="s">
        <v>336</v>
      </c>
      <c r="P2" s="14"/>
      <c r="Q2" s="14"/>
      <c r="R2" s="14"/>
      <c r="S2" s="14"/>
      <c r="T2" s="14"/>
      <c r="U2" s="14"/>
      <c r="V2" s="14"/>
      <c r="W2" s="14"/>
      <c r="X2" s="14"/>
      <c r="Y2" s="14"/>
      <c r="Z2" s="14"/>
      <c r="AA2" s="14"/>
      <c r="AB2" s="14"/>
      <c r="AC2" s="14"/>
      <c r="AD2" s="14"/>
    </row>
    <row r="4" spans="1:30" ht="15.75" x14ac:dyDescent="0.25">
      <c r="A4" s="2" t="s">
        <v>15</v>
      </c>
      <c r="B4" s="2" t="s">
        <v>16</v>
      </c>
    </row>
    <row r="5" spans="1:30" ht="15.75" x14ac:dyDescent="0.25">
      <c r="A5" s="23" t="s">
        <v>167</v>
      </c>
      <c r="B5" s="24" t="s">
        <v>169</v>
      </c>
    </row>
    <row r="6" spans="1:30" ht="126" x14ac:dyDescent="0.25">
      <c r="A6" s="23" t="s">
        <v>364</v>
      </c>
      <c r="B6" s="24" t="s">
        <v>365</v>
      </c>
    </row>
    <row r="7" spans="1:30" ht="47.25" x14ac:dyDescent="0.25">
      <c r="A7" s="23" t="s">
        <v>209</v>
      </c>
      <c r="B7" s="24" t="s">
        <v>368</v>
      </c>
    </row>
    <row r="8" spans="1:30" ht="15.75" x14ac:dyDescent="0.25">
      <c r="A8" s="23" t="s">
        <v>257</v>
      </c>
      <c r="B8" s="24" t="s">
        <v>344</v>
      </c>
    </row>
    <row r="9" spans="1:30" ht="31.5" x14ac:dyDescent="0.25">
      <c r="A9" s="23" t="s">
        <v>337</v>
      </c>
      <c r="B9" s="24" t="s">
        <v>345</v>
      </c>
    </row>
    <row r="10" spans="1:30" ht="63" x14ac:dyDescent="0.25">
      <c r="A10" s="23" t="s">
        <v>338</v>
      </c>
      <c r="B10" s="26" t="s">
        <v>346</v>
      </c>
      <c r="P10" s="61" t="s">
        <v>359</v>
      </c>
      <c r="U10" s="61" t="s">
        <v>359</v>
      </c>
    </row>
    <row r="11" spans="1:30" ht="15.75" x14ac:dyDescent="0.25">
      <c r="A11" s="23"/>
      <c r="B11" s="26"/>
      <c r="P11" s="54" t="b" cm="1">
        <f t="array" ref="P11">ISSTATIONARY(F14:F34,$I$14,$J$14,$K$14,$L$14,$M$14)</f>
        <v>0</v>
      </c>
      <c r="Q11" s="54" t="b" cm="1">
        <f t="array" ref="Q11">ISSTATIONARY(G14:G34,$I$14,$J$14,$K$14,$L$14,$M$14)</f>
        <v>0</v>
      </c>
      <c r="R11" s="54" t="b" cm="1">
        <f t="array" ref="R11">ISSTATIONARY(H14:H34,$I$14,$J$14,$K$14,$L$14,$M$14)</f>
        <v>0</v>
      </c>
      <c r="U11" s="54" t="b" cm="1">
        <f t="array" ref="U11">ISSTATIONARY(RMMISSING(_xlfn.ANCHORARRAY(U14)),$I$14,$J$14,$K$14,$L$14,$M$14)</f>
        <v>1</v>
      </c>
      <c r="V11" s="54" t="b" cm="1">
        <f t="array" ref="V11">ISSTATIONARY(RMMISSING(_xlfn.ANCHORARRAY(V14)),$I$14,$J$14,$K$14,$L$14,$M$14)</f>
        <v>1</v>
      </c>
      <c r="W11" s="54" t="b" cm="1">
        <f t="array" ref="W11">ISSTATIONARY(RMMISSING(_xlfn.ANCHORARRAY(W14)),$I$14,$J$14,$K$14,$L$14,$M$14)</f>
        <v>1</v>
      </c>
    </row>
    <row r="12" spans="1:30" ht="15.75" x14ac:dyDescent="0.25">
      <c r="A12" s="23"/>
      <c r="B12" s="26"/>
      <c r="F12" t="s">
        <v>352</v>
      </c>
      <c r="G12" t="s">
        <v>353</v>
      </c>
      <c r="H12" t="s">
        <v>354</v>
      </c>
    </row>
    <row r="13" spans="1:30" x14ac:dyDescent="0.3">
      <c r="E13" t="s">
        <v>202</v>
      </c>
      <c r="F13" s="13" t="s">
        <v>167</v>
      </c>
      <c r="G13" s="13" t="s">
        <v>167</v>
      </c>
      <c r="H13" s="13" t="s">
        <v>167</v>
      </c>
      <c r="I13" s="13" t="s">
        <v>366</v>
      </c>
      <c r="J13" s="13" t="s">
        <v>213</v>
      </c>
      <c r="K13" s="13" t="s">
        <v>261</v>
      </c>
      <c r="L13" s="13" t="s">
        <v>339</v>
      </c>
      <c r="M13" s="13" t="s">
        <v>203</v>
      </c>
      <c r="N13" s="13" t="s">
        <v>351</v>
      </c>
      <c r="P13" s="61" t="s">
        <v>253</v>
      </c>
      <c r="U13" s="90" t="s">
        <v>254</v>
      </c>
    </row>
    <row r="14" spans="1:30" ht="18.75" customHeight="1" x14ac:dyDescent="0.3">
      <c r="E14" s="95">
        <v>0</v>
      </c>
      <c r="F14" s="53">
        <v>72.400000000000006</v>
      </c>
      <c r="G14" s="53">
        <v>72.400000000000006</v>
      </c>
      <c r="H14" s="53">
        <v>72.400000000000006</v>
      </c>
      <c r="I14" s="93" t="b">
        <v>0</v>
      </c>
      <c r="J14" s="55">
        <v>3</v>
      </c>
      <c r="K14" s="93">
        <v>0.01</v>
      </c>
      <c r="L14" s="55" t="b">
        <v>1</v>
      </c>
      <c r="M14" s="55" t="b">
        <v>1</v>
      </c>
      <c r="N14" s="55">
        <v>2</v>
      </c>
      <c r="O14" s="96"/>
      <c r="P14" s="54" cm="1">
        <f t="array" ref="P14:P34">_xlfn.LAMBDA(_xlpm.values,_xlop.automatic,_xlop.nLags,_xlop.significance,_xlop.constant,_xlop.trend,_xlop.maxDiffs,
_xlfn.LET(
_xlpm.automatic, IF(_xlfn.ISOMITTED(_xlpm.automatic), FALSE, _xlpm.automatic),
_xlpm.nLags,IF(_xlfn.ISOMITTED(_xlpm.nLags), 0, _xlpm.nLags),
_xlpm.significance, IF(_xlfn.ISOMITTED(_xlpm.significance), FALSE, _xlpm.significance),
_xlpm.constant, IF(_xlfn.ISOMITTED(_xlpm.constant), FALSE, _xlpm.constant),
_xlpm.trend, IF(_xlfn.ISOMITTED(_xlpm.trend), FALSE, _xlpm.trend ),
_xlpm.maxDiffs, IF(OR( _xlfn.ISOMITTED(_xlpm.maxDiffs), ISBLANK(_xlpm.maxDiffs)), 2, _xlpm.maxDiffs ),
IF(ISSTATIONARY(_xlpm.values, _xlpm.automatic, _xlpm.nLags, _xlpm.significance, _xlpm.constant, _xlpm.trend), _xlpm.values,
IF(_xlpm.maxDiffs = 0, _xlpm.values,
STATIONARIZE( DIFF(_xlpm.values,1,1), _xlpm.automatic, _xlpm.nLags, _xlpm.significance, _xlpm.constant, _xlpm.trend, _xlpm.maxDiffs - 1)
))
))($F$14:$F$34,$I$14,$J$14,$K$14,$L$14,$M$14,$N$14)</f>
        <v>-2.7000000000000028</v>
      </c>
      <c r="R14" s="54"/>
      <c r="S14" s="54"/>
      <c r="T14" s="54"/>
      <c r="U14" s="54" cm="1">
        <f t="array" ref="U14:U34">STATIONARIZE($F$14:$F$34,$I$14,$J$14,$K$14,$L$14,$M$14,$N$14)</f>
        <v>-2.7000000000000028</v>
      </c>
      <c r="V14" s="54" cm="1">
        <f t="array" ref="V14:V34">STATIONARIZE($G$14:$G$34,$I$14,$J$14,$K$14,$L$14,$M$14,$N$14)</f>
        <v>0.26470755828569281</v>
      </c>
      <c r="W14" s="54" cm="1">
        <f t="array" ref="W14:W34">STATIONARIZE($H$14:$H$34,$I$14,$J$14,$K$14,$L$14,$M$14,$N$14)</f>
        <v>0.74846543732846271</v>
      </c>
    </row>
    <row r="15" spans="1:30" x14ac:dyDescent="0.3">
      <c r="E15" s="95">
        <v>1</v>
      </c>
      <c r="F15" s="53">
        <v>69.7</v>
      </c>
      <c r="G15" s="53">
        <v>72.664707558285698</v>
      </c>
      <c r="H15" s="53">
        <v>73.148465437328468</v>
      </c>
      <c r="O15" s="96"/>
      <c r="P15" s="54">
        <v>7.7000000000000028</v>
      </c>
      <c r="Q15" s="54"/>
      <c r="R15" s="54"/>
      <c r="S15" s="54"/>
      <c r="T15" s="54"/>
      <c r="U15" s="54">
        <v>7.7000000000000028</v>
      </c>
      <c r="V15" s="27">
        <v>0.52310225285268075</v>
      </c>
      <c r="W15" s="27">
        <v>6.953598010821338E-2</v>
      </c>
    </row>
    <row r="16" spans="1:30" x14ac:dyDescent="0.3">
      <c r="E16" s="95">
        <v>2</v>
      </c>
      <c r="F16" s="53">
        <v>77.400000000000006</v>
      </c>
      <c r="G16" s="53">
        <v>73.187809811138379</v>
      </c>
      <c r="H16" s="53">
        <v>73.218001417436682</v>
      </c>
      <c r="O16" s="96"/>
      <c r="P16" s="54">
        <v>2.1999999999999886</v>
      </c>
      <c r="Q16" s="54"/>
      <c r="R16" s="54"/>
      <c r="S16" s="54"/>
      <c r="T16" s="54"/>
      <c r="U16" s="54">
        <v>2.1999999999999886</v>
      </c>
      <c r="V16" s="27">
        <v>1.2373344417494678</v>
      </c>
      <c r="W16" s="27">
        <v>0.46934320647356742</v>
      </c>
    </row>
    <row r="17" spans="5:23" x14ac:dyDescent="0.3">
      <c r="E17" s="95">
        <v>3</v>
      </c>
      <c r="F17" s="53">
        <v>79.599999999999994</v>
      </c>
      <c r="G17" s="53">
        <v>74.425144252887847</v>
      </c>
      <c r="H17" s="53">
        <v>73.687344623910249</v>
      </c>
      <c r="O17" s="96"/>
      <c r="P17" s="54">
        <v>0.80000000000001137</v>
      </c>
      <c r="Q17" s="54"/>
      <c r="R17" s="54"/>
      <c r="S17" s="54"/>
      <c r="T17" s="54"/>
      <c r="U17" s="54">
        <v>0.80000000000001137</v>
      </c>
      <c r="V17" s="27">
        <v>1.2383537486175129</v>
      </c>
      <c r="W17" s="27">
        <v>0.44018690538032956</v>
      </c>
    </row>
    <row r="18" spans="5:23" x14ac:dyDescent="0.3">
      <c r="E18" s="95">
        <v>4</v>
      </c>
      <c r="F18" s="53">
        <v>80.400000000000006</v>
      </c>
      <c r="G18" s="53">
        <v>75.66349800150536</v>
      </c>
      <c r="H18" s="53">
        <v>74.127531529290579</v>
      </c>
      <c r="O18" s="96"/>
      <c r="P18" s="54">
        <v>-2.9000000000000057</v>
      </c>
      <c r="Q18" s="54"/>
      <c r="R18" s="54"/>
      <c r="S18" s="54"/>
      <c r="T18" s="54"/>
      <c r="U18" s="54">
        <v>-2.9000000000000057</v>
      </c>
      <c r="V18" s="27">
        <v>1.1808394363849999</v>
      </c>
      <c r="W18" s="27">
        <v>1.1814559232528126</v>
      </c>
    </row>
    <row r="19" spans="5:23" x14ac:dyDescent="0.3">
      <c r="E19" s="95">
        <v>5</v>
      </c>
      <c r="F19" s="53">
        <v>77.5</v>
      </c>
      <c r="G19" s="53">
        <v>76.84433743789036</v>
      </c>
      <c r="H19" s="53">
        <v>75.308987452543391</v>
      </c>
      <c r="O19" s="96"/>
      <c r="P19" s="54">
        <v>5.7999999999999972</v>
      </c>
      <c r="Q19" s="54"/>
      <c r="R19" s="54"/>
      <c r="S19" s="54"/>
      <c r="T19" s="54"/>
      <c r="U19" s="54">
        <v>5.7999999999999972</v>
      </c>
      <c r="V19" s="27">
        <v>1.0984134369627867</v>
      </c>
      <c r="W19" s="27">
        <v>0.37400627729454072</v>
      </c>
    </row>
    <row r="20" spans="5:23" x14ac:dyDescent="0.3">
      <c r="E20" s="95">
        <v>6</v>
      </c>
      <c r="F20" s="53">
        <v>83.3</v>
      </c>
      <c r="G20" s="53">
        <v>77.942750874853147</v>
      </c>
      <c r="H20" s="53">
        <v>75.682993729837932</v>
      </c>
      <c r="O20" s="96"/>
      <c r="P20" s="54">
        <v>0.29999999999999716</v>
      </c>
      <c r="Q20" s="54"/>
      <c r="R20" s="54"/>
      <c r="S20" s="54"/>
      <c r="T20" s="54"/>
      <c r="U20" s="54">
        <v>0.29999999999999716</v>
      </c>
      <c r="V20" s="27">
        <v>1.1378351771985962</v>
      </c>
      <c r="W20" s="27">
        <v>1.2436581187616582</v>
      </c>
    </row>
    <row r="21" spans="5:23" x14ac:dyDescent="0.3">
      <c r="E21" s="95">
        <v>7</v>
      </c>
      <c r="F21" s="53">
        <v>83.6</v>
      </c>
      <c r="G21" s="53">
        <v>79.080586052051743</v>
      </c>
      <c r="H21" s="53">
        <v>76.92665184859959</v>
      </c>
      <c r="O21" s="96"/>
      <c r="P21" s="54">
        <v>-1.5</v>
      </c>
      <c r="Q21" s="54"/>
      <c r="R21" s="54"/>
      <c r="S21" s="54"/>
      <c r="T21" s="54"/>
      <c r="U21" s="54">
        <v>-1.5</v>
      </c>
      <c r="V21" s="27">
        <v>1.5348983505893017</v>
      </c>
      <c r="W21" s="27">
        <v>1.1011581632466232</v>
      </c>
    </row>
    <row r="22" spans="5:23" x14ac:dyDescent="0.3">
      <c r="E22" s="95">
        <v>8</v>
      </c>
      <c r="F22" s="53">
        <v>82.1</v>
      </c>
      <c r="G22" s="53">
        <v>80.615484402641044</v>
      </c>
      <c r="H22" s="53">
        <v>78.027810011846213</v>
      </c>
      <c r="O22" s="96"/>
      <c r="P22" s="54">
        <v>7.1000000000000085</v>
      </c>
      <c r="Q22" s="54"/>
      <c r="R22" s="54"/>
      <c r="S22" s="54"/>
      <c r="T22" s="54"/>
      <c r="U22" s="54">
        <v>7.1000000000000085</v>
      </c>
      <c r="V22" s="27">
        <v>1.1815841910158156</v>
      </c>
      <c r="W22" s="27">
        <v>1.4853371009086374</v>
      </c>
    </row>
    <row r="23" spans="5:23" x14ac:dyDescent="0.3">
      <c r="E23" s="95">
        <v>9</v>
      </c>
      <c r="F23" s="53">
        <v>89.2</v>
      </c>
      <c r="G23" s="53">
        <v>81.79706859365686</v>
      </c>
      <c r="H23" s="53">
        <v>79.513147112754851</v>
      </c>
      <c r="O23" s="96"/>
      <c r="P23" s="54">
        <v>-5.2999999999999972</v>
      </c>
      <c r="Q23" s="54"/>
      <c r="R23" s="54"/>
      <c r="S23" s="54"/>
      <c r="T23" s="54"/>
      <c r="U23" s="54">
        <v>-5.2999999999999972</v>
      </c>
      <c r="V23" s="27">
        <v>1.0188995891310526</v>
      </c>
      <c r="W23" s="27">
        <v>1.5675931535430436</v>
      </c>
    </row>
    <row r="24" spans="5:23" x14ac:dyDescent="0.3">
      <c r="E24" s="95">
        <v>10</v>
      </c>
      <c r="F24" s="53">
        <v>83.9</v>
      </c>
      <c r="G24" s="53">
        <v>82.815968182787913</v>
      </c>
      <c r="H24" s="53">
        <v>81.080740266297894</v>
      </c>
      <c r="O24" s="96"/>
      <c r="P24" s="54">
        <v>-9.3000000000000114</v>
      </c>
      <c r="Q24" s="54"/>
      <c r="R24" s="54"/>
      <c r="S24" s="54"/>
      <c r="T24" s="54"/>
      <c r="U24" s="54">
        <v>-9.3000000000000114</v>
      </c>
      <c r="V24" s="27">
        <v>2.0383947193197542</v>
      </c>
      <c r="W24" s="27">
        <v>1.5072266283880538</v>
      </c>
    </row>
    <row r="25" spans="5:23" x14ac:dyDescent="0.3">
      <c r="E25" s="95">
        <v>11</v>
      </c>
      <c r="F25" s="53">
        <v>74.599999999999994</v>
      </c>
      <c r="G25" s="53">
        <v>84.854362902107667</v>
      </c>
      <c r="H25" s="53">
        <v>82.587966894685948</v>
      </c>
      <c r="O25" s="96"/>
      <c r="P25" s="54">
        <v>-0.59999999999999432</v>
      </c>
      <c r="Q25" s="54"/>
      <c r="R25" s="54"/>
      <c r="S25" s="54"/>
      <c r="T25" s="54"/>
      <c r="U25" s="54">
        <v>-0.59999999999999432</v>
      </c>
      <c r="V25" s="27">
        <v>1.4777324189730052</v>
      </c>
      <c r="W25" s="27">
        <v>2.1023199116329891</v>
      </c>
    </row>
    <row r="26" spans="5:23" x14ac:dyDescent="0.3">
      <c r="E26" s="95">
        <v>12</v>
      </c>
      <c r="F26" s="53">
        <v>74</v>
      </c>
      <c r="G26" s="53">
        <v>86.332095321080672</v>
      </c>
      <c r="H26" s="53">
        <v>84.690286806318937</v>
      </c>
      <c r="O26" s="96"/>
      <c r="P26" s="54">
        <v>-2.2000000000000028</v>
      </c>
      <c r="Q26" s="54"/>
      <c r="R26" s="54"/>
      <c r="S26" s="54"/>
      <c r="T26" s="54"/>
      <c r="U26" s="54">
        <v>-2.2000000000000028</v>
      </c>
      <c r="V26" s="27">
        <v>2.0886647803135645</v>
      </c>
      <c r="W26" s="27">
        <v>2.2579925924945456</v>
      </c>
    </row>
    <row r="27" spans="5:23" x14ac:dyDescent="0.3">
      <c r="E27" s="95">
        <v>13</v>
      </c>
      <c r="F27" s="53">
        <v>71.8</v>
      </c>
      <c r="G27" s="53">
        <v>88.420760101394237</v>
      </c>
      <c r="H27" s="53">
        <v>86.948279398813483</v>
      </c>
      <c r="O27" s="96"/>
      <c r="P27" s="54">
        <v>5.6000000000000085</v>
      </c>
      <c r="Q27" s="54"/>
      <c r="R27" s="54"/>
      <c r="S27" s="54"/>
      <c r="T27" s="54"/>
      <c r="U27" s="54">
        <v>5.6000000000000085</v>
      </c>
      <c r="V27" s="27">
        <v>1.4664229704001599</v>
      </c>
      <c r="W27" s="27">
        <v>2.8040777146969731</v>
      </c>
    </row>
    <row r="28" spans="5:23" x14ac:dyDescent="0.3">
      <c r="E28" s="95">
        <v>14</v>
      </c>
      <c r="F28" s="53">
        <v>77.400000000000006</v>
      </c>
      <c r="G28" s="53">
        <v>89.887183071794396</v>
      </c>
      <c r="H28" s="53">
        <v>89.752357113510456</v>
      </c>
      <c r="O28" s="96"/>
      <c r="P28" s="54">
        <v>-0.90000000000000568</v>
      </c>
      <c r="Q28" s="54"/>
      <c r="R28" s="54"/>
      <c r="S28" s="54"/>
      <c r="T28" s="54"/>
      <c r="U28" s="54">
        <v>-0.90000000000000568</v>
      </c>
      <c r="V28" s="27">
        <v>2.1730039741698022</v>
      </c>
      <c r="W28" s="27">
        <v>2.8498665068112388</v>
      </c>
    </row>
    <row r="29" spans="5:23" x14ac:dyDescent="0.3">
      <c r="E29" s="95">
        <v>15</v>
      </c>
      <c r="F29" s="53">
        <v>76.5</v>
      </c>
      <c r="G29" s="53">
        <v>92.060187045964199</v>
      </c>
      <c r="H29" s="53">
        <v>92.602223620321695</v>
      </c>
      <c r="O29" s="96"/>
      <c r="P29" s="54">
        <v>3.2000000000000028</v>
      </c>
      <c r="Q29" s="54"/>
      <c r="R29" s="54"/>
      <c r="S29" s="54"/>
      <c r="T29" s="54"/>
      <c r="U29" s="54">
        <v>3.2000000000000028</v>
      </c>
      <c r="V29" s="27">
        <v>2.285613218646489</v>
      </c>
      <c r="W29" s="27">
        <v>2.8052760341813183</v>
      </c>
    </row>
    <row r="30" spans="5:23" x14ac:dyDescent="0.3">
      <c r="E30" s="95">
        <v>16</v>
      </c>
      <c r="F30" s="53">
        <v>79.7</v>
      </c>
      <c r="G30" s="53">
        <v>94.345800264610688</v>
      </c>
      <c r="H30" s="53">
        <v>95.407499654503013</v>
      </c>
      <c r="O30" s="96"/>
      <c r="P30" s="54">
        <v>-3.4000000000000057</v>
      </c>
      <c r="Q30" s="54"/>
      <c r="R30" s="54"/>
      <c r="S30" s="54"/>
      <c r="T30" s="54"/>
      <c r="U30" s="54">
        <v>-3.4000000000000057</v>
      </c>
      <c r="V30" s="27">
        <v>2.6785083929697322</v>
      </c>
      <c r="W30" s="27">
        <v>3.3860104981794308</v>
      </c>
    </row>
    <row r="31" spans="5:23" x14ac:dyDescent="0.3">
      <c r="E31" s="95">
        <v>17</v>
      </c>
      <c r="F31" s="53">
        <v>76.3</v>
      </c>
      <c r="G31" s="53">
        <v>97.02430865758042</v>
      </c>
      <c r="H31" s="53">
        <v>98.793510152682444</v>
      </c>
      <c r="O31" s="96"/>
      <c r="P31" s="54">
        <v>5</v>
      </c>
      <c r="Q31" s="54"/>
      <c r="R31" s="54"/>
      <c r="S31" s="54"/>
      <c r="T31" s="54"/>
      <c r="U31" s="54">
        <v>5</v>
      </c>
      <c r="V31" s="27">
        <v>2.3267516923215226</v>
      </c>
      <c r="W31" s="27">
        <v>3.2863821652879324</v>
      </c>
    </row>
    <row r="32" spans="5:23" x14ac:dyDescent="0.3">
      <c r="E32" s="95">
        <v>18</v>
      </c>
      <c r="F32" s="53">
        <v>81.3</v>
      </c>
      <c r="G32" s="53">
        <v>99.351060349901942</v>
      </c>
      <c r="H32" s="53">
        <v>102.07989231797038</v>
      </c>
      <c r="O32" s="96"/>
      <c r="P32" s="54">
        <v>0.29999999999999716</v>
      </c>
      <c r="Q32" s="54"/>
      <c r="R32" s="54"/>
      <c r="S32" s="54"/>
      <c r="T32" s="54"/>
      <c r="U32" s="54">
        <v>0.29999999999999716</v>
      </c>
      <c r="V32" s="27">
        <v>2.0168566142166071</v>
      </c>
      <c r="W32" s="27">
        <v>4.3233636496456285</v>
      </c>
    </row>
    <row r="33" spans="5:23" x14ac:dyDescent="0.3">
      <c r="E33" s="95">
        <v>19</v>
      </c>
      <c r="F33" s="53">
        <v>81.599999999999994</v>
      </c>
      <c r="G33" s="53">
        <v>101.36791696411855</v>
      </c>
      <c r="H33" s="53">
        <v>106.403255967616</v>
      </c>
      <c r="O33" s="96"/>
      <c r="P33" s="54">
        <v>4.1000000000000085</v>
      </c>
      <c r="Q33" s="54"/>
      <c r="R33" s="54"/>
      <c r="S33" s="54"/>
      <c r="T33" s="54"/>
      <c r="U33" s="54">
        <v>4.1000000000000085</v>
      </c>
      <c r="V33" s="27">
        <v>2.4301325904077942</v>
      </c>
      <c r="W33" s="27">
        <v>4.0544058265010818</v>
      </c>
    </row>
    <row r="34" spans="5:23" x14ac:dyDescent="0.3">
      <c r="E34" s="95">
        <v>20</v>
      </c>
      <c r="F34" s="53">
        <v>85.7</v>
      </c>
      <c r="G34" s="53">
        <v>103.79804955452634</v>
      </c>
      <c r="H34" s="53">
        <v>110.45766179411709</v>
      </c>
      <c r="O34" s="96"/>
      <c r="P34" s="54" t="e">
        <v>#N/A</v>
      </c>
      <c r="Q34" s="54"/>
      <c r="R34" s="54"/>
      <c r="S34" s="54"/>
      <c r="T34" s="54"/>
      <c r="U34" s="54" t="e">
        <v>#N/A</v>
      </c>
      <c r="V34" s="27" t="e">
        <v>#N/A</v>
      </c>
      <c r="W34" s="27" t="e">
        <v>#N/A</v>
      </c>
    </row>
    <row r="35" spans="5:23" x14ac:dyDescent="0.3">
      <c r="O35" s="96"/>
      <c r="P35" s="54"/>
      <c r="Q35" s="54"/>
      <c r="R35" s="54"/>
      <c r="S35" s="54"/>
      <c r="T35" s="54"/>
      <c r="U35" s="54"/>
      <c r="V35" s="27"/>
      <c r="W35" s="27"/>
    </row>
    <row r="36" spans="5:23" x14ac:dyDescent="0.3">
      <c r="O36" s="96"/>
      <c r="P36" s="54"/>
      <c r="Q36" s="54"/>
      <c r="R36" s="54"/>
      <c r="S36" s="54"/>
      <c r="T36" s="54"/>
      <c r="U36" s="54"/>
      <c r="V36" s="27"/>
      <c r="W36" s="27"/>
    </row>
    <row r="37" spans="5:23" x14ac:dyDescent="0.3">
      <c r="O37" s="96"/>
      <c r="P37" s="54"/>
      <c r="Q37" s="54"/>
      <c r="R37" s="54"/>
      <c r="S37" s="54"/>
      <c r="T37" s="54"/>
      <c r="U37" s="54"/>
      <c r="V37" s="27"/>
      <c r="W37" s="27"/>
    </row>
    <row r="38" spans="5:23" x14ac:dyDescent="0.3">
      <c r="O38" s="96"/>
      <c r="P38" s="54"/>
      <c r="Q38" s="54"/>
      <c r="R38" s="54"/>
      <c r="S38" s="54"/>
      <c r="T38" s="54"/>
      <c r="U38" s="54"/>
      <c r="V38" s="27"/>
      <c r="W38" s="27"/>
    </row>
    <row r="39" spans="5:23" x14ac:dyDescent="0.3">
      <c r="O39" s="96"/>
      <c r="P39" s="54"/>
      <c r="Q39" s="54"/>
      <c r="R39" s="54"/>
      <c r="S39" s="54"/>
      <c r="T39" s="54"/>
      <c r="U39" s="54"/>
      <c r="V39" s="27"/>
      <c r="W39" s="27"/>
    </row>
    <row r="40" spans="5:23" x14ac:dyDescent="0.3">
      <c r="O40" s="96"/>
      <c r="P40" s="54"/>
      <c r="Q40" s="54"/>
      <c r="R40" s="54"/>
      <c r="S40" s="54"/>
      <c r="T40" s="54"/>
      <c r="U40" s="54"/>
      <c r="V40" s="27"/>
      <c r="W40" s="27"/>
    </row>
    <row r="41" spans="5:23" x14ac:dyDescent="0.3">
      <c r="O41" s="96"/>
      <c r="P41" s="54"/>
      <c r="Q41" s="54"/>
      <c r="R41" s="54"/>
      <c r="S41" s="54"/>
      <c r="T41" s="54"/>
      <c r="U41" s="54"/>
      <c r="V41" s="27"/>
      <c r="W41" s="27"/>
    </row>
    <row r="42" spans="5:23" x14ac:dyDescent="0.3">
      <c r="O42" s="96"/>
      <c r="P42" s="54"/>
      <c r="Q42" s="54"/>
      <c r="R42" s="54"/>
      <c r="S42" s="54"/>
      <c r="T42" s="54"/>
      <c r="U42" s="54"/>
      <c r="V42" s="27"/>
      <c r="W42" s="27"/>
    </row>
    <row r="43" spans="5:23" x14ac:dyDescent="0.3">
      <c r="O43" s="96"/>
      <c r="P43" s="54"/>
      <c r="Q43" s="54"/>
      <c r="R43" s="54"/>
      <c r="S43" s="54"/>
      <c r="T43" s="54"/>
      <c r="U43" s="54"/>
      <c r="V43" s="27"/>
      <c r="W43" s="27"/>
    </row>
    <row r="44" spans="5:23" x14ac:dyDescent="0.3">
      <c r="O44" s="96"/>
      <c r="P44" s="54"/>
      <c r="Q44" s="54"/>
      <c r="R44" s="54"/>
      <c r="S44" s="54"/>
      <c r="T44" s="54"/>
      <c r="U44" s="54"/>
      <c r="V44" s="27"/>
      <c r="W44" s="27"/>
    </row>
    <row r="45" spans="5:23" x14ac:dyDescent="0.3">
      <c r="O45" s="96"/>
      <c r="P45" s="54"/>
      <c r="Q45" s="54"/>
      <c r="R45" s="54"/>
      <c r="S45" s="54"/>
      <c r="T45" s="54"/>
      <c r="U45" s="54"/>
      <c r="V45" s="27"/>
      <c r="W45" s="27"/>
    </row>
    <row r="46" spans="5:23" x14ac:dyDescent="0.3">
      <c r="O46" s="96"/>
      <c r="P46" s="54"/>
      <c r="Q46" s="54"/>
      <c r="R46" s="54"/>
      <c r="S46" s="54"/>
      <c r="T46" s="54"/>
      <c r="U46" s="54"/>
      <c r="V46" s="27"/>
      <c r="W46" s="27"/>
    </row>
    <row r="47" spans="5:23" x14ac:dyDescent="0.3">
      <c r="O47" s="96"/>
      <c r="P47" s="54"/>
      <c r="Q47" s="54"/>
      <c r="R47" s="54"/>
      <c r="S47" s="54"/>
      <c r="T47" s="54"/>
      <c r="U47" s="54"/>
      <c r="V47" s="27"/>
      <c r="W47" s="27"/>
    </row>
    <row r="48" spans="5:23" x14ac:dyDescent="0.3">
      <c r="O48" s="96"/>
      <c r="P48" s="54"/>
      <c r="Q48" s="54"/>
      <c r="R48" s="54"/>
      <c r="S48" s="54"/>
      <c r="T48" s="54"/>
      <c r="U48" s="54"/>
      <c r="V48" s="27"/>
      <c r="W48" s="27"/>
    </row>
    <row r="49" spans="15:23" x14ac:dyDescent="0.3">
      <c r="O49" s="96"/>
      <c r="P49" s="54"/>
      <c r="Q49" s="54"/>
      <c r="R49" s="54"/>
      <c r="S49" s="54"/>
      <c r="T49" s="54"/>
      <c r="U49" s="54"/>
      <c r="V49" s="27"/>
      <c r="W49" s="27"/>
    </row>
    <row r="50" spans="15:23" x14ac:dyDescent="0.3">
      <c r="O50" s="96"/>
      <c r="P50" s="54"/>
      <c r="Q50" s="54"/>
      <c r="R50" s="54"/>
      <c r="S50" s="54"/>
      <c r="T50" s="54"/>
      <c r="U50" s="54"/>
      <c r="V50" s="27"/>
      <c r="W50" s="27"/>
    </row>
    <row r="51" spans="15:23" x14ac:dyDescent="0.3">
      <c r="O51" s="96"/>
      <c r="P51" s="54"/>
      <c r="Q51" s="54"/>
      <c r="R51" s="54"/>
      <c r="S51" s="54"/>
      <c r="T51" s="54"/>
      <c r="U51" s="54"/>
      <c r="V51" s="27"/>
      <c r="W51" s="27"/>
    </row>
    <row r="52" spans="15:23" x14ac:dyDescent="0.3">
      <c r="O52" s="96"/>
      <c r="P52" s="54"/>
      <c r="Q52" s="54"/>
      <c r="R52" s="54"/>
      <c r="S52" s="54"/>
      <c r="T52" s="54"/>
      <c r="U52" s="54"/>
      <c r="V52" s="27"/>
      <c r="W52" s="27"/>
    </row>
    <row r="53" spans="15:23" x14ac:dyDescent="0.3">
      <c r="O53" s="96"/>
      <c r="P53" s="54"/>
      <c r="Q53" s="54"/>
      <c r="R53" s="54"/>
      <c r="S53" s="54"/>
      <c r="T53" s="54"/>
      <c r="U53" s="54"/>
      <c r="V53" s="27"/>
      <c r="W53" s="27"/>
    </row>
    <row r="54" spans="15:23" x14ac:dyDescent="0.3">
      <c r="O54" s="96"/>
      <c r="P54" s="54"/>
      <c r="Q54" s="54"/>
      <c r="R54" s="54"/>
      <c r="S54" s="54"/>
      <c r="T54" s="54"/>
      <c r="U54" s="54"/>
      <c r="V54" s="27"/>
      <c r="W54" s="27"/>
    </row>
    <row r="55" spans="15:23" x14ac:dyDescent="0.3">
      <c r="O55" s="96"/>
      <c r="P55" s="54"/>
      <c r="Q55" s="54"/>
      <c r="R55" s="54"/>
      <c r="S55" s="54"/>
      <c r="T55" s="54"/>
      <c r="U55" s="54"/>
      <c r="V55" s="27"/>
      <c r="W55" s="27"/>
    </row>
    <row r="56" spans="15:23" x14ac:dyDescent="0.3">
      <c r="O56" s="96"/>
      <c r="P56" s="54"/>
      <c r="Q56" s="54"/>
      <c r="R56" s="54"/>
      <c r="S56" s="54"/>
      <c r="T56" s="54"/>
      <c r="U56" s="54"/>
      <c r="V56" s="27"/>
      <c r="W56" s="27"/>
    </row>
    <row r="57" spans="15:23" x14ac:dyDescent="0.3">
      <c r="O57" s="96"/>
      <c r="P57" s="54"/>
      <c r="Q57" s="54"/>
      <c r="R57" s="54"/>
      <c r="S57" s="54"/>
      <c r="T57" s="54"/>
      <c r="U57" s="54"/>
      <c r="V57" s="27"/>
      <c r="W57" s="27"/>
    </row>
    <row r="58" spans="15:23" x14ac:dyDescent="0.3">
      <c r="O58" s="96"/>
      <c r="P58" s="54"/>
      <c r="Q58" s="54"/>
      <c r="R58" s="54"/>
      <c r="S58" s="54"/>
      <c r="T58" s="54"/>
      <c r="U58" s="54"/>
      <c r="V58" s="27"/>
      <c r="W58" s="27"/>
    </row>
    <row r="59" spans="15:23" x14ac:dyDescent="0.3">
      <c r="O59" s="96"/>
      <c r="P59" s="54"/>
      <c r="Q59" s="54"/>
      <c r="R59" s="54"/>
      <c r="S59" s="54"/>
      <c r="T59" s="54"/>
      <c r="U59" s="54"/>
      <c r="V59" s="27"/>
      <c r="W59" s="27"/>
    </row>
    <row r="60" spans="15:23" x14ac:dyDescent="0.3">
      <c r="O60" s="96"/>
      <c r="P60" s="54"/>
      <c r="Q60" s="54"/>
      <c r="R60" s="54"/>
      <c r="S60" s="54"/>
      <c r="T60" s="54"/>
      <c r="U60" s="54"/>
      <c r="V60" s="27"/>
      <c r="W60" s="27"/>
    </row>
    <row r="61" spans="15:23" x14ac:dyDescent="0.3">
      <c r="O61" s="96"/>
      <c r="P61" s="54"/>
      <c r="Q61" s="54"/>
      <c r="R61" s="54"/>
      <c r="S61" s="54"/>
      <c r="T61" s="54"/>
      <c r="U61" s="54"/>
      <c r="V61" s="27"/>
      <c r="W61" s="27"/>
    </row>
    <row r="62" spans="15:23" x14ac:dyDescent="0.3">
      <c r="O62" s="96"/>
      <c r="P62" s="54"/>
      <c r="Q62" s="54"/>
      <c r="R62" s="54"/>
      <c r="S62" s="54"/>
      <c r="T62" s="54"/>
      <c r="U62" s="54"/>
      <c r="V62" s="27"/>
      <c r="W62" s="27"/>
    </row>
    <row r="63" spans="15:23" x14ac:dyDescent="0.3">
      <c r="O63" s="96"/>
      <c r="P63" s="54"/>
      <c r="Q63" s="54"/>
      <c r="R63" s="54"/>
      <c r="S63" s="54"/>
      <c r="T63" s="54"/>
      <c r="U63" s="54"/>
      <c r="V63" s="27"/>
      <c r="W63" s="27"/>
    </row>
    <row r="64" spans="15:23" x14ac:dyDescent="0.3">
      <c r="O64" s="96"/>
      <c r="P64" s="54"/>
      <c r="Q64" s="54"/>
      <c r="R64" s="54"/>
      <c r="S64" s="54"/>
      <c r="T64" s="54"/>
      <c r="U64" s="54"/>
      <c r="V64" s="27"/>
      <c r="W64" s="27"/>
    </row>
    <row r="65" spans="15:23" x14ac:dyDescent="0.3">
      <c r="O65" s="96"/>
      <c r="P65" s="54"/>
      <c r="Q65" s="54"/>
      <c r="R65" s="54"/>
      <c r="S65" s="54"/>
      <c r="T65" s="54"/>
      <c r="U65" s="54"/>
      <c r="V65" s="27"/>
      <c r="W65" s="27"/>
    </row>
    <row r="66" spans="15:23" x14ac:dyDescent="0.3">
      <c r="O66" s="96"/>
      <c r="P66" s="54"/>
      <c r="Q66" s="54"/>
      <c r="R66" s="54"/>
      <c r="S66" s="54"/>
      <c r="T66" s="54"/>
      <c r="U66" s="54"/>
      <c r="V66" s="27"/>
      <c r="W66" s="27"/>
    </row>
    <row r="67" spans="15:23" x14ac:dyDescent="0.3">
      <c r="O67" s="96"/>
      <c r="P67" s="54"/>
      <c r="Q67" s="54"/>
      <c r="R67" s="54"/>
      <c r="S67" s="54"/>
      <c r="T67" s="54"/>
      <c r="U67" s="54"/>
      <c r="V67" s="27"/>
      <c r="W67" s="27"/>
    </row>
    <row r="68" spans="15:23" x14ac:dyDescent="0.3">
      <c r="O68" s="96"/>
      <c r="P68" s="54"/>
      <c r="Q68" s="54"/>
      <c r="R68" s="54"/>
      <c r="S68" s="54"/>
      <c r="T68" s="54"/>
      <c r="U68" s="54"/>
      <c r="V68" s="27"/>
      <c r="W68" s="27"/>
    </row>
    <row r="69" spans="15:23" x14ac:dyDescent="0.3">
      <c r="O69" s="96"/>
      <c r="P69" s="54"/>
      <c r="Q69" s="54"/>
      <c r="R69" s="54"/>
      <c r="S69" s="54"/>
      <c r="T69" s="54"/>
      <c r="U69" s="54"/>
      <c r="V69" s="27"/>
      <c r="W69" s="27"/>
    </row>
    <row r="70" spans="15:23" x14ac:dyDescent="0.3">
      <c r="O70" s="96"/>
      <c r="P70" s="54"/>
      <c r="Q70" s="54"/>
      <c r="R70" s="54"/>
      <c r="S70" s="54"/>
      <c r="T70" s="54"/>
      <c r="U70" s="54"/>
      <c r="V70" s="27"/>
      <c r="W70" s="27"/>
    </row>
    <row r="71" spans="15:23" x14ac:dyDescent="0.3">
      <c r="O71" s="96"/>
      <c r="P71" s="54"/>
      <c r="Q71" s="54"/>
      <c r="R71" s="54"/>
      <c r="S71" s="54"/>
      <c r="T71" s="54"/>
      <c r="U71" s="54"/>
      <c r="V71" s="27"/>
      <c r="W71" s="27"/>
    </row>
    <row r="72" spans="15:23" x14ac:dyDescent="0.3">
      <c r="O72" s="96"/>
      <c r="P72" s="54"/>
      <c r="Q72" s="54"/>
      <c r="R72" s="54"/>
      <c r="S72" s="54"/>
      <c r="T72" s="54"/>
      <c r="U72" s="54"/>
      <c r="V72" s="27"/>
      <c r="W72" s="27"/>
    </row>
    <row r="73" spans="15:23" x14ac:dyDescent="0.3">
      <c r="O73" s="96"/>
      <c r="P73" s="54"/>
      <c r="Q73" s="54"/>
      <c r="R73" s="54"/>
      <c r="S73" s="54"/>
      <c r="T73" s="54"/>
      <c r="U73" s="54"/>
      <c r="V73" s="27"/>
      <c r="W73" s="27"/>
    </row>
    <row r="74" spans="15:23" x14ac:dyDescent="0.3">
      <c r="O74" s="96"/>
      <c r="P74" s="54"/>
      <c r="Q74" s="54"/>
      <c r="R74" s="54"/>
      <c r="S74" s="54"/>
      <c r="T74" s="54"/>
      <c r="U74" s="54"/>
      <c r="V74" s="27"/>
      <c r="W74" s="27"/>
    </row>
    <row r="75" spans="15:23" x14ac:dyDescent="0.3">
      <c r="O75" s="96"/>
      <c r="P75" s="54"/>
      <c r="Q75" s="54"/>
      <c r="R75" s="54"/>
      <c r="S75" s="54"/>
      <c r="T75" s="54"/>
      <c r="U75" s="54"/>
      <c r="V75" s="27"/>
      <c r="W75" s="27"/>
    </row>
    <row r="76" spans="15:23" x14ac:dyDescent="0.3">
      <c r="O76" s="96"/>
      <c r="P76" s="54"/>
      <c r="Q76" s="54"/>
      <c r="R76" s="54"/>
      <c r="S76" s="54"/>
      <c r="T76" s="54"/>
      <c r="U76" s="54"/>
      <c r="V76" s="27"/>
      <c r="W76" s="27"/>
    </row>
    <row r="77" spans="15:23" x14ac:dyDescent="0.3">
      <c r="O77" s="96"/>
      <c r="P77" s="54"/>
      <c r="Q77" s="54"/>
      <c r="R77" s="54"/>
      <c r="S77" s="54"/>
      <c r="T77" s="54"/>
      <c r="U77" s="54"/>
      <c r="V77" s="27"/>
      <c r="W77" s="27"/>
    </row>
    <row r="78" spans="15:23" x14ac:dyDescent="0.3">
      <c r="O78" s="96"/>
      <c r="P78" s="54"/>
      <c r="Q78" s="54"/>
      <c r="R78" s="54"/>
      <c r="S78" s="54"/>
      <c r="T78" s="54"/>
      <c r="U78" s="54"/>
      <c r="V78" s="27"/>
      <c r="W78" s="27"/>
    </row>
    <row r="79" spans="15:23" x14ac:dyDescent="0.3">
      <c r="O79" s="96"/>
      <c r="P79" s="54"/>
      <c r="Q79" s="54"/>
      <c r="R79" s="54"/>
      <c r="S79" s="54"/>
      <c r="T79" s="54"/>
      <c r="U79" s="54"/>
      <c r="V79" s="27"/>
      <c r="W79" s="27"/>
    </row>
    <row r="80" spans="15:23" x14ac:dyDescent="0.3">
      <c r="O80" s="96"/>
      <c r="P80" s="54"/>
      <c r="Q80" s="54"/>
      <c r="R80" s="54"/>
      <c r="S80" s="54"/>
      <c r="T80" s="54"/>
      <c r="U80" s="54"/>
      <c r="V80" s="27"/>
      <c r="W80" s="27"/>
    </row>
    <row r="81" spans="15:23" x14ac:dyDescent="0.3">
      <c r="O81" s="96"/>
      <c r="P81" s="54"/>
      <c r="Q81" s="54"/>
      <c r="R81" s="54"/>
      <c r="S81" s="54"/>
      <c r="T81" s="54"/>
      <c r="U81" s="54"/>
      <c r="V81" s="27"/>
      <c r="W81" s="27"/>
    </row>
    <row r="82" spans="15:23" x14ac:dyDescent="0.3">
      <c r="O82" s="96"/>
      <c r="P82" s="54"/>
      <c r="Q82" s="54"/>
      <c r="R82" s="54"/>
      <c r="S82" s="54"/>
      <c r="T82" s="54"/>
      <c r="U82" s="54"/>
      <c r="V82" s="27"/>
      <c r="W82" s="27"/>
    </row>
    <row r="83" spans="15:23" x14ac:dyDescent="0.3">
      <c r="O83" s="96"/>
      <c r="P83" s="54"/>
      <c r="Q83" s="54"/>
      <c r="R83" s="54"/>
      <c r="S83" s="54"/>
      <c r="T83" s="54"/>
      <c r="U83" s="54"/>
      <c r="V83" s="27"/>
      <c r="W83" s="27"/>
    </row>
    <row r="84" spans="15:23" x14ac:dyDescent="0.3">
      <c r="O84" s="96"/>
      <c r="P84" s="54"/>
      <c r="Q84" s="54"/>
      <c r="R84" s="54"/>
      <c r="S84" s="54"/>
      <c r="T84" s="54"/>
      <c r="U84" s="54"/>
      <c r="V84" s="27"/>
      <c r="W84" s="27"/>
    </row>
    <row r="85" spans="15:23" x14ac:dyDescent="0.3">
      <c r="O85" s="96"/>
      <c r="P85" s="54"/>
      <c r="Q85" s="54"/>
      <c r="R85" s="54"/>
      <c r="S85" s="54"/>
      <c r="T85" s="54"/>
      <c r="U85" s="54"/>
      <c r="V85" s="27"/>
      <c r="W85" s="27"/>
    </row>
    <row r="86" spans="15:23" x14ac:dyDescent="0.3">
      <c r="O86" s="96"/>
      <c r="P86" s="54"/>
      <c r="Q86" s="54"/>
      <c r="R86" s="54"/>
      <c r="S86" s="54"/>
      <c r="T86" s="54"/>
      <c r="U86" s="54"/>
      <c r="V86" s="27"/>
      <c r="W86" s="27"/>
    </row>
    <row r="87" spans="15:23" x14ac:dyDescent="0.3">
      <c r="O87" s="96"/>
      <c r="P87" s="54"/>
      <c r="Q87" s="54"/>
      <c r="R87" s="54"/>
      <c r="S87" s="54"/>
      <c r="T87" s="54"/>
      <c r="U87" s="54"/>
      <c r="V87" s="27"/>
      <c r="W87" s="27"/>
    </row>
    <row r="88" spans="15:23" x14ac:dyDescent="0.3">
      <c r="O88" s="96"/>
      <c r="P88" s="54"/>
      <c r="Q88" s="54"/>
      <c r="R88" s="54"/>
      <c r="S88" s="54"/>
      <c r="T88" s="54"/>
      <c r="U88" s="54"/>
      <c r="V88" s="27"/>
      <c r="W88" s="27"/>
    </row>
    <row r="89" spans="15:23" x14ac:dyDescent="0.3">
      <c r="O89" s="96"/>
      <c r="P89" s="54"/>
      <c r="Q89" s="54"/>
      <c r="R89" s="54"/>
      <c r="S89" s="54"/>
      <c r="T89" s="54"/>
      <c r="U89" s="54"/>
      <c r="V89" s="27"/>
      <c r="W89" s="27"/>
    </row>
    <row r="90" spans="15:23" x14ac:dyDescent="0.3">
      <c r="O90" s="96"/>
      <c r="P90" s="54"/>
      <c r="Q90" s="54"/>
      <c r="R90" s="54"/>
      <c r="S90" s="54"/>
      <c r="T90" s="54"/>
      <c r="U90" s="54"/>
      <c r="V90" s="27"/>
      <c r="W90" s="27"/>
    </row>
    <row r="91" spans="15:23" x14ac:dyDescent="0.3">
      <c r="O91" s="96"/>
      <c r="P91" s="54"/>
      <c r="Q91" s="54"/>
      <c r="R91" s="54"/>
      <c r="S91" s="54"/>
      <c r="T91" s="54"/>
      <c r="U91" s="54"/>
      <c r="V91" s="27"/>
      <c r="W91" s="27"/>
    </row>
    <row r="92" spans="15:23" x14ac:dyDescent="0.3">
      <c r="O92" s="96"/>
      <c r="P92" s="54"/>
      <c r="Q92" s="54"/>
      <c r="R92" s="54"/>
      <c r="S92" s="54"/>
      <c r="T92" s="54"/>
      <c r="U92" s="54"/>
      <c r="V92" s="27"/>
      <c r="W92" s="27"/>
    </row>
    <row r="93" spans="15:23" x14ac:dyDescent="0.3">
      <c r="O93" s="96"/>
      <c r="P93" s="54"/>
      <c r="Q93" s="54"/>
      <c r="R93" s="54"/>
      <c r="S93" s="54"/>
      <c r="T93" s="54"/>
      <c r="U93" s="54"/>
      <c r="V93" s="27"/>
      <c r="W93" s="27"/>
    </row>
    <row r="94" spans="15:23" x14ac:dyDescent="0.3">
      <c r="O94" s="96"/>
      <c r="P94" s="54"/>
      <c r="Q94" s="54"/>
      <c r="R94" s="54"/>
      <c r="S94" s="54"/>
      <c r="T94" s="54"/>
      <c r="U94" s="54"/>
      <c r="V94" s="27"/>
      <c r="W94" s="27"/>
    </row>
    <row r="95" spans="15:23" x14ac:dyDescent="0.3">
      <c r="O95" s="96"/>
      <c r="P95" s="54"/>
      <c r="Q95" s="54"/>
      <c r="R95" s="54"/>
      <c r="S95" s="54"/>
      <c r="T95" s="54"/>
      <c r="U95" s="54"/>
      <c r="V95" s="27"/>
      <c r="W95" s="27"/>
    </row>
    <row r="96" spans="15:23" x14ac:dyDescent="0.3">
      <c r="O96" s="96"/>
      <c r="P96" s="54"/>
      <c r="Q96" s="54"/>
      <c r="R96" s="54"/>
      <c r="S96" s="54"/>
      <c r="T96" s="54"/>
      <c r="U96" s="54"/>
      <c r="V96" s="27"/>
      <c r="W96" s="27"/>
    </row>
    <row r="97" spans="15:23" x14ac:dyDescent="0.3">
      <c r="O97" s="96"/>
      <c r="P97" s="54"/>
      <c r="Q97" s="54"/>
      <c r="R97" s="54"/>
      <c r="S97" s="54"/>
      <c r="T97" s="54"/>
      <c r="U97" s="54"/>
      <c r="V97" s="27"/>
      <c r="W97" s="27"/>
    </row>
    <row r="98" spans="15:23" x14ac:dyDescent="0.3">
      <c r="O98" s="96"/>
      <c r="P98" s="54"/>
      <c r="Q98" s="54"/>
      <c r="R98" s="54"/>
      <c r="S98" s="54"/>
      <c r="T98" s="54"/>
      <c r="U98" s="54"/>
      <c r="V98" s="27"/>
      <c r="W98" s="27"/>
    </row>
    <row r="99" spans="15:23" x14ac:dyDescent="0.3">
      <c r="O99" s="96"/>
      <c r="P99" s="54"/>
      <c r="Q99" s="54"/>
      <c r="R99" s="54"/>
      <c r="S99" s="54"/>
      <c r="T99" s="54"/>
      <c r="U99" s="54"/>
      <c r="V99" s="27"/>
      <c r="W99" s="27"/>
    </row>
    <row r="100" spans="15:23" x14ac:dyDescent="0.3">
      <c r="O100" s="96"/>
      <c r="P100" s="54"/>
      <c r="Q100" s="54"/>
      <c r="R100" s="54"/>
      <c r="S100" s="54"/>
      <c r="T100" s="54"/>
      <c r="U100" s="54"/>
      <c r="V100" s="27"/>
      <c r="W100" s="27"/>
    </row>
    <row r="101" spans="15:23" x14ac:dyDescent="0.3">
      <c r="O101" s="96"/>
      <c r="P101" s="54"/>
      <c r="Q101" s="54"/>
      <c r="R101" s="54"/>
      <c r="S101" s="54"/>
      <c r="T101" s="54"/>
      <c r="U101" s="54"/>
      <c r="V101" s="27"/>
      <c r="W101" s="27"/>
    </row>
    <row r="102" spans="15:23" x14ac:dyDescent="0.3">
      <c r="O102" s="96"/>
      <c r="P102" s="54"/>
      <c r="Q102" s="54"/>
      <c r="R102" s="54"/>
      <c r="S102" s="54"/>
      <c r="T102" s="54"/>
      <c r="U102" s="54"/>
      <c r="V102" s="27"/>
      <c r="W102" s="27"/>
    </row>
    <row r="103" spans="15:23" x14ac:dyDescent="0.3">
      <c r="O103" s="96"/>
      <c r="P103" s="54"/>
      <c r="Q103" s="54"/>
      <c r="R103" s="54"/>
      <c r="S103" s="54"/>
      <c r="T103" s="54"/>
      <c r="U103" s="54"/>
      <c r="V103" s="27"/>
      <c r="W103" s="27"/>
    </row>
    <row r="104" spans="15:23" x14ac:dyDescent="0.3">
      <c r="O104" s="96"/>
      <c r="P104" s="54"/>
      <c r="Q104" s="54"/>
      <c r="R104" s="54"/>
      <c r="S104" s="54"/>
      <c r="T104" s="54"/>
      <c r="U104" s="54"/>
      <c r="V104" s="27"/>
      <c r="W104" s="27"/>
    </row>
    <row r="105" spans="15:23" x14ac:dyDescent="0.3">
      <c r="O105" s="96"/>
      <c r="P105" s="54"/>
      <c r="Q105" s="54"/>
      <c r="R105" s="54"/>
      <c r="S105" s="54"/>
      <c r="T105" s="54"/>
      <c r="U105" s="54"/>
      <c r="V105" s="27"/>
      <c r="W105" s="27"/>
    </row>
    <row r="106" spans="15:23" x14ac:dyDescent="0.3">
      <c r="O106" s="96"/>
      <c r="P106" s="54"/>
      <c r="Q106" s="54"/>
      <c r="R106" s="54"/>
      <c r="S106" s="54"/>
      <c r="T106" s="54"/>
      <c r="U106" s="54"/>
      <c r="V106" s="27"/>
      <c r="W106" s="27"/>
    </row>
    <row r="107" spans="15:23" x14ac:dyDescent="0.3">
      <c r="O107" s="96"/>
      <c r="P107" s="54"/>
      <c r="Q107" s="54"/>
      <c r="R107" s="54"/>
      <c r="S107" s="54"/>
      <c r="T107" s="54"/>
      <c r="U107" s="54"/>
      <c r="V107" s="27"/>
      <c r="W107" s="27"/>
    </row>
    <row r="108" spans="15:23" x14ac:dyDescent="0.3">
      <c r="O108" s="96"/>
      <c r="P108" s="54"/>
      <c r="Q108" s="54"/>
      <c r="R108" s="54"/>
      <c r="S108" s="54"/>
      <c r="T108" s="54"/>
      <c r="U108" s="54"/>
      <c r="V108" s="27"/>
      <c r="W108" s="27"/>
    </row>
    <row r="109" spans="15:23" x14ac:dyDescent="0.3">
      <c r="O109" s="96"/>
      <c r="P109" s="54"/>
      <c r="Q109" s="54"/>
      <c r="R109" s="54"/>
      <c r="S109" s="54"/>
      <c r="T109" s="54"/>
      <c r="U109" s="54"/>
      <c r="V109" s="27"/>
      <c r="W109" s="27"/>
    </row>
    <row r="110" spans="15:23" x14ac:dyDescent="0.3">
      <c r="O110" s="96"/>
      <c r="P110" s="54"/>
      <c r="Q110" s="54"/>
      <c r="R110" s="54"/>
      <c r="S110" s="54"/>
      <c r="T110" s="54"/>
      <c r="U110" s="54"/>
      <c r="V110" s="27"/>
      <c r="W110" s="27"/>
    </row>
    <row r="111" spans="15:23" x14ac:dyDescent="0.3">
      <c r="O111" s="96"/>
      <c r="P111" s="54"/>
      <c r="Q111" s="54"/>
      <c r="R111" s="54"/>
      <c r="S111" s="54"/>
      <c r="T111" s="54"/>
      <c r="U111" s="54"/>
      <c r="V111" s="27"/>
      <c r="W111" s="27"/>
    </row>
    <row r="112" spans="15:23" x14ac:dyDescent="0.3">
      <c r="O112" s="96"/>
      <c r="P112" s="54"/>
      <c r="Q112" s="54"/>
      <c r="R112" s="54"/>
      <c r="S112" s="54"/>
      <c r="T112" s="54"/>
      <c r="U112" s="54"/>
      <c r="V112" s="27"/>
      <c r="W112" s="27"/>
    </row>
    <row r="113" spans="15:23" x14ac:dyDescent="0.3">
      <c r="O113" s="96"/>
      <c r="P113" s="54"/>
      <c r="Q113" s="54"/>
      <c r="R113" s="54"/>
      <c r="S113" s="54"/>
      <c r="T113" s="54"/>
      <c r="U113" s="54"/>
      <c r="V113" s="27"/>
      <c r="W113" s="27"/>
    </row>
    <row r="114" spans="15:23" x14ac:dyDescent="0.3">
      <c r="O114" s="96"/>
      <c r="P114" s="54"/>
      <c r="Q114" s="54"/>
      <c r="R114" s="54"/>
      <c r="S114" s="54"/>
      <c r="T114" s="54"/>
      <c r="U114" s="54"/>
      <c r="V114" s="27"/>
      <c r="W114" s="27"/>
    </row>
    <row r="115" spans="15:23" x14ac:dyDescent="0.3">
      <c r="O115" s="96"/>
      <c r="P115" s="54"/>
      <c r="Q115" s="54"/>
      <c r="R115" s="54"/>
      <c r="S115" s="54"/>
      <c r="T115" s="54"/>
      <c r="U115" s="54"/>
      <c r="V115" s="27"/>
      <c r="W115" s="27"/>
    </row>
    <row r="116" spans="15:23" x14ac:dyDescent="0.3">
      <c r="O116" s="96"/>
      <c r="P116" s="54"/>
      <c r="Q116" s="54"/>
      <c r="R116" s="54"/>
      <c r="S116" s="54"/>
      <c r="T116" s="54"/>
      <c r="U116" s="54"/>
      <c r="V116" s="27"/>
      <c r="W116" s="27"/>
    </row>
    <row r="117" spans="15:23" x14ac:dyDescent="0.3">
      <c r="O117" s="96"/>
      <c r="P117" s="54"/>
      <c r="Q117" s="54"/>
      <c r="R117" s="54"/>
      <c r="S117" s="54"/>
      <c r="T117" s="54"/>
      <c r="U117" s="54"/>
      <c r="V117" s="27"/>
      <c r="W117" s="27"/>
    </row>
    <row r="118" spans="15:23" x14ac:dyDescent="0.3">
      <c r="O118" s="96"/>
      <c r="P118" s="54"/>
      <c r="Q118" s="54"/>
      <c r="R118" s="54"/>
      <c r="S118" s="54"/>
      <c r="T118" s="54"/>
      <c r="U118" s="54"/>
      <c r="V118" s="27"/>
      <c r="W118" s="27"/>
    </row>
    <row r="119" spans="15:23" x14ac:dyDescent="0.3">
      <c r="O119" s="96"/>
      <c r="P119" s="54"/>
      <c r="Q119" s="54"/>
      <c r="R119" s="54"/>
      <c r="S119" s="54"/>
      <c r="T119" s="54"/>
      <c r="U119" s="54"/>
      <c r="V119" s="27"/>
      <c r="W119" s="27"/>
    </row>
    <row r="120" spans="15:23" x14ac:dyDescent="0.3">
      <c r="O120" s="96"/>
      <c r="P120" s="54"/>
      <c r="Q120" s="54"/>
      <c r="R120" s="54"/>
      <c r="S120" s="54"/>
      <c r="T120" s="54"/>
      <c r="U120" s="54"/>
      <c r="V120" s="27"/>
      <c r="W120" s="27"/>
    </row>
    <row r="121" spans="15:23" x14ac:dyDescent="0.3">
      <c r="O121" s="96"/>
      <c r="P121" s="54"/>
      <c r="Q121" s="54"/>
      <c r="R121" s="54"/>
      <c r="S121" s="54"/>
      <c r="T121" s="54"/>
      <c r="U121" s="54"/>
      <c r="V121" s="27"/>
      <c r="W121" s="27"/>
    </row>
    <row r="122" spans="15:23" x14ac:dyDescent="0.3">
      <c r="O122" s="96"/>
      <c r="P122" s="54"/>
      <c r="Q122" s="54"/>
      <c r="R122" s="54"/>
      <c r="S122" s="54"/>
      <c r="T122" s="54"/>
      <c r="U122" s="54"/>
      <c r="V122" s="27"/>
      <c r="W122" s="27"/>
    </row>
    <row r="123" spans="15:23" x14ac:dyDescent="0.3">
      <c r="O123" s="96"/>
      <c r="P123" s="54"/>
      <c r="Q123" s="54"/>
      <c r="R123" s="54"/>
      <c r="S123" s="54"/>
      <c r="T123" s="54"/>
      <c r="U123" s="54"/>
      <c r="V123" s="27"/>
      <c r="W123" s="27"/>
    </row>
    <row r="124" spans="15:23" x14ac:dyDescent="0.3">
      <c r="O124" s="96"/>
      <c r="P124" s="54"/>
      <c r="Q124" s="54"/>
      <c r="R124" s="54"/>
      <c r="S124" s="54"/>
      <c r="T124" s="54"/>
      <c r="U124" s="54"/>
      <c r="V124" s="27"/>
      <c r="W124" s="27"/>
    </row>
    <row r="125" spans="15:23" x14ac:dyDescent="0.3">
      <c r="O125" s="96"/>
      <c r="P125" s="54"/>
      <c r="Q125" s="54"/>
      <c r="R125" s="54"/>
      <c r="S125" s="54"/>
      <c r="T125" s="54"/>
      <c r="U125" s="54"/>
      <c r="V125" s="27"/>
      <c r="W125" s="27"/>
    </row>
    <row r="126" spans="15:23" x14ac:dyDescent="0.3">
      <c r="O126" s="96"/>
      <c r="P126" s="54"/>
      <c r="Q126" s="54"/>
      <c r="R126" s="54"/>
      <c r="S126" s="54"/>
      <c r="T126" s="54"/>
      <c r="U126" s="54"/>
      <c r="V126" s="27"/>
      <c r="W126" s="27"/>
    </row>
    <row r="127" spans="15:23" x14ac:dyDescent="0.3">
      <c r="O127" s="96"/>
      <c r="P127" s="54"/>
      <c r="Q127" s="54"/>
      <c r="R127" s="54"/>
      <c r="S127" s="54"/>
      <c r="T127" s="54"/>
      <c r="U127" s="54"/>
      <c r="V127" s="27"/>
      <c r="W127" s="27"/>
    </row>
    <row r="128" spans="15:23" x14ac:dyDescent="0.3">
      <c r="O128" s="96"/>
      <c r="P128" s="54"/>
      <c r="Q128" s="54"/>
      <c r="R128" s="54"/>
      <c r="S128" s="54"/>
      <c r="T128" s="54"/>
      <c r="U128" s="54"/>
      <c r="V128" s="27"/>
      <c r="W128" s="27"/>
    </row>
    <row r="129" spans="15:23" x14ac:dyDescent="0.3">
      <c r="O129" s="96"/>
      <c r="P129" s="54"/>
      <c r="Q129" s="54"/>
      <c r="R129" s="54"/>
      <c r="S129" s="54"/>
      <c r="T129" s="54"/>
      <c r="U129" s="54"/>
      <c r="V129" s="27"/>
      <c r="W129" s="27"/>
    </row>
    <row r="130" spans="15:23" x14ac:dyDescent="0.3">
      <c r="O130" s="96"/>
      <c r="P130" s="54"/>
      <c r="Q130" s="54"/>
      <c r="R130" s="54"/>
      <c r="S130" s="54"/>
      <c r="T130" s="54"/>
      <c r="U130" s="54"/>
      <c r="V130" s="27"/>
      <c r="W130" s="27"/>
    </row>
    <row r="131" spans="15:23" x14ac:dyDescent="0.3">
      <c r="O131" s="96"/>
      <c r="P131" s="54"/>
      <c r="Q131" s="54"/>
      <c r="R131" s="54"/>
      <c r="S131" s="54"/>
      <c r="T131" s="54"/>
      <c r="U131" s="54"/>
      <c r="V131" s="27"/>
      <c r="W131" s="27"/>
    </row>
    <row r="132" spans="15:23" x14ac:dyDescent="0.3">
      <c r="O132" s="96"/>
      <c r="P132" s="54"/>
      <c r="Q132" s="54"/>
      <c r="R132" s="54"/>
      <c r="S132" s="54"/>
      <c r="T132" s="54"/>
      <c r="U132" s="54"/>
      <c r="V132" s="27"/>
      <c r="W132" s="27"/>
    </row>
    <row r="133" spans="15:23" x14ac:dyDescent="0.3">
      <c r="O133" s="96"/>
      <c r="P133" s="54"/>
      <c r="Q133" s="54"/>
      <c r="R133" s="54"/>
      <c r="S133" s="54"/>
      <c r="T133" s="54"/>
      <c r="U133" s="54"/>
      <c r="V133" s="27"/>
      <c r="W133" s="27"/>
    </row>
    <row r="134" spans="15:23" x14ac:dyDescent="0.3">
      <c r="O134" s="96"/>
      <c r="P134" s="54"/>
      <c r="Q134" s="54"/>
      <c r="R134" s="54"/>
      <c r="S134" s="54"/>
      <c r="T134" s="54"/>
      <c r="U134" s="54"/>
      <c r="V134" s="27"/>
      <c r="W134" s="27"/>
    </row>
    <row r="135" spans="15:23" x14ac:dyDescent="0.3">
      <c r="O135" s="96"/>
      <c r="P135" s="54"/>
      <c r="Q135" s="54"/>
      <c r="R135" s="54"/>
      <c r="S135" s="54"/>
      <c r="T135" s="54"/>
      <c r="U135" s="54"/>
      <c r="V135" s="27"/>
      <c r="W135" s="27"/>
    </row>
    <row r="136" spans="15:23" x14ac:dyDescent="0.3">
      <c r="O136" s="96"/>
      <c r="P136" s="54"/>
      <c r="Q136" s="54"/>
      <c r="R136" s="54"/>
      <c r="S136" s="54"/>
      <c r="T136" s="54"/>
      <c r="U136" s="54"/>
      <c r="V136" s="27"/>
      <c r="W136" s="27"/>
    </row>
    <row r="137" spans="15:23" x14ac:dyDescent="0.3">
      <c r="O137" s="96"/>
      <c r="P137" s="54"/>
      <c r="Q137" s="54"/>
      <c r="R137" s="54"/>
      <c r="S137" s="54"/>
      <c r="T137" s="54"/>
      <c r="U137" s="54"/>
      <c r="V137" s="27"/>
      <c r="W137" s="27"/>
    </row>
    <row r="138" spans="15:23" x14ac:dyDescent="0.3">
      <c r="O138" s="96"/>
      <c r="P138" s="54"/>
      <c r="Q138" s="54"/>
      <c r="R138" s="54"/>
      <c r="S138" s="54"/>
      <c r="T138" s="54"/>
      <c r="U138" s="54"/>
      <c r="V138" s="27"/>
      <c r="W138" s="27"/>
    </row>
    <row r="139" spans="15:23" x14ac:dyDescent="0.3">
      <c r="O139" s="96"/>
      <c r="P139" s="54"/>
      <c r="Q139" s="54"/>
      <c r="R139" s="54"/>
      <c r="S139" s="54"/>
      <c r="T139" s="54"/>
      <c r="U139" s="54"/>
      <c r="V139" s="27"/>
      <c r="W139" s="27"/>
    </row>
    <row r="140" spans="15:23" x14ac:dyDescent="0.3">
      <c r="O140" s="96"/>
      <c r="P140" s="54"/>
      <c r="Q140" s="54"/>
      <c r="R140" s="54"/>
      <c r="S140" s="54"/>
      <c r="T140" s="54"/>
      <c r="U140" s="54"/>
      <c r="V140" s="27"/>
      <c r="W140" s="27"/>
    </row>
    <row r="141" spans="15:23" x14ac:dyDescent="0.3">
      <c r="O141" s="96"/>
      <c r="P141" s="54"/>
      <c r="Q141" s="54"/>
      <c r="R141" s="54"/>
      <c r="S141" s="54"/>
      <c r="T141" s="54"/>
      <c r="U141" s="54"/>
      <c r="V141" s="27"/>
      <c r="W141" s="27"/>
    </row>
    <row r="142" spans="15:23" x14ac:dyDescent="0.3">
      <c r="O142" s="96"/>
      <c r="P142" s="54"/>
      <c r="Q142" s="54"/>
      <c r="R142" s="54"/>
      <c r="S142" s="54"/>
      <c r="T142" s="54"/>
      <c r="U142" s="54"/>
      <c r="V142" s="27"/>
      <c r="W142" s="27"/>
    </row>
    <row r="143" spans="15:23" x14ac:dyDescent="0.3">
      <c r="O143" s="96"/>
      <c r="P143" s="54"/>
      <c r="Q143" s="54"/>
      <c r="R143" s="54"/>
      <c r="S143" s="54"/>
      <c r="T143" s="54"/>
      <c r="U143" s="54"/>
      <c r="V143" s="27"/>
      <c r="W143" s="27"/>
    </row>
    <row r="144" spans="15:23" x14ac:dyDescent="0.3">
      <c r="O144" s="96"/>
      <c r="P144" s="54"/>
      <c r="Q144" s="54"/>
      <c r="R144" s="54"/>
      <c r="S144" s="54"/>
      <c r="T144" s="54"/>
      <c r="U144" s="54"/>
      <c r="V144" s="27"/>
      <c r="W144" s="27"/>
    </row>
    <row r="145" spans="15:23" x14ac:dyDescent="0.3">
      <c r="O145" s="96"/>
      <c r="P145" s="54"/>
      <c r="Q145" s="54"/>
      <c r="R145" s="54"/>
      <c r="S145" s="54"/>
      <c r="T145" s="54"/>
      <c r="U145" s="54"/>
      <c r="V145" s="27"/>
      <c r="W145" s="27"/>
    </row>
    <row r="146" spans="15:23" x14ac:dyDescent="0.3">
      <c r="O146" s="96"/>
      <c r="P146" s="54"/>
      <c r="Q146" s="54"/>
      <c r="R146" s="54"/>
      <c r="S146" s="54"/>
      <c r="T146" s="54"/>
      <c r="U146" s="54"/>
      <c r="V146" s="27"/>
      <c r="W146" s="27"/>
    </row>
    <row r="147" spans="15:23" x14ac:dyDescent="0.3">
      <c r="O147" s="96"/>
      <c r="P147" s="54"/>
      <c r="Q147" s="54"/>
      <c r="R147" s="54"/>
      <c r="S147" s="54"/>
      <c r="T147" s="54"/>
      <c r="U147" s="54"/>
      <c r="V147" s="27"/>
      <c r="W147" s="27"/>
    </row>
    <row r="148" spans="15:23" x14ac:dyDescent="0.3">
      <c r="O148" s="96"/>
      <c r="P148" s="54"/>
      <c r="Q148" s="54"/>
      <c r="R148" s="54"/>
      <c r="S148" s="54"/>
      <c r="T148" s="54"/>
      <c r="U148" s="54"/>
      <c r="V148" s="27"/>
      <c r="W148" s="27"/>
    </row>
    <row r="149" spans="15:23" x14ac:dyDescent="0.3">
      <c r="O149" s="96"/>
      <c r="P149" s="54"/>
      <c r="Q149" s="54"/>
      <c r="R149" s="54"/>
      <c r="S149" s="54"/>
      <c r="T149" s="54"/>
      <c r="U149" s="54"/>
      <c r="V149" s="27"/>
      <c r="W149" s="27"/>
    </row>
    <row r="150" spans="15:23" x14ac:dyDescent="0.3">
      <c r="O150" s="96"/>
      <c r="P150" s="54"/>
      <c r="Q150" s="54"/>
      <c r="R150" s="54"/>
      <c r="S150" s="54"/>
      <c r="T150" s="54"/>
      <c r="U150" s="54"/>
      <c r="V150" s="27"/>
      <c r="W150" s="27"/>
    </row>
    <row r="151" spans="15:23" x14ac:dyDescent="0.3">
      <c r="O151" s="96"/>
      <c r="P151" s="54"/>
      <c r="Q151" s="54"/>
      <c r="R151" s="54"/>
      <c r="S151" s="54"/>
      <c r="T151" s="54"/>
      <c r="U151" s="54"/>
      <c r="V151" s="27"/>
      <c r="W151" s="27"/>
    </row>
    <row r="152" spans="15:23" x14ac:dyDescent="0.3">
      <c r="O152" s="96"/>
      <c r="P152" s="54"/>
      <c r="Q152" s="54"/>
      <c r="R152" s="54"/>
      <c r="S152" s="54"/>
      <c r="T152" s="54"/>
      <c r="U152" s="54"/>
      <c r="V152" s="27"/>
      <c r="W152" s="27"/>
    </row>
    <row r="153" spans="15:23" x14ac:dyDescent="0.3">
      <c r="O153" s="96"/>
      <c r="P153" s="54"/>
      <c r="Q153" s="54"/>
      <c r="R153" s="54"/>
      <c r="S153" s="54"/>
      <c r="T153" s="54"/>
      <c r="U153" s="54"/>
      <c r="V153" s="27"/>
      <c r="W153" s="27"/>
    </row>
    <row r="154" spans="15:23" x14ac:dyDescent="0.3">
      <c r="O154" s="96"/>
      <c r="P154" s="54"/>
      <c r="Q154" s="54"/>
      <c r="R154" s="54"/>
      <c r="S154" s="54"/>
      <c r="T154" s="54"/>
      <c r="U154" s="54"/>
      <c r="V154" s="27"/>
      <c r="W154" s="27"/>
    </row>
    <row r="155" spans="15:23" x14ac:dyDescent="0.3">
      <c r="O155" s="96"/>
      <c r="P155" s="54"/>
      <c r="Q155" s="54"/>
      <c r="R155" s="54"/>
      <c r="S155" s="54"/>
      <c r="T155" s="54"/>
      <c r="U155" s="54"/>
      <c r="V155" s="27"/>
      <c r="W155" s="27"/>
    </row>
    <row r="156" spans="15:23" x14ac:dyDescent="0.3">
      <c r="O156" s="96"/>
      <c r="P156" s="54"/>
      <c r="Q156" s="54"/>
      <c r="R156" s="54"/>
      <c r="S156" s="54"/>
      <c r="T156" s="54"/>
      <c r="U156" s="54"/>
      <c r="V156" s="27"/>
      <c r="W156" s="27"/>
    </row>
    <row r="157" spans="15:23" x14ac:dyDescent="0.3">
      <c r="O157" s="96"/>
      <c r="P157" s="54"/>
      <c r="Q157" s="54"/>
      <c r="R157" s="54"/>
      <c r="S157" s="54"/>
      <c r="T157" s="54"/>
      <c r="U157" s="54"/>
      <c r="V157" s="27"/>
      <c r="W157" s="27"/>
    </row>
    <row r="158" spans="15:23" x14ac:dyDescent="0.3">
      <c r="O158" s="96"/>
      <c r="P158" s="54"/>
      <c r="Q158" s="54"/>
      <c r="R158" s="54"/>
      <c r="S158" s="54"/>
      <c r="T158" s="54"/>
      <c r="U158" s="54"/>
      <c r="V158" s="27"/>
      <c r="W158" s="27"/>
    </row>
    <row r="159" spans="15:23" x14ac:dyDescent="0.3">
      <c r="O159" s="96"/>
      <c r="P159" s="54"/>
      <c r="Q159" s="54"/>
      <c r="R159" s="54"/>
      <c r="S159" s="54"/>
      <c r="T159" s="54"/>
      <c r="U159" s="54"/>
      <c r="V159" s="27"/>
      <c r="W159" s="27"/>
    </row>
    <row r="160" spans="15:23" x14ac:dyDescent="0.3">
      <c r="O160" s="96"/>
      <c r="P160" s="54"/>
      <c r="Q160" s="54"/>
      <c r="R160" s="54"/>
      <c r="S160" s="54"/>
      <c r="T160" s="54"/>
      <c r="U160" s="54"/>
      <c r="V160" s="27"/>
      <c r="W160" s="27"/>
    </row>
    <row r="161" spans="15:23" x14ac:dyDescent="0.3">
      <c r="O161" s="96"/>
      <c r="P161" s="54"/>
      <c r="Q161" s="54"/>
      <c r="R161" s="54"/>
      <c r="S161" s="54"/>
      <c r="T161" s="54"/>
      <c r="U161" s="54"/>
      <c r="V161" s="27"/>
      <c r="W161" s="27"/>
    </row>
    <row r="162" spans="15:23" x14ac:dyDescent="0.3">
      <c r="O162" s="96"/>
      <c r="P162" s="54"/>
      <c r="Q162" s="54"/>
      <c r="R162" s="54"/>
      <c r="S162" s="54"/>
      <c r="T162" s="54"/>
      <c r="U162" s="54"/>
      <c r="V162" s="27"/>
      <c r="W162" s="27"/>
    </row>
    <row r="163" spans="15:23" x14ac:dyDescent="0.3">
      <c r="O163" s="96"/>
      <c r="P163" s="54"/>
      <c r="Q163" s="54"/>
      <c r="R163" s="54"/>
      <c r="S163" s="54"/>
      <c r="T163" s="54"/>
      <c r="U163" s="54"/>
      <c r="V163" s="27"/>
      <c r="W163" s="27"/>
    </row>
    <row r="164" spans="15:23" x14ac:dyDescent="0.3">
      <c r="O164" s="96"/>
      <c r="P164" s="54"/>
      <c r="Q164" s="54"/>
      <c r="R164" s="54"/>
      <c r="S164" s="54"/>
      <c r="T164" s="54"/>
      <c r="U164" s="54"/>
      <c r="V164" s="27"/>
      <c r="W164" s="27"/>
    </row>
    <row r="165" spans="15:23" x14ac:dyDescent="0.3">
      <c r="O165" s="96"/>
      <c r="P165" s="54"/>
      <c r="Q165" s="54"/>
      <c r="R165" s="54"/>
      <c r="S165" s="54"/>
      <c r="T165" s="54"/>
      <c r="U165" s="54"/>
      <c r="V165" s="27"/>
      <c r="W165" s="27"/>
    </row>
    <row r="166" spans="15:23" x14ac:dyDescent="0.3">
      <c r="O166" s="96"/>
      <c r="P166" s="54"/>
      <c r="Q166" s="54"/>
      <c r="R166" s="54"/>
      <c r="S166" s="54"/>
      <c r="T166" s="54"/>
      <c r="U166" s="54"/>
      <c r="V166" s="27"/>
      <c r="W166" s="27"/>
    </row>
    <row r="167" spans="15:23" x14ac:dyDescent="0.3">
      <c r="O167" s="96"/>
      <c r="P167" s="54"/>
      <c r="Q167" s="54"/>
      <c r="R167" s="54"/>
      <c r="S167" s="54"/>
      <c r="T167" s="54"/>
      <c r="U167" s="54"/>
      <c r="V167" s="27"/>
      <c r="W167" s="27"/>
    </row>
    <row r="168" spans="15:23" x14ac:dyDescent="0.3">
      <c r="O168" s="96"/>
      <c r="P168" s="54"/>
      <c r="Q168" s="54"/>
      <c r="R168" s="54"/>
      <c r="S168" s="54"/>
      <c r="T168" s="54"/>
      <c r="U168" s="54"/>
      <c r="V168" s="27"/>
      <c r="W168" s="27"/>
    </row>
    <row r="169" spans="15:23" x14ac:dyDescent="0.3">
      <c r="O169" s="96"/>
      <c r="P169" s="54"/>
      <c r="Q169" s="54"/>
      <c r="R169" s="54"/>
      <c r="S169" s="54"/>
      <c r="T169" s="54"/>
      <c r="U169" s="54"/>
      <c r="V169" s="27"/>
      <c r="W169" s="27"/>
    </row>
    <row r="170" spans="15:23" x14ac:dyDescent="0.3">
      <c r="O170" s="96"/>
      <c r="P170" s="54"/>
      <c r="Q170" s="54"/>
      <c r="R170" s="54"/>
      <c r="S170" s="54"/>
      <c r="T170" s="54"/>
      <c r="U170" s="54"/>
      <c r="V170" s="27"/>
      <c r="W170" s="27"/>
    </row>
    <row r="171" spans="15:23" x14ac:dyDescent="0.3">
      <c r="O171" s="96"/>
      <c r="P171" s="54"/>
      <c r="Q171" s="54"/>
      <c r="R171" s="54"/>
      <c r="S171" s="54"/>
      <c r="T171" s="54"/>
      <c r="U171" s="54"/>
      <c r="V171" s="27"/>
      <c r="W171" s="27"/>
    </row>
    <row r="172" spans="15:23" x14ac:dyDescent="0.3">
      <c r="O172" s="96"/>
      <c r="P172" s="54"/>
      <c r="Q172" s="54"/>
      <c r="R172" s="54"/>
      <c r="S172" s="54"/>
      <c r="T172" s="54"/>
      <c r="U172" s="54"/>
      <c r="V172" s="27"/>
      <c r="W172" s="27"/>
    </row>
    <row r="173" spans="15:23" x14ac:dyDescent="0.3">
      <c r="O173" s="96"/>
      <c r="P173" s="54"/>
      <c r="Q173" s="54"/>
      <c r="R173" s="54"/>
      <c r="S173" s="54"/>
      <c r="T173" s="54"/>
      <c r="U173" s="54"/>
      <c r="V173" s="27"/>
      <c r="W173" s="27"/>
    </row>
    <row r="174" spans="15:23" x14ac:dyDescent="0.3">
      <c r="O174" s="96"/>
      <c r="P174" s="54"/>
      <c r="Q174" s="54"/>
      <c r="R174" s="54"/>
      <c r="S174" s="54"/>
      <c r="T174" s="54"/>
      <c r="U174" s="54"/>
      <c r="V174" s="27"/>
      <c r="W174" s="27"/>
    </row>
    <row r="175" spans="15:23" x14ac:dyDescent="0.3">
      <c r="O175" s="96"/>
      <c r="P175" s="54"/>
      <c r="Q175" s="54"/>
      <c r="R175" s="54"/>
      <c r="S175" s="54"/>
      <c r="T175" s="54"/>
      <c r="U175" s="54"/>
      <c r="V175" s="27"/>
      <c r="W175" s="27"/>
    </row>
    <row r="176" spans="15:23" x14ac:dyDescent="0.3">
      <c r="O176" s="96"/>
      <c r="P176" s="54"/>
      <c r="Q176" s="54"/>
      <c r="R176" s="54"/>
      <c r="S176" s="54"/>
      <c r="T176" s="54"/>
      <c r="U176" s="54"/>
      <c r="V176" s="27"/>
      <c r="W176" s="27"/>
    </row>
    <row r="177" spans="15:23" x14ac:dyDescent="0.3">
      <c r="O177" s="96"/>
      <c r="P177" s="54"/>
      <c r="Q177" s="54"/>
      <c r="R177" s="54"/>
      <c r="S177" s="54"/>
      <c r="T177" s="54"/>
      <c r="U177" s="54"/>
      <c r="V177" s="27"/>
      <c r="W177" s="27"/>
    </row>
    <row r="178" spans="15:23" x14ac:dyDescent="0.3">
      <c r="O178" s="96"/>
      <c r="P178" s="54"/>
      <c r="Q178" s="54"/>
      <c r="R178" s="54"/>
      <c r="S178" s="54"/>
      <c r="T178" s="54"/>
      <c r="U178" s="54"/>
      <c r="V178" s="27"/>
      <c r="W178" s="27"/>
    </row>
    <row r="179" spans="15:23" x14ac:dyDescent="0.3">
      <c r="O179" s="96"/>
      <c r="P179" s="54"/>
      <c r="Q179" s="54"/>
      <c r="R179" s="54"/>
      <c r="S179" s="54"/>
      <c r="T179" s="54"/>
      <c r="U179" s="54"/>
      <c r="V179" s="27"/>
      <c r="W179" s="27"/>
    </row>
    <row r="180" spans="15:23" x14ac:dyDescent="0.3">
      <c r="O180" s="96"/>
      <c r="P180" s="54"/>
      <c r="Q180" s="54"/>
      <c r="R180" s="54"/>
      <c r="S180" s="54"/>
      <c r="T180" s="54"/>
      <c r="U180" s="54"/>
      <c r="V180" s="27"/>
      <c r="W180" s="27"/>
    </row>
    <row r="181" spans="15:23" x14ac:dyDescent="0.3">
      <c r="O181" s="96"/>
      <c r="P181" s="54"/>
      <c r="Q181" s="54"/>
      <c r="R181" s="54"/>
      <c r="S181" s="54"/>
      <c r="T181" s="54"/>
      <c r="U181" s="54"/>
      <c r="V181" s="27"/>
      <c r="W181" s="27"/>
    </row>
    <row r="182" spans="15:23" x14ac:dyDescent="0.3">
      <c r="O182" s="96"/>
      <c r="P182" s="54"/>
      <c r="Q182" s="54"/>
      <c r="R182" s="54"/>
      <c r="S182" s="54"/>
      <c r="T182" s="54"/>
      <c r="U182" s="54"/>
      <c r="V182" s="27"/>
      <c r="W182" s="27"/>
    </row>
    <row r="183" spans="15:23" x14ac:dyDescent="0.3">
      <c r="O183" s="96"/>
      <c r="P183" s="54"/>
      <c r="Q183" s="54"/>
      <c r="R183" s="54"/>
      <c r="S183" s="54"/>
      <c r="T183" s="54"/>
      <c r="U183" s="54"/>
      <c r="V183" s="27"/>
      <c r="W183" s="27"/>
    </row>
    <row r="184" spans="15:23" x14ac:dyDescent="0.3">
      <c r="O184" s="96"/>
      <c r="P184" s="54"/>
      <c r="Q184" s="54"/>
      <c r="R184" s="54"/>
      <c r="S184" s="54"/>
      <c r="T184" s="54"/>
      <c r="U184" s="54"/>
      <c r="V184" s="27"/>
      <c r="W184" s="27"/>
    </row>
    <row r="185" spans="15:23" x14ac:dyDescent="0.3">
      <c r="O185" s="96"/>
      <c r="P185" s="54"/>
      <c r="Q185" s="54"/>
      <c r="R185" s="54"/>
      <c r="S185" s="54"/>
      <c r="T185" s="54"/>
      <c r="U185" s="54"/>
      <c r="V185" s="27"/>
      <c r="W185" s="27"/>
    </row>
    <row r="186" spans="15:23" x14ac:dyDescent="0.3">
      <c r="O186" s="96"/>
      <c r="P186" s="54"/>
      <c r="Q186" s="54"/>
      <c r="R186" s="54"/>
      <c r="S186" s="54"/>
      <c r="T186" s="54"/>
      <c r="U186" s="54"/>
      <c r="V186" s="27"/>
      <c r="W186" s="27"/>
    </row>
    <row r="187" spans="15:23" x14ac:dyDescent="0.3">
      <c r="O187" s="96"/>
      <c r="P187" s="54"/>
      <c r="Q187" s="54"/>
      <c r="R187" s="54"/>
      <c r="S187" s="54"/>
      <c r="T187" s="54"/>
      <c r="U187" s="54"/>
      <c r="V187" s="27"/>
      <c r="W187" s="27"/>
    </row>
    <row r="188" spans="15:23" x14ac:dyDescent="0.3">
      <c r="O188" s="96"/>
      <c r="P188" s="54"/>
      <c r="Q188" s="54"/>
      <c r="R188" s="54"/>
      <c r="S188" s="54"/>
      <c r="T188" s="54"/>
      <c r="U188" s="54"/>
      <c r="V188" s="27"/>
      <c r="W188" s="27"/>
    </row>
    <row r="189" spans="15:23" x14ac:dyDescent="0.3">
      <c r="O189" s="96"/>
      <c r="P189" s="54"/>
      <c r="Q189" s="54"/>
      <c r="R189" s="54"/>
      <c r="S189" s="54"/>
      <c r="T189" s="54"/>
      <c r="U189" s="54"/>
      <c r="V189" s="27"/>
      <c r="W189" s="27"/>
    </row>
    <row r="190" spans="15:23" x14ac:dyDescent="0.3">
      <c r="O190" s="96"/>
      <c r="P190" s="54"/>
      <c r="Q190" s="54"/>
      <c r="R190" s="54"/>
      <c r="S190" s="54"/>
      <c r="T190" s="54"/>
      <c r="U190" s="54"/>
      <c r="V190" s="27"/>
      <c r="W190" s="27"/>
    </row>
    <row r="191" spans="15:23" x14ac:dyDescent="0.3">
      <c r="O191" s="96"/>
      <c r="P191" s="54"/>
      <c r="Q191" s="54"/>
      <c r="R191" s="54"/>
      <c r="S191" s="54"/>
      <c r="T191" s="54"/>
      <c r="U191" s="54"/>
      <c r="V191" s="27"/>
      <c r="W191" s="27"/>
    </row>
    <row r="192" spans="15:23" x14ac:dyDescent="0.3">
      <c r="O192" s="96"/>
      <c r="P192" s="54"/>
      <c r="Q192" s="54"/>
      <c r="R192" s="54"/>
      <c r="S192" s="54"/>
      <c r="T192" s="54"/>
      <c r="U192" s="54"/>
      <c r="V192" s="27"/>
      <c r="W192" s="27"/>
    </row>
    <row r="193" spans="15:23" x14ac:dyDescent="0.3">
      <c r="O193" s="96"/>
      <c r="P193" s="54"/>
      <c r="Q193" s="54"/>
      <c r="R193" s="54"/>
      <c r="S193" s="54"/>
      <c r="T193" s="54"/>
      <c r="U193" s="54"/>
      <c r="V193" s="27"/>
      <c r="W193" s="27"/>
    </row>
    <row r="194" spans="15:23" x14ac:dyDescent="0.3">
      <c r="O194" s="96"/>
      <c r="P194" s="54"/>
      <c r="Q194" s="54"/>
      <c r="R194" s="54"/>
      <c r="S194" s="54"/>
      <c r="T194" s="54"/>
      <c r="U194" s="54"/>
      <c r="V194" s="27"/>
      <c r="W194" s="27"/>
    </row>
    <row r="195" spans="15:23" x14ac:dyDescent="0.3">
      <c r="O195" s="96"/>
      <c r="P195" s="54"/>
      <c r="Q195" s="54"/>
      <c r="R195" s="54"/>
      <c r="S195" s="54"/>
      <c r="T195" s="54"/>
      <c r="U195" s="54"/>
      <c r="V195" s="27"/>
      <c r="W195" s="27"/>
    </row>
    <row r="196" spans="15:23" x14ac:dyDescent="0.3">
      <c r="O196" s="96"/>
      <c r="P196" s="54"/>
      <c r="Q196" s="54"/>
      <c r="R196" s="54"/>
      <c r="S196" s="54"/>
      <c r="T196" s="54"/>
      <c r="U196" s="54"/>
      <c r="V196" s="27"/>
      <c r="W196" s="27"/>
    </row>
    <row r="197" spans="15:23" x14ac:dyDescent="0.3">
      <c r="O197" s="96"/>
      <c r="P197" s="54"/>
      <c r="Q197" s="54"/>
      <c r="R197" s="54"/>
      <c r="S197" s="54"/>
      <c r="T197" s="54"/>
      <c r="U197" s="54"/>
      <c r="V197" s="27"/>
      <c r="W197" s="27"/>
    </row>
    <row r="198" spans="15:23" x14ac:dyDescent="0.3">
      <c r="O198" s="96"/>
      <c r="P198" s="54"/>
      <c r="Q198" s="54"/>
      <c r="R198" s="54"/>
      <c r="S198" s="54"/>
      <c r="T198" s="54"/>
      <c r="U198" s="54"/>
      <c r="V198" s="27"/>
      <c r="W198" s="27"/>
    </row>
    <row r="199" spans="15:23" x14ac:dyDescent="0.3">
      <c r="O199" s="96"/>
      <c r="P199" s="54"/>
      <c r="Q199" s="54"/>
      <c r="R199" s="54"/>
      <c r="S199" s="54"/>
      <c r="T199" s="54"/>
      <c r="U199" s="54"/>
      <c r="V199" s="27"/>
      <c r="W199" s="27"/>
    </row>
    <row r="200" spans="15:23" x14ac:dyDescent="0.3">
      <c r="O200" s="96"/>
      <c r="P200" s="54"/>
      <c r="Q200" s="54"/>
      <c r="R200" s="54"/>
      <c r="S200" s="54"/>
      <c r="T200" s="54"/>
      <c r="U200" s="54"/>
      <c r="V200" s="27"/>
      <c r="W200" s="27"/>
    </row>
    <row r="201" spans="15:23" x14ac:dyDescent="0.3">
      <c r="O201" s="96"/>
      <c r="P201" s="54"/>
      <c r="Q201" s="54"/>
      <c r="R201" s="54"/>
      <c r="S201" s="54"/>
      <c r="T201" s="54"/>
      <c r="U201" s="54"/>
      <c r="V201" s="27"/>
      <c r="W201" s="27"/>
    </row>
    <row r="202" spans="15:23" x14ac:dyDescent="0.3">
      <c r="O202" s="96"/>
      <c r="P202" s="54"/>
      <c r="Q202" s="54"/>
      <c r="R202" s="54"/>
      <c r="S202" s="54"/>
      <c r="T202" s="54"/>
      <c r="U202" s="54"/>
      <c r="V202" s="27"/>
      <c r="W202" s="27"/>
    </row>
    <row r="203" spans="15:23" x14ac:dyDescent="0.3">
      <c r="O203" s="96"/>
      <c r="P203" s="54"/>
      <c r="Q203" s="54"/>
      <c r="R203" s="54"/>
      <c r="S203" s="54"/>
      <c r="T203" s="54"/>
      <c r="U203" s="54"/>
      <c r="V203" s="27"/>
      <c r="W203" s="27"/>
    </row>
    <row r="204" spans="15:23" x14ac:dyDescent="0.3">
      <c r="O204" s="96"/>
      <c r="P204" s="54"/>
      <c r="Q204" s="54"/>
      <c r="R204" s="54"/>
      <c r="S204" s="54"/>
      <c r="T204" s="54"/>
      <c r="U204" s="54"/>
      <c r="V204" s="27"/>
      <c r="W204" s="27"/>
    </row>
    <row r="205" spans="15:23" x14ac:dyDescent="0.3">
      <c r="O205" s="96"/>
      <c r="P205" s="54"/>
      <c r="Q205" s="54"/>
      <c r="R205" s="54"/>
      <c r="S205" s="54"/>
      <c r="T205" s="54"/>
      <c r="U205" s="54"/>
      <c r="V205" s="27"/>
      <c r="W205" s="27"/>
    </row>
    <row r="206" spans="15:23" x14ac:dyDescent="0.3">
      <c r="O206" s="96"/>
      <c r="P206" s="54"/>
      <c r="Q206" s="54"/>
      <c r="R206" s="54"/>
      <c r="S206" s="54"/>
      <c r="T206" s="54"/>
      <c r="U206" s="54"/>
      <c r="V206" s="27"/>
      <c r="W206" s="27"/>
    </row>
    <row r="207" spans="15:23" x14ac:dyDescent="0.3">
      <c r="O207" s="96"/>
      <c r="P207" s="54"/>
      <c r="Q207" s="54"/>
      <c r="R207" s="54"/>
      <c r="S207" s="54"/>
      <c r="T207" s="54"/>
      <c r="U207" s="54"/>
      <c r="V207" s="27"/>
      <c r="W207" s="27"/>
    </row>
    <row r="208" spans="15:23" x14ac:dyDescent="0.3">
      <c r="O208" s="96"/>
      <c r="P208" s="54"/>
      <c r="Q208" s="54"/>
      <c r="R208" s="54"/>
      <c r="S208" s="54"/>
      <c r="T208" s="54"/>
      <c r="U208" s="54"/>
      <c r="V208" s="27"/>
      <c r="W208" s="27"/>
    </row>
    <row r="209" spans="15:23" x14ac:dyDescent="0.3">
      <c r="O209" s="96"/>
      <c r="P209" s="54"/>
      <c r="Q209" s="54"/>
      <c r="R209" s="54"/>
      <c r="S209" s="54"/>
      <c r="T209" s="54"/>
      <c r="U209" s="54"/>
      <c r="V209" s="27"/>
      <c r="W209" s="27"/>
    </row>
    <row r="210" spans="15:23" x14ac:dyDescent="0.3">
      <c r="O210" s="96"/>
      <c r="P210" s="54"/>
      <c r="Q210" s="54"/>
      <c r="R210" s="54"/>
      <c r="S210" s="54"/>
      <c r="T210" s="54"/>
      <c r="U210" s="54"/>
      <c r="V210" s="27"/>
      <c r="W210" s="27"/>
    </row>
    <row r="211" spans="15:23" x14ac:dyDescent="0.3">
      <c r="O211" s="96"/>
      <c r="P211" s="54"/>
      <c r="Q211" s="54"/>
      <c r="R211" s="54"/>
      <c r="S211" s="54"/>
      <c r="T211" s="54"/>
      <c r="U211" s="54"/>
      <c r="V211" s="27"/>
      <c r="W211" s="27"/>
    </row>
    <row r="212" spans="15:23" x14ac:dyDescent="0.3">
      <c r="O212" s="96"/>
      <c r="P212" s="54"/>
      <c r="Q212" s="54"/>
      <c r="R212" s="54"/>
      <c r="S212" s="54"/>
      <c r="T212" s="54"/>
      <c r="U212" s="54"/>
      <c r="V212" s="27"/>
      <c r="W212" s="27"/>
    </row>
    <row r="213" spans="15:23" x14ac:dyDescent="0.3">
      <c r="O213" s="96"/>
      <c r="P213" s="54"/>
      <c r="Q213" s="54"/>
      <c r="R213" s="54"/>
      <c r="S213" s="54"/>
      <c r="T213" s="54"/>
      <c r="U213" s="54"/>
      <c r="V213" s="27"/>
      <c r="W213" s="27"/>
    </row>
    <row r="214" spans="15:23" x14ac:dyDescent="0.3">
      <c r="O214" s="96"/>
      <c r="P214" s="54"/>
      <c r="Q214" s="54"/>
      <c r="R214" s="54"/>
      <c r="S214" s="54"/>
      <c r="T214" s="54"/>
      <c r="U214" s="54"/>
      <c r="V214" s="27"/>
      <c r="W214" s="27"/>
    </row>
    <row r="215" spans="15:23" x14ac:dyDescent="0.3">
      <c r="O215" s="96"/>
      <c r="P215" s="54"/>
      <c r="Q215" s="54"/>
      <c r="R215" s="54"/>
      <c r="S215" s="54"/>
      <c r="T215" s="54"/>
      <c r="U215" s="54"/>
      <c r="V215" s="27"/>
      <c r="W215" s="27"/>
    </row>
    <row r="216" spans="15:23" x14ac:dyDescent="0.3">
      <c r="O216" s="96"/>
      <c r="P216" s="54"/>
      <c r="Q216" s="54"/>
      <c r="R216" s="54"/>
      <c r="S216" s="54"/>
      <c r="T216" s="54"/>
      <c r="U216" s="54"/>
      <c r="V216" s="27"/>
      <c r="W216" s="27"/>
    </row>
    <row r="217" spans="15:23" x14ac:dyDescent="0.3">
      <c r="O217" s="96"/>
      <c r="P217" s="54"/>
      <c r="Q217" s="54"/>
      <c r="R217" s="54"/>
      <c r="S217" s="54"/>
      <c r="T217" s="54"/>
      <c r="U217" s="54"/>
      <c r="V217" s="27"/>
      <c r="W217" s="27"/>
    </row>
    <row r="218" spans="15:23" x14ac:dyDescent="0.3">
      <c r="O218" s="96"/>
      <c r="P218" s="54"/>
      <c r="Q218" s="54"/>
      <c r="R218" s="54"/>
      <c r="S218" s="54"/>
      <c r="T218" s="54"/>
      <c r="U218" s="54"/>
      <c r="V218" s="27"/>
      <c r="W218" s="27"/>
    </row>
    <row r="219" spans="15:23" x14ac:dyDescent="0.3">
      <c r="O219" s="96"/>
      <c r="P219" s="54"/>
      <c r="Q219" s="54"/>
      <c r="R219" s="54"/>
      <c r="S219" s="54"/>
      <c r="T219" s="54"/>
      <c r="U219" s="54"/>
      <c r="V219" s="27"/>
      <c r="W219" s="27"/>
    </row>
    <row r="220" spans="15:23" x14ac:dyDescent="0.3">
      <c r="O220" s="96"/>
      <c r="P220" s="54"/>
      <c r="Q220" s="54"/>
      <c r="R220" s="54"/>
      <c r="S220" s="54"/>
      <c r="T220" s="54"/>
      <c r="U220" s="54"/>
      <c r="V220" s="27"/>
      <c r="W220" s="27"/>
    </row>
    <row r="221" spans="15:23" x14ac:dyDescent="0.3">
      <c r="O221" s="96"/>
      <c r="P221" s="54"/>
      <c r="Q221" s="54"/>
      <c r="R221" s="54"/>
      <c r="S221" s="54"/>
      <c r="T221" s="54"/>
      <c r="U221" s="54"/>
      <c r="V221" s="27"/>
      <c r="W221" s="27"/>
    </row>
    <row r="222" spans="15:23" x14ac:dyDescent="0.3">
      <c r="O222" s="96"/>
      <c r="P222" s="54"/>
      <c r="Q222" s="54"/>
      <c r="R222" s="54"/>
      <c r="S222" s="54"/>
      <c r="T222" s="54"/>
      <c r="U222" s="54"/>
      <c r="V222" s="27"/>
      <c r="W222" s="27"/>
    </row>
    <row r="223" spans="15:23" x14ac:dyDescent="0.3">
      <c r="O223" s="96"/>
      <c r="P223" s="54"/>
      <c r="Q223" s="54"/>
      <c r="R223" s="54"/>
      <c r="S223" s="54"/>
      <c r="T223" s="54"/>
      <c r="U223" s="54"/>
      <c r="V223" s="27"/>
      <c r="W223" s="27"/>
    </row>
    <row r="224" spans="15:23" x14ac:dyDescent="0.3">
      <c r="O224" s="96"/>
      <c r="P224" s="54"/>
      <c r="Q224" s="54"/>
      <c r="R224" s="54"/>
      <c r="S224" s="54"/>
      <c r="T224" s="54"/>
      <c r="U224" s="54"/>
      <c r="V224" s="27"/>
      <c r="W224" s="27"/>
    </row>
    <row r="225" spans="15:23" x14ac:dyDescent="0.3">
      <c r="O225" s="96"/>
      <c r="P225" s="54"/>
      <c r="Q225" s="54"/>
      <c r="R225" s="54"/>
      <c r="S225" s="54"/>
      <c r="T225" s="54"/>
      <c r="U225" s="54"/>
      <c r="V225" s="27"/>
      <c r="W225" s="27"/>
    </row>
    <row r="226" spans="15:23" x14ac:dyDescent="0.3">
      <c r="O226" s="96"/>
      <c r="P226" s="54"/>
      <c r="Q226" s="54"/>
      <c r="R226" s="54"/>
      <c r="S226" s="54"/>
      <c r="T226" s="54"/>
      <c r="U226" s="54"/>
      <c r="V226" s="27"/>
      <c r="W226" s="27"/>
    </row>
    <row r="227" spans="15:23" x14ac:dyDescent="0.3">
      <c r="O227" s="96"/>
      <c r="P227" s="54"/>
      <c r="Q227" s="54"/>
      <c r="R227" s="54"/>
      <c r="S227" s="54"/>
      <c r="T227" s="54"/>
      <c r="U227" s="54"/>
      <c r="V227" s="27"/>
      <c r="W227" s="27"/>
    </row>
    <row r="228" spans="15:23" x14ac:dyDescent="0.3">
      <c r="O228" s="96"/>
      <c r="P228" s="54"/>
      <c r="Q228" s="54"/>
      <c r="R228" s="54"/>
      <c r="S228" s="54"/>
      <c r="T228" s="54"/>
      <c r="U228" s="54"/>
      <c r="V228" s="27"/>
      <c r="W228" s="27"/>
    </row>
    <row r="229" spans="15:23" x14ac:dyDescent="0.3">
      <c r="O229" s="96"/>
      <c r="P229" s="54"/>
      <c r="Q229" s="54"/>
      <c r="R229" s="54"/>
      <c r="S229" s="54"/>
      <c r="T229" s="54"/>
      <c r="U229" s="54"/>
      <c r="V229" s="27"/>
      <c r="W229" s="27"/>
    </row>
    <row r="230" spans="15:23" x14ac:dyDescent="0.3">
      <c r="O230" s="96"/>
      <c r="P230" s="54"/>
      <c r="Q230" s="54"/>
      <c r="R230" s="54"/>
      <c r="S230" s="54"/>
      <c r="T230" s="54"/>
      <c r="U230" s="54"/>
      <c r="V230" s="27"/>
      <c r="W230" s="27"/>
    </row>
    <row r="231" spans="15:23" x14ac:dyDescent="0.3">
      <c r="O231" s="96"/>
      <c r="P231" s="54"/>
      <c r="Q231" s="54"/>
      <c r="R231" s="54"/>
      <c r="S231" s="54"/>
      <c r="T231" s="54"/>
      <c r="U231" s="54"/>
      <c r="V231" s="27"/>
      <c r="W231" s="27"/>
    </row>
    <row r="232" spans="15:23" x14ac:dyDescent="0.3">
      <c r="O232" s="96"/>
      <c r="P232" s="54"/>
      <c r="Q232" s="54"/>
      <c r="R232" s="54"/>
      <c r="S232" s="54"/>
      <c r="T232" s="54"/>
      <c r="U232" s="54"/>
      <c r="V232" s="27"/>
      <c r="W232" s="27"/>
    </row>
    <row r="233" spans="15:23" x14ac:dyDescent="0.3">
      <c r="O233" s="96"/>
      <c r="P233" s="54"/>
      <c r="Q233" s="54"/>
      <c r="R233" s="54"/>
      <c r="S233" s="54"/>
      <c r="T233" s="54"/>
      <c r="U233" s="54"/>
      <c r="V233" s="27"/>
      <c r="W233" s="27"/>
    </row>
    <row r="234" spans="15:23" x14ac:dyDescent="0.3">
      <c r="O234" s="96"/>
      <c r="P234" s="54"/>
      <c r="Q234" s="54"/>
      <c r="R234" s="54"/>
      <c r="S234" s="54"/>
      <c r="T234" s="54"/>
      <c r="U234" s="54"/>
      <c r="V234" s="27"/>
      <c r="W234" s="27"/>
    </row>
    <row r="235" spans="15:23" x14ac:dyDescent="0.3">
      <c r="O235" s="96"/>
      <c r="P235" s="54"/>
      <c r="Q235" s="54"/>
      <c r="R235" s="54"/>
      <c r="S235" s="54"/>
      <c r="T235" s="54"/>
      <c r="U235" s="54"/>
      <c r="V235" s="27"/>
      <c r="W235" s="27"/>
    </row>
    <row r="236" spans="15:23" x14ac:dyDescent="0.3">
      <c r="O236" s="96"/>
      <c r="P236" s="54"/>
      <c r="Q236" s="54"/>
      <c r="R236" s="54"/>
      <c r="S236" s="54"/>
      <c r="T236" s="54"/>
      <c r="U236" s="54"/>
      <c r="V236" s="27"/>
      <c r="W236" s="27"/>
    </row>
    <row r="237" spans="15:23" x14ac:dyDescent="0.3">
      <c r="O237" s="96"/>
      <c r="P237" s="54"/>
      <c r="Q237" s="54"/>
      <c r="R237" s="54"/>
      <c r="S237" s="54"/>
      <c r="T237" s="54"/>
      <c r="U237" s="54"/>
      <c r="V237" s="27"/>
      <c r="W237" s="27"/>
    </row>
    <row r="238" spans="15:23" x14ac:dyDescent="0.3">
      <c r="O238" s="96"/>
      <c r="P238" s="54"/>
      <c r="Q238" s="54"/>
      <c r="R238" s="54"/>
      <c r="S238" s="54"/>
      <c r="T238" s="54"/>
      <c r="U238" s="54"/>
      <c r="V238" s="27"/>
      <c r="W238" s="27"/>
    </row>
    <row r="239" spans="15:23" x14ac:dyDescent="0.3">
      <c r="O239" s="96"/>
      <c r="P239" s="54"/>
      <c r="Q239" s="54"/>
      <c r="R239" s="54"/>
      <c r="S239" s="54"/>
      <c r="T239" s="54"/>
      <c r="U239" s="54"/>
      <c r="V239" s="27"/>
      <c r="W239" s="27"/>
    </row>
    <row r="240" spans="15:23" x14ac:dyDescent="0.3">
      <c r="O240" s="96"/>
      <c r="P240" s="54"/>
      <c r="Q240" s="54"/>
      <c r="R240" s="54"/>
      <c r="S240" s="54"/>
      <c r="T240" s="54"/>
      <c r="U240" s="54"/>
      <c r="V240" s="27"/>
      <c r="W240" s="27"/>
    </row>
    <row r="241" spans="15:23" x14ac:dyDescent="0.3">
      <c r="O241" s="96"/>
      <c r="P241" s="54"/>
      <c r="Q241" s="54"/>
      <c r="R241" s="54"/>
      <c r="S241" s="54"/>
      <c r="T241" s="54"/>
      <c r="U241" s="54"/>
      <c r="V241" s="27"/>
      <c r="W241" s="27"/>
    </row>
    <row r="242" spans="15:23" x14ac:dyDescent="0.3">
      <c r="O242" s="96"/>
      <c r="P242" s="54"/>
      <c r="Q242" s="54"/>
      <c r="R242" s="54"/>
      <c r="S242" s="54"/>
      <c r="T242" s="54"/>
      <c r="U242" s="54"/>
      <c r="V242" s="27"/>
      <c r="W242" s="27"/>
    </row>
    <row r="243" spans="15:23" x14ac:dyDescent="0.3">
      <c r="O243" s="96"/>
      <c r="P243" s="54"/>
      <c r="Q243" s="54"/>
      <c r="R243" s="54"/>
      <c r="S243" s="54"/>
      <c r="T243" s="54"/>
      <c r="U243" s="54"/>
      <c r="V243" s="27"/>
      <c r="W243" s="27"/>
    </row>
    <row r="244" spans="15:23" x14ac:dyDescent="0.3">
      <c r="O244" s="96"/>
      <c r="P244" s="54"/>
      <c r="Q244" s="54"/>
      <c r="R244" s="54"/>
      <c r="S244" s="54"/>
      <c r="T244" s="54"/>
      <c r="U244" s="54"/>
      <c r="V244" s="27"/>
      <c r="W244" s="27"/>
    </row>
    <row r="245" spans="15:23" x14ac:dyDescent="0.3">
      <c r="O245" s="96"/>
      <c r="P245" s="54"/>
      <c r="Q245" s="54"/>
      <c r="R245" s="54"/>
      <c r="S245" s="54"/>
      <c r="T245" s="54"/>
      <c r="U245" s="54"/>
      <c r="V245" s="27"/>
      <c r="W245" s="27"/>
    </row>
    <row r="246" spans="15:23" x14ac:dyDescent="0.3">
      <c r="O246" s="96"/>
      <c r="P246" s="54"/>
      <c r="Q246" s="54"/>
      <c r="R246" s="54"/>
      <c r="S246" s="54"/>
      <c r="T246" s="54"/>
      <c r="U246" s="54"/>
      <c r="V246" s="27"/>
      <c r="W246" s="27"/>
    </row>
    <row r="247" spans="15:23" x14ac:dyDescent="0.3">
      <c r="O247" s="96"/>
      <c r="P247" s="54"/>
      <c r="Q247" s="54"/>
      <c r="R247" s="54"/>
      <c r="S247" s="54"/>
      <c r="T247" s="54"/>
      <c r="U247" s="54"/>
      <c r="V247" s="27"/>
      <c r="W247" s="27"/>
    </row>
    <row r="248" spans="15:23" x14ac:dyDescent="0.3">
      <c r="O248" s="96"/>
      <c r="P248" s="54"/>
      <c r="Q248" s="54"/>
      <c r="R248" s="54"/>
      <c r="S248" s="54"/>
      <c r="T248" s="54"/>
      <c r="U248" s="54"/>
      <c r="V248" s="27"/>
      <c r="W248" s="27"/>
    </row>
    <row r="249" spans="15:23" x14ac:dyDescent="0.3">
      <c r="O249" s="96"/>
      <c r="P249" s="54"/>
      <c r="Q249" s="54"/>
      <c r="R249" s="54"/>
      <c r="S249" s="54"/>
      <c r="T249" s="54"/>
      <c r="U249" s="54"/>
      <c r="V249" s="27"/>
      <c r="W249" s="27"/>
    </row>
    <row r="250" spans="15:23" x14ac:dyDescent="0.3">
      <c r="O250" s="96"/>
      <c r="P250" s="54"/>
      <c r="Q250" s="54"/>
      <c r="R250" s="54"/>
      <c r="S250" s="54"/>
      <c r="T250" s="54"/>
      <c r="U250" s="54"/>
      <c r="V250" s="27"/>
      <c r="W250" s="27"/>
    </row>
    <row r="251" spans="15:23" x14ac:dyDescent="0.3">
      <c r="O251" s="96"/>
      <c r="P251" s="54"/>
      <c r="Q251" s="54"/>
      <c r="R251" s="54"/>
      <c r="S251" s="54"/>
      <c r="T251" s="54"/>
      <c r="U251" s="54"/>
      <c r="V251" s="27"/>
      <c r="W251" s="27"/>
    </row>
    <row r="252" spans="15:23" x14ac:dyDescent="0.3">
      <c r="O252" s="96"/>
      <c r="P252" s="54"/>
      <c r="Q252" s="54"/>
      <c r="R252" s="54"/>
      <c r="S252" s="54"/>
      <c r="T252" s="54"/>
      <c r="U252" s="54"/>
      <c r="V252" s="27"/>
      <c r="W252" s="27"/>
    </row>
    <row r="253" spans="15:23" x14ac:dyDescent="0.3">
      <c r="P253" s="54"/>
      <c r="Q253" s="54"/>
      <c r="R253" s="54"/>
      <c r="S253" s="54"/>
      <c r="T253" s="54"/>
      <c r="U253" s="54"/>
      <c r="V253" s="27"/>
      <c r="W253" s="27"/>
    </row>
    <row r="254" spans="15:23" x14ac:dyDescent="0.3">
      <c r="P254" s="27"/>
      <c r="Q254" s="27"/>
      <c r="R254" s="27"/>
      <c r="S254" s="27"/>
      <c r="T254" s="27"/>
      <c r="U254" s="27"/>
    </row>
    <row r="255" spans="15:23" x14ac:dyDescent="0.3">
      <c r="P255" s="27"/>
      <c r="Q255" s="27"/>
      <c r="R255" s="27"/>
      <c r="S255" s="27"/>
      <c r="T255" s="27"/>
      <c r="U255" s="27"/>
    </row>
    <row r="256" spans="15:23" x14ac:dyDescent="0.3">
      <c r="P256" s="27"/>
      <c r="Q256" s="27"/>
      <c r="R256" s="27"/>
      <c r="S256" s="27"/>
      <c r="T256" s="27"/>
      <c r="U256" s="27"/>
    </row>
    <row r="257" spans="16:21" x14ac:dyDescent="0.3">
      <c r="P257" s="27"/>
      <c r="Q257" s="27"/>
      <c r="R257" s="27"/>
      <c r="S257" s="27"/>
      <c r="T257" s="27"/>
      <c r="U257" s="27"/>
    </row>
    <row r="258" spans="16:21" x14ac:dyDescent="0.3">
      <c r="P258" s="27"/>
      <c r="Q258" s="27"/>
      <c r="R258" s="27"/>
      <c r="S258" s="27"/>
      <c r="T258" s="27"/>
      <c r="U258" s="27"/>
    </row>
    <row r="259" spans="16:21" x14ac:dyDescent="0.3">
      <c r="P259" s="27"/>
      <c r="Q259" s="27"/>
      <c r="R259" s="27"/>
      <c r="S259" s="27"/>
      <c r="T259" s="27"/>
      <c r="U259" s="27"/>
    </row>
    <row r="260" spans="16:21" x14ac:dyDescent="0.3">
      <c r="P260" s="27"/>
      <c r="Q260" s="27"/>
      <c r="R260" s="27"/>
      <c r="S260" s="27"/>
      <c r="T260" s="27"/>
      <c r="U260" s="27"/>
    </row>
    <row r="261" spans="16:21" x14ac:dyDescent="0.3">
      <c r="P261" s="27"/>
      <c r="Q261" s="27"/>
      <c r="R261" s="27"/>
      <c r="S261" s="27"/>
      <c r="T261" s="27"/>
      <c r="U261" s="27"/>
    </row>
    <row r="262" spans="16:21" x14ac:dyDescent="0.3">
      <c r="P262" s="27"/>
      <c r="Q262" s="27"/>
      <c r="R262" s="27"/>
      <c r="S262" s="27"/>
      <c r="T262" s="27"/>
      <c r="U262" s="27"/>
    </row>
    <row r="263" spans="16:21" x14ac:dyDescent="0.3">
      <c r="P263" s="27"/>
      <c r="Q263" s="27"/>
      <c r="R263" s="27"/>
      <c r="S263" s="27"/>
      <c r="T263" s="27"/>
      <c r="U263" s="27"/>
    </row>
    <row r="264" spans="16:21" x14ac:dyDescent="0.3">
      <c r="P264" s="27"/>
      <c r="Q264" s="27"/>
      <c r="R264" s="27"/>
      <c r="S264" s="27"/>
      <c r="T264" s="27"/>
      <c r="U264" s="27"/>
    </row>
    <row r="265" spans="16:21" x14ac:dyDescent="0.3">
      <c r="P265" s="27"/>
      <c r="Q265" s="27"/>
      <c r="R265" s="27"/>
      <c r="S265" s="27"/>
      <c r="T265" s="27"/>
      <c r="U265" s="27"/>
    </row>
    <row r="266" spans="16:21" x14ac:dyDescent="0.3">
      <c r="P266" s="27"/>
      <c r="Q266" s="27"/>
      <c r="R266" s="27"/>
      <c r="S266" s="27"/>
      <c r="T266" s="27"/>
      <c r="U266" s="27"/>
    </row>
    <row r="267" spans="16:21" x14ac:dyDescent="0.3">
      <c r="P267" s="27"/>
      <c r="Q267" s="27"/>
      <c r="R267" s="27"/>
      <c r="S267" s="27"/>
      <c r="T267" s="27"/>
      <c r="U267" s="27"/>
    </row>
    <row r="268" spans="16:21" x14ac:dyDescent="0.3">
      <c r="P268" s="27"/>
      <c r="Q268" s="27"/>
      <c r="R268" s="27"/>
      <c r="S268" s="27"/>
      <c r="T268" s="27"/>
      <c r="U268" s="27"/>
    </row>
    <row r="269" spans="16:21" x14ac:dyDescent="0.3">
      <c r="P269" s="27"/>
      <c r="Q269" s="27"/>
      <c r="R269" s="27"/>
      <c r="S269" s="27"/>
      <c r="T269" s="27"/>
      <c r="U269" s="27"/>
    </row>
    <row r="270" spans="16:21" x14ac:dyDescent="0.3">
      <c r="P270" s="27"/>
      <c r="Q270" s="27"/>
      <c r="R270" s="27"/>
      <c r="S270" s="27"/>
      <c r="T270" s="27"/>
      <c r="U270" s="27"/>
    </row>
    <row r="271" spans="16:21" x14ac:dyDescent="0.3">
      <c r="P271" s="27"/>
      <c r="Q271" s="27"/>
      <c r="R271" s="27"/>
      <c r="S271" s="27"/>
      <c r="T271" s="27"/>
      <c r="U271" s="27"/>
    </row>
    <row r="272" spans="16:21" x14ac:dyDescent="0.3">
      <c r="P272" s="27"/>
      <c r="Q272" s="27"/>
      <c r="R272" s="27"/>
      <c r="S272" s="27"/>
      <c r="T272" s="27"/>
      <c r="U272" s="27"/>
    </row>
    <row r="273" spans="16:21" x14ac:dyDescent="0.3">
      <c r="P273" s="27"/>
      <c r="Q273" s="27"/>
      <c r="R273" s="27"/>
      <c r="S273" s="27"/>
      <c r="T273" s="27"/>
      <c r="U273" s="27"/>
    </row>
    <row r="274" spans="16:21" x14ac:dyDescent="0.3">
      <c r="P274" s="27"/>
      <c r="Q274" s="27"/>
      <c r="R274" s="27"/>
      <c r="S274" s="27"/>
      <c r="T274" s="27"/>
      <c r="U274" s="27"/>
    </row>
    <row r="275" spans="16:21" x14ac:dyDescent="0.3">
      <c r="P275" s="27"/>
      <c r="Q275" s="27"/>
      <c r="R275" s="27"/>
      <c r="S275" s="27"/>
      <c r="T275" s="27"/>
      <c r="U275" s="27"/>
    </row>
    <row r="276" spans="16:21" x14ac:dyDescent="0.3">
      <c r="P276" s="27"/>
      <c r="Q276" s="27"/>
      <c r="R276" s="27"/>
      <c r="S276" s="27"/>
      <c r="T276" s="27"/>
      <c r="U276" s="27"/>
    </row>
    <row r="277" spans="16:21" x14ac:dyDescent="0.3">
      <c r="P277" s="27"/>
      <c r="Q277" s="27"/>
      <c r="R277" s="27"/>
      <c r="S277" s="27"/>
      <c r="T277" s="27"/>
      <c r="U277" s="27"/>
    </row>
    <row r="278" spans="16:21" x14ac:dyDescent="0.3">
      <c r="P278" s="27"/>
      <c r="Q278" s="27"/>
      <c r="R278" s="27"/>
      <c r="S278" s="27"/>
      <c r="T278" s="27"/>
      <c r="U278" s="27"/>
    </row>
    <row r="279" spans="16:21" x14ac:dyDescent="0.3">
      <c r="P279" s="27"/>
      <c r="Q279" s="27"/>
      <c r="R279" s="27"/>
      <c r="S279" s="27"/>
      <c r="T279" s="27"/>
      <c r="U279" s="27"/>
    </row>
    <row r="280" spans="16:21" x14ac:dyDescent="0.3">
      <c r="P280" s="27"/>
      <c r="Q280" s="27"/>
      <c r="R280" s="27"/>
      <c r="S280" s="27"/>
      <c r="T280" s="27"/>
      <c r="U280" s="27"/>
    </row>
    <row r="281" spans="16:21" x14ac:dyDescent="0.3">
      <c r="P281" s="27"/>
      <c r="Q281" s="27"/>
      <c r="R281" s="27"/>
      <c r="S281" s="27"/>
      <c r="T281" s="27"/>
      <c r="U281" s="27"/>
    </row>
    <row r="282" spans="16:21" x14ac:dyDescent="0.3">
      <c r="P282" s="27"/>
      <c r="Q282" s="27"/>
      <c r="R282" s="27"/>
      <c r="S282" s="27"/>
      <c r="T282" s="27"/>
      <c r="U282" s="27"/>
    </row>
    <row r="283" spans="16:21" x14ac:dyDescent="0.3">
      <c r="P283" s="27"/>
      <c r="Q283" s="27"/>
      <c r="R283" s="27"/>
      <c r="S283" s="27"/>
      <c r="T283" s="27"/>
      <c r="U283" s="27"/>
    </row>
    <row r="284" spans="16:21" x14ac:dyDescent="0.3">
      <c r="P284" s="27"/>
      <c r="Q284" s="27"/>
      <c r="R284" s="27"/>
      <c r="S284" s="27"/>
      <c r="T284" s="27"/>
      <c r="U284" s="27"/>
    </row>
    <row r="285" spans="16:21" x14ac:dyDescent="0.3">
      <c r="P285" s="27"/>
      <c r="Q285" s="27"/>
      <c r="R285" s="27"/>
      <c r="S285" s="27"/>
      <c r="T285" s="27"/>
      <c r="U285" s="27"/>
    </row>
    <row r="286" spans="16:21" x14ac:dyDescent="0.3">
      <c r="P286" s="27"/>
      <c r="Q286" s="27"/>
      <c r="R286" s="27"/>
      <c r="S286" s="27"/>
      <c r="T286" s="27"/>
      <c r="U286" s="27"/>
    </row>
    <row r="287" spans="16:21" x14ac:dyDescent="0.3">
      <c r="P287" s="27"/>
      <c r="Q287" s="27"/>
      <c r="R287" s="27"/>
      <c r="S287" s="27"/>
      <c r="T287" s="27"/>
      <c r="U287" s="27"/>
    </row>
    <row r="288" spans="16:21" x14ac:dyDescent="0.3">
      <c r="P288" s="27"/>
      <c r="Q288" s="27"/>
      <c r="R288" s="27"/>
      <c r="S288" s="27"/>
      <c r="T288" s="27"/>
      <c r="U288" s="27"/>
    </row>
    <row r="289" spans="16:21" x14ac:dyDescent="0.3">
      <c r="P289" s="27"/>
      <c r="Q289" s="27"/>
      <c r="R289" s="27"/>
      <c r="S289" s="27"/>
      <c r="T289" s="27"/>
      <c r="U289" s="27"/>
    </row>
    <row r="290" spans="16:21" x14ac:dyDescent="0.3">
      <c r="P290" s="27"/>
      <c r="Q290" s="27"/>
      <c r="R290" s="27"/>
      <c r="S290" s="27"/>
      <c r="T290" s="27"/>
      <c r="U290" s="27"/>
    </row>
    <row r="291" spans="16:21" x14ac:dyDescent="0.3">
      <c r="P291" s="27"/>
      <c r="Q291" s="27"/>
      <c r="R291" s="27"/>
      <c r="S291" s="27"/>
      <c r="T291" s="27"/>
      <c r="U291" s="27"/>
    </row>
    <row r="292" spans="16:21" x14ac:dyDescent="0.3">
      <c r="P292" s="27"/>
      <c r="Q292" s="27"/>
      <c r="R292" s="27"/>
      <c r="S292" s="27"/>
      <c r="T292" s="27"/>
      <c r="U292" s="27"/>
    </row>
    <row r="293" spans="16:21" x14ac:dyDescent="0.3">
      <c r="P293" s="27"/>
      <c r="Q293" s="27"/>
      <c r="R293" s="27"/>
      <c r="S293" s="27"/>
      <c r="T293" s="27"/>
      <c r="U293" s="27"/>
    </row>
    <row r="294" spans="16:21" x14ac:dyDescent="0.3">
      <c r="P294" s="27"/>
      <c r="Q294" s="27"/>
      <c r="R294" s="27"/>
      <c r="S294" s="27"/>
      <c r="T294" s="27"/>
      <c r="U294" s="27"/>
    </row>
    <row r="295" spans="16:21" x14ac:dyDescent="0.3">
      <c r="P295" s="27"/>
      <c r="Q295" s="27"/>
      <c r="R295" s="27"/>
      <c r="S295" s="27"/>
      <c r="T295" s="27"/>
      <c r="U295" s="27"/>
    </row>
    <row r="296" spans="16:21" x14ac:dyDescent="0.3">
      <c r="P296" s="27"/>
      <c r="Q296" s="27"/>
      <c r="R296" s="27"/>
      <c r="S296" s="27"/>
      <c r="T296" s="27"/>
      <c r="U296" s="27"/>
    </row>
    <row r="297" spans="16:21" x14ac:dyDescent="0.3">
      <c r="P297" s="27"/>
      <c r="Q297" s="27"/>
      <c r="R297" s="27"/>
      <c r="S297" s="27"/>
      <c r="T297" s="27"/>
      <c r="U297" s="27"/>
    </row>
    <row r="298" spans="16:21" x14ac:dyDescent="0.3">
      <c r="P298" s="27"/>
      <c r="Q298" s="27"/>
      <c r="R298" s="27"/>
      <c r="S298" s="27"/>
      <c r="T298" s="27"/>
      <c r="U298" s="27"/>
    </row>
    <row r="299" spans="16:21" x14ac:dyDescent="0.3">
      <c r="P299" s="27"/>
      <c r="Q299" s="27"/>
      <c r="R299" s="27"/>
      <c r="S299" s="27"/>
      <c r="T299" s="27"/>
      <c r="U299" s="27"/>
    </row>
    <row r="300" spans="16:21" x14ac:dyDescent="0.3">
      <c r="P300" s="27"/>
      <c r="Q300" s="27"/>
      <c r="R300" s="27"/>
      <c r="S300" s="27"/>
      <c r="T300" s="27"/>
      <c r="U300" s="27"/>
    </row>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20E93-FFA7-4A82-A24B-66DBD481EBF0}">
  <sheetPr codeName="Planilha31">
    <tabColor theme="9" tint="0.59999389629810485"/>
  </sheetPr>
  <dimension ref="A1:AA301"/>
  <sheetViews>
    <sheetView showGridLines="0" workbookViewId="0">
      <selection activeCell="P15" sqref="P15"/>
    </sheetView>
  </sheetViews>
  <sheetFormatPr defaultColWidth="8.85546875" defaultRowHeight="18.75" x14ac:dyDescent="0.3"/>
  <cols>
    <col min="1" max="1" width="12.7109375" style="17" customWidth="1"/>
    <col min="2" max="2" width="42.85546875" customWidth="1"/>
    <col min="4" max="4" width="44.28515625" bestFit="1" customWidth="1"/>
    <col min="5" max="5" width="4.5703125" customWidth="1"/>
    <col min="6" max="6" width="7.140625" bestFit="1" customWidth="1"/>
    <col min="7" max="7" width="8.7109375" customWidth="1"/>
    <col min="8" max="8" width="9.28515625" bestFit="1" customWidth="1"/>
    <col min="9" max="13" width="12.42578125" bestFit="1" customWidth="1"/>
    <col min="14" max="14" width="22" bestFit="1" customWidth="1"/>
    <col min="16" max="16" width="12.42578125" style="15" bestFit="1" customWidth="1"/>
    <col min="17" max="19" width="9" style="15" customWidth="1"/>
    <col min="20" max="20" width="13.28515625" style="15" customWidth="1"/>
    <col min="21" max="21" width="15.42578125" style="15" bestFit="1" customWidth="1"/>
    <col min="22" max="27" width="8.85546875" style="15"/>
  </cols>
  <sheetData>
    <row r="1" spans="1:27" x14ac:dyDescent="0.3">
      <c r="A1" s="84" t="s">
        <v>502</v>
      </c>
      <c r="P1" s="14"/>
      <c r="Q1" s="14"/>
      <c r="R1" s="14"/>
      <c r="S1" s="14"/>
      <c r="T1" s="14"/>
      <c r="U1" s="14"/>
      <c r="V1" s="14"/>
      <c r="W1" s="14"/>
      <c r="X1" s="14"/>
      <c r="Y1" s="14"/>
      <c r="Z1" s="14"/>
      <c r="AA1" s="14"/>
    </row>
    <row r="2" spans="1:27" x14ac:dyDescent="0.3">
      <c r="A2" s="17" t="s">
        <v>363</v>
      </c>
      <c r="P2" s="14"/>
      <c r="Q2" s="14"/>
      <c r="R2" s="14"/>
      <c r="S2" s="14"/>
      <c r="T2" s="14"/>
      <c r="U2" s="14"/>
      <c r="V2" s="14"/>
      <c r="W2" s="14"/>
      <c r="X2" s="14"/>
      <c r="Y2" s="14"/>
      <c r="Z2" s="14"/>
      <c r="AA2" s="14"/>
    </row>
    <row r="3" spans="1:27" x14ac:dyDescent="0.3">
      <c r="P3" s="14"/>
      <c r="Q3" s="14"/>
      <c r="R3" s="14"/>
      <c r="S3" s="14"/>
      <c r="T3" s="14"/>
      <c r="U3" s="14"/>
      <c r="V3" s="14"/>
      <c r="W3" s="14"/>
      <c r="X3" s="14"/>
      <c r="Y3" s="14"/>
      <c r="Z3" s="14"/>
      <c r="AA3" s="14"/>
    </row>
    <row r="4" spans="1:27" x14ac:dyDescent="0.3">
      <c r="A4" s="17" t="s">
        <v>367</v>
      </c>
      <c r="P4" s="14"/>
      <c r="Q4" s="14"/>
      <c r="R4" s="14"/>
      <c r="S4" s="14"/>
      <c r="T4" s="14"/>
      <c r="U4" s="14"/>
      <c r="V4" s="14"/>
      <c r="W4" s="14"/>
      <c r="X4" s="14"/>
      <c r="Y4" s="14"/>
      <c r="Z4" s="14"/>
      <c r="AA4" s="14"/>
    </row>
    <row r="6" spans="1:27" ht="15.75" x14ac:dyDescent="0.25">
      <c r="A6" s="2" t="s">
        <v>15</v>
      </c>
      <c r="B6" s="2" t="s">
        <v>16</v>
      </c>
    </row>
    <row r="7" spans="1:27" ht="15.75" x14ac:dyDescent="0.25">
      <c r="A7" s="23" t="s">
        <v>167</v>
      </c>
      <c r="B7" s="24" t="s">
        <v>169</v>
      </c>
    </row>
    <row r="8" spans="1:27" ht="78.75" x14ac:dyDescent="0.25">
      <c r="A8" s="23" t="s">
        <v>364</v>
      </c>
      <c r="B8" s="24" t="s">
        <v>365</v>
      </c>
    </row>
    <row r="9" spans="1:27" ht="31.5" x14ac:dyDescent="0.25">
      <c r="A9" s="23" t="s">
        <v>209</v>
      </c>
      <c r="B9" s="24" t="s">
        <v>368</v>
      </c>
    </row>
    <row r="10" spans="1:27" ht="15.75" x14ac:dyDescent="0.25">
      <c r="A10" s="23" t="s">
        <v>257</v>
      </c>
      <c r="B10" s="24" t="s">
        <v>344</v>
      </c>
    </row>
    <row r="11" spans="1:27" ht="15.75" x14ac:dyDescent="0.25">
      <c r="A11" s="23" t="s">
        <v>337</v>
      </c>
      <c r="B11" s="24" t="s">
        <v>345</v>
      </c>
    </row>
    <row r="12" spans="1:27" ht="47.25" x14ac:dyDescent="0.25">
      <c r="A12" s="23" t="s">
        <v>338</v>
      </c>
      <c r="B12" s="26" t="s">
        <v>362</v>
      </c>
    </row>
    <row r="13" spans="1:27" ht="15.75" x14ac:dyDescent="0.25">
      <c r="A13" s="23"/>
      <c r="B13" s="26"/>
    </row>
    <row r="14" spans="1:27" x14ac:dyDescent="0.3">
      <c r="D14" s="1" t="s">
        <v>17</v>
      </c>
      <c r="G14" s="13" t="s">
        <v>167</v>
      </c>
      <c r="H14" s="13" t="s">
        <v>463</v>
      </c>
      <c r="I14" s="13" t="s">
        <v>366</v>
      </c>
      <c r="J14" s="13" t="s">
        <v>213</v>
      </c>
      <c r="K14" s="13" t="s">
        <v>261</v>
      </c>
      <c r="L14" s="13" t="s">
        <v>339</v>
      </c>
      <c r="M14" s="13" t="s">
        <v>203</v>
      </c>
      <c r="N14" s="13" t="s">
        <v>462</v>
      </c>
      <c r="P14" s="61" t="s">
        <v>253</v>
      </c>
      <c r="S14" s="90" t="s">
        <v>254</v>
      </c>
      <c r="U14" s="90"/>
    </row>
    <row r="15" spans="1:27" ht="18.75" customHeight="1" x14ac:dyDescent="0.3">
      <c r="A15" s="97"/>
      <c r="D15" t="s">
        <v>178</v>
      </c>
      <c r="F15" s="50">
        <v>37257</v>
      </c>
      <c r="G15" s="53">
        <v>72.400000000000006</v>
      </c>
      <c r="H15" s="101"/>
      <c r="I15" s="93" t="b">
        <v>0</v>
      </c>
      <c r="J15" s="55">
        <v>3</v>
      </c>
      <c r="K15" s="93">
        <v>0.01</v>
      </c>
      <c r="L15" s="55" t="b">
        <v>0</v>
      </c>
      <c r="M15" s="55" t="b">
        <v>0</v>
      </c>
      <c r="N15" s="55" t="b">
        <v>1</v>
      </c>
      <c r="P15" s="54" t="b" cm="1">
        <f t="array" ref="P15">_xlfn.LAMBDA(_xlpm.values,_xlop.automatic,_xlop.nLags,_xlop.significance,_xlop.constant,_xlop.trend,
_xlfn.LET(
_xlpm.automatic, IF(_xlfn.ISOMITTED(_xlpm.automatic), FALSE, _xlpm.automatic),
_xlpm.nLags,IF(_xlfn.ISOMITTED(_xlpm.nLags), 0, _xlpm.nLags),
_xlpm.significance, IF(_xlfn.ISOMITTED(_xlpm.significance), FALSE, _xlpm.significance),
_xlpm.constant, IF(_xlfn.ISOMITTED(_xlpm.constant), FALSE, _xlpm.constant),
_xlpm.trend, IF(_xlfn.ISOMITTED(_xlpm.trend), FALSE, _xlpm.trend ),
_xlpm.diffValues_1, SLICE(_xlpm.values,2,-1) - SLICE(_xlpm.values,1,-2),
_xlpm.X_noConst, LAG(_xlpm.values,1,FALSE),
_xlpm.X_const, ADDCONST(LAG(_xlpm.values,1,FALSE)),
_xlpm.X_constTrend, ADDCONST(ADDTREND(LAG(_xlpm.values,1,FALSE))),
IF(
OR(_xlpm.automatic = "AIC", _xlpm.automatic = "BIC"),
_xlfn.LET(_xlpm.tableIC, HORZCAT(HORZCAT(
OLS_OPTIMAL_LAG(_xlpm.diffValues_1, _xlpm.X_noConst, _xlpm.nLags, FALSE, _xlpm.automatic, TRUE,TRUE),
OLS_OPTIMAL_LAG(_xlpm.diffValues_1, _xlpm.X_const, _xlpm.nLags, FALSE, _xlpm.automatic, TRUE,TRUE)),
OLS_OPTIMAL_LAG(_xlpm.diffValues_1, _xlpm.X_constTrend, _xlpm.nLags, FALSE, _xlpm.automatic, TRUE, TRUE)),
_xlpm.idxRowAndCol, NOZERO(_xlpm.tableIC=MIN(_xlpm.tableIC),1,"FIRST",TRUE),
_xlpm.constant, INDEX(_xlpm.idxRowAndCol,1,2) &gt; 1,
_xlpm.trend, INDEX(_xlpm.idxRowAndCol,1,2) &gt; 2,
_xlpm.pickedX,  CHOOSE(INDEX(_xlpm.idxRowAndCol,1,2), _xlpm.X_noConst, _xlpm.X_const, _xlpm.X_constTrend),
_xlfn.LET(
_xlpm.X, HORZCAT( _xlpm.pickedX, LAG(_xlpm.diffValues_1, INDEX(_xlpm.idxRowAndCol,1,1) - 1,TRUE,TRUE) ),
_xlpm.testResult, _xlfn.LET(_xlpm.matrix, RMMISSING(HORZCAT(_xlpm.diffValues_1,_xlpm.X)), _xlpm.y, INDEX(_xlpm.matrix,0,1), _xlpm.X, SLICE(_xlpm.matrix,0,0,2,-1),SLICE(OLS_COEFF_TSTAT(_xlpm.y, _xlpm.X),-1,-1) &lt; DFTABLE(LENGTH(_xlpm.values), _xlpm.significance, _xlpm.constant, _xlpm.trend)),
_xlpm.testResult
)),
_xlfn.LET(_xlpm.X, _xlfn.IFS(AND(_xlpm.constant,_xlpm.trend), _xlpm.X_constTrend, _xlpm.constant, _xlpm.X_const, _xlpm.trend, #VALUE!, TRUE, _xlpm.X_noConst ),
_xlpm.testResult, _xlfn.LET(_xlpm.matrix, RMMISSING(HORZCAT(_xlpm.diffValues_1,_xlpm.X)), _xlpm.y, INDEX(_xlpm.matrix,0,1), _xlpm.X, SLICE(_xlpm.matrix,0,0,2,-1),SLICE(OLS_COEFF_TSTAT(_xlpm.y, _xlpm.X),-1,-1) &lt; DFTABLE(LENGTH(_xlpm.values), _xlpm.significance, _xlpm.constant, _xlpm.trend)),
_xlpm.testResult
))))($G$15:$G$254,$I$15,$J$15,$K$15,$L$15,$M$15)</f>
        <v>0</v>
      </c>
      <c r="Q15" s="54"/>
      <c r="R15" s="28"/>
      <c r="S15" s="54" t="b" cm="1">
        <f t="array" ref="S15">ISSTATIONARY($G$15:$G$254,$I$15,$J$15,$K$15,$L$15,$M$15)</f>
        <v>0</v>
      </c>
      <c r="T15" s="54" t="b" cm="1">
        <f t="array" ref="T15">ISSTATIONARY($H$16:$H$254,$I$15,$J$15,$K$15,$L$15,$M$15)</f>
        <v>1</v>
      </c>
      <c r="U15" s="54"/>
    </row>
    <row r="16" spans="1:27" x14ac:dyDescent="0.3">
      <c r="D16" t="s">
        <v>179</v>
      </c>
      <c r="F16" s="50">
        <v>37288</v>
      </c>
      <c r="G16" s="53">
        <v>69.7</v>
      </c>
      <c r="H16" s="53">
        <f>G16-G15</f>
        <v>-2.7000000000000028</v>
      </c>
      <c r="P16" s="54"/>
      <c r="Q16" s="54"/>
      <c r="R16" s="54"/>
      <c r="S16" s="54"/>
      <c r="T16" s="54"/>
      <c r="U16" s="54"/>
    </row>
    <row r="17" spans="4:21" x14ac:dyDescent="0.3">
      <c r="D17" t="s">
        <v>157</v>
      </c>
      <c r="F17" s="50">
        <v>37316</v>
      </c>
      <c r="G17" s="53">
        <v>77.400000000000006</v>
      </c>
      <c r="H17" s="53">
        <f t="shared" ref="H17:H80" si="0">G17-G16</f>
        <v>7.7000000000000028</v>
      </c>
      <c r="P17" s="54"/>
      <c r="Q17" s="54"/>
      <c r="R17" s="54"/>
      <c r="S17" s="54"/>
      <c r="T17" s="54"/>
      <c r="U17" s="54"/>
    </row>
    <row r="18" spans="4:21" x14ac:dyDescent="0.3">
      <c r="D18" s="56"/>
      <c r="F18" s="50">
        <v>37347</v>
      </c>
      <c r="G18" s="53">
        <v>79.599999999999994</v>
      </c>
      <c r="H18" s="53">
        <f t="shared" si="0"/>
        <v>2.1999999999999886</v>
      </c>
      <c r="P18" s="54"/>
      <c r="Q18" s="54"/>
      <c r="R18" s="54"/>
      <c r="S18" s="54"/>
      <c r="T18" s="54"/>
      <c r="U18" s="54"/>
    </row>
    <row r="19" spans="4:21" x14ac:dyDescent="0.3">
      <c r="D19" s="56"/>
      <c r="F19" s="50">
        <v>37377</v>
      </c>
      <c r="G19" s="53">
        <v>80.400000000000006</v>
      </c>
      <c r="H19" s="53">
        <f t="shared" si="0"/>
        <v>0.80000000000001137</v>
      </c>
      <c r="P19" s="54"/>
      <c r="Q19" s="54"/>
      <c r="R19" s="54"/>
      <c r="S19" s="54"/>
      <c r="T19" s="54"/>
      <c r="U19" s="54"/>
    </row>
    <row r="20" spans="4:21" x14ac:dyDescent="0.3">
      <c r="D20" s="47"/>
      <c r="F20" s="50">
        <v>37408</v>
      </c>
      <c r="G20" s="53">
        <v>77.5</v>
      </c>
      <c r="H20" s="53">
        <f t="shared" si="0"/>
        <v>-2.9000000000000057</v>
      </c>
      <c r="P20" s="54"/>
      <c r="Q20" s="54"/>
      <c r="R20" s="54"/>
      <c r="S20" s="54"/>
      <c r="T20" s="54"/>
      <c r="U20" s="54"/>
    </row>
    <row r="21" spans="4:21" x14ac:dyDescent="0.3">
      <c r="F21" s="50">
        <v>37438</v>
      </c>
      <c r="G21" s="53">
        <v>83.3</v>
      </c>
      <c r="H21" s="53">
        <f t="shared" si="0"/>
        <v>5.7999999999999972</v>
      </c>
      <c r="P21" s="54"/>
      <c r="Q21" s="54"/>
      <c r="R21" s="54"/>
      <c r="S21" s="54"/>
      <c r="T21" s="54"/>
      <c r="U21" s="54"/>
    </row>
    <row r="22" spans="4:21" x14ac:dyDescent="0.3">
      <c r="F22" s="50">
        <v>37469</v>
      </c>
      <c r="G22" s="53">
        <v>83.6</v>
      </c>
      <c r="H22" s="53">
        <f t="shared" si="0"/>
        <v>0.29999999999999716</v>
      </c>
      <c r="P22" s="54"/>
      <c r="Q22" s="54"/>
      <c r="R22" s="54"/>
      <c r="S22" s="54"/>
      <c r="T22" s="54"/>
      <c r="U22" s="54"/>
    </row>
    <row r="23" spans="4:21" x14ac:dyDescent="0.3">
      <c r="F23" s="50">
        <v>37500</v>
      </c>
      <c r="G23" s="53">
        <v>82.1</v>
      </c>
      <c r="H23" s="53">
        <f t="shared" si="0"/>
        <v>-1.5</v>
      </c>
      <c r="P23" s="54"/>
      <c r="Q23" s="54"/>
      <c r="R23" s="54"/>
      <c r="S23" s="54"/>
      <c r="T23" s="54"/>
      <c r="U23" s="54"/>
    </row>
    <row r="24" spans="4:21" x14ac:dyDescent="0.3">
      <c r="F24" s="50">
        <v>37530</v>
      </c>
      <c r="G24" s="53">
        <v>89.2</v>
      </c>
      <c r="H24" s="53">
        <f t="shared" si="0"/>
        <v>7.1000000000000085</v>
      </c>
      <c r="P24" s="54"/>
      <c r="Q24" s="54"/>
      <c r="R24" s="54"/>
      <c r="S24" s="54"/>
      <c r="T24" s="54"/>
      <c r="U24" s="54"/>
    </row>
    <row r="25" spans="4:21" x14ac:dyDescent="0.3">
      <c r="F25" s="50">
        <v>37561</v>
      </c>
      <c r="G25" s="53">
        <v>83.9</v>
      </c>
      <c r="H25" s="53">
        <f t="shared" si="0"/>
        <v>-5.2999999999999972</v>
      </c>
      <c r="P25" s="54"/>
      <c r="Q25" s="54"/>
      <c r="R25" s="54"/>
      <c r="S25" s="54"/>
      <c r="T25" s="54"/>
      <c r="U25" s="54"/>
    </row>
    <row r="26" spans="4:21" x14ac:dyDescent="0.3">
      <c r="F26" s="50">
        <v>37591</v>
      </c>
      <c r="G26" s="53">
        <v>74.599999999999994</v>
      </c>
      <c r="H26" s="53">
        <f t="shared" si="0"/>
        <v>-9.3000000000000114</v>
      </c>
      <c r="P26" s="54"/>
      <c r="Q26" s="54"/>
      <c r="R26" s="54"/>
      <c r="S26" s="54"/>
      <c r="T26" s="54"/>
      <c r="U26" s="54"/>
    </row>
    <row r="27" spans="4:21" x14ac:dyDescent="0.3">
      <c r="F27" s="50">
        <v>37622</v>
      </c>
      <c r="G27" s="53">
        <v>74</v>
      </c>
      <c r="H27" s="53">
        <f t="shared" si="0"/>
        <v>-0.59999999999999432</v>
      </c>
      <c r="P27" s="54"/>
      <c r="Q27" s="54"/>
      <c r="R27" s="54"/>
      <c r="S27" s="54"/>
      <c r="T27" s="54"/>
      <c r="U27" s="54"/>
    </row>
    <row r="28" spans="4:21" x14ac:dyDescent="0.3">
      <c r="F28" s="50">
        <v>37653</v>
      </c>
      <c r="G28" s="53">
        <v>71.8</v>
      </c>
      <c r="H28" s="53">
        <f t="shared" si="0"/>
        <v>-2.2000000000000028</v>
      </c>
      <c r="P28" s="54"/>
      <c r="Q28" s="54"/>
      <c r="R28" s="54"/>
      <c r="S28" s="54"/>
      <c r="T28" s="54"/>
      <c r="U28" s="54"/>
    </row>
    <row r="29" spans="4:21" x14ac:dyDescent="0.3">
      <c r="F29" s="50">
        <v>37681</v>
      </c>
      <c r="G29" s="53">
        <v>77.400000000000006</v>
      </c>
      <c r="H29" s="53">
        <f t="shared" si="0"/>
        <v>5.6000000000000085</v>
      </c>
      <c r="P29" s="54"/>
      <c r="Q29" s="54"/>
      <c r="R29" s="54"/>
      <c r="S29" s="54"/>
      <c r="T29" s="54"/>
      <c r="U29" s="54"/>
    </row>
    <row r="30" spans="4:21" x14ac:dyDescent="0.3">
      <c r="F30" s="50">
        <v>37712</v>
      </c>
      <c r="G30" s="53">
        <v>76.5</v>
      </c>
      <c r="H30" s="53">
        <f t="shared" si="0"/>
        <v>-0.90000000000000568</v>
      </c>
      <c r="P30" s="54"/>
      <c r="Q30" s="54"/>
      <c r="R30" s="54"/>
      <c r="S30" s="54"/>
      <c r="T30" s="54"/>
      <c r="U30" s="54"/>
    </row>
    <row r="31" spans="4:21" x14ac:dyDescent="0.3">
      <c r="F31" s="50">
        <v>37742</v>
      </c>
      <c r="G31" s="53">
        <v>79.7</v>
      </c>
      <c r="H31" s="53">
        <f t="shared" si="0"/>
        <v>3.2000000000000028</v>
      </c>
      <c r="P31" s="54"/>
      <c r="Q31" s="54"/>
      <c r="R31" s="54"/>
      <c r="S31" s="54"/>
      <c r="T31" s="54"/>
      <c r="U31" s="54"/>
    </row>
    <row r="32" spans="4:21" x14ac:dyDescent="0.3">
      <c r="F32" s="50">
        <v>37773</v>
      </c>
      <c r="G32" s="53">
        <v>76.3</v>
      </c>
      <c r="H32" s="53">
        <f t="shared" si="0"/>
        <v>-3.4000000000000057</v>
      </c>
      <c r="P32" s="54"/>
      <c r="Q32" s="54"/>
      <c r="R32" s="54"/>
      <c r="S32" s="54"/>
      <c r="T32" s="54"/>
      <c r="U32" s="54"/>
    </row>
    <row r="33" spans="6:21" x14ac:dyDescent="0.3">
      <c r="F33" s="50">
        <v>37803</v>
      </c>
      <c r="G33" s="53">
        <v>81.3</v>
      </c>
      <c r="H33" s="53">
        <f t="shared" si="0"/>
        <v>5</v>
      </c>
      <c r="P33" s="54"/>
      <c r="Q33" s="54"/>
      <c r="R33" s="54"/>
      <c r="S33" s="54"/>
      <c r="T33" s="54"/>
      <c r="U33" s="54"/>
    </row>
    <row r="34" spans="6:21" x14ac:dyDescent="0.3">
      <c r="F34" s="50">
        <v>37834</v>
      </c>
      <c r="G34" s="53">
        <v>81.599999999999994</v>
      </c>
      <c r="H34" s="53">
        <f t="shared" si="0"/>
        <v>0.29999999999999716</v>
      </c>
      <c r="P34" s="54"/>
      <c r="Q34" s="54"/>
      <c r="R34" s="54"/>
      <c r="S34" s="54"/>
      <c r="T34" s="54"/>
      <c r="U34" s="54"/>
    </row>
    <row r="35" spans="6:21" x14ac:dyDescent="0.3">
      <c r="F35" s="50">
        <v>37865</v>
      </c>
      <c r="G35" s="53">
        <v>85.7</v>
      </c>
      <c r="H35" s="53">
        <f t="shared" si="0"/>
        <v>4.1000000000000085</v>
      </c>
      <c r="P35" s="54"/>
      <c r="Q35" s="54"/>
      <c r="R35" s="54"/>
      <c r="S35" s="54"/>
      <c r="T35" s="54"/>
      <c r="U35" s="54"/>
    </row>
    <row r="36" spans="6:21" x14ac:dyDescent="0.3">
      <c r="F36" s="50">
        <v>37895</v>
      </c>
      <c r="G36" s="53">
        <v>90</v>
      </c>
      <c r="H36" s="53">
        <f t="shared" si="0"/>
        <v>4.2999999999999972</v>
      </c>
      <c r="P36" s="54"/>
      <c r="Q36" s="54"/>
      <c r="R36" s="54"/>
      <c r="S36" s="54"/>
      <c r="T36" s="54"/>
      <c r="U36" s="54"/>
    </row>
    <row r="37" spans="6:21" x14ac:dyDescent="0.3">
      <c r="F37" s="50">
        <v>37926</v>
      </c>
      <c r="G37" s="53">
        <v>84.6</v>
      </c>
      <c r="H37" s="53">
        <f t="shared" si="0"/>
        <v>-5.4000000000000057</v>
      </c>
      <c r="P37" s="54"/>
      <c r="Q37" s="54"/>
      <c r="R37" s="54"/>
      <c r="S37" s="54"/>
      <c r="T37" s="54"/>
      <c r="U37" s="54"/>
    </row>
    <row r="38" spans="6:21" x14ac:dyDescent="0.3">
      <c r="F38" s="50">
        <v>37956</v>
      </c>
      <c r="G38" s="53">
        <v>77.900000000000006</v>
      </c>
      <c r="H38" s="53">
        <f t="shared" si="0"/>
        <v>-6.6999999999999886</v>
      </c>
      <c r="P38" s="54"/>
      <c r="Q38" s="54"/>
      <c r="R38" s="54"/>
      <c r="S38" s="54"/>
      <c r="T38" s="54"/>
      <c r="U38" s="54"/>
    </row>
    <row r="39" spans="6:21" x14ac:dyDescent="0.3">
      <c r="F39" s="50">
        <v>37987</v>
      </c>
      <c r="G39" s="53">
        <v>76.8</v>
      </c>
      <c r="H39" s="53">
        <f t="shared" si="0"/>
        <v>-1.1000000000000085</v>
      </c>
      <c r="P39" s="54"/>
      <c r="Q39" s="54"/>
      <c r="R39" s="54"/>
      <c r="S39" s="54"/>
      <c r="T39" s="54"/>
      <c r="U39" s="54"/>
    </row>
    <row r="40" spans="6:21" x14ac:dyDescent="0.3">
      <c r="F40" s="50">
        <v>38018</v>
      </c>
      <c r="G40" s="53">
        <v>74</v>
      </c>
      <c r="H40" s="53">
        <f t="shared" si="0"/>
        <v>-2.7999999999999972</v>
      </c>
      <c r="P40" s="54"/>
      <c r="Q40" s="54"/>
      <c r="R40" s="54"/>
      <c r="S40" s="54"/>
      <c r="T40" s="54"/>
      <c r="U40" s="54"/>
    </row>
    <row r="41" spans="6:21" x14ac:dyDescent="0.3">
      <c r="F41" s="50">
        <v>38047</v>
      </c>
      <c r="G41" s="53">
        <v>86.9</v>
      </c>
      <c r="H41" s="53">
        <f t="shared" si="0"/>
        <v>12.900000000000006</v>
      </c>
      <c r="P41" s="54"/>
      <c r="Q41" s="54"/>
      <c r="R41" s="54"/>
      <c r="S41" s="54"/>
      <c r="T41" s="54"/>
      <c r="U41" s="54"/>
    </row>
    <row r="42" spans="6:21" x14ac:dyDescent="0.3">
      <c r="F42" s="50">
        <v>38078</v>
      </c>
      <c r="G42" s="53">
        <v>82.2</v>
      </c>
      <c r="H42" s="53">
        <f t="shared" si="0"/>
        <v>-4.7000000000000028</v>
      </c>
      <c r="P42" s="54"/>
      <c r="Q42" s="54"/>
      <c r="R42" s="54"/>
      <c r="S42" s="54"/>
      <c r="T42" s="54"/>
      <c r="U42" s="54"/>
    </row>
    <row r="43" spans="6:21" x14ac:dyDescent="0.3">
      <c r="F43" s="50">
        <v>38108</v>
      </c>
      <c r="G43" s="53">
        <v>86.3</v>
      </c>
      <c r="H43" s="53">
        <f t="shared" si="0"/>
        <v>4.0999999999999943</v>
      </c>
      <c r="P43" s="54"/>
      <c r="Q43" s="54"/>
      <c r="R43" s="54"/>
      <c r="S43" s="54"/>
      <c r="T43" s="54"/>
      <c r="U43" s="54"/>
    </row>
    <row r="44" spans="6:21" x14ac:dyDescent="0.3">
      <c r="F44" s="50">
        <v>38139</v>
      </c>
      <c r="G44" s="53">
        <v>86.1</v>
      </c>
      <c r="H44" s="53">
        <f t="shared" si="0"/>
        <v>-0.20000000000000284</v>
      </c>
      <c r="P44" s="54"/>
      <c r="Q44" s="54"/>
      <c r="R44" s="54"/>
      <c r="S44" s="54"/>
      <c r="T44" s="54"/>
      <c r="U44" s="54"/>
    </row>
    <row r="45" spans="6:21" x14ac:dyDescent="0.3">
      <c r="F45" s="50">
        <v>38169</v>
      </c>
      <c r="G45" s="53">
        <v>90.1</v>
      </c>
      <c r="H45" s="53">
        <f t="shared" si="0"/>
        <v>4</v>
      </c>
      <c r="P45" s="54"/>
      <c r="Q45" s="54"/>
      <c r="R45" s="54"/>
      <c r="S45" s="54"/>
      <c r="T45" s="54"/>
      <c r="U45" s="54"/>
    </row>
    <row r="46" spans="6:21" x14ac:dyDescent="0.3">
      <c r="F46" s="50">
        <v>38200</v>
      </c>
      <c r="G46" s="53">
        <v>92.1</v>
      </c>
      <c r="H46" s="53">
        <f t="shared" si="0"/>
        <v>2</v>
      </c>
      <c r="P46" s="54"/>
      <c r="Q46" s="54"/>
      <c r="R46" s="54"/>
      <c r="S46" s="54"/>
      <c r="T46" s="54"/>
      <c r="U46" s="54"/>
    </row>
    <row r="47" spans="6:21" x14ac:dyDescent="0.3">
      <c r="F47" s="50">
        <v>38231</v>
      </c>
      <c r="G47" s="53">
        <v>92.1</v>
      </c>
      <c r="H47" s="53">
        <f t="shared" si="0"/>
        <v>0</v>
      </c>
      <c r="P47" s="54"/>
      <c r="Q47" s="54"/>
      <c r="R47" s="54"/>
      <c r="S47" s="54"/>
      <c r="T47" s="54"/>
      <c r="U47" s="54"/>
    </row>
    <row r="48" spans="6:21" x14ac:dyDescent="0.3">
      <c r="F48" s="50">
        <v>38261</v>
      </c>
      <c r="G48" s="53">
        <v>93.5</v>
      </c>
      <c r="H48" s="53">
        <f t="shared" si="0"/>
        <v>1.4000000000000057</v>
      </c>
      <c r="P48" s="54"/>
      <c r="Q48" s="54"/>
      <c r="R48" s="54"/>
      <c r="S48" s="54"/>
      <c r="T48" s="54"/>
      <c r="U48" s="54"/>
    </row>
    <row r="49" spans="6:21" x14ac:dyDescent="0.3">
      <c r="F49" s="50">
        <v>38292</v>
      </c>
      <c r="G49" s="53">
        <v>91.8</v>
      </c>
      <c r="H49" s="53">
        <f t="shared" si="0"/>
        <v>-1.7000000000000028</v>
      </c>
      <c r="P49" s="54"/>
      <c r="Q49" s="54"/>
      <c r="R49" s="54"/>
      <c r="S49" s="54"/>
      <c r="T49" s="54"/>
      <c r="U49" s="54"/>
    </row>
    <row r="50" spans="6:21" x14ac:dyDescent="0.3">
      <c r="F50" s="50">
        <v>38322</v>
      </c>
      <c r="G50" s="53">
        <v>84.7</v>
      </c>
      <c r="H50" s="53">
        <f t="shared" si="0"/>
        <v>-7.0999999999999943</v>
      </c>
      <c r="P50" s="54"/>
      <c r="Q50" s="54"/>
      <c r="R50" s="54"/>
      <c r="S50" s="54"/>
      <c r="T50" s="54"/>
      <c r="U50" s="54"/>
    </row>
    <row r="51" spans="6:21" x14ac:dyDescent="0.3">
      <c r="F51" s="50">
        <v>38353</v>
      </c>
      <c r="G51" s="53">
        <v>81</v>
      </c>
      <c r="H51" s="53">
        <f t="shared" si="0"/>
        <v>-3.7000000000000028</v>
      </c>
      <c r="P51" s="54"/>
      <c r="Q51" s="54"/>
      <c r="R51" s="54"/>
      <c r="S51" s="54"/>
      <c r="T51" s="54"/>
      <c r="U51" s="54"/>
    </row>
    <row r="52" spans="6:21" x14ac:dyDescent="0.3">
      <c r="F52" s="50">
        <v>38384</v>
      </c>
      <c r="G52" s="53">
        <v>76.400000000000006</v>
      </c>
      <c r="H52" s="53">
        <f t="shared" si="0"/>
        <v>-4.5999999999999943</v>
      </c>
      <c r="P52" s="54"/>
      <c r="Q52" s="54"/>
      <c r="R52" s="54"/>
      <c r="S52" s="54"/>
      <c r="T52" s="54"/>
      <c r="U52" s="54"/>
    </row>
    <row r="53" spans="6:21" x14ac:dyDescent="0.3">
      <c r="F53" s="50">
        <v>38412</v>
      </c>
      <c r="G53" s="53">
        <v>88</v>
      </c>
      <c r="H53" s="53">
        <f t="shared" si="0"/>
        <v>11.599999999999994</v>
      </c>
      <c r="P53" s="54"/>
      <c r="Q53" s="54"/>
      <c r="R53" s="54"/>
      <c r="S53" s="54"/>
      <c r="T53" s="54"/>
      <c r="U53" s="54"/>
    </row>
    <row r="54" spans="6:21" x14ac:dyDescent="0.3">
      <c r="F54" s="50">
        <v>38443</v>
      </c>
      <c r="G54" s="53">
        <v>87</v>
      </c>
      <c r="H54" s="53">
        <f t="shared" si="0"/>
        <v>-1</v>
      </c>
      <c r="P54" s="54"/>
      <c r="Q54" s="54"/>
      <c r="R54" s="54"/>
      <c r="S54" s="54"/>
      <c r="T54" s="54"/>
      <c r="U54" s="54"/>
    </row>
    <row r="55" spans="6:21" x14ac:dyDescent="0.3">
      <c r="F55" s="50">
        <v>38473</v>
      </c>
      <c r="G55" s="53">
        <v>91.1</v>
      </c>
      <c r="H55" s="53">
        <f t="shared" si="0"/>
        <v>4.0999999999999943</v>
      </c>
      <c r="P55" s="54"/>
      <c r="Q55" s="54"/>
      <c r="R55" s="54"/>
      <c r="S55" s="54"/>
      <c r="T55" s="54"/>
      <c r="U55" s="54"/>
    </row>
    <row r="56" spans="6:21" x14ac:dyDescent="0.3">
      <c r="F56" s="50">
        <v>38504</v>
      </c>
      <c r="G56" s="53">
        <v>91.4</v>
      </c>
      <c r="H56" s="53">
        <f t="shared" si="0"/>
        <v>0.30000000000001137</v>
      </c>
      <c r="P56" s="54"/>
      <c r="Q56" s="54"/>
      <c r="R56" s="54"/>
      <c r="S56" s="54"/>
      <c r="T56" s="54"/>
      <c r="U56" s="54"/>
    </row>
    <row r="57" spans="6:21" x14ac:dyDescent="0.3">
      <c r="F57" s="50">
        <v>38534</v>
      </c>
      <c r="G57" s="53">
        <v>90.5</v>
      </c>
      <c r="H57" s="53">
        <f t="shared" si="0"/>
        <v>-0.90000000000000568</v>
      </c>
      <c r="P57" s="54"/>
      <c r="Q57" s="54"/>
      <c r="R57" s="54"/>
      <c r="S57" s="54"/>
      <c r="T57" s="54"/>
      <c r="U57" s="54"/>
    </row>
    <row r="58" spans="6:21" x14ac:dyDescent="0.3">
      <c r="F58" s="50">
        <v>38565</v>
      </c>
      <c r="G58" s="53">
        <v>95.6</v>
      </c>
      <c r="H58" s="53">
        <f t="shared" si="0"/>
        <v>5.0999999999999943</v>
      </c>
      <c r="P58" s="54"/>
      <c r="Q58" s="54"/>
      <c r="R58" s="54"/>
      <c r="S58" s="54"/>
      <c r="T58" s="54"/>
      <c r="U58" s="54"/>
    </row>
    <row r="59" spans="6:21" x14ac:dyDescent="0.3">
      <c r="F59" s="50">
        <v>38596</v>
      </c>
      <c r="G59" s="53">
        <v>92</v>
      </c>
      <c r="H59" s="53">
        <f t="shared" si="0"/>
        <v>-3.5999999999999943</v>
      </c>
      <c r="P59" s="54"/>
      <c r="Q59" s="54"/>
      <c r="R59" s="54"/>
      <c r="S59" s="54"/>
      <c r="T59" s="54"/>
      <c r="U59" s="54"/>
    </row>
    <row r="60" spans="6:21" x14ac:dyDescent="0.3">
      <c r="F60" s="50">
        <v>38626</v>
      </c>
      <c r="G60" s="53">
        <v>93.7</v>
      </c>
      <c r="H60" s="53">
        <f t="shared" si="0"/>
        <v>1.7000000000000028</v>
      </c>
      <c r="P60" s="54"/>
      <c r="Q60" s="54"/>
      <c r="R60" s="54"/>
      <c r="S60" s="54"/>
      <c r="T60" s="54"/>
      <c r="U60" s="54"/>
    </row>
    <row r="61" spans="6:21" x14ac:dyDescent="0.3">
      <c r="F61" s="50">
        <v>38657</v>
      </c>
      <c r="G61" s="53">
        <v>92.4</v>
      </c>
      <c r="H61" s="53">
        <f t="shared" si="0"/>
        <v>-1.2999999999999972</v>
      </c>
      <c r="P61" s="54"/>
      <c r="Q61" s="54"/>
      <c r="R61" s="54"/>
      <c r="S61" s="54"/>
      <c r="T61" s="54"/>
      <c r="U61" s="54"/>
    </row>
    <row r="62" spans="6:21" x14ac:dyDescent="0.3">
      <c r="F62" s="50">
        <v>38687</v>
      </c>
      <c r="G62" s="53">
        <v>86.6</v>
      </c>
      <c r="H62" s="53">
        <f t="shared" si="0"/>
        <v>-5.8000000000000114</v>
      </c>
      <c r="P62" s="54"/>
      <c r="Q62" s="54"/>
      <c r="R62" s="54"/>
      <c r="S62" s="54"/>
      <c r="T62" s="54"/>
      <c r="U62" s="54"/>
    </row>
    <row r="63" spans="6:21" x14ac:dyDescent="0.3">
      <c r="F63" s="50">
        <v>38718</v>
      </c>
      <c r="G63" s="53">
        <v>83.7</v>
      </c>
      <c r="H63" s="53">
        <f t="shared" si="0"/>
        <v>-2.8999999999999915</v>
      </c>
      <c r="P63" s="54"/>
      <c r="Q63" s="54"/>
      <c r="R63" s="54"/>
      <c r="S63" s="54"/>
      <c r="T63" s="54"/>
      <c r="U63" s="54"/>
    </row>
    <row r="64" spans="6:21" x14ac:dyDescent="0.3">
      <c r="F64" s="50">
        <v>38749</v>
      </c>
      <c r="G64" s="53">
        <v>80.2</v>
      </c>
      <c r="H64" s="53">
        <f t="shared" si="0"/>
        <v>-3.5</v>
      </c>
      <c r="P64" s="54"/>
      <c r="Q64" s="54"/>
      <c r="R64" s="54"/>
      <c r="S64" s="54"/>
      <c r="T64" s="54"/>
      <c r="U64" s="54"/>
    </row>
    <row r="65" spans="6:21" x14ac:dyDescent="0.3">
      <c r="F65" s="50">
        <v>38777</v>
      </c>
      <c r="G65" s="53">
        <v>92.4</v>
      </c>
      <c r="H65" s="53">
        <f t="shared" si="0"/>
        <v>12.200000000000003</v>
      </c>
      <c r="P65" s="54"/>
      <c r="Q65" s="54"/>
      <c r="R65" s="54"/>
      <c r="S65" s="54"/>
      <c r="T65" s="54"/>
      <c r="U65" s="54"/>
    </row>
    <row r="66" spans="6:21" x14ac:dyDescent="0.3">
      <c r="F66" s="50">
        <v>38808</v>
      </c>
      <c r="G66" s="53">
        <v>85.7</v>
      </c>
      <c r="H66" s="53">
        <f t="shared" si="0"/>
        <v>-6.7000000000000028</v>
      </c>
      <c r="P66" s="54"/>
      <c r="Q66" s="54"/>
      <c r="R66" s="54"/>
      <c r="S66" s="54"/>
      <c r="T66" s="54"/>
      <c r="U66" s="54"/>
    </row>
    <row r="67" spans="6:21" x14ac:dyDescent="0.3">
      <c r="F67" s="50">
        <v>38838</v>
      </c>
      <c r="G67" s="53">
        <v>95.4</v>
      </c>
      <c r="H67" s="53">
        <f t="shared" si="0"/>
        <v>9.7000000000000028</v>
      </c>
      <c r="P67" s="54"/>
      <c r="Q67" s="54"/>
      <c r="R67" s="54"/>
      <c r="S67" s="54"/>
      <c r="T67" s="54"/>
      <c r="U67" s="54"/>
    </row>
    <row r="68" spans="6:21" x14ac:dyDescent="0.3">
      <c r="F68" s="50">
        <v>38869</v>
      </c>
      <c r="G68" s="53">
        <v>91.1</v>
      </c>
      <c r="H68" s="53">
        <f t="shared" si="0"/>
        <v>-4.3000000000000114</v>
      </c>
      <c r="P68" s="54"/>
      <c r="Q68" s="54"/>
      <c r="R68" s="54"/>
      <c r="S68" s="54"/>
      <c r="T68" s="54"/>
      <c r="U68" s="54"/>
    </row>
    <row r="69" spans="6:21" x14ac:dyDescent="0.3">
      <c r="F69" s="50">
        <v>38899</v>
      </c>
      <c r="G69" s="53">
        <v>93.8</v>
      </c>
      <c r="H69" s="53">
        <f t="shared" si="0"/>
        <v>2.7000000000000028</v>
      </c>
      <c r="P69" s="54"/>
      <c r="Q69" s="54"/>
      <c r="R69" s="54"/>
      <c r="S69" s="54"/>
      <c r="T69" s="54"/>
      <c r="U69" s="54"/>
    </row>
    <row r="70" spans="6:21" x14ac:dyDescent="0.3">
      <c r="F70" s="50">
        <v>38930</v>
      </c>
      <c r="G70" s="53">
        <v>98.6</v>
      </c>
      <c r="H70" s="53">
        <f t="shared" si="0"/>
        <v>4.7999999999999972</v>
      </c>
      <c r="P70" s="54"/>
      <c r="Q70" s="54"/>
      <c r="R70" s="54"/>
      <c r="S70" s="54"/>
      <c r="T70" s="54"/>
      <c r="U70" s="54"/>
    </row>
    <row r="71" spans="6:21" x14ac:dyDescent="0.3">
      <c r="F71" s="50">
        <v>38961</v>
      </c>
      <c r="G71" s="53">
        <v>93.2</v>
      </c>
      <c r="H71" s="53">
        <f t="shared" si="0"/>
        <v>-5.3999999999999915</v>
      </c>
      <c r="P71" s="54"/>
      <c r="Q71" s="54"/>
      <c r="R71" s="54"/>
      <c r="S71" s="54"/>
      <c r="T71" s="54"/>
      <c r="U71" s="54"/>
    </row>
    <row r="72" spans="6:21" x14ac:dyDescent="0.3">
      <c r="F72" s="50">
        <v>38991</v>
      </c>
      <c r="G72" s="53">
        <v>97.5</v>
      </c>
      <c r="H72" s="53">
        <f t="shared" si="0"/>
        <v>4.2999999999999972</v>
      </c>
      <c r="P72" s="54"/>
      <c r="Q72" s="54"/>
      <c r="R72" s="54"/>
      <c r="S72" s="54"/>
      <c r="T72" s="54"/>
      <c r="U72" s="54"/>
    </row>
    <row r="73" spans="6:21" x14ac:dyDescent="0.3">
      <c r="F73" s="50">
        <v>39022</v>
      </c>
      <c r="G73" s="53">
        <v>95.9</v>
      </c>
      <c r="H73" s="53">
        <f t="shared" si="0"/>
        <v>-1.5999999999999943</v>
      </c>
      <c r="P73" s="54"/>
      <c r="Q73" s="54"/>
      <c r="R73" s="54"/>
      <c r="S73" s="54"/>
      <c r="T73" s="54"/>
      <c r="U73" s="54"/>
    </row>
    <row r="74" spans="6:21" x14ac:dyDescent="0.3">
      <c r="F74" s="50">
        <v>39052</v>
      </c>
      <c r="G74" s="53">
        <v>87</v>
      </c>
      <c r="H74" s="53">
        <f t="shared" si="0"/>
        <v>-8.9000000000000057</v>
      </c>
      <c r="P74" s="54"/>
      <c r="Q74" s="54"/>
      <c r="R74" s="54"/>
      <c r="S74" s="54"/>
      <c r="T74" s="54"/>
      <c r="U74" s="54"/>
    </row>
    <row r="75" spans="6:21" x14ac:dyDescent="0.3">
      <c r="F75" s="50">
        <v>39083</v>
      </c>
      <c r="G75" s="53">
        <v>87</v>
      </c>
      <c r="H75" s="53">
        <f t="shared" si="0"/>
        <v>0</v>
      </c>
      <c r="P75" s="54"/>
      <c r="Q75" s="54"/>
      <c r="R75" s="54"/>
      <c r="S75" s="54"/>
      <c r="T75" s="54"/>
      <c r="U75" s="54"/>
    </row>
    <row r="76" spans="6:21" x14ac:dyDescent="0.3">
      <c r="F76" s="50">
        <v>39114</v>
      </c>
      <c r="G76" s="53">
        <v>82.6</v>
      </c>
      <c r="H76" s="53">
        <f t="shared" si="0"/>
        <v>-4.4000000000000057</v>
      </c>
      <c r="P76" s="54"/>
      <c r="Q76" s="54"/>
      <c r="R76" s="54"/>
      <c r="S76" s="54"/>
      <c r="T76" s="54"/>
      <c r="U76" s="54"/>
    </row>
    <row r="77" spans="6:21" x14ac:dyDescent="0.3">
      <c r="F77" s="50">
        <v>39142</v>
      </c>
      <c r="G77" s="53">
        <v>96.4</v>
      </c>
      <c r="H77" s="53">
        <f t="shared" si="0"/>
        <v>13.800000000000011</v>
      </c>
      <c r="P77" s="54"/>
      <c r="Q77" s="54"/>
      <c r="R77" s="54"/>
      <c r="S77" s="54"/>
      <c r="T77" s="54"/>
      <c r="U77" s="54"/>
    </row>
    <row r="78" spans="6:21" x14ac:dyDescent="0.3">
      <c r="F78" s="50">
        <v>39173</v>
      </c>
      <c r="G78" s="53">
        <v>90.6</v>
      </c>
      <c r="H78" s="53">
        <f t="shared" si="0"/>
        <v>-5.8000000000000114</v>
      </c>
      <c r="P78" s="54"/>
      <c r="Q78" s="54"/>
      <c r="R78" s="54"/>
      <c r="S78" s="54"/>
      <c r="T78" s="54"/>
      <c r="U78" s="54"/>
    </row>
    <row r="79" spans="6:21" x14ac:dyDescent="0.3">
      <c r="F79" s="50">
        <v>39203</v>
      </c>
      <c r="G79" s="53">
        <v>99.9</v>
      </c>
      <c r="H79" s="53">
        <f t="shared" si="0"/>
        <v>9.3000000000000114</v>
      </c>
      <c r="P79" s="54"/>
      <c r="Q79" s="54"/>
      <c r="R79" s="54"/>
      <c r="S79" s="54"/>
      <c r="T79" s="54"/>
      <c r="U79" s="54"/>
    </row>
    <row r="80" spans="6:21" x14ac:dyDescent="0.3">
      <c r="F80" s="50">
        <v>39234</v>
      </c>
      <c r="G80" s="53">
        <v>96.9</v>
      </c>
      <c r="H80" s="53">
        <f t="shared" si="0"/>
        <v>-3</v>
      </c>
      <c r="P80" s="54"/>
      <c r="Q80" s="54"/>
      <c r="R80" s="54"/>
      <c r="S80" s="54"/>
      <c r="T80" s="54"/>
      <c r="U80" s="54"/>
    </row>
    <row r="81" spans="6:21" x14ac:dyDescent="0.3">
      <c r="F81" s="50">
        <v>39264</v>
      </c>
      <c r="G81" s="53">
        <v>99.8</v>
      </c>
      <c r="H81" s="53">
        <f t="shared" ref="H81:H144" si="1">G81-G80</f>
        <v>2.8999999999999915</v>
      </c>
      <c r="P81" s="54"/>
      <c r="Q81" s="54"/>
      <c r="R81" s="54"/>
      <c r="S81" s="54"/>
      <c r="T81" s="54"/>
      <c r="U81" s="54"/>
    </row>
    <row r="82" spans="6:21" x14ac:dyDescent="0.3">
      <c r="F82" s="50">
        <v>39295</v>
      </c>
      <c r="G82" s="53">
        <v>104.9</v>
      </c>
      <c r="H82" s="53">
        <f t="shared" si="1"/>
        <v>5.1000000000000085</v>
      </c>
      <c r="P82" s="54"/>
      <c r="Q82" s="54"/>
      <c r="R82" s="54"/>
      <c r="S82" s="54"/>
      <c r="T82" s="54"/>
      <c r="U82" s="54"/>
    </row>
    <row r="83" spans="6:21" x14ac:dyDescent="0.3">
      <c r="F83" s="50">
        <v>39326</v>
      </c>
      <c r="G83" s="53">
        <v>98.4</v>
      </c>
      <c r="H83" s="53">
        <f t="shared" si="1"/>
        <v>-6.5</v>
      </c>
      <c r="P83" s="54"/>
      <c r="Q83" s="54"/>
      <c r="R83" s="54"/>
      <c r="S83" s="54"/>
      <c r="T83" s="54"/>
      <c r="U83" s="54"/>
    </row>
    <row r="84" spans="6:21" x14ac:dyDescent="0.3">
      <c r="F84" s="50">
        <v>39356</v>
      </c>
      <c r="G84" s="53">
        <v>107.8</v>
      </c>
      <c r="H84" s="53">
        <f t="shared" si="1"/>
        <v>9.3999999999999915</v>
      </c>
      <c r="P84" s="54"/>
      <c r="Q84" s="54"/>
      <c r="R84" s="54"/>
      <c r="S84" s="54"/>
      <c r="T84" s="54"/>
      <c r="U84" s="54"/>
    </row>
    <row r="85" spans="6:21" x14ac:dyDescent="0.3">
      <c r="F85" s="50">
        <v>39387</v>
      </c>
      <c r="G85" s="53">
        <v>102.4</v>
      </c>
      <c r="H85" s="53">
        <f t="shared" si="1"/>
        <v>-5.3999999999999915</v>
      </c>
      <c r="P85" s="54"/>
      <c r="Q85" s="54"/>
      <c r="R85" s="54"/>
      <c r="S85" s="54"/>
      <c r="T85" s="54"/>
      <c r="U85" s="54"/>
    </row>
    <row r="86" spans="6:21" x14ac:dyDescent="0.3">
      <c r="F86" s="50">
        <v>39417</v>
      </c>
      <c r="G86" s="53">
        <v>92.6</v>
      </c>
      <c r="H86" s="53">
        <f t="shared" si="1"/>
        <v>-9.8000000000000114</v>
      </c>
      <c r="P86" s="54"/>
      <c r="Q86" s="54"/>
      <c r="R86" s="54"/>
      <c r="S86" s="54"/>
      <c r="T86" s="54"/>
      <c r="U86" s="54"/>
    </row>
    <row r="87" spans="6:21" x14ac:dyDescent="0.3">
      <c r="F87" s="50">
        <v>39448</v>
      </c>
      <c r="G87" s="53">
        <v>94.8</v>
      </c>
      <c r="H87" s="53">
        <f t="shared" si="1"/>
        <v>2.2000000000000028</v>
      </c>
      <c r="P87" s="54"/>
      <c r="Q87" s="54"/>
      <c r="R87" s="54"/>
      <c r="S87" s="54"/>
      <c r="T87" s="54"/>
      <c r="U87" s="54"/>
    </row>
    <row r="88" spans="6:21" x14ac:dyDescent="0.3">
      <c r="F88" s="50">
        <v>39479</v>
      </c>
      <c r="G88" s="53">
        <v>91.1</v>
      </c>
      <c r="H88" s="53">
        <f t="shared" si="1"/>
        <v>-3.7000000000000028</v>
      </c>
      <c r="P88" s="54"/>
      <c r="Q88" s="54"/>
      <c r="R88" s="54"/>
      <c r="S88" s="54"/>
      <c r="T88" s="54"/>
      <c r="U88" s="54"/>
    </row>
    <row r="89" spans="6:21" x14ac:dyDescent="0.3">
      <c r="F89" s="50">
        <v>39508</v>
      </c>
      <c r="G89" s="53">
        <v>97.7</v>
      </c>
      <c r="H89" s="53">
        <f t="shared" si="1"/>
        <v>6.6000000000000085</v>
      </c>
      <c r="P89" s="54"/>
      <c r="Q89" s="54"/>
      <c r="R89" s="54"/>
      <c r="S89" s="54"/>
      <c r="T89" s="54"/>
      <c r="U89" s="54"/>
    </row>
    <row r="90" spans="6:21" x14ac:dyDescent="0.3">
      <c r="F90" s="50">
        <v>39539</v>
      </c>
      <c r="G90" s="53">
        <v>99.2</v>
      </c>
      <c r="H90" s="53">
        <f t="shared" si="1"/>
        <v>1.5</v>
      </c>
      <c r="P90" s="54"/>
      <c r="Q90" s="54"/>
      <c r="R90" s="54"/>
      <c r="S90" s="54"/>
      <c r="T90" s="54"/>
      <c r="U90" s="54"/>
    </row>
    <row r="91" spans="6:21" x14ac:dyDescent="0.3">
      <c r="F91" s="50">
        <v>39569</v>
      </c>
      <c r="G91" s="53">
        <v>102.5</v>
      </c>
      <c r="H91" s="53">
        <f t="shared" si="1"/>
        <v>3.2999999999999972</v>
      </c>
      <c r="P91" s="54"/>
      <c r="Q91" s="54"/>
      <c r="R91" s="54"/>
      <c r="S91" s="54"/>
      <c r="T91" s="54"/>
      <c r="U91" s="54"/>
    </row>
    <row r="92" spans="6:21" x14ac:dyDescent="0.3">
      <c r="F92" s="50">
        <v>39600</v>
      </c>
      <c r="G92" s="53">
        <v>103.3</v>
      </c>
      <c r="H92" s="53">
        <f t="shared" si="1"/>
        <v>0.79999999999999716</v>
      </c>
      <c r="P92" s="54"/>
      <c r="Q92" s="54"/>
      <c r="R92" s="54"/>
      <c r="S92" s="54"/>
      <c r="T92" s="54"/>
      <c r="U92" s="54"/>
    </row>
    <row r="93" spans="6:21" x14ac:dyDescent="0.3">
      <c r="F93" s="50">
        <v>39630</v>
      </c>
      <c r="G93" s="53">
        <v>108.5</v>
      </c>
      <c r="H93" s="53">
        <f t="shared" si="1"/>
        <v>5.2000000000000028</v>
      </c>
      <c r="P93" s="54"/>
      <c r="Q93" s="54"/>
      <c r="R93" s="54"/>
      <c r="S93" s="54"/>
      <c r="T93" s="54"/>
      <c r="U93" s="54"/>
    </row>
    <row r="94" spans="6:21" x14ac:dyDescent="0.3">
      <c r="F94" s="50">
        <v>39661</v>
      </c>
      <c r="G94" s="53">
        <v>106.9</v>
      </c>
      <c r="H94" s="53">
        <f t="shared" si="1"/>
        <v>-1.5999999999999943</v>
      </c>
      <c r="P94" s="54"/>
      <c r="Q94" s="54"/>
      <c r="R94" s="54"/>
      <c r="S94" s="54"/>
      <c r="T94" s="54"/>
      <c r="U94" s="54"/>
    </row>
    <row r="95" spans="6:21" x14ac:dyDescent="0.3">
      <c r="F95" s="50">
        <v>39692</v>
      </c>
      <c r="G95" s="53">
        <v>107.3</v>
      </c>
      <c r="H95" s="53">
        <f t="shared" si="1"/>
        <v>0.39999999999999147</v>
      </c>
      <c r="P95" s="54"/>
      <c r="Q95" s="54"/>
      <c r="R95" s="54"/>
      <c r="S95" s="54"/>
      <c r="T95" s="54"/>
      <c r="U95" s="54"/>
    </row>
    <row r="96" spans="6:21" x14ac:dyDescent="0.3">
      <c r="F96" s="50">
        <v>39722</v>
      </c>
      <c r="G96" s="53">
        <v>108.4</v>
      </c>
      <c r="H96" s="53">
        <f t="shared" si="1"/>
        <v>1.1000000000000085</v>
      </c>
      <c r="P96" s="54"/>
      <c r="Q96" s="54"/>
      <c r="R96" s="54"/>
      <c r="S96" s="54"/>
      <c r="T96" s="54"/>
      <c r="U96" s="54"/>
    </row>
    <row r="97" spans="6:21" x14ac:dyDescent="0.3">
      <c r="F97" s="50">
        <v>39753</v>
      </c>
      <c r="G97" s="53">
        <v>96.2</v>
      </c>
      <c r="H97" s="53">
        <f t="shared" si="1"/>
        <v>-12.200000000000003</v>
      </c>
      <c r="P97" s="54"/>
      <c r="Q97" s="54"/>
      <c r="R97" s="54"/>
      <c r="S97" s="54"/>
      <c r="T97" s="54"/>
      <c r="U97" s="54"/>
    </row>
    <row r="98" spans="6:21" x14ac:dyDescent="0.3">
      <c r="F98" s="50">
        <v>39783</v>
      </c>
      <c r="G98" s="53">
        <v>79.099999999999994</v>
      </c>
      <c r="H98" s="53">
        <f t="shared" si="1"/>
        <v>-17.100000000000009</v>
      </c>
      <c r="P98" s="54"/>
      <c r="Q98" s="54"/>
      <c r="R98" s="54"/>
      <c r="S98" s="54"/>
      <c r="T98" s="54"/>
      <c r="U98" s="54"/>
    </row>
    <row r="99" spans="6:21" x14ac:dyDescent="0.3">
      <c r="F99" s="50">
        <v>39814</v>
      </c>
      <c r="G99" s="53">
        <v>78.7</v>
      </c>
      <c r="H99" s="53">
        <f t="shared" si="1"/>
        <v>-0.39999999999999147</v>
      </c>
      <c r="P99" s="54"/>
      <c r="Q99" s="54"/>
      <c r="R99" s="54"/>
      <c r="S99" s="54"/>
      <c r="T99" s="54"/>
      <c r="U99" s="54"/>
    </row>
    <row r="100" spans="6:21" x14ac:dyDescent="0.3">
      <c r="F100" s="50">
        <v>39845</v>
      </c>
      <c r="G100" s="53">
        <v>76.099999999999994</v>
      </c>
      <c r="H100" s="53">
        <f t="shared" si="1"/>
        <v>-2.6000000000000085</v>
      </c>
      <c r="P100" s="54"/>
      <c r="Q100" s="54"/>
      <c r="R100" s="54"/>
      <c r="S100" s="54"/>
      <c r="T100" s="54"/>
      <c r="U100" s="54"/>
    </row>
    <row r="101" spans="6:21" x14ac:dyDescent="0.3">
      <c r="F101" s="50">
        <v>39873</v>
      </c>
      <c r="G101" s="53">
        <v>88.6</v>
      </c>
      <c r="H101" s="53">
        <f t="shared" si="1"/>
        <v>12.5</v>
      </c>
      <c r="P101" s="54"/>
      <c r="Q101" s="54"/>
      <c r="R101" s="54"/>
      <c r="S101" s="54"/>
      <c r="T101" s="54"/>
      <c r="U101" s="54"/>
    </row>
    <row r="102" spans="6:21" x14ac:dyDescent="0.3">
      <c r="F102" s="50">
        <v>39904</v>
      </c>
      <c r="G102" s="53">
        <v>85.2</v>
      </c>
      <c r="H102" s="53">
        <f t="shared" si="1"/>
        <v>-3.3999999999999915</v>
      </c>
      <c r="P102" s="54"/>
      <c r="Q102" s="54"/>
      <c r="R102" s="54"/>
      <c r="S102" s="54"/>
      <c r="T102" s="54"/>
      <c r="U102" s="54"/>
    </row>
    <row r="103" spans="6:21" x14ac:dyDescent="0.3">
      <c r="F103" s="50">
        <v>39934</v>
      </c>
      <c r="G103" s="53">
        <v>91.3</v>
      </c>
      <c r="H103" s="53">
        <f t="shared" si="1"/>
        <v>6.0999999999999943</v>
      </c>
      <c r="P103" s="54"/>
      <c r="Q103" s="54"/>
      <c r="R103" s="54"/>
      <c r="S103" s="54"/>
      <c r="T103" s="54"/>
      <c r="U103" s="54"/>
    </row>
    <row r="104" spans="6:21" x14ac:dyDescent="0.3">
      <c r="F104" s="50">
        <v>39965</v>
      </c>
      <c r="G104" s="53">
        <v>92.2</v>
      </c>
      <c r="H104" s="53">
        <f t="shared" si="1"/>
        <v>0.90000000000000568</v>
      </c>
      <c r="P104" s="54"/>
      <c r="Q104" s="54"/>
      <c r="R104" s="54"/>
      <c r="S104" s="54"/>
      <c r="T104" s="54"/>
      <c r="U104" s="54"/>
    </row>
    <row r="105" spans="6:21" x14ac:dyDescent="0.3">
      <c r="F105" s="50">
        <v>39995</v>
      </c>
      <c r="G105" s="53">
        <v>97.7</v>
      </c>
      <c r="H105" s="53">
        <f t="shared" si="1"/>
        <v>5.5</v>
      </c>
      <c r="P105" s="54"/>
      <c r="Q105" s="54"/>
      <c r="R105" s="54"/>
      <c r="S105" s="54"/>
      <c r="T105" s="54"/>
      <c r="U105" s="54"/>
    </row>
    <row r="106" spans="6:21" x14ac:dyDescent="0.3">
      <c r="F106" s="50">
        <v>40026</v>
      </c>
      <c r="G106" s="53">
        <v>99.6</v>
      </c>
      <c r="H106" s="53">
        <f t="shared" si="1"/>
        <v>1.8999999999999915</v>
      </c>
      <c r="P106" s="54"/>
      <c r="Q106" s="54"/>
      <c r="R106" s="54"/>
      <c r="S106" s="54"/>
      <c r="T106" s="54"/>
      <c r="U106" s="54"/>
    </row>
    <row r="107" spans="6:21" x14ac:dyDescent="0.3">
      <c r="F107" s="50">
        <v>40057</v>
      </c>
      <c r="G107" s="53">
        <v>99.4</v>
      </c>
      <c r="H107" s="53">
        <f t="shared" si="1"/>
        <v>-0.19999999999998863</v>
      </c>
      <c r="P107" s="54"/>
      <c r="Q107" s="54"/>
      <c r="R107" s="54"/>
      <c r="S107" s="54"/>
      <c r="T107" s="54"/>
      <c r="U107" s="54"/>
    </row>
    <row r="108" spans="6:21" x14ac:dyDescent="0.3">
      <c r="F108" s="50">
        <v>40087</v>
      </c>
      <c r="G108" s="53">
        <v>105.6</v>
      </c>
      <c r="H108" s="53">
        <f t="shared" si="1"/>
        <v>6.1999999999999886</v>
      </c>
      <c r="P108" s="54"/>
      <c r="Q108" s="54"/>
      <c r="R108" s="54"/>
      <c r="S108" s="54"/>
      <c r="T108" s="54"/>
      <c r="U108" s="54"/>
    </row>
    <row r="109" spans="6:21" x14ac:dyDescent="0.3">
      <c r="F109" s="50">
        <v>40118</v>
      </c>
      <c r="G109" s="53">
        <v>101.4</v>
      </c>
      <c r="H109" s="53">
        <f t="shared" si="1"/>
        <v>-4.1999999999999886</v>
      </c>
      <c r="P109" s="54"/>
      <c r="Q109" s="54"/>
      <c r="R109" s="54"/>
      <c r="S109" s="54"/>
      <c r="T109" s="54"/>
      <c r="U109" s="54"/>
    </row>
    <row r="110" spans="6:21" x14ac:dyDescent="0.3">
      <c r="F110" s="50">
        <v>40148</v>
      </c>
      <c r="G110" s="53">
        <v>94.1</v>
      </c>
      <c r="H110" s="53">
        <f t="shared" si="1"/>
        <v>-7.3000000000000114</v>
      </c>
      <c r="P110" s="54"/>
      <c r="Q110" s="54"/>
      <c r="R110" s="54"/>
      <c r="S110" s="54"/>
      <c r="T110" s="54"/>
      <c r="U110" s="54"/>
    </row>
    <row r="111" spans="6:21" x14ac:dyDescent="0.3">
      <c r="F111" s="50">
        <v>40179</v>
      </c>
      <c r="G111" s="53">
        <v>91.2</v>
      </c>
      <c r="H111" s="53">
        <f t="shared" si="1"/>
        <v>-2.8999999999999915</v>
      </c>
      <c r="P111" s="54"/>
      <c r="Q111" s="54"/>
      <c r="R111" s="54"/>
      <c r="S111" s="54"/>
      <c r="T111" s="54"/>
      <c r="U111" s="54"/>
    </row>
    <row r="112" spans="6:21" x14ac:dyDescent="0.3">
      <c r="F112" s="50">
        <v>40210</v>
      </c>
      <c r="G112" s="53">
        <v>89</v>
      </c>
      <c r="H112" s="53">
        <f t="shared" si="1"/>
        <v>-2.2000000000000028</v>
      </c>
      <c r="P112" s="54"/>
      <c r="Q112" s="54"/>
      <c r="R112" s="54"/>
      <c r="S112" s="54"/>
      <c r="T112" s="54"/>
      <c r="U112" s="54"/>
    </row>
    <row r="113" spans="6:21" x14ac:dyDescent="0.3">
      <c r="F113" s="50">
        <v>40238</v>
      </c>
      <c r="G113" s="53">
        <v>105.1</v>
      </c>
      <c r="H113" s="53">
        <f t="shared" si="1"/>
        <v>16.099999999999994</v>
      </c>
      <c r="P113" s="54"/>
      <c r="Q113" s="54"/>
      <c r="R113" s="54"/>
      <c r="S113" s="54"/>
      <c r="T113" s="54"/>
      <c r="U113" s="54"/>
    </row>
    <row r="114" spans="6:21" x14ac:dyDescent="0.3">
      <c r="F114" s="50">
        <v>40269</v>
      </c>
      <c r="G114" s="53">
        <v>99.3</v>
      </c>
      <c r="H114" s="53">
        <f t="shared" si="1"/>
        <v>-5.7999999999999972</v>
      </c>
      <c r="P114" s="54"/>
      <c r="Q114" s="54"/>
      <c r="R114" s="54"/>
      <c r="S114" s="54"/>
      <c r="T114" s="54"/>
      <c r="U114" s="54"/>
    </row>
    <row r="115" spans="6:21" x14ac:dyDescent="0.3">
      <c r="F115" s="50">
        <v>40299</v>
      </c>
      <c r="G115" s="53">
        <v>104.3</v>
      </c>
      <c r="H115" s="53">
        <f t="shared" si="1"/>
        <v>5</v>
      </c>
      <c r="P115" s="54"/>
      <c r="Q115" s="54"/>
      <c r="R115" s="54"/>
      <c r="S115" s="54"/>
      <c r="T115" s="54"/>
      <c r="U115" s="54"/>
    </row>
    <row r="116" spans="6:21" x14ac:dyDescent="0.3">
      <c r="F116" s="50">
        <v>40330</v>
      </c>
      <c r="G116" s="53">
        <v>102.5</v>
      </c>
      <c r="H116" s="53">
        <f t="shared" si="1"/>
        <v>-1.7999999999999972</v>
      </c>
      <c r="P116" s="54"/>
      <c r="Q116" s="54"/>
      <c r="R116" s="54"/>
      <c r="S116" s="54"/>
      <c r="T116" s="54"/>
      <c r="U116" s="54"/>
    </row>
    <row r="117" spans="6:21" x14ac:dyDescent="0.3">
      <c r="F117" s="50">
        <v>40360</v>
      </c>
      <c r="G117" s="53">
        <v>106.9</v>
      </c>
      <c r="H117" s="53">
        <f t="shared" si="1"/>
        <v>4.4000000000000057</v>
      </c>
      <c r="P117" s="54"/>
      <c r="Q117" s="54"/>
      <c r="R117" s="54"/>
      <c r="S117" s="54"/>
      <c r="T117" s="54"/>
      <c r="U117" s="54"/>
    </row>
    <row r="118" spans="6:21" x14ac:dyDescent="0.3">
      <c r="F118" s="50">
        <v>40391</v>
      </c>
      <c r="G118" s="53">
        <v>108.1</v>
      </c>
      <c r="H118" s="53">
        <f t="shared" si="1"/>
        <v>1.1999999999999886</v>
      </c>
      <c r="P118" s="54"/>
      <c r="Q118" s="54"/>
      <c r="R118" s="54"/>
      <c r="S118" s="54"/>
      <c r="T118" s="54"/>
      <c r="U118" s="54"/>
    </row>
    <row r="119" spans="6:21" x14ac:dyDescent="0.3">
      <c r="F119" s="50">
        <v>40422</v>
      </c>
      <c r="G119" s="53">
        <v>105.8</v>
      </c>
      <c r="H119" s="53">
        <f t="shared" si="1"/>
        <v>-2.2999999999999972</v>
      </c>
      <c r="P119" s="54"/>
      <c r="Q119" s="54"/>
      <c r="R119" s="54"/>
      <c r="S119" s="54"/>
      <c r="T119" s="54"/>
      <c r="U119" s="54"/>
    </row>
    <row r="120" spans="6:21" x14ac:dyDescent="0.3">
      <c r="F120" s="50">
        <v>40452</v>
      </c>
      <c r="G120" s="53">
        <v>107.7</v>
      </c>
      <c r="H120" s="53">
        <f t="shared" si="1"/>
        <v>1.9000000000000057</v>
      </c>
      <c r="P120" s="54"/>
      <c r="Q120" s="54"/>
      <c r="R120" s="54"/>
      <c r="S120" s="54"/>
      <c r="T120" s="54"/>
      <c r="U120" s="54"/>
    </row>
    <row r="121" spans="6:21" x14ac:dyDescent="0.3">
      <c r="F121" s="50">
        <v>40483</v>
      </c>
      <c r="G121" s="53">
        <v>106.8</v>
      </c>
      <c r="H121" s="53">
        <f t="shared" si="1"/>
        <v>-0.90000000000000568</v>
      </c>
      <c r="P121" s="54"/>
      <c r="Q121" s="54"/>
      <c r="R121" s="54"/>
      <c r="S121" s="54"/>
      <c r="T121" s="54"/>
      <c r="U121" s="54"/>
    </row>
    <row r="122" spans="6:21" x14ac:dyDescent="0.3">
      <c r="F122" s="50">
        <v>40513</v>
      </c>
      <c r="G122" s="53">
        <v>96.6</v>
      </c>
      <c r="H122" s="53">
        <f t="shared" si="1"/>
        <v>-10.200000000000003</v>
      </c>
      <c r="P122" s="54"/>
      <c r="Q122" s="54"/>
      <c r="R122" s="54"/>
      <c r="S122" s="54"/>
      <c r="T122" s="54"/>
      <c r="U122" s="54"/>
    </row>
    <row r="123" spans="6:21" x14ac:dyDescent="0.3">
      <c r="F123" s="50">
        <v>40544</v>
      </c>
      <c r="G123" s="53">
        <v>93.2</v>
      </c>
      <c r="H123" s="53">
        <f t="shared" si="1"/>
        <v>-3.3999999999999915</v>
      </c>
      <c r="P123" s="54"/>
      <c r="Q123" s="54"/>
      <c r="R123" s="54"/>
      <c r="S123" s="54"/>
      <c r="T123" s="54"/>
      <c r="U123" s="54"/>
    </row>
    <row r="124" spans="6:21" x14ac:dyDescent="0.3">
      <c r="F124" s="50">
        <v>40575</v>
      </c>
      <c r="G124" s="53">
        <v>95.4</v>
      </c>
      <c r="H124" s="53">
        <f t="shared" si="1"/>
        <v>2.2000000000000028</v>
      </c>
      <c r="P124" s="54"/>
      <c r="Q124" s="54"/>
      <c r="R124" s="54"/>
      <c r="S124" s="54"/>
      <c r="T124" s="54"/>
      <c r="U124" s="54"/>
    </row>
    <row r="125" spans="6:21" x14ac:dyDescent="0.3">
      <c r="F125" s="50">
        <v>40603</v>
      </c>
      <c r="G125" s="53">
        <v>104.4</v>
      </c>
      <c r="H125" s="53">
        <f t="shared" si="1"/>
        <v>9</v>
      </c>
      <c r="P125" s="54"/>
      <c r="Q125" s="54"/>
      <c r="R125" s="54"/>
      <c r="S125" s="54"/>
      <c r="T125" s="54"/>
      <c r="U125" s="54"/>
    </row>
    <row r="126" spans="6:21" x14ac:dyDescent="0.3">
      <c r="F126" s="50">
        <v>40634</v>
      </c>
      <c r="G126" s="53">
        <v>97.5</v>
      </c>
      <c r="H126" s="53">
        <f t="shared" si="1"/>
        <v>-6.9000000000000057</v>
      </c>
      <c r="P126" s="54"/>
      <c r="Q126" s="54"/>
      <c r="R126" s="54"/>
      <c r="S126" s="54"/>
      <c r="T126" s="54"/>
      <c r="U126" s="54"/>
    </row>
    <row r="127" spans="6:21" x14ac:dyDescent="0.3">
      <c r="F127" s="50">
        <v>40664</v>
      </c>
      <c r="G127" s="53">
        <v>107.1</v>
      </c>
      <c r="H127" s="53">
        <f t="shared" si="1"/>
        <v>9.5999999999999943</v>
      </c>
      <c r="P127" s="54"/>
      <c r="Q127" s="54"/>
      <c r="R127" s="54"/>
      <c r="S127" s="54"/>
      <c r="T127" s="54"/>
      <c r="U127" s="54"/>
    </row>
    <row r="128" spans="6:21" x14ac:dyDescent="0.3">
      <c r="F128" s="50">
        <v>40695</v>
      </c>
      <c r="G128" s="53">
        <v>102.8</v>
      </c>
      <c r="H128" s="53">
        <f t="shared" si="1"/>
        <v>-4.2999999999999972</v>
      </c>
      <c r="P128" s="54"/>
      <c r="Q128" s="54"/>
      <c r="R128" s="54"/>
      <c r="S128" s="54"/>
      <c r="T128" s="54"/>
      <c r="U128" s="54"/>
    </row>
    <row r="129" spans="6:21" x14ac:dyDescent="0.3">
      <c r="F129" s="50">
        <v>40725</v>
      </c>
      <c r="G129" s="53">
        <v>106.1</v>
      </c>
      <c r="H129" s="53">
        <f t="shared" si="1"/>
        <v>3.2999999999999972</v>
      </c>
      <c r="P129" s="54"/>
      <c r="Q129" s="54"/>
      <c r="R129" s="54"/>
      <c r="S129" s="54"/>
      <c r="T129" s="54"/>
      <c r="U129" s="54"/>
    </row>
    <row r="130" spans="6:21" x14ac:dyDescent="0.3">
      <c r="F130" s="50">
        <v>40756</v>
      </c>
      <c r="G130" s="53">
        <v>110.8</v>
      </c>
      <c r="H130" s="53">
        <f t="shared" si="1"/>
        <v>4.7000000000000028</v>
      </c>
      <c r="P130" s="54"/>
      <c r="Q130" s="54"/>
      <c r="R130" s="54"/>
      <c r="S130" s="54"/>
      <c r="T130" s="54"/>
      <c r="U130" s="54"/>
    </row>
    <row r="131" spans="6:21" x14ac:dyDescent="0.3">
      <c r="F131" s="50">
        <v>40787</v>
      </c>
      <c r="G131" s="53">
        <v>104.8</v>
      </c>
      <c r="H131" s="53">
        <f t="shared" si="1"/>
        <v>-6</v>
      </c>
      <c r="P131" s="54"/>
      <c r="Q131" s="54"/>
      <c r="R131" s="54"/>
      <c r="S131" s="54"/>
      <c r="T131" s="54"/>
      <c r="U131" s="54"/>
    </row>
    <row r="132" spans="6:21" x14ac:dyDescent="0.3">
      <c r="F132" s="50">
        <v>40817</v>
      </c>
      <c r="G132" s="53">
        <v>106.3</v>
      </c>
      <c r="H132" s="53">
        <f t="shared" si="1"/>
        <v>1.5</v>
      </c>
      <c r="P132" s="54"/>
      <c r="Q132" s="54"/>
      <c r="R132" s="54"/>
      <c r="S132" s="54"/>
      <c r="T132" s="54"/>
      <c r="U132" s="54"/>
    </row>
    <row r="133" spans="6:21" x14ac:dyDescent="0.3">
      <c r="F133" s="50">
        <v>40848</v>
      </c>
      <c r="G133" s="53">
        <v>104.2</v>
      </c>
      <c r="H133" s="53">
        <f t="shared" si="1"/>
        <v>-2.0999999999999943</v>
      </c>
      <c r="P133" s="54"/>
      <c r="Q133" s="54"/>
      <c r="R133" s="54"/>
      <c r="S133" s="54"/>
      <c r="T133" s="54"/>
      <c r="U133" s="54"/>
    </row>
    <row r="134" spans="6:21" x14ac:dyDescent="0.3">
      <c r="F134" s="50">
        <v>40878</v>
      </c>
      <c r="G134" s="53">
        <v>95.7</v>
      </c>
      <c r="H134" s="53">
        <f t="shared" si="1"/>
        <v>-8.5</v>
      </c>
      <c r="P134" s="54"/>
      <c r="Q134" s="54"/>
      <c r="R134" s="54"/>
      <c r="S134" s="54"/>
      <c r="T134" s="54"/>
      <c r="U134" s="54"/>
    </row>
    <row r="135" spans="6:21" x14ac:dyDescent="0.3">
      <c r="F135" s="50">
        <v>40909</v>
      </c>
      <c r="G135" s="53">
        <v>88.7</v>
      </c>
      <c r="H135" s="53">
        <f t="shared" si="1"/>
        <v>-7</v>
      </c>
      <c r="P135" s="54"/>
      <c r="Q135" s="54"/>
      <c r="R135" s="54"/>
      <c r="S135" s="54"/>
      <c r="T135" s="54"/>
      <c r="U135" s="54"/>
    </row>
    <row r="136" spans="6:21" x14ac:dyDescent="0.3">
      <c r="F136" s="50">
        <v>40940</v>
      </c>
      <c r="G136" s="53">
        <v>89.8</v>
      </c>
      <c r="H136" s="53">
        <f t="shared" si="1"/>
        <v>1.0999999999999943</v>
      </c>
      <c r="P136" s="54"/>
      <c r="Q136" s="54"/>
      <c r="R136" s="54"/>
      <c r="S136" s="54"/>
      <c r="T136" s="54"/>
      <c r="U136" s="54"/>
    </row>
    <row r="137" spans="6:21" x14ac:dyDescent="0.3">
      <c r="F137" s="50">
        <v>40969</v>
      </c>
      <c r="G137" s="53">
        <v>99.7</v>
      </c>
      <c r="H137" s="53">
        <f t="shared" si="1"/>
        <v>9.9000000000000057</v>
      </c>
      <c r="P137" s="54"/>
      <c r="Q137" s="54"/>
      <c r="R137" s="54"/>
      <c r="S137" s="54"/>
      <c r="T137" s="54"/>
      <c r="U137" s="54"/>
    </row>
    <row r="138" spans="6:21" x14ac:dyDescent="0.3">
      <c r="F138" s="50">
        <v>41000</v>
      </c>
      <c r="G138" s="53">
        <v>92.8</v>
      </c>
      <c r="H138" s="53">
        <f t="shared" si="1"/>
        <v>-6.9000000000000057</v>
      </c>
      <c r="P138" s="54"/>
      <c r="Q138" s="54"/>
      <c r="R138" s="54"/>
      <c r="S138" s="54"/>
      <c r="T138" s="54"/>
      <c r="U138" s="54"/>
    </row>
    <row r="139" spans="6:21" x14ac:dyDescent="0.3">
      <c r="F139" s="50">
        <v>41030</v>
      </c>
      <c r="G139" s="53">
        <v>102.5</v>
      </c>
      <c r="H139" s="53">
        <f t="shared" si="1"/>
        <v>9.7000000000000028</v>
      </c>
      <c r="P139" s="54"/>
      <c r="Q139" s="54"/>
      <c r="R139" s="54"/>
      <c r="S139" s="54"/>
      <c r="T139" s="54"/>
      <c r="U139" s="54"/>
    </row>
    <row r="140" spans="6:21" x14ac:dyDescent="0.3">
      <c r="F140" s="50">
        <v>41061</v>
      </c>
      <c r="G140" s="53">
        <v>98.3</v>
      </c>
      <c r="H140" s="53">
        <f t="shared" si="1"/>
        <v>-4.2000000000000028</v>
      </c>
      <c r="P140" s="54"/>
      <c r="Q140" s="54"/>
      <c r="R140" s="54"/>
      <c r="S140" s="54"/>
      <c r="T140" s="54"/>
      <c r="U140" s="54"/>
    </row>
    <row r="141" spans="6:21" x14ac:dyDescent="0.3">
      <c r="F141" s="50">
        <v>41091</v>
      </c>
      <c r="G141" s="53">
        <v>104.5</v>
      </c>
      <c r="H141" s="53">
        <f t="shared" si="1"/>
        <v>6.2000000000000028</v>
      </c>
      <c r="P141" s="54"/>
      <c r="Q141" s="54"/>
      <c r="R141" s="54"/>
      <c r="S141" s="54"/>
      <c r="T141" s="54"/>
      <c r="U141" s="54"/>
    </row>
    <row r="142" spans="6:21" x14ac:dyDescent="0.3">
      <c r="F142" s="50">
        <v>41122</v>
      </c>
      <c r="G142" s="53">
        <v>111.5</v>
      </c>
      <c r="H142" s="53">
        <f t="shared" si="1"/>
        <v>7</v>
      </c>
      <c r="P142" s="54"/>
      <c r="Q142" s="54"/>
      <c r="R142" s="54"/>
      <c r="S142" s="54"/>
      <c r="T142" s="54"/>
      <c r="U142" s="54"/>
    </row>
    <row r="143" spans="6:21" x14ac:dyDescent="0.3">
      <c r="F143" s="50">
        <v>41153</v>
      </c>
      <c r="G143" s="53">
        <v>103.4</v>
      </c>
      <c r="H143" s="53">
        <f t="shared" si="1"/>
        <v>-8.0999999999999943</v>
      </c>
      <c r="P143" s="54"/>
      <c r="Q143" s="54"/>
      <c r="R143" s="54"/>
      <c r="S143" s="54"/>
      <c r="T143" s="54"/>
      <c r="U143" s="54"/>
    </row>
    <row r="144" spans="6:21" x14ac:dyDescent="0.3">
      <c r="F144" s="50">
        <v>41183</v>
      </c>
      <c r="G144" s="53">
        <v>111.8</v>
      </c>
      <c r="H144" s="53">
        <f t="shared" si="1"/>
        <v>8.3999999999999915</v>
      </c>
      <c r="P144" s="54"/>
      <c r="Q144" s="54"/>
      <c r="R144" s="54"/>
      <c r="S144" s="54"/>
      <c r="T144" s="54"/>
      <c r="U144" s="54"/>
    </row>
    <row r="145" spans="6:21" x14ac:dyDescent="0.3">
      <c r="F145" s="50">
        <v>41214</v>
      </c>
      <c r="G145" s="53">
        <v>104.8</v>
      </c>
      <c r="H145" s="53">
        <f t="shared" ref="H145:H208" si="2">G145-G144</f>
        <v>-7</v>
      </c>
      <c r="P145" s="54"/>
      <c r="Q145" s="54"/>
      <c r="R145" s="54"/>
      <c r="S145" s="54"/>
      <c r="T145" s="54"/>
      <c r="U145" s="54"/>
    </row>
    <row r="146" spans="6:21" x14ac:dyDescent="0.3">
      <c r="F146" s="50">
        <v>41244</v>
      </c>
      <c r="G146" s="53">
        <v>92.2</v>
      </c>
      <c r="H146" s="53">
        <f t="shared" si="2"/>
        <v>-12.599999999999994</v>
      </c>
      <c r="P146" s="54"/>
      <c r="Q146" s="54"/>
      <c r="R146" s="54"/>
      <c r="S146" s="54"/>
      <c r="T146" s="54"/>
      <c r="U146" s="54"/>
    </row>
    <row r="147" spans="6:21" x14ac:dyDescent="0.3">
      <c r="F147" s="50">
        <v>41275</v>
      </c>
      <c r="G147" s="53">
        <v>94.5</v>
      </c>
      <c r="H147" s="53">
        <f t="shared" si="2"/>
        <v>2.2999999999999972</v>
      </c>
      <c r="P147" s="54"/>
      <c r="Q147" s="54"/>
      <c r="R147" s="54"/>
      <c r="S147" s="54"/>
      <c r="T147" s="54"/>
      <c r="U147" s="54"/>
    </row>
    <row r="148" spans="6:21" x14ac:dyDescent="0.3">
      <c r="F148" s="50">
        <v>41306</v>
      </c>
      <c r="G148" s="53">
        <v>88.1</v>
      </c>
      <c r="H148" s="53">
        <f t="shared" si="2"/>
        <v>-6.4000000000000057</v>
      </c>
      <c r="P148" s="54"/>
      <c r="Q148" s="54"/>
      <c r="R148" s="54"/>
      <c r="S148" s="54"/>
      <c r="T148" s="54"/>
      <c r="U148" s="54"/>
    </row>
    <row r="149" spans="6:21" x14ac:dyDescent="0.3">
      <c r="F149" s="50">
        <v>41334</v>
      </c>
      <c r="G149" s="53">
        <v>97.7</v>
      </c>
      <c r="H149" s="53">
        <f t="shared" si="2"/>
        <v>9.6000000000000085</v>
      </c>
      <c r="P149" s="54"/>
      <c r="Q149" s="54"/>
      <c r="R149" s="54"/>
      <c r="S149" s="54"/>
      <c r="T149" s="54"/>
      <c r="U149" s="54"/>
    </row>
    <row r="150" spans="6:21" x14ac:dyDescent="0.3">
      <c r="F150" s="50">
        <v>41365</v>
      </c>
      <c r="G150" s="53">
        <v>101.8</v>
      </c>
      <c r="H150" s="53">
        <f t="shared" si="2"/>
        <v>4.0999999999999943</v>
      </c>
      <c r="P150" s="54"/>
      <c r="Q150" s="54"/>
      <c r="R150" s="54"/>
      <c r="S150" s="54"/>
      <c r="T150" s="54"/>
      <c r="U150" s="54"/>
    </row>
    <row r="151" spans="6:21" x14ac:dyDescent="0.3">
      <c r="F151" s="50">
        <v>41395</v>
      </c>
      <c r="G151" s="53">
        <v>105</v>
      </c>
      <c r="H151" s="53">
        <f t="shared" si="2"/>
        <v>3.2000000000000028</v>
      </c>
      <c r="P151" s="54"/>
      <c r="Q151" s="54"/>
      <c r="R151" s="54"/>
      <c r="S151" s="54"/>
      <c r="T151" s="54"/>
      <c r="U151" s="54"/>
    </row>
    <row r="152" spans="6:21" x14ac:dyDescent="0.3">
      <c r="F152" s="50">
        <v>41426</v>
      </c>
      <c r="G152" s="53">
        <v>101.7</v>
      </c>
      <c r="H152" s="53">
        <f t="shared" si="2"/>
        <v>-3.2999999999999972</v>
      </c>
      <c r="P152" s="54"/>
      <c r="Q152" s="54"/>
      <c r="R152" s="54"/>
      <c r="S152" s="54"/>
      <c r="T152" s="54"/>
      <c r="U152" s="54"/>
    </row>
    <row r="153" spans="6:21" x14ac:dyDescent="0.3">
      <c r="F153" s="50">
        <v>41456</v>
      </c>
      <c r="G153" s="53">
        <v>108</v>
      </c>
      <c r="H153" s="53">
        <f t="shared" si="2"/>
        <v>6.2999999999999972</v>
      </c>
      <c r="P153" s="54"/>
      <c r="Q153" s="54"/>
      <c r="R153" s="54"/>
      <c r="S153" s="54"/>
      <c r="T153" s="54"/>
      <c r="U153" s="54"/>
    </row>
    <row r="154" spans="6:21" x14ac:dyDescent="0.3">
      <c r="F154" s="50">
        <v>41487</v>
      </c>
      <c r="G154" s="53">
        <v>112</v>
      </c>
      <c r="H154" s="53">
        <f t="shared" si="2"/>
        <v>4</v>
      </c>
      <c r="P154" s="54"/>
      <c r="Q154" s="54"/>
      <c r="R154" s="54"/>
      <c r="S154" s="54"/>
      <c r="T154" s="54"/>
      <c r="U154" s="54"/>
    </row>
    <row r="155" spans="6:21" x14ac:dyDescent="0.3">
      <c r="F155" s="50">
        <v>41518</v>
      </c>
      <c r="G155" s="53">
        <v>107.3</v>
      </c>
      <c r="H155" s="53">
        <f t="shared" si="2"/>
        <v>-4.7000000000000028</v>
      </c>
      <c r="P155" s="54"/>
      <c r="Q155" s="54"/>
      <c r="R155" s="54"/>
      <c r="S155" s="54"/>
      <c r="T155" s="54"/>
      <c r="U155" s="54"/>
    </row>
    <row r="156" spans="6:21" x14ac:dyDescent="0.3">
      <c r="F156" s="50">
        <v>41548</v>
      </c>
      <c r="G156" s="53">
        <v>112.6</v>
      </c>
      <c r="H156" s="53">
        <f t="shared" si="2"/>
        <v>5.2999999999999972</v>
      </c>
      <c r="P156" s="54"/>
      <c r="Q156" s="54"/>
      <c r="R156" s="54"/>
      <c r="S156" s="54"/>
      <c r="T156" s="54"/>
      <c r="U156" s="54"/>
    </row>
    <row r="157" spans="6:21" x14ac:dyDescent="0.3">
      <c r="F157" s="50">
        <v>41579</v>
      </c>
      <c r="G157" s="53">
        <v>106.1</v>
      </c>
      <c r="H157" s="53">
        <f t="shared" si="2"/>
        <v>-6.5</v>
      </c>
      <c r="P157" s="54"/>
      <c r="Q157" s="54"/>
      <c r="R157" s="54"/>
      <c r="S157" s="54"/>
      <c r="T157" s="54"/>
      <c r="U157" s="54"/>
    </row>
    <row r="158" spans="6:21" x14ac:dyDescent="0.3">
      <c r="F158" s="50">
        <v>41609</v>
      </c>
      <c r="G158" s="53">
        <v>90.1</v>
      </c>
      <c r="H158" s="53">
        <f t="shared" si="2"/>
        <v>-16</v>
      </c>
      <c r="P158" s="54"/>
      <c r="Q158" s="54"/>
      <c r="R158" s="54"/>
      <c r="S158" s="54"/>
      <c r="T158" s="54"/>
      <c r="U158" s="54"/>
    </row>
    <row r="159" spans="6:21" x14ac:dyDescent="0.3">
      <c r="F159" s="50">
        <v>41640</v>
      </c>
      <c r="G159" s="53">
        <v>92.6</v>
      </c>
      <c r="H159" s="53">
        <f t="shared" si="2"/>
        <v>2.5</v>
      </c>
      <c r="P159" s="54"/>
      <c r="Q159" s="54"/>
      <c r="R159" s="54"/>
      <c r="S159" s="54"/>
      <c r="T159" s="54"/>
      <c r="U159" s="54"/>
    </row>
    <row r="160" spans="6:21" x14ac:dyDescent="0.3">
      <c r="F160" s="50">
        <v>41671</v>
      </c>
      <c r="G160" s="53">
        <v>92.3</v>
      </c>
      <c r="H160" s="53">
        <f t="shared" si="2"/>
        <v>-0.29999999999999716</v>
      </c>
      <c r="P160" s="54"/>
      <c r="Q160" s="54"/>
      <c r="R160" s="54"/>
      <c r="S160" s="54"/>
      <c r="T160" s="54"/>
      <c r="U160" s="54"/>
    </row>
    <row r="161" spans="6:21" x14ac:dyDescent="0.3">
      <c r="F161" s="50">
        <v>41699</v>
      </c>
      <c r="G161" s="53">
        <v>97.3</v>
      </c>
      <c r="H161" s="53">
        <f t="shared" si="2"/>
        <v>5</v>
      </c>
      <c r="P161" s="54"/>
      <c r="Q161" s="54"/>
      <c r="R161" s="54"/>
      <c r="S161" s="54"/>
      <c r="T161" s="54"/>
      <c r="U161" s="54"/>
    </row>
    <row r="162" spans="6:21" x14ac:dyDescent="0.3">
      <c r="F162" s="50">
        <v>41730</v>
      </c>
      <c r="G162" s="53">
        <v>96</v>
      </c>
      <c r="H162" s="53">
        <f t="shared" si="2"/>
        <v>-1.2999999999999972</v>
      </c>
      <c r="P162" s="54"/>
      <c r="Q162" s="54"/>
      <c r="R162" s="54"/>
      <c r="S162" s="54"/>
      <c r="T162" s="54"/>
      <c r="U162" s="54"/>
    </row>
    <row r="163" spans="6:21" x14ac:dyDescent="0.3">
      <c r="F163" s="50">
        <v>41760</v>
      </c>
      <c r="G163" s="53">
        <v>101.7</v>
      </c>
      <c r="H163" s="53">
        <f t="shared" si="2"/>
        <v>5.7000000000000028</v>
      </c>
      <c r="P163" s="54"/>
      <c r="Q163" s="54"/>
      <c r="R163" s="54"/>
      <c r="S163" s="54"/>
      <c r="T163" s="54"/>
      <c r="U163" s="54"/>
    </row>
    <row r="164" spans="6:21" x14ac:dyDescent="0.3">
      <c r="F164" s="50">
        <v>41791</v>
      </c>
      <c r="G164" s="53">
        <v>94.9</v>
      </c>
      <c r="H164" s="53">
        <f t="shared" si="2"/>
        <v>-6.7999999999999972</v>
      </c>
      <c r="P164" s="54"/>
      <c r="Q164" s="54"/>
      <c r="R164" s="54"/>
      <c r="S164" s="54"/>
      <c r="T164" s="54"/>
      <c r="U164" s="54"/>
    </row>
    <row r="165" spans="6:21" x14ac:dyDescent="0.3">
      <c r="F165" s="50">
        <v>41821</v>
      </c>
      <c r="G165" s="53">
        <v>104.4</v>
      </c>
      <c r="H165" s="53">
        <f t="shared" si="2"/>
        <v>9.5</v>
      </c>
      <c r="P165" s="54"/>
      <c r="Q165" s="54"/>
      <c r="R165" s="54"/>
      <c r="S165" s="54"/>
      <c r="T165" s="54"/>
      <c r="U165" s="54"/>
    </row>
    <row r="166" spans="6:21" x14ac:dyDescent="0.3">
      <c r="F166" s="50">
        <v>41852</v>
      </c>
      <c r="G166" s="53">
        <v>106.3</v>
      </c>
      <c r="H166" s="53">
        <f t="shared" si="2"/>
        <v>1.8999999999999915</v>
      </c>
      <c r="P166" s="54"/>
      <c r="Q166" s="54"/>
      <c r="R166" s="54"/>
      <c r="S166" s="54"/>
      <c r="T166" s="54"/>
      <c r="U166" s="54"/>
    </row>
    <row r="167" spans="6:21" x14ac:dyDescent="0.3">
      <c r="F167" s="50">
        <v>41883</v>
      </c>
      <c r="G167" s="53">
        <v>105.6</v>
      </c>
      <c r="H167" s="53">
        <f t="shared" si="2"/>
        <v>-0.70000000000000284</v>
      </c>
      <c r="P167" s="54"/>
      <c r="Q167" s="54"/>
      <c r="R167" s="54"/>
      <c r="S167" s="54"/>
      <c r="T167" s="54"/>
      <c r="U167" s="54"/>
    </row>
    <row r="168" spans="6:21" x14ac:dyDescent="0.3">
      <c r="F168" s="50">
        <v>41913</v>
      </c>
      <c r="G168" s="53">
        <v>109.3</v>
      </c>
      <c r="H168" s="53">
        <f t="shared" si="2"/>
        <v>3.7000000000000028</v>
      </c>
      <c r="P168" s="54"/>
      <c r="Q168" s="54"/>
      <c r="R168" s="54"/>
      <c r="S168" s="54"/>
      <c r="T168" s="54"/>
      <c r="U168" s="54"/>
    </row>
    <row r="169" spans="6:21" x14ac:dyDescent="0.3">
      <c r="F169" s="50">
        <v>41944</v>
      </c>
      <c r="G169" s="53">
        <v>99.8</v>
      </c>
      <c r="H169" s="53">
        <f t="shared" si="2"/>
        <v>-9.5</v>
      </c>
      <c r="P169" s="54"/>
      <c r="Q169" s="54"/>
      <c r="R169" s="54"/>
      <c r="S169" s="54"/>
      <c r="T169" s="54"/>
      <c r="U169" s="54"/>
    </row>
    <row r="170" spans="6:21" x14ac:dyDescent="0.3">
      <c r="F170" s="50">
        <v>41974</v>
      </c>
      <c r="G170" s="53">
        <v>87.7</v>
      </c>
      <c r="H170" s="53">
        <f t="shared" si="2"/>
        <v>-12.099999999999994</v>
      </c>
      <c r="P170" s="54"/>
      <c r="Q170" s="54"/>
      <c r="R170" s="54"/>
      <c r="S170" s="54"/>
      <c r="T170" s="54"/>
      <c r="U170" s="54"/>
    </row>
    <row r="171" spans="6:21" x14ac:dyDescent="0.3">
      <c r="F171" s="50">
        <v>42005</v>
      </c>
      <c r="G171" s="53">
        <v>88.1</v>
      </c>
      <c r="H171" s="53">
        <f t="shared" si="2"/>
        <v>0.39999999999999147</v>
      </c>
      <c r="P171" s="54"/>
      <c r="Q171" s="54"/>
      <c r="R171" s="54"/>
      <c r="S171" s="54"/>
      <c r="T171" s="54"/>
      <c r="U171" s="54"/>
    </row>
    <row r="172" spans="6:21" x14ac:dyDescent="0.3">
      <c r="F172" s="50">
        <v>42036</v>
      </c>
      <c r="G172" s="53">
        <v>83.7</v>
      </c>
      <c r="H172" s="53">
        <f t="shared" si="2"/>
        <v>-4.3999999999999915</v>
      </c>
      <c r="P172" s="54"/>
      <c r="Q172" s="54"/>
      <c r="R172" s="54"/>
      <c r="S172" s="54"/>
      <c r="T172" s="54"/>
      <c r="U172" s="54"/>
    </row>
    <row r="173" spans="6:21" x14ac:dyDescent="0.3">
      <c r="F173" s="50">
        <v>42064</v>
      </c>
      <c r="G173" s="53">
        <v>94.3</v>
      </c>
      <c r="H173" s="53">
        <f t="shared" si="2"/>
        <v>10.599999999999994</v>
      </c>
      <c r="P173" s="54"/>
      <c r="Q173" s="54"/>
      <c r="R173" s="54"/>
      <c r="S173" s="54"/>
      <c r="T173" s="54"/>
      <c r="U173" s="54"/>
    </row>
    <row r="174" spans="6:21" x14ac:dyDescent="0.3">
      <c r="F174" s="50">
        <v>42095</v>
      </c>
      <c r="G174" s="53">
        <v>88.8</v>
      </c>
      <c r="H174" s="53">
        <f t="shared" si="2"/>
        <v>-5.5</v>
      </c>
      <c r="P174" s="54"/>
      <c r="Q174" s="54"/>
      <c r="R174" s="54"/>
      <c r="S174" s="54"/>
      <c r="T174" s="54"/>
      <c r="U174" s="54"/>
    </row>
    <row r="175" spans="6:21" x14ac:dyDescent="0.3">
      <c r="F175" s="50">
        <v>42125</v>
      </c>
      <c r="G175" s="53">
        <v>93.1</v>
      </c>
      <c r="H175" s="53">
        <f t="shared" si="2"/>
        <v>4.2999999999999972</v>
      </c>
      <c r="P175" s="54"/>
      <c r="Q175" s="54"/>
      <c r="R175" s="54"/>
      <c r="S175" s="54"/>
      <c r="T175" s="54"/>
      <c r="U175" s="54"/>
    </row>
    <row r="176" spans="6:21" x14ac:dyDescent="0.3">
      <c r="F176" s="50">
        <v>42156</v>
      </c>
      <c r="G176" s="53">
        <v>92.5</v>
      </c>
      <c r="H176" s="53">
        <f t="shared" si="2"/>
        <v>-0.59999999999999432</v>
      </c>
      <c r="P176" s="54"/>
      <c r="Q176" s="54"/>
      <c r="R176" s="54"/>
      <c r="S176" s="54"/>
      <c r="T176" s="54"/>
      <c r="U176" s="54"/>
    </row>
    <row r="177" spans="6:21" x14ac:dyDescent="0.3">
      <c r="F177" s="50">
        <v>42186</v>
      </c>
      <c r="G177" s="53">
        <v>95.5</v>
      </c>
      <c r="H177" s="53">
        <f t="shared" si="2"/>
        <v>3</v>
      </c>
      <c r="P177" s="54"/>
      <c r="Q177" s="54"/>
      <c r="R177" s="54"/>
      <c r="S177" s="54"/>
      <c r="T177" s="54"/>
      <c r="U177" s="54"/>
    </row>
    <row r="178" spans="6:21" x14ac:dyDescent="0.3">
      <c r="F178" s="50">
        <v>42217</v>
      </c>
      <c r="G178" s="53">
        <v>97.6</v>
      </c>
      <c r="H178" s="53">
        <f t="shared" si="2"/>
        <v>2.0999999999999943</v>
      </c>
      <c r="P178" s="54"/>
      <c r="Q178" s="54"/>
      <c r="R178" s="54"/>
      <c r="S178" s="54"/>
      <c r="T178" s="54"/>
      <c r="U178" s="54"/>
    </row>
    <row r="179" spans="6:21" x14ac:dyDescent="0.3">
      <c r="F179" s="50">
        <v>42248</v>
      </c>
      <c r="G179" s="53">
        <v>94.3</v>
      </c>
      <c r="H179" s="53">
        <f t="shared" si="2"/>
        <v>-3.2999999999999972</v>
      </c>
      <c r="P179" s="54"/>
      <c r="Q179" s="54"/>
      <c r="R179" s="54"/>
      <c r="S179" s="54"/>
      <c r="T179" s="54"/>
      <c r="U179" s="54"/>
    </row>
    <row r="180" spans="6:21" x14ac:dyDescent="0.3">
      <c r="F180" s="50">
        <v>42278</v>
      </c>
      <c r="G180" s="53">
        <v>97.2</v>
      </c>
      <c r="H180" s="53">
        <f t="shared" si="2"/>
        <v>2.9000000000000057</v>
      </c>
      <c r="P180" s="54"/>
      <c r="Q180" s="54"/>
      <c r="R180" s="54"/>
      <c r="S180" s="54"/>
      <c r="T180" s="54"/>
      <c r="U180" s="54"/>
    </row>
    <row r="181" spans="6:21" x14ac:dyDescent="0.3">
      <c r="F181" s="50">
        <v>42309</v>
      </c>
      <c r="G181" s="53">
        <v>87.6</v>
      </c>
      <c r="H181" s="53">
        <f t="shared" si="2"/>
        <v>-9.6000000000000085</v>
      </c>
      <c r="P181" s="54"/>
      <c r="Q181" s="54"/>
      <c r="R181" s="54"/>
      <c r="S181" s="54"/>
      <c r="T181" s="54"/>
      <c r="U181" s="54"/>
    </row>
    <row r="182" spans="6:21" x14ac:dyDescent="0.3">
      <c r="F182" s="50">
        <v>42339</v>
      </c>
      <c r="G182" s="53">
        <v>77.2</v>
      </c>
      <c r="H182" s="53">
        <f t="shared" si="2"/>
        <v>-10.399999999999991</v>
      </c>
      <c r="P182" s="54"/>
      <c r="Q182" s="54"/>
      <c r="R182" s="54"/>
      <c r="S182" s="54"/>
      <c r="T182" s="54"/>
      <c r="U182" s="54"/>
    </row>
    <row r="183" spans="6:21" x14ac:dyDescent="0.3">
      <c r="F183" s="50">
        <v>42370</v>
      </c>
      <c r="G183" s="53">
        <v>76.3</v>
      </c>
      <c r="H183" s="53">
        <f t="shared" si="2"/>
        <v>-0.90000000000000568</v>
      </c>
      <c r="P183" s="54"/>
      <c r="Q183" s="54"/>
      <c r="R183" s="54"/>
      <c r="S183" s="54"/>
      <c r="T183" s="54"/>
      <c r="U183" s="54"/>
    </row>
    <row r="184" spans="6:21" x14ac:dyDescent="0.3">
      <c r="F184" s="50">
        <v>42401</v>
      </c>
      <c r="G184" s="53">
        <v>75.8</v>
      </c>
      <c r="H184" s="53">
        <f t="shared" si="2"/>
        <v>-0.5</v>
      </c>
      <c r="P184" s="54"/>
      <c r="Q184" s="54"/>
      <c r="R184" s="54"/>
      <c r="S184" s="54"/>
      <c r="T184" s="54"/>
      <c r="U184" s="54"/>
    </row>
    <row r="185" spans="6:21" x14ac:dyDescent="0.3">
      <c r="F185" s="50">
        <v>42430</v>
      </c>
      <c r="G185" s="53">
        <v>83.7</v>
      </c>
      <c r="H185" s="53">
        <f t="shared" si="2"/>
        <v>7.9000000000000057</v>
      </c>
      <c r="P185" s="54"/>
      <c r="Q185" s="54"/>
      <c r="R185" s="54"/>
      <c r="S185" s="54"/>
      <c r="T185" s="54"/>
      <c r="U185" s="54"/>
    </row>
    <row r="186" spans="6:21" x14ac:dyDescent="0.3">
      <c r="F186" s="50">
        <v>42461</v>
      </c>
      <c r="G186" s="53">
        <v>83</v>
      </c>
      <c r="H186" s="53">
        <f t="shared" si="2"/>
        <v>-0.70000000000000284</v>
      </c>
      <c r="P186" s="54"/>
      <c r="Q186" s="54"/>
      <c r="R186" s="54"/>
      <c r="S186" s="54"/>
      <c r="T186" s="54"/>
      <c r="U186" s="54"/>
    </row>
    <row r="187" spans="6:21" x14ac:dyDescent="0.3">
      <c r="F187" s="50">
        <v>42491</v>
      </c>
      <c r="G187" s="53">
        <v>86.3</v>
      </c>
      <c r="H187" s="53">
        <f t="shared" si="2"/>
        <v>3.2999999999999972</v>
      </c>
      <c r="P187" s="54"/>
      <c r="Q187" s="54"/>
      <c r="R187" s="54"/>
      <c r="S187" s="54"/>
      <c r="T187" s="54"/>
      <c r="U187" s="54"/>
    </row>
    <row r="188" spans="6:21" x14ac:dyDescent="0.3">
      <c r="F188" s="50">
        <v>42522</v>
      </c>
      <c r="G188" s="53">
        <v>87.7</v>
      </c>
      <c r="H188" s="53">
        <f t="shared" si="2"/>
        <v>1.4000000000000057</v>
      </c>
      <c r="P188" s="54"/>
      <c r="Q188" s="54"/>
      <c r="R188" s="54"/>
      <c r="S188" s="54"/>
      <c r="T188" s="54"/>
      <c r="U188" s="54"/>
    </row>
    <row r="189" spans="6:21" x14ac:dyDescent="0.3">
      <c r="F189" s="50">
        <v>42552</v>
      </c>
      <c r="G189" s="53">
        <v>89.6</v>
      </c>
      <c r="H189" s="53">
        <f t="shared" si="2"/>
        <v>1.8999999999999915</v>
      </c>
      <c r="P189" s="54"/>
      <c r="Q189" s="54"/>
      <c r="R189" s="54"/>
      <c r="S189" s="54"/>
      <c r="T189" s="54"/>
      <c r="U189" s="54"/>
    </row>
    <row r="190" spans="6:21" x14ac:dyDescent="0.3">
      <c r="F190" s="50">
        <v>42583</v>
      </c>
      <c r="G190" s="53">
        <v>93</v>
      </c>
      <c r="H190" s="53">
        <f t="shared" si="2"/>
        <v>3.4000000000000057</v>
      </c>
      <c r="P190" s="54"/>
      <c r="Q190" s="54"/>
      <c r="R190" s="54"/>
      <c r="S190" s="54"/>
      <c r="T190" s="54"/>
      <c r="U190" s="54"/>
    </row>
    <row r="191" spans="6:21" x14ac:dyDescent="0.3">
      <c r="F191" s="50">
        <v>42614</v>
      </c>
      <c r="G191" s="53">
        <v>90.7</v>
      </c>
      <c r="H191" s="53">
        <f t="shared" si="2"/>
        <v>-2.2999999999999972</v>
      </c>
      <c r="P191" s="54"/>
      <c r="Q191" s="54"/>
      <c r="R191" s="54"/>
      <c r="S191" s="54"/>
      <c r="T191" s="54"/>
      <c r="U191" s="54"/>
    </row>
    <row r="192" spans="6:21" x14ac:dyDescent="0.3">
      <c r="F192" s="50">
        <v>42644</v>
      </c>
      <c r="G192" s="53">
        <v>90.2</v>
      </c>
      <c r="H192" s="53">
        <f t="shared" si="2"/>
        <v>-0.5</v>
      </c>
      <c r="P192" s="54"/>
      <c r="Q192" s="54"/>
      <c r="R192" s="54"/>
      <c r="S192" s="54"/>
      <c r="T192" s="54"/>
      <c r="U192" s="54"/>
    </row>
    <row r="193" spans="6:21" x14ac:dyDescent="0.3">
      <c r="F193" s="50">
        <v>42675</v>
      </c>
      <c r="G193" s="53">
        <v>86.5</v>
      </c>
      <c r="H193" s="53">
        <f t="shared" si="2"/>
        <v>-3.7000000000000028</v>
      </c>
      <c r="P193" s="54"/>
      <c r="Q193" s="54"/>
      <c r="R193" s="54"/>
      <c r="S193" s="54"/>
      <c r="T193" s="54"/>
      <c r="U193" s="54"/>
    </row>
    <row r="194" spans="6:21" x14ac:dyDescent="0.3">
      <c r="F194" s="50">
        <v>42705</v>
      </c>
      <c r="G194" s="53">
        <v>77.2</v>
      </c>
      <c r="H194" s="53">
        <f t="shared" si="2"/>
        <v>-9.2999999999999972</v>
      </c>
      <c r="P194" s="54"/>
      <c r="Q194" s="54"/>
      <c r="R194" s="54"/>
      <c r="S194" s="54"/>
      <c r="T194" s="54"/>
      <c r="U194" s="54"/>
    </row>
    <row r="195" spans="6:21" x14ac:dyDescent="0.3">
      <c r="F195" s="50">
        <v>42736</v>
      </c>
      <c r="G195" s="53">
        <v>77.900000000000006</v>
      </c>
      <c r="H195" s="53">
        <f t="shared" si="2"/>
        <v>0.70000000000000284</v>
      </c>
      <c r="P195" s="54"/>
      <c r="Q195" s="54"/>
      <c r="R195" s="54"/>
      <c r="S195" s="54"/>
      <c r="T195" s="54"/>
      <c r="U195" s="54"/>
    </row>
    <row r="196" spans="6:21" x14ac:dyDescent="0.3">
      <c r="F196" s="50">
        <v>42767</v>
      </c>
      <c r="G196" s="53">
        <v>75.900000000000006</v>
      </c>
      <c r="H196" s="53">
        <f t="shared" si="2"/>
        <v>-2</v>
      </c>
      <c r="P196" s="54"/>
      <c r="Q196" s="54"/>
      <c r="R196" s="54"/>
      <c r="S196" s="54"/>
      <c r="T196" s="54"/>
      <c r="U196" s="54"/>
    </row>
    <row r="197" spans="6:21" x14ac:dyDescent="0.3">
      <c r="F197" s="50">
        <v>42795</v>
      </c>
      <c r="G197" s="53">
        <v>85.4</v>
      </c>
      <c r="H197" s="53">
        <f t="shared" si="2"/>
        <v>9.5</v>
      </c>
      <c r="P197" s="54"/>
      <c r="Q197" s="54"/>
      <c r="R197" s="54"/>
      <c r="S197" s="54"/>
      <c r="T197" s="54"/>
      <c r="U197" s="54"/>
    </row>
    <row r="198" spans="6:21" x14ac:dyDescent="0.3">
      <c r="F198" s="50">
        <v>42826</v>
      </c>
      <c r="G198" s="53">
        <v>79.3</v>
      </c>
      <c r="H198" s="53">
        <f t="shared" si="2"/>
        <v>-6.1000000000000085</v>
      </c>
      <c r="P198" s="54"/>
      <c r="Q198" s="54"/>
      <c r="R198" s="54"/>
      <c r="S198" s="54"/>
      <c r="T198" s="54"/>
      <c r="U198" s="54"/>
    </row>
    <row r="199" spans="6:21" x14ac:dyDescent="0.3">
      <c r="F199" s="50">
        <v>42856</v>
      </c>
      <c r="G199" s="53">
        <v>90.1</v>
      </c>
      <c r="H199" s="53">
        <f t="shared" si="2"/>
        <v>10.799999999999997</v>
      </c>
      <c r="P199" s="54"/>
      <c r="Q199" s="54"/>
      <c r="R199" s="54"/>
      <c r="S199" s="54"/>
      <c r="T199" s="54"/>
      <c r="U199" s="54"/>
    </row>
    <row r="200" spans="6:21" x14ac:dyDescent="0.3">
      <c r="F200" s="50">
        <v>42887</v>
      </c>
      <c r="G200" s="53">
        <v>88.4</v>
      </c>
      <c r="H200" s="53">
        <f t="shared" si="2"/>
        <v>-1.6999999999999886</v>
      </c>
      <c r="P200" s="54"/>
      <c r="Q200" s="54"/>
      <c r="R200" s="54"/>
      <c r="S200" s="54"/>
      <c r="T200" s="54"/>
      <c r="U200" s="54"/>
    </row>
    <row r="201" spans="6:21" x14ac:dyDescent="0.3">
      <c r="F201" s="50">
        <v>42917</v>
      </c>
      <c r="G201" s="53">
        <v>92.1</v>
      </c>
      <c r="H201" s="53">
        <f t="shared" si="2"/>
        <v>3.6999999999999886</v>
      </c>
      <c r="P201" s="54"/>
      <c r="Q201" s="54"/>
      <c r="R201" s="54"/>
      <c r="S201" s="54"/>
      <c r="T201" s="54"/>
      <c r="U201" s="54"/>
    </row>
    <row r="202" spans="6:21" x14ac:dyDescent="0.3">
      <c r="F202" s="50">
        <v>42948</v>
      </c>
      <c r="G202" s="53">
        <v>96.7</v>
      </c>
      <c r="H202" s="53">
        <f t="shared" si="2"/>
        <v>4.6000000000000085</v>
      </c>
      <c r="P202" s="54"/>
      <c r="Q202" s="54"/>
      <c r="R202" s="54"/>
      <c r="S202" s="54"/>
      <c r="T202" s="54"/>
      <c r="U202" s="54"/>
    </row>
    <row r="203" spans="6:21" x14ac:dyDescent="0.3">
      <c r="F203" s="50">
        <v>42979</v>
      </c>
      <c r="G203" s="53">
        <v>93</v>
      </c>
      <c r="H203" s="53">
        <f t="shared" si="2"/>
        <v>-3.7000000000000028</v>
      </c>
      <c r="P203" s="54"/>
      <c r="Q203" s="54"/>
      <c r="R203" s="54"/>
      <c r="S203" s="54"/>
      <c r="T203" s="54"/>
      <c r="U203" s="54"/>
    </row>
    <row r="204" spans="6:21" x14ac:dyDescent="0.3">
      <c r="F204" s="50">
        <v>43009</v>
      </c>
      <c r="G204" s="53">
        <v>95.1</v>
      </c>
      <c r="H204" s="53">
        <f t="shared" si="2"/>
        <v>2.0999999999999943</v>
      </c>
      <c r="P204" s="54"/>
      <c r="Q204" s="54"/>
      <c r="R204" s="54"/>
      <c r="S204" s="54"/>
      <c r="T204" s="54"/>
      <c r="U204" s="54"/>
    </row>
    <row r="205" spans="6:21" x14ac:dyDescent="0.3">
      <c r="F205" s="50">
        <v>43040</v>
      </c>
      <c r="G205" s="53">
        <v>90.6</v>
      </c>
      <c r="H205" s="53">
        <f t="shared" si="2"/>
        <v>-4.5</v>
      </c>
      <c r="P205" s="54"/>
      <c r="Q205" s="54"/>
      <c r="R205" s="54"/>
      <c r="S205" s="54"/>
      <c r="T205" s="54"/>
      <c r="U205" s="54"/>
    </row>
    <row r="206" spans="6:21" x14ac:dyDescent="0.3">
      <c r="F206" s="50">
        <v>43070</v>
      </c>
      <c r="G206" s="53">
        <v>81</v>
      </c>
      <c r="H206" s="53">
        <f t="shared" si="2"/>
        <v>-9.5999999999999943</v>
      </c>
      <c r="P206" s="54"/>
      <c r="Q206" s="54"/>
      <c r="R206" s="54"/>
      <c r="S206" s="54"/>
      <c r="T206" s="54"/>
      <c r="U206" s="54"/>
    </row>
    <row r="207" spans="6:21" x14ac:dyDescent="0.3">
      <c r="F207" s="50">
        <v>43101</v>
      </c>
      <c r="G207" s="53">
        <v>82.3</v>
      </c>
      <c r="H207" s="53">
        <f t="shared" si="2"/>
        <v>1.2999999999999972</v>
      </c>
      <c r="P207" s="54"/>
      <c r="Q207" s="54"/>
      <c r="R207" s="54"/>
      <c r="S207" s="54"/>
      <c r="T207" s="54"/>
      <c r="U207" s="54"/>
    </row>
    <row r="208" spans="6:21" x14ac:dyDescent="0.3">
      <c r="F208" s="50">
        <v>43132</v>
      </c>
      <c r="G208" s="53">
        <v>77.3</v>
      </c>
      <c r="H208" s="53">
        <f t="shared" si="2"/>
        <v>-5</v>
      </c>
      <c r="P208" s="54"/>
      <c r="Q208" s="54"/>
      <c r="R208" s="54"/>
      <c r="S208" s="54"/>
      <c r="T208" s="54"/>
      <c r="U208" s="54"/>
    </row>
    <row r="209" spans="6:21" x14ac:dyDescent="0.3">
      <c r="F209" s="50">
        <v>43160</v>
      </c>
      <c r="G209" s="53">
        <v>86.2</v>
      </c>
      <c r="H209" s="53">
        <f t="shared" ref="H209:H254" si="3">G209-G208</f>
        <v>8.9000000000000057</v>
      </c>
      <c r="P209" s="54"/>
      <c r="Q209" s="54"/>
      <c r="R209" s="54"/>
      <c r="S209" s="54"/>
      <c r="T209" s="54"/>
      <c r="U209" s="54"/>
    </row>
    <row r="210" spans="6:21" x14ac:dyDescent="0.3">
      <c r="F210" s="50">
        <v>43191</v>
      </c>
      <c r="G210" s="53">
        <v>86.5</v>
      </c>
      <c r="H210" s="53">
        <f t="shared" si="3"/>
        <v>0.29999999999999716</v>
      </c>
      <c r="P210" s="54"/>
      <c r="Q210" s="54"/>
      <c r="R210" s="54"/>
      <c r="S210" s="54"/>
      <c r="T210" s="54"/>
      <c r="U210" s="54"/>
    </row>
    <row r="211" spans="6:21" x14ac:dyDescent="0.3">
      <c r="F211" s="50">
        <v>43221</v>
      </c>
      <c r="G211" s="53">
        <v>84.4</v>
      </c>
      <c r="H211" s="53">
        <f t="shared" si="3"/>
        <v>-2.0999999999999943</v>
      </c>
      <c r="P211" s="54"/>
      <c r="Q211" s="54"/>
      <c r="R211" s="54"/>
      <c r="S211" s="54"/>
      <c r="T211" s="54"/>
      <c r="U211" s="54"/>
    </row>
    <row r="212" spans="6:21" x14ac:dyDescent="0.3">
      <c r="F212" s="50">
        <v>43252</v>
      </c>
      <c r="G212" s="53">
        <v>91.1</v>
      </c>
      <c r="H212" s="53">
        <f t="shared" si="3"/>
        <v>6.6999999999999886</v>
      </c>
      <c r="P212" s="54"/>
      <c r="Q212" s="54"/>
      <c r="R212" s="54"/>
      <c r="S212" s="54"/>
      <c r="T212" s="54"/>
      <c r="U212" s="54"/>
    </row>
    <row r="213" spans="6:21" x14ac:dyDescent="0.3">
      <c r="F213" s="50">
        <v>43282</v>
      </c>
      <c r="G213" s="53">
        <v>95.8</v>
      </c>
      <c r="H213" s="53">
        <f t="shared" si="3"/>
        <v>4.7000000000000028</v>
      </c>
      <c r="P213" s="54"/>
      <c r="Q213" s="54"/>
      <c r="R213" s="54"/>
      <c r="S213" s="54"/>
      <c r="T213" s="54"/>
      <c r="U213" s="54"/>
    </row>
    <row r="214" spans="6:21" x14ac:dyDescent="0.3">
      <c r="F214" s="50">
        <v>43313</v>
      </c>
      <c r="G214" s="53">
        <v>98.2</v>
      </c>
      <c r="H214" s="53">
        <f t="shared" si="3"/>
        <v>2.4000000000000057</v>
      </c>
      <c r="P214" s="54"/>
      <c r="Q214" s="54"/>
      <c r="R214" s="54"/>
      <c r="S214" s="54"/>
      <c r="T214" s="54"/>
      <c r="U214" s="54"/>
    </row>
    <row r="215" spans="6:21" x14ac:dyDescent="0.3">
      <c r="F215" s="50">
        <v>43344</v>
      </c>
      <c r="G215" s="53">
        <v>90.7</v>
      </c>
      <c r="H215" s="53">
        <f t="shared" si="3"/>
        <v>-7.5</v>
      </c>
      <c r="P215" s="54"/>
      <c r="Q215" s="54"/>
      <c r="R215" s="54"/>
      <c r="S215" s="54"/>
      <c r="T215" s="54"/>
      <c r="U215" s="54"/>
    </row>
    <row r="216" spans="6:21" x14ac:dyDescent="0.3">
      <c r="F216" s="50">
        <v>43374</v>
      </c>
      <c r="G216" s="53">
        <v>95.8</v>
      </c>
      <c r="H216" s="53">
        <f t="shared" si="3"/>
        <v>5.0999999999999943</v>
      </c>
      <c r="P216" s="54"/>
      <c r="Q216" s="54"/>
      <c r="R216" s="54"/>
      <c r="S216" s="54"/>
      <c r="T216" s="54"/>
      <c r="U216" s="54"/>
    </row>
    <row r="217" spans="6:21" x14ac:dyDescent="0.3">
      <c r="F217" s="50">
        <v>43405</v>
      </c>
      <c r="G217" s="53">
        <v>89.5</v>
      </c>
      <c r="H217" s="53">
        <f t="shared" si="3"/>
        <v>-6.2999999999999972</v>
      </c>
      <c r="P217" s="54"/>
      <c r="Q217" s="54"/>
      <c r="R217" s="54"/>
      <c r="S217" s="54"/>
      <c r="T217" s="54"/>
      <c r="U217" s="54"/>
    </row>
    <row r="218" spans="6:21" x14ac:dyDescent="0.3">
      <c r="F218" s="50">
        <v>43435</v>
      </c>
      <c r="G218" s="53">
        <v>78</v>
      </c>
      <c r="H218" s="53">
        <f t="shared" si="3"/>
        <v>-11.5</v>
      </c>
      <c r="P218" s="54"/>
      <c r="Q218" s="54"/>
      <c r="R218" s="54"/>
      <c r="S218" s="54"/>
      <c r="T218" s="54"/>
      <c r="U218" s="54"/>
    </row>
    <row r="219" spans="6:21" x14ac:dyDescent="0.3">
      <c r="F219" s="50">
        <v>43466</v>
      </c>
      <c r="G219" s="53">
        <v>80.7</v>
      </c>
      <c r="H219" s="53">
        <f t="shared" si="3"/>
        <v>2.7000000000000028</v>
      </c>
      <c r="P219" s="54"/>
      <c r="Q219" s="54"/>
      <c r="R219" s="54"/>
      <c r="S219" s="54"/>
      <c r="T219" s="54"/>
      <c r="U219" s="54"/>
    </row>
    <row r="220" spans="6:21" x14ac:dyDescent="0.3">
      <c r="F220" s="50">
        <v>43497</v>
      </c>
      <c r="G220" s="53">
        <v>79.099999999999994</v>
      </c>
      <c r="H220" s="53">
        <f t="shared" si="3"/>
        <v>-1.6000000000000085</v>
      </c>
      <c r="P220" s="54"/>
      <c r="Q220" s="54"/>
      <c r="R220" s="54"/>
      <c r="S220" s="54"/>
      <c r="T220" s="54"/>
      <c r="U220" s="54"/>
    </row>
    <row r="221" spans="6:21" x14ac:dyDescent="0.3">
      <c r="F221" s="50">
        <v>43525</v>
      </c>
      <c r="G221" s="53">
        <v>81</v>
      </c>
      <c r="H221" s="53">
        <f t="shared" si="3"/>
        <v>1.9000000000000057</v>
      </c>
      <c r="P221" s="54"/>
      <c r="Q221" s="54"/>
      <c r="R221" s="54"/>
      <c r="S221" s="54"/>
      <c r="T221" s="54"/>
      <c r="U221" s="54"/>
    </row>
    <row r="222" spans="6:21" x14ac:dyDescent="0.3">
      <c r="F222" s="50">
        <v>43556</v>
      </c>
      <c r="G222" s="53">
        <v>83.3</v>
      </c>
      <c r="H222" s="53">
        <f t="shared" si="3"/>
        <v>2.2999999999999972</v>
      </c>
      <c r="P222" s="54"/>
      <c r="Q222" s="54"/>
      <c r="R222" s="54"/>
      <c r="S222" s="54"/>
      <c r="T222" s="54"/>
      <c r="U222" s="54"/>
    </row>
    <row r="223" spans="6:21" x14ac:dyDescent="0.3">
      <c r="F223" s="50">
        <v>43586</v>
      </c>
      <c r="G223" s="53">
        <v>91</v>
      </c>
      <c r="H223" s="53">
        <f t="shared" si="3"/>
        <v>7.7000000000000028</v>
      </c>
      <c r="P223" s="54"/>
      <c r="Q223" s="54"/>
      <c r="R223" s="54"/>
      <c r="S223" s="54"/>
      <c r="T223" s="54"/>
      <c r="U223" s="54"/>
    </row>
    <row r="224" spans="6:21" x14ac:dyDescent="0.3">
      <c r="F224" s="50">
        <v>43617</v>
      </c>
      <c r="G224" s="53">
        <v>85.8</v>
      </c>
      <c r="H224" s="53">
        <f t="shared" si="3"/>
        <v>-5.2000000000000028</v>
      </c>
      <c r="P224" s="54"/>
      <c r="Q224" s="54"/>
      <c r="R224" s="54"/>
      <c r="S224" s="54"/>
      <c r="T224" s="54"/>
      <c r="U224" s="54"/>
    </row>
    <row r="225" spans="6:21" x14ac:dyDescent="0.3">
      <c r="F225" s="50">
        <v>43647</v>
      </c>
      <c r="G225" s="53">
        <v>93.4</v>
      </c>
      <c r="H225" s="53">
        <f t="shared" si="3"/>
        <v>7.6000000000000085</v>
      </c>
      <c r="P225" s="54"/>
      <c r="Q225" s="54"/>
      <c r="R225" s="54"/>
      <c r="S225" s="54"/>
      <c r="T225" s="54"/>
      <c r="U225" s="54"/>
    </row>
    <row r="226" spans="6:21" x14ac:dyDescent="0.3">
      <c r="F226" s="50">
        <v>43678</v>
      </c>
      <c r="G226" s="53">
        <v>96.2</v>
      </c>
      <c r="H226" s="53">
        <f t="shared" si="3"/>
        <v>2.7999999999999972</v>
      </c>
      <c r="P226" s="54"/>
      <c r="Q226" s="54"/>
      <c r="R226" s="54"/>
      <c r="S226" s="54"/>
      <c r="T226" s="54"/>
      <c r="U226" s="54"/>
    </row>
    <row r="227" spans="6:21" x14ac:dyDescent="0.3">
      <c r="F227" s="50">
        <v>43709</v>
      </c>
      <c r="G227" s="53">
        <v>91.8</v>
      </c>
      <c r="H227" s="53">
        <f t="shared" si="3"/>
        <v>-4.4000000000000057</v>
      </c>
      <c r="P227" s="54"/>
      <c r="Q227" s="54"/>
      <c r="R227" s="54"/>
      <c r="S227" s="54"/>
      <c r="T227" s="54"/>
      <c r="U227" s="54"/>
    </row>
    <row r="228" spans="6:21" x14ac:dyDescent="0.3">
      <c r="F228" s="50">
        <v>43739</v>
      </c>
      <c r="G228" s="53">
        <v>97</v>
      </c>
      <c r="H228" s="53">
        <f t="shared" si="3"/>
        <v>5.2000000000000028</v>
      </c>
      <c r="P228" s="54"/>
      <c r="Q228" s="54"/>
      <c r="R228" s="54"/>
      <c r="S228" s="54"/>
      <c r="T228" s="54"/>
      <c r="U228" s="54"/>
    </row>
    <row r="229" spans="6:21" x14ac:dyDescent="0.3">
      <c r="F229" s="50">
        <v>43770</v>
      </c>
      <c r="G229" s="53">
        <v>88</v>
      </c>
      <c r="H229" s="53">
        <f t="shared" si="3"/>
        <v>-9</v>
      </c>
      <c r="P229" s="54"/>
      <c r="Q229" s="54"/>
      <c r="R229" s="54"/>
      <c r="S229" s="54"/>
      <c r="T229" s="54"/>
      <c r="U229" s="54"/>
    </row>
    <row r="230" spans="6:21" x14ac:dyDescent="0.3">
      <c r="F230" s="50">
        <v>43800</v>
      </c>
      <c r="G230" s="53">
        <v>76.900000000000006</v>
      </c>
      <c r="H230" s="53">
        <f t="shared" si="3"/>
        <v>-11.099999999999994</v>
      </c>
      <c r="P230" s="54"/>
      <c r="Q230" s="54"/>
      <c r="R230" s="54"/>
      <c r="S230" s="54"/>
      <c r="T230" s="54"/>
      <c r="U230" s="54"/>
    </row>
    <row r="231" spans="6:21" x14ac:dyDescent="0.3">
      <c r="F231" s="50">
        <v>43831</v>
      </c>
      <c r="G231" s="53">
        <v>80</v>
      </c>
      <c r="H231" s="53">
        <f t="shared" si="3"/>
        <v>3.0999999999999943</v>
      </c>
      <c r="P231" s="54"/>
      <c r="Q231" s="54"/>
      <c r="R231" s="54"/>
      <c r="S231" s="54"/>
      <c r="T231" s="54"/>
      <c r="U231" s="54"/>
    </row>
    <row r="232" spans="6:21" x14ac:dyDescent="0.3">
      <c r="F232" s="50">
        <v>43862</v>
      </c>
      <c r="G232" s="53">
        <v>78.900000000000006</v>
      </c>
      <c r="H232" s="53">
        <f t="shared" si="3"/>
        <v>-1.0999999999999943</v>
      </c>
      <c r="P232" s="54"/>
      <c r="Q232" s="54"/>
      <c r="R232" s="54"/>
      <c r="S232" s="54"/>
      <c r="T232" s="54"/>
      <c r="U232" s="54"/>
    </row>
    <row r="233" spans="6:21" x14ac:dyDescent="0.3">
      <c r="F233" s="50">
        <v>43891</v>
      </c>
      <c r="G233" s="53">
        <v>77.900000000000006</v>
      </c>
      <c r="H233" s="53">
        <f t="shared" si="3"/>
        <v>-1</v>
      </c>
      <c r="P233" s="54"/>
      <c r="Q233" s="54"/>
      <c r="R233" s="54"/>
      <c r="S233" s="54"/>
      <c r="T233" s="54"/>
      <c r="U233" s="54"/>
    </row>
    <row r="234" spans="6:21" x14ac:dyDescent="0.3">
      <c r="F234" s="50">
        <v>43922</v>
      </c>
      <c r="G234" s="53">
        <v>60.3</v>
      </c>
      <c r="H234" s="53">
        <f t="shared" si="3"/>
        <v>-17.600000000000009</v>
      </c>
      <c r="P234" s="54"/>
      <c r="Q234" s="54"/>
      <c r="R234" s="54"/>
      <c r="S234" s="54"/>
      <c r="T234" s="54"/>
      <c r="U234" s="54"/>
    </row>
    <row r="235" spans="6:21" x14ac:dyDescent="0.3">
      <c r="F235" s="50">
        <v>43952</v>
      </c>
      <c r="G235" s="53">
        <v>71.2</v>
      </c>
      <c r="H235" s="53">
        <f t="shared" si="3"/>
        <v>10.900000000000006</v>
      </c>
      <c r="P235" s="54"/>
      <c r="Q235" s="54"/>
      <c r="R235" s="54"/>
      <c r="S235" s="54"/>
      <c r="T235" s="54"/>
      <c r="U235" s="54"/>
    </row>
    <row r="236" spans="6:21" x14ac:dyDescent="0.3">
      <c r="F236" s="50">
        <v>43983</v>
      </c>
      <c r="G236" s="53">
        <v>78.400000000000006</v>
      </c>
      <c r="H236" s="53">
        <f t="shared" si="3"/>
        <v>7.2000000000000028</v>
      </c>
      <c r="P236" s="54"/>
      <c r="Q236" s="54"/>
      <c r="R236" s="54"/>
      <c r="S236" s="54"/>
      <c r="T236" s="54"/>
      <c r="U236" s="54"/>
    </row>
    <row r="237" spans="6:21" x14ac:dyDescent="0.3">
      <c r="F237" s="50">
        <v>44013</v>
      </c>
      <c r="G237" s="53">
        <v>91</v>
      </c>
      <c r="H237" s="53">
        <f t="shared" si="3"/>
        <v>12.599999999999994</v>
      </c>
      <c r="P237" s="54"/>
      <c r="Q237" s="54"/>
      <c r="R237" s="54"/>
      <c r="S237" s="54"/>
      <c r="T237" s="54"/>
      <c r="U237" s="54"/>
    </row>
    <row r="238" spans="6:21" x14ac:dyDescent="0.3">
      <c r="F238" s="50">
        <v>44044</v>
      </c>
      <c r="G238" s="53">
        <v>93.9</v>
      </c>
      <c r="H238" s="53">
        <f t="shared" si="3"/>
        <v>2.9000000000000057</v>
      </c>
      <c r="P238" s="54"/>
      <c r="Q238" s="54"/>
      <c r="R238" s="54"/>
      <c r="S238" s="54"/>
      <c r="T238" s="54"/>
      <c r="U238" s="54"/>
    </row>
    <row r="239" spans="6:21" x14ac:dyDescent="0.3">
      <c r="F239" s="50">
        <v>44075</v>
      </c>
      <c r="G239" s="53">
        <v>95.4</v>
      </c>
      <c r="H239" s="53">
        <f t="shared" si="3"/>
        <v>1.5</v>
      </c>
      <c r="P239" s="54"/>
      <c r="Q239" s="54"/>
      <c r="R239" s="54"/>
      <c r="S239" s="54"/>
      <c r="T239" s="54"/>
      <c r="U239" s="54"/>
    </row>
    <row r="240" spans="6:21" x14ac:dyDescent="0.3">
      <c r="F240" s="50">
        <v>44105</v>
      </c>
      <c r="G240" s="53">
        <v>97.3</v>
      </c>
      <c r="H240" s="53">
        <f t="shared" si="3"/>
        <v>1.8999999999999915</v>
      </c>
      <c r="P240" s="54"/>
      <c r="Q240" s="54"/>
      <c r="R240" s="54"/>
      <c r="S240" s="54"/>
      <c r="T240" s="54"/>
      <c r="U240" s="54"/>
    </row>
    <row r="241" spans="6:21" x14ac:dyDescent="0.3">
      <c r="F241" s="50">
        <v>44136</v>
      </c>
      <c r="G241" s="53">
        <v>90.2</v>
      </c>
      <c r="H241" s="53">
        <f t="shared" si="3"/>
        <v>-7.0999999999999943</v>
      </c>
      <c r="P241" s="54"/>
      <c r="Q241" s="54"/>
      <c r="R241" s="54"/>
      <c r="S241" s="54"/>
      <c r="T241" s="54"/>
      <c r="U241" s="54"/>
    </row>
    <row r="242" spans="6:21" x14ac:dyDescent="0.3">
      <c r="F242" s="50">
        <v>44166</v>
      </c>
      <c r="G242" s="53">
        <v>83.3</v>
      </c>
      <c r="H242" s="53">
        <f t="shared" si="3"/>
        <v>-6.9000000000000057</v>
      </c>
      <c r="P242" s="54"/>
      <c r="Q242" s="54"/>
      <c r="R242" s="54"/>
      <c r="S242" s="54"/>
      <c r="T242" s="54"/>
      <c r="U242" s="54"/>
    </row>
    <row r="243" spans="6:21" x14ac:dyDescent="0.3">
      <c r="F243" s="50">
        <v>44197</v>
      </c>
      <c r="G243" s="53">
        <v>81.900000000000006</v>
      </c>
      <c r="H243" s="53">
        <f t="shared" si="3"/>
        <v>-1.3999999999999915</v>
      </c>
      <c r="P243" s="54"/>
      <c r="Q243" s="54"/>
      <c r="R243" s="54"/>
      <c r="S243" s="54"/>
      <c r="T243" s="54"/>
      <c r="U243" s="54"/>
    </row>
    <row r="244" spans="6:21" x14ac:dyDescent="0.3">
      <c r="F244" s="50">
        <v>44228</v>
      </c>
      <c r="G244" s="53">
        <v>79.099999999999994</v>
      </c>
      <c r="H244" s="53">
        <f t="shared" si="3"/>
        <v>-2.8000000000000114</v>
      </c>
      <c r="P244" s="54"/>
      <c r="Q244" s="54"/>
      <c r="R244" s="54"/>
      <c r="S244" s="54"/>
      <c r="T244" s="54"/>
      <c r="U244" s="54"/>
    </row>
    <row r="245" spans="6:21" x14ac:dyDescent="0.3">
      <c r="F245" s="50">
        <v>44256</v>
      </c>
      <c r="G245" s="53">
        <v>86.1</v>
      </c>
      <c r="H245" s="53">
        <f t="shared" si="3"/>
        <v>7</v>
      </c>
      <c r="P245" s="54"/>
      <c r="Q245" s="54"/>
      <c r="R245" s="54"/>
      <c r="S245" s="54"/>
      <c r="T245" s="54"/>
      <c r="U245" s="54"/>
    </row>
    <row r="246" spans="6:21" x14ac:dyDescent="0.3">
      <c r="F246" s="50">
        <v>44287</v>
      </c>
      <c r="G246" s="53">
        <v>81.3</v>
      </c>
      <c r="H246" s="53">
        <f t="shared" si="3"/>
        <v>-4.7999999999999972</v>
      </c>
      <c r="P246" s="54"/>
      <c r="Q246" s="54"/>
      <c r="R246" s="54"/>
      <c r="S246" s="54"/>
      <c r="T246" s="54"/>
      <c r="U246" s="54"/>
    </row>
    <row r="247" spans="6:21" x14ac:dyDescent="0.3">
      <c r="F247" s="50">
        <v>44317</v>
      </c>
      <c r="G247" s="53">
        <v>88.4</v>
      </c>
      <c r="H247" s="53">
        <f t="shared" si="3"/>
        <v>7.1000000000000085</v>
      </c>
      <c r="P247" s="54"/>
      <c r="Q247" s="54"/>
      <c r="R247" s="54"/>
      <c r="S247" s="54"/>
      <c r="T247" s="54"/>
      <c r="U247" s="54"/>
    </row>
    <row r="248" spans="6:21" x14ac:dyDescent="0.3">
      <c r="F248" s="50">
        <v>44348</v>
      </c>
      <c r="G248" s="53">
        <v>87.9</v>
      </c>
      <c r="H248" s="53">
        <f t="shared" si="3"/>
        <v>-0.5</v>
      </c>
      <c r="P248" s="54"/>
      <c r="Q248" s="54"/>
      <c r="R248" s="54"/>
      <c r="S248" s="54"/>
      <c r="T248" s="54"/>
      <c r="U248" s="54"/>
    </row>
    <row r="249" spans="6:21" x14ac:dyDescent="0.3">
      <c r="F249" s="50">
        <v>44378</v>
      </c>
      <c r="G249" s="53">
        <v>92.2</v>
      </c>
      <c r="H249" s="53">
        <f t="shared" si="3"/>
        <v>4.2999999999999972</v>
      </c>
      <c r="P249" s="54"/>
      <c r="Q249" s="54"/>
      <c r="R249" s="54"/>
      <c r="S249" s="54"/>
      <c r="T249" s="54"/>
      <c r="U249" s="54"/>
    </row>
    <row r="250" spans="6:21" x14ac:dyDescent="0.3">
      <c r="F250" s="50">
        <v>44409</v>
      </c>
      <c r="G250" s="53">
        <v>93.4</v>
      </c>
      <c r="H250" s="53">
        <f t="shared" si="3"/>
        <v>1.2000000000000028</v>
      </c>
      <c r="P250" s="54"/>
      <c r="Q250" s="54"/>
      <c r="R250" s="54"/>
      <c r="S250" s="54"/>
      <c r="T250" s="54"/>
      <c r="U250" s="54"/>
    </row>
    <row r="251" spans="6:21" x14ac:dyDescent="0.3">
      <c r="F251" s="50">
        <v>44440</v>
      </c>
      <c r="G251" s="53">
        <v>91.5</v>
      </c>
      <c r="H251" s="53">
        <f t="shared" si="3"/>
        <v>-1.9000000000000057</v>
      </c>
      <c r="P251" s="54"/>
      <c r="Q251" s="54"/>
      <c r="R251" s="54"/>
      <c r="S251" s="54"/>
      <c r="T251" s="54"/>
      <c r="U251" s="54"/>
    </row>
    <row r="252" spans="6:21" x14ac:dyDescent="0.3">
      <c r="F252" s="50">
        <v>44470</v>
      </c>
      <c r="G252" s="53">
        <v>89.7</v>
      </c>
      <c r="H252" s="53">
        <f t="shared" si="3"/>
        <v>-1.7999999999999972</v>
      </c>
      <c r="P252" s="54"/>
      <c r="Q252" s="54"/>
      <c r="R252" s="54"/>
      <c r="S252" s="54"/>
      <c r="T252" s="54"/>
      <c r="U252" s="54"/>
    </row>
    <row r="253" spans="6:21" x14ac:dyDescent="0.3">
      <c r="F253" s="50">
        <v>44501</v>
      </c>
      <c r="G253" s="53">
        <v>86.3</v>
      </c>
      <c r="H253" s="53">
        <f t="shared" si="3"/>
        <v>-3.4000000000000057</v>
      </c>
      <c r="P253" s="54"/>
      <c r="Q253" s="54"/>
      <c r="R253" s="54"/>
      <c r="S253" s="54"/>
      <c r="T253" s="54"/>
      <c r="U253" s="54"/>
    </row>
    <row r="254" spans="6:21" x14ac:dyDescent="0.3">
      <c r="F254" s="50">
        <v>44531</v>
      </c>
      <c r="G254" s="53">
        <v>79.2</v>
      </c>
      <c r="H254" s="53">
        <f t="shared" si="3"/>
        <v>-7.0999999999999943</v>
      </c>
      <c r="P254" s="54"/>
      <c r="Q254" s="54"/>
      <c r="R254" s="54"/>
      <c r="S254" s="54"/>
      <c r="T254" s="54"/>
      <c r="U254" s="54"/>
    </row>
    <row r="255" spans="6:21" x14ac:dyDescent="0.3">
      <c r="P255" s="27"/>
      <c r="Q255" s="27"/>
      <c r="R255" s="27"/>
      <c r="S255" s="27"/>
      <c r="T255" s="27"/>
      <c r="U255" s="27"/>
    </row>
    <row r="256" spans="6:21" x14ac:dyDescent="0.3">
      <c r="P256" s="27"/>
      <c r="Q256" s="27"/>
      <c r="R256" s="27"/>
      <c r="S256" s="27"/>
      <c r="T256" s="27"/>
      <c r="U256" s="27"/>
    </row>
    <row r="257" spans="16:21" x14ac:dyDescent="0.3">
      <c r="P257" s="27"/>
      <c r="Q257" s="27"/>
      <c r="R257" s="27"/>
      <c r="S257" s="27"/>
      <c r="T257" s="27"/>
      <c r="U257" s="27"/>
    </row>
    <row r="258" spans="16:21" x14ac:dyDescent="0.3">
      <c r="P258" s="27"/>
      <c r="Q258" s="27"/>
      <c r="R258" s="27"/>
      <c r="S258" s="27"/>
      <c r="T258" s="27"/>
      <c r="U258" s="27"/>
    </row>
    <row r="259" spans="16:21" x14ac:dyDescent="0.3">
      <c r="P259" s="27"/>
      <c r="Q259" s="27"/>
      <c r="R259" s="27"/>
      <c r="S259" s="27"/>
      <c r="T259" s="27"/>
      <c r="U259" s="27"/>
    </row>
    <row r="260" spans="16:21" x14ac:dyDescent="0.3">
      <c r="P260" s="27"/>
      <c r="Q260" s="27"/>
      <c r="R260" s="27"/>
      <c r="S260" s="27"/>
      <c r="T260" s="27"/>
      <c r="U260" s="27"/>
    </row>
    <row r="261" spans="16:21" x14ac:dyDescent="0.3">
      <c r="P261" s="27"/>
      <c r="Q261" s="27"/>
      <c r="R261" s="27"/>
      <c r="S261" s="27"/>
      <c r="T261" s="27"/>
      <c r="U261" s="27"/>
    </row>
    <row r="262" spans="16:21" x14ac:dyDescent="0.3">
      <c r="P262" s="27"/>
      <c r="Q262" s="27"/>
      <c r="R262" s="27"/>
      <c r="S262" s="27"/>
      <c r="T262" s="27"/>
      <c r="U262" s="27"/>
    </row>
    <row r="263" spans="16:21" x14ac:dyDescent="0.3">
      <c r="P263" s="27"/>
      <c r="Q263" s="27"/>
      <c r="R263" s="27"/>
      <c r="S263" s="27"/>
      <c r="T263" s="27"/>
      <c r="U263" s="27"/>
    </row>
    <row r="264" spans="16:21" x14ac:dyDescent="0.3">
      <c r="P264" s="27"/>
      <c r="Q264" s="27"/>
      <c r="R264" s="27"/>
      <c r="S264" s="27"/>
      <c r="T264" s="27"/>
      <c r="U264" s="27"/>
    </row>
    <row r="265" spans="16:21" x14ac:dyDescent="0.3">
      <c r="P265" s="27"/>
      <c r="Q265" s="27"/>
      <c r="R265" s="27"/>
      <c r="S265" s="27"/>
      <c r="T265" s="27"/>
      <c r="U265" s="27"/>
    </row>
    <row r="266" spans="16:21" x14ac:dyDescent="0.3">
      <c r="P266" s="27"/>
      <c r="Q266" s="27"/>
      <c r="R266" s="27"/>
      <c r="S266" s="27"/>
      <c r="T266" s="27"/>
      <c r="U266" s="27"/>
    </row>
    <row r="267" spans="16:21" x14ac:dyDescent="0.3">
      <c r="P267" s="27"/>
      <c r="Q267" s="27"/>
      <c r="R267" s="27"/>
      <c r="S267" s="27"/>
      <c r="T267" s="27"/>
      <c r="U267" s="27"/>
    </row>
    <row r="268" spans="16:21" x14ac:dyDescent="0.3">
      <c r="P268" s="27"/>
      <c r="Q268" s="27"/>
      <c r="R268" s="27"/>
      <c r="S268" s="27"/>
      <c r="T268" s="27"/>
      <c r="U268" s="27"/>
    </row>
    <row r="269" spans="16:21" x14ac:dyDescent="0.3">
      <c r="P269" s="27"/>
      <c r="Q269" s="27"/>
      <c r="R269" s="27"/>
      <c r="S269" s="27"/>
      <c r="T269" s="27"/>
      <c r="U269" s="27"/>
    </row>
    <row r="270" spans="16:21" x14ac:dyDescent="0.3">
      <c r="P270" s="27"/>
      <c r="Q270" s="27"/>
      <c r="R270" s="27"/>
      <c r="S270" s="27"/>
      <c r="T270" s="27"/>
      <c r="U270" s="27"/>
    </row>
    <row r="271" spans="16:21" x14ac:dyDescent="0.3">
      <c r="P271" s="27"/>
      <c r="Q271" s="27"/>
      <c r="R271" s="27"/>
      <c r="S271" s="27"/>
      <c r="T271" s="27"/>
      <c r="U271" s="27"/>
    </row>
    <row r="272" spans="16:21" x14ac:dyDescent="0.3">
      <c r="P272" s="27"/>
      <c r="Q272" s="27"/>
      <c r="R272" s="27"/>
      <c r="S272" s="27"/>
      <c r="T272" s="27"/>
      <c r="U272" s="27"/>
    </row>
    <row r="273" spans="16:21" x14ac:dyDescent="0.3">
      <c r="P273" s="27"/>
      <c r="Q273" s="27"/>
      <c r="R273" s="27"/>
      <c r="S273" s="27"/>
      <c r="T273" s="27"/>
      <c r="U273" s="27"/>
    </row>
    <row r="274" spans="16:21" x14ac:dyDescent="0.3">
      <c r="P274" s="27"/>
      <c r="Q274" s="27"/>
      <c r="R274" s="27"/>
      <c r="S274" s="27"/>
      <c r="T274" s="27"/>
      <c r="U274" s="27"/>
    </row>
    <row r="275" spans="16:21" x14ac:dyDescent="0.3">
      <c r="P275" s="27"/>
      <c r="Q275" s="27"/>
      <c r="R275" s="27"/>
      <c r="S275" s="27"/>
      <c r="T275" s="27"/>
      <c r="U275" s="27"/>
    </row>
    <row r="276" spans="16:21" x14ac:dyDescent="0.3">
      <c r="P276" s="27"/>
      <c r="Q276" s="27"/>
      <c r="R276" s="27"/>
      <c r="S276" s="27"/>
      <c r="T276" s="27"/>
      <c r="U276" s="27"/>
    </row>
    <row r="277" spans="16:21" x14ac:dyDescent="0.3">
      <c r="P277" s="27"/>
      <c r="Q277" s="27"/>
      <c r="R277" s="27"/>
      <c r="S277" s="27"/>
      <c r="T277" s="27"/>
      <c r="U277" s="27"/>
    </row>
    <row r="278" spans="16:21" x14ac:dyDescent="0.3">
      <c r="P278" s="27"/>
      <c r="Q278" s="27"/>
      <c r="R278" s="27"/>
      <c r="S278" s="27"/>
      <c r="T278" s="27"/>
      <c r="U278" s="27"/>
    </row>
    <row r="279" spans="16:21" x14ac:dyDescent="0.3">
      <c r="P279" s="27"/>
      <c r="Q279" s="27"/>
      <c r="R279" s="27"/>
      <c r="S279" s="27"/>
      <c r="T279" s="27"/>
      <c r="U279" s="27"/>
    </row>
    <row r="280" spans="16:21" x14ac:dyDescent="0.3">
      <c r="P280" s="27"/>
      <c r="Q280" s="27"/>
      <c r="R280" s="27"/>
      <c r="S280" s="27"/>
      <c r="T280" s="27"/>
      <c r="U280" s="27"/>
    </row>
    <row r="281" spans="16:21" x14ac:dyDescent="0.3">
      <c r="P281" s="27"/>
      <c r="Q281" s="27"/>
      <c r="R281" s="27"/>
      <c r="S281" s="27"/>
      <c r="T281" s="27"/>
      <c r="U281" s="27"/>
    </row>
    <row r="282" spans="16:21" x14ac:dyDescent="0.3">
      <c r="P282" s="27"/>
      <c r="Q282" s="27"/>
      <c r="R282" s="27"/>
      <c r="S282" s="27"/>
      <c r="T282" s="27"/>
      <c r="U282" s="27"/>
    </row>
    <row r="283" spans="16:21" x14ac:dyDescent="0.3">
      <c r="P283" s="27"/>
      <c r="Q283" s="27"/>
      <c r="R283" s="27"/>
      <c r="S283" s="27"/>
      <c r="T283" s="27"/>
      <c r="U283" s="27"/>
    </row>
    <row r="284" spans="16:21" x14ac:dyDescent="0.3">
      <c r="P284" s="27"/>
      <c r="Q284" s="27"/>
      <c r="R284" s="27"/>
      <c r="S284" s="27"/>
      <c r="T284" s="27"/>
      <c r="U284" s="27"/>
    </row>
    <row r="285" spans="16:21" x14ac:dyDescent="0.3">
      <c r="P285" s="27"/>
      <c r="Q285" s="27"/>
      <c r="R285" s="27"/>
      <c r="S285" s="27"/>
      <c r="T285" s="27"/>
      <c r="U285" s="27"/>
    </row>
    <row r="286" spans="16:21" x14ac:dyDescent="0.3">
      <c r="P286" s="27"/>
      <c r="Q286" s="27"/>
      <c r="R286" s="27"/>
      <c r="S286" s="27"/>
      <c r="T286" s="27"/>
      <c r="U286" s="27"/>
    </row>
    <row r="287" spans="16:21" x14ac:dyDescent="0.3">
      <c r="P287" s="27"/>
      <c r="Q287" s="27"/>
      <c r="R287" s="27"/>
      <c r="S287" s="27"/>
      <c r="T287" s="27"/>
      <c r="U287" s="27"/>
    </row>
    <row r="288" spans="16:21" x14ac:dyDescent="0.3">
      <c r="P288" s="27"/>
      <c r="Q288" s="27"/>
      <c r="R288" s="27"/>
      <c r="S288" s="27"/>
      <c r="T288" s="27"/>
      <c r="U288" s="27"/>
    </row>
    <row r="289" spans="16:21" x14ac:dyDescent="0.3">
      <c r="P289" s="27"/>
      <c r="Q289" s="27"/>
      <c r="R289" s="27"/>
      <c r="S289" s="27"/>
      <c r="T289" s="27"/>
      <c r="U289" s="27"/>
    </row>
    <row r="290" spans="16:21" x14ac:dyDescent="0.3">
      <c r="P290" s="27"/>
      <c r="Q290" s="27"/>
      <c r="R290" s="27"/>
      <c r="S290" s="27"/>
      <c r="T290" s="27"/>
      <c r="U290" s="27"/>
    </row>
    <row r="291" spans="16:21" x14ac:dyDescent="0.3">
      <c r="P291" s="27"/>
      <c r="Q291" s="27"/>
      <c r="R291" s="27"/>
      <c r="S291" s="27"/>
      <c r="T291" s="27"/>
      <c r="U291" s="27"/>
    </row>
    <row r="292" spans="16:21" x14ac:dyDescent="0.3">
      <c r="P292" s="27"/>
      <c r="Q292" s="27"/>
      <c r="R292" s="27"/>
      <c r="S292" s="27"/>
      <c r="T292" s="27"/>
      <c r="U292" s="27"/>
    </row>
    <row r="293" spans="16:21" x14ac:dyDescent="0.3">
      <c r="P293" s="27"/>
      <c r="Q293" s="27"/>
      <c r="R293" s="27"/>
      <c r="S293" s="27"/>
      <c r="T293" s="27"/>
      <c r="U293" s="27"/>
    </row>
    <row r="294" spans="16:21" x14ac:dyDescent="0.3">
      <c r="P294" s="27"/>
      <c r="Q294" s="27"/>
      <c r="R294" s="27"/>
      <c r="S294" s="27"/>
      <c r="T294" s="27"/>
      <c r="U294" s="27"/>
    </row>
    <row r="295" spans="16:21" x14ac:dyDescent="0.3">
      <c r="P295" s="27"/>
      <c r="Q295" s="27"/>
      <c r="R295" s="27"/>
      <c r="S295" s="27"/>
      <c r="T295" s="27"/>
      <c r="U295" s="27"/>
    </row>
    <row r="296" spans="16:21" x14ac:dyDescent="0.3">
      <c r="P296" s="27"/>
      <c r="Q296" s="27"/>
      <c r="R296" s="27"/>
      <c r="S296" s="27"/>
      <c r="T296" s="27"/>
      <c r="U296" s="27"/>
    </row>
    <row r="297" spans="16:21" x14ac:dyDescent="0.3">
      <c r="P297" s="27"/>
      <c r="Q297" s="27"/>
      <c r="R297" s="27"/>
      <c r="S297" s="27"/>
      <c r="T297" s="27"/>
      <c r="U297" s="27"/>
    </row>
    <row r="298" spans="16:21" x14ac:dyDescent="0.3">
      <c r="P298" s="27"/>
      <c r="Q298" s="27"/>
      <c r="R298" s="27"/>
      <c r="S298" s="27"/>
      <c r="T298" s="27"/>
      <c r="U298" s="27"/>
    </row>
    <row r="299" spans="16:21" x14ac:dyDescent="0.3">
      <c r="P299" s="27"/>
      <c r="Q299" s="27"/>
      <c r="R299" s="27"/>
      <c r="S299" s="27"/>
      <c r="T299" s="27"/>
      <c r="U299" s="27"/>
    </row>
    <row r="300" spans="16:21" x14ac:dyDescent="0.3">
      <c r="P300" s="27"/>
      <c r="Q300" s="27"/>
      <c r="R300" s="27"/>
      <c r="S300" s="27"/>
      <c r="T300" s="27"/>
      <c r="U300" s="27"/>
    </row>
    <row r="301" spans="16:21" x14ac:dyDescent="0.3">
      <c r="P301" s="27"/>
      <c r="Q301" s="27"/>
      <c r="R301" s="27"/>
      <c r="S301" s="27"/>
      <c r="T301" s="27"/>
      <c r="U301" s="27"/>
    </row>
  </sheetData>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9348E-C369-4655-86E8-A60A204138F0}">
  <sheetPr codeName="Planilha33">
    <tabColor theme="9" tint="0.59999389629810485"/>
  </sheetPr>
  <dimension ref="A1:AH300"/>
  <sheetViews>
    <sheetView showGridLines="0" workbookViewId="0">
      <selection activeCell="P6" sqref="P6"/>
    </sheetView>
  </sheetViews>
  <sheetFormatPr defaultColWidth="8.85546875" defaultRowHeight="18.75" x14ac:dyDescent="0.3"/>
  <cols>
    <col min="1" max="1" width="12.7109375" style="17" customWidth="1"/>
    <col min="2" max="2" width="26.140625" customWidth="1"/>
    <col min="4" max="4" width="4.5703125" customWidth="1"/>
    <col min="5" max="5" width="4" bestFit="1" customWidth="1"/>
    <col min="6" max="11" width="7.140625" bestFit="1" customWidth="1"/>
    <col min="12" max="17" width="12.42578125" bestFit="1" customWidth="1"/>
    <col min="19" max="19" width="12.42578125" style="15" bestFit="1" customWidth="1"/>
    <col min="20" max="23" width="9" style="15" customWidth="1"/>
    <col min="24" max="24" width="9.5703125" style="15" customWidth="1"/>
    <col min="25" max="26" width="12.42578125" style="15" bestFit="1" customWidth="1"/>
    <col min="27" max="34" width="8.85546875" style="15"/>
  </cols>
  <sheetData>
    <row r="1" spans="1:34" x14ac:dyDescent="0.3">
      <c r="A1" s="84" t="s">
        <v>468</v>
      </c>
      <c r="S1" s="14"/>
      <c r="T1" s="14"/>
      <c r="U1" s="14"/>
      <c r="V1" s="14"/>
      <c r="W1" s="14"/>
      <c r="X1" s="14"/>
      <c r="Y1" s="14"/>
      <c r="Z1" s="14"/>
      <c r="AA1" s="14"/>
      <c r="AB1" s="14"/>
      <c r="AC1" s="14"/>
      <c r="AD1" s="14"/>
      <c r="AE1" s="14"/>
      <c r="AF1" s="14"/>
      <c r="AG1" s="14"/>
      <c r="AH1" s="14"/>
    </row>
    <row r="2" spans="1:34" x14ac:dyDescent="0.3">
      <c r="A2" s="17" t="s">
        <v>469</v>
      </c>
      <c r="S2" s="14"/>
      <c r="T2" s="14"/>
      <c r="U2" s="14"/>
      <c r="V2" s="14"/>
      <c r="W2" s="14"/>
      <c r="X2" s="14"/>
      <c r="Y2" s="14"/>
      <c r="Z2" s="14"/>
      <c r="AA2" s="14"/>
      <c r="AB2" s="14"/>
      <c r="AC2" s="14"/>
      <c r="AD2" s="14"/>
      <c r="AE2" s="14"/>
      <c r="AF2" s="14"/>
      <c r="AG2" s="14"/>
      <c r="AH2" s="14"/>
    </row>
    <row r="4" spans="1:34" ht="15.75" x14ac:dyDescent="0.25">
      <c r="A4" s="2" t="s">
        <v>15</v>
      </c>
      <c r="B4" s="2" t="s">
        <v>16</v>
      </c>
    </row>
    <row r="5" spans="1:34" ht="15.75" x14ac:dyDescent="0.25">
      <c r="A5" s="23" t="s">
        <v>167</v>
      </c>
      <c r="B5" s="24" t="s">
        <v>169</v>
      </c>
    </row>
    <row r="6" spans="1:34" ht="126" x14ac:dyDescent="0.25">
      <c r="A6" s="23" t="s">
        <v>364</v>
      </c>
      <c r="B6" s="24" t="s">
        <v>365</v>
      </c>
    </row>
    <row r="7" spans="1:34" ht="47.25" x14ac:dyDescent="0.25">
      <c r="A7" s="23" t="s">
        <v>209</v>
      </c>
      <c r="B7" s="24" t="s">
        <v>368</v>
      </c>
    </row>
    <row r="8" spans="1:34" ht="15.75" x14ac:dyDescent="0.25">
      <c r="A8" s="23" t="s">
        <v>257</v>
      </c>
      <c r="B8" s="24" t="s">
        <v>344</v>
      </c>
    </row>
    <row r="9" spans="1:34" ht="15" x14ac:dyDescent="0.25">
      <c r="A9"/>
    </row>
    <row r="10" spans="1:34" ht="15" x14ac:dyDescent="0.25">
      <c r="A10"/>
      <c r="X10" s="61" t="s">
        <v>359</v>
      </c>
    </row>
    <row r="11" spans="1:34" ht="15.75" x14ac:dyDescent="0.25">
      <c r="A11" s="23"/>
      <c r="B11" s="26"/>
      <c r="X11" s="54" t="b" cm="1">
        <f t="array" ref="X11">ISSTATIONARY(F14:F34,$L$14,$M$14,$N$14,$O$14,$P$14)</f>
        <v>0</v>
      </c>
      <c r="Y11" s="54" t="b" cm="1">
        <f t="array" ref="Y11">ISSTATIONARY(G14:G34,$L$14,$M$14,$N$14,$O$14,$P$14)</f>
        <v>1</v>
      </c>
      <c r="Z11" s="54" t="b" cm="1">
        <f t="array" ref="Z11">ISSTATIONARY(H14:H34,$L$14,$M$14,$N$14,$O$14,$P$14)</f>
        <v>0</v>
      </c>
      <c r="AA11" s="54" t="b" cm="1">
        <f t="array" ref="AA11">ISSTATIONARY(I14:I34,$L$14,$M$14,$N$14,$O$14,$P$14)</f>
        <v>0</v>
      </c>
      <c r="AB11" s="54" t="b" cm="1">
        <f t="array" ref="AB11">ISSTATIONARY(J14:J34,$L$14,$M$14,$N$14,$O$14,$P$14)</f>
        <v>0</v>
      </c>
      <c r="AC11" s="54" t="b" cm="1">
        <f t="array" ref="AC11">ISSTATIONARY(K14:K34,$L$14,$M$14,$N$14,$O$14,$P$14)</f>
        <v>1</v>
      </c>
    </row>
    <row r="12" spans="1:34" ht="15.75" x14ac:dyDescent="0.25">
      <c r="A12" s="23"/>
      <c r="B12" s="26"/>
      <c r="F12" t="s">
        <v>352</v>
      </c>
      <c r="G12" t="s">
        <v>353</v>
      </c>
      <c r="H12" t="s">
        <v>354</v>
      </c>
      <c r="I12" t="s">
        <v>470</v>
      </c>
      <c r="J12" t="s">
        <v>471</v>
      </c>
      <c r="K12" t="s">
        <v>472</v>
      </c>
    </row>
    <row r="13" spans="1:34" x14ac:dyDescent="0.3">
      <c r="E13" t="s">
        <v>202</v>
      </c>
      <c r="F13" s="13" t="s">
        <v>167</v>
      </c>
      <c r="G13" s="13" t="s">
        <v>167</v>
      </c>
      <c r="H13" s="13" t="s">
        <v>167</v>
      </c>
      <c r="I13" s="13" t="s">
        <v>167</v>
      </c>
      <c r="J13" s="13" t="s">
        <v>167</v>
      </c>
      <c r="K13" s="13" t="s">
        <v>167</v>
      </c>
      <c r="L13" s="13" t="s">
        <v>366</v>
      </c>
      <c r="M13" s="13" t="s">
        <v>213</v>
      </c>
      <c r="N13" s="13" t="s">
        <v>261</v>
      </c>
      <c r="O13" s="13" t="s">
        <v>339</v>
      </c>
      <c r="P13" s="13" t="s">
        <v>203</v>
      </c>
      <c r="Q13" s="13" t="s">
        <v>351</v>
      </c>
      <c r="S13" s="61" t="s">
        <v>253</v>
      </c>
      <c r="X13" s="90" t="s">
        <v>254</v>
      </c>
    </row>
    <row r="14" spans="1:34" ht="18.75" customHeight="1" x14ac:dyDescent="0.3">
      <c r="E14" s="95">
        <v>0</v>
      </c>
      <c r="F14" s="53">
        <v>72.400000000000006</v>
      </c>
      <c r="G14" s="102"/>
      <c r="H14" s="53" cm="1">
        <f t="array" ref="H14:H34">_xlfn.BYROW(ADDTREND(F14:F34,1,3),_xlfn.LAMBDA(_xlpm.row,SUM(_xlpm.row)))</f>
        <v>73.400000000000006</v>
      </c>
      <c r="I14" s="102"/>
      <c r="J14" s="102"/>
      <c r="K14" s="102"/>
      <c r="L14" s="93" t="b">
        <v>0</v>
      </c>
      <c r="M14" s="55">
        <v>3</v>
      </c>
      <c r="N14" s="93">
        <v>0.01</v>
      </c>
      <c r="O14" s="103" t="b">
        <v>0</v>
      </c>
      <c r="P14" s="103" t="b">
        <v>0</v>
      </c>
      <c r="Q14" s="55">
        <v>4</v>
      </c>
      <c r="R14" s="96"/>
      <c r="S14" s="28" cm="1">
        <f t="array" ref="S14">_xlfn.LAMBDA(_xlpm.values,_xlop.automatic,_xlop.nLags,_xlop.significance,_xlop.maxDiffs,
_xlfn.LET(
_xlpm.automatic, IF(_xlfn.ISOMITTED(_xlpm.automatic), FALSE, _xlpm.automatic),
_xlpm.nLags,IF(_xlfn.ISOMITTED(_xlpm.nLags), 0, _xlpm.nLags),
_xlpm.significance, IF(_xlfn.ISOMITTED(_xlpm.significance), FALSE, _xlpm.significance),
_xlpm.constant, FALSE,
_xlpm.trend, FALSE,
_xlpm.maxDiffs, IF(OR( _xlfn.ISOMITTED(_xlpm.maxDiffs), ISBLANK(_xlpm.maxDiffs)), 2, _xlpm.maxDiffs ),
IF(ISSTATIONARY(_xlpm.values, _xlpm.automatic, _xlpm.nLags, _xlpm.significance, _xlpm.constant, _xlpm.trend), 0,
IF(_xlpm.maxDiffs = 0, NA(),
1 + IORDER( DIFF(_xlpm.values,1,1), _xlpm.automatic, _xlpm.nLags, _xlpm.significance, _xlpm.maxDiffs - 1)
))
))($F$14:$F$34,$L$14,$M$14,$N$14,$Q$14)</f>
        <v>1</v>
      </c>
      <c r="T14" s="28"/>
      <c r="U14" s="28"/>
      <c r="V14" s="28"/>
      <c r="W14" s="28"/>
      <c r="X14" s="28" cm="1">
        <f t="array" ref="X14">IORDER(F$14:F$34,$L$14,$M$14,$N$14,$Q$14)</f>
        <v>1</v>
      </c>
      <c r="Y14" s="28" cm="1">
        <f t="array" ref="Y14">IORDER(G$14:G$34,$L$14,$M$14,$N$14,$Q$14)</f>
        <v>0</v>
      </c>
      <c r="Z14" s="28" cm="1">
        <f t="array" ref="Z14">IORDER(H$14:H$34,$L$14,$M$14,$N$14,$Q$14)</f>
        <v>3</v>
      </c>
      <c r="AA14" s="28" cm="1">
        <f t="array" ref="AA14">IORDER(I$14:I$34,$L$14,$M$14,$N$14,$Q$14)</f>
        <v>2</v>
      </c>
      <c r="AB14" s="28" cm="1">
        <f t="array" ref="AB14">IORDER(J$14:J$34,$L$14,$M$14,$N$14,$Q$14)</f>
        <v>1</v>
      </c>
      <c r="AC14" s="28" cm="1">
        <f t="array" ref="AC14">IORDER(K$14:K$34,$L$14,$M$14,$N$14,$Q$14)</f>
        <v>0</v>
      </c>
    </row>
    <row r="15" spans="1:34" x14ac:dyDescent="0.3">
      <c r="E15" s="95">
        <v>1</v>
      </c>
      <c r="F15" s="53">
        <v>69.7</v>
      </c>
      <c r="G15" s="53" cm="1">
        <f t="array" ref="G15:G34">DIFF($F$14:$F$34,1,1)</f>
        <v>-2.7000000000000028</v>
      </c>
      <c r="H15" s="53">
        <v>77.7</v>
      </c>
      <c r="I15" s="53" cm="1">
        <f t="array" ref="I15:I34">DIFF(_xlfn.ANCHORARRAY(H14),1,1)</f>
        <v>4.2999999999999972</v>
      </c>
      <c r="J15" s="102"/>
      <c r="K15" s="102"/>
      <c r="R15" s="96"/>
      <c r="S15" s="54"/>
      <c r="T15" s="54"/>
      <c r="U15" s="54"/>
      <c r="V15" s="54"/>
      <c r="W15" s="54"/>
      <c r="X15" s="54"/>
      <c r="Y15" s="27"/>
      <c r="Z15" s="27"/>
    </row>
    <row r="16" spans="1:34" x14ac:dyDescent="0.3">
      <c r="E16" s="95">
        <v>2</v>
      </c>
      <c r="F16" s="53">
        <v>77.400000000000006</v>
      </c>
      <c r="G16" s="53">
        <v>7.7000000000000028</v>
      </c>
      <c r="H16" s="53">
        <v>104.4</v>
      </c>
      <c r="I16" s="53">
        <v>26.700000000000003</v>
      </c>
      <c r="J16" s="53" cm="1">
        <f t="array" ref="J16:J34">DIFF(_xlfn.ANCHORARRAY($I$15),1,1)</f>
        <v>22.400000000000006</v>
      </c>
      <c r="K16" s="102"/>
      <c r="R16" s="96"/>
      <c r="S16" s="54"/>
      <c r="T16" s="54"/>
      <c r="U16" s="54"/>
      <c r="V16" s="54"/>
      <c r="W16" s="54"/>
      <c r="X16" s="54"/>
      <c r="Y16" s="27"/>
      <c r="Z16" s="27"/>
    </row>
    <row r="17" spans="5:26" x14ac:dyDescent="0.3">
      <c r="E17" s="95">
        <v>3</v>
      </c>
      <c r="F17" s="53">
        <v>79.599999999999994</v>
      </c>
      <c r="G17" s="53">
        <v>2.1999999999999886</v>
      </c>
      <c r="H17" s="53">
        <v>143.6</v>
      </c>
      <c r="I17" s="53">
        <v>39.199999999999989</v>
      </c>
      <c r="J17" s="53">
        <v>12.499999999999986</v>
      </c>
      <c r="K17" s="53" cm="1">
        <f t="array" ref="K17:K34">DIFF(_xlfn.ANCHORARRAY(J16),1,1)</f>
        <v>-9.9000000000000199</v>
      </c>
      <c r="R17" s="96"/>
      <c r="S17" s="54"/>
      <c r="T17" s="54"/>
      <c r="U17" s="54"/>
      <c r="V17" s="54"/>
      <c r="W17" s="54"/>
      <c r="X17" s="54"/>
      <c r="Y17" s="27"/>
      <c r="Z17" s="27"/>
    </row>
    <row r="18" spans="5:26" x14ac:dyDescent="0.3">
      <c r="E18" s="95">
        <v>4</v>
      </c>
      <c r="F18" s="53">
        <v>80.400000000000006</v>
      </c>
      <c r="G18" s="53">
        <v>0.80000000000001137</v>
      </c>
      <c r="H18" s="53">
        <v>205.4</v>
      </c>
      <c r="I18" s="53">
        <v>61.800000000000011</v>
      </c>
      <c r="J18" s="53">
        <v>22.600000000000023</v>
      </c>
      <c r="K18" s="53">
        <v>10.100000000000037</v>
      </c>
      <c r="R18" s="96"/>
      <c r="S18" s="54"/>
      <c r="T18" s="54"/>
      <c r="U18" s="54"/>
      <c r="V18" s="54"/>
      <c r="W18" s="54"/>
      <c r="X18" s="54"/>
      <c r="Y18" s="27"/>
      <c r="Z18" s="27"/>
    </row>
    <row r="19" spans="5:26" x14ac:dyDescent="0.3">
      <c r="E19" s="95">
        <v>5</v>
      </c>
      <c r="F19" s="53">
        <v>77.5</v>
      </c>
      <c r="G19" s="53">
        <v>-2.9000000000000057</v>
      </c>
      <c r="H19" s="53">
        <v>293.5</v>
      </c>
      <c r="I19" s="53">
        <v>88.1</v>
      </c>
      <c r="J19" s="53">
        <v>26.299999999999983</v>
      </c>
      <c r="K19" s="53">
        <v>3.6999999999999602</v>
      </c>
      <c r="R19" s="96"/>
      <c r="S19" s="54"/>
      <c r="T19" s="54"/>
      <c r="U19" s="54"/>
      <c r="V19" s="54"/>
      <c r="W19" s="54"/>
      <c r="X19" s="54"/>
      <c r="Y19" s="27"/>
      <c r="Z19" s="27"/>
    </row>
    <row r="20" spans="5:26" x14ac:dyDescent="0.3">
      <c r="E20" s="95">
        <v>6</v>
      </c>
      <c r="F20" s="53">
        <v>83.3</v>
      </c>
      <c r="G20" s="53">
        <v>5.7999999999999972</v>
      </c>
      <c r="H20" s="53">
        <v>426.3</v>
      </c>
      <c r="I20" s="53">
        <v>132.80000000000001</v>
      </c>
      <c r="J20" s="53">
        <v>44.700000000000017</v>
      </c>
      <c r="K20" s="53">
        <v>18.400000000000034</v>
      </c>
      <c r="R20" s="96"/>
      <c r="S20" s="54"/>
      <c r="T20" s="54"/>
      <c r="U20" s="54"/>
      <c r="V20" s="54"/>
      <c r="W20" s="54"/>
      <c r="X20" s="54"/>
      <c r="Y20" s="27"/>
      <c r="Z20" s="27"/>
    </row>
    <row r="21" spans="5:26" x14ac:dyDescent="0.3">
      <c r="E21" s="95">
        <v>7</v>
      </c>
      <c r="F21" s="53">
        <v>83.6</v>
      </c>
      <c r="G21" s="53">
        <v>0.29999999999999716</v>
      </c>
      <c r="H21" s="53">
        <v>595.6</v>
      </c>
      <c r="I21" s="53">
        <v>169.3</v>
      </c>
      <c r="J21" s="53">
        <v>36.5</v>
      </c>
      <c r="K21" s="53">
        <v>-8.2000000000000171</v>
      </c>
      <c r="R21" s="96"/>
      <c r="S21" s="54"/>
      <c r="T21" s="54"/>
      <c r="U21" s="54"/>
      <c r="V21" s="54"/>
      <c r="W21" s="54"/>
      <c r="X21" s="54"/>
      <c r="Y21" s="27"/>
      <c r="Z21" s="27"/>
    </row>
    <row r="22" spans="5:26" x14ac:dyDescent="0.3">
      <c r="E22" s="95">
        <v>8</v>
      </c>
      <c r="F22" s="53">
        <v>82.1</v>
      </c>
      <c r="G22" s="53">
        <v>-1.5</v>
      </c>
      <c r="H22" s="53">
        <v>811.1</v>
      </c>
      <c r="I22" s="53">
        <v>215.5</v>
      </c>
      <c r="J22" s="53">
        <v>46.199999999999989</v>
      </c>
      <c r="K22" s="53">
        <v>9.6999999999999886</v>
      </c>
      <c r="R22" s="96"/>
      <c r="S22" s="54"/>
      <c r="T22" s="54"/>
      <c r="U22" s="54"/>
      <c r="V22" s="54"/>
      <c r="W22" s="54"/>
      <c r="X22" s="54"/>
      <c r="Y22" s="27"/>
      <c r="Z22" s="27"/>
    </row>
    <row r="23" spans="5:26" x14ac:dyDescent="0.3">
      <c r="E23" s="95">
        <v>9</v>
      </c>
      <c r="F23" s="53">
        <v>89.2</v>
      </c>
      <c r="G23" s="53">
        <v>7.1000000000000085</v>
      </c>
      <c r="H23" s="53">
        <v>1089.2</v>
      </c>
      <c r="I23" s="53">
        <v>278.10000000000002</v>
      </c>
      <c r="J23" s="53">
        <v>62.600000000000023</v>
      </c>
      <c r="K23" s="53">
        <v>16.400000000000034</v>
      </c>
      <c r="R23" s="96"/>
      <c r="S23" s="54"/>
      <c r="T23" s="54"/>
      <c r="U23" s="54"/>
      <c r="V23" s="54"/>
      <c r="W23" s="54"/>
      <c r="X23" s="54"/>
      <c r="Y23" s="27"/>
      <c r="Z23" s="27"/>
    </row>
    <row r="24" spans="5:26" x14ac:dyDescent="0.3">
      <c r="E24" s="95">
        <v>10</v>
      </c>
      <c r="F24" s="53">
        <v>83.9</v>
      </c>
      <c r="G24" s="53">
        <v>-5.2999999999999972</v>
      </c>
      <c r="H24" s="53">
        <v>1414.9</v>
      </c>
      <c r="I24" s="53">
        <v>325.70000000000005</v>
      </c>
      <c r="J24" s="53">
        <v>47.600000000000023</v>
      </c>
      <c r="K24" s="53">
        <v>-15</v>
      </c>
      <c r="R24" s="96"/>
      <c r="S24" s="54"/>
      <c r="T24" s="54"/>
      <c r="U24" s="54"/>
      <c r="V24" s="54"/>
      <c r="W24" s="54"/>
      <c r="X24" s="54"/>
      <c r="Y24" s="27"/>
      <c r="Z24" s="27"/>
    </row>
    <row r="25" spans="5:26" x14ac:dyDescent="0.3">
      <c r="E25" s="95">
        <v>11</v>
      </c>
      <c r="F25" s="53">
        <v>74.599999999999994</v>
      </c>
      <c r="G25" s="53">
        <v>-9.3000000000000114</v>
      </c>
      <c r="H25" s="53">
        <v>1802.6</v>
      </c>
      <c r="I25" s="53">
        <v>387.69999999999982</v>
      </c>
      <c r="J25" s="53">
        <v>61.999999999999773</v>
      </c>
      <c r="K25" s="53">
        <v>14.39999999999975</v>
      </c>
      <c r="R25" s="96"/>
      <c r="S25" s="54"/>
      <c r="T25" s="54"/>
      <c r="U25" s="54"/>
      <c r="V25" s="54"/>
      <c r="W25" s="54"/>
      <c r="X25" s="54"/>
      <c r="Y25" s="27"/>
      <c r="Z25" s="27"/>
    </row>
    <row r="26" spans="5:26" x14ac:dyDescent="0.3">
      <c r="E26" s="95">
        <v>12</v>
      </c>
      <c r="F26" s="53">
        <v>74</v>
      </c>
      <c r="G26" s="53">
        <v>-0.59999999999999432</v>
      </c>
      <c r="H26" s="53">
        <v>2271</v>
      </c>
      <c r="I26" s="53">
        <v>468.40000000000009</v>
      </c>
      <c r="J26" s="53">
        <v>80.700000000000273</v>
      </c>
      <c r="K26" s="53">
        <v>18.7000000000005</v>
      </c>
      <c r="R26" s="96"/>
      <c r="S26" s="54"/>
      <c r="T26" s="54"/>
      <c r="U26" s="54"/>
      <c r="V26" s="54"/>
      <c r="W26" s="54"/>
      <c r="X26" s="54"/>
      <c r="Y26" s="27"/>
      <c r="Z26" s="27"/>
    </row>
    <row r="27" spans="5:26" x14ac:dyDescent="0.3">
      <c r="E27" s="95">
        <v>13</v>
      </c>
      <c r="F27" s="53">
        <v>71.8</v>
      </c>
      <c r="G27" s="53">
        <v>-2.2000000000000028</v>
      </c>
      <c r="H27" s="53">
        <v>2815.8</v>
      </c>
      <c r="I27" s="53">
        <v>544.80000000000018</v>
      </c>
      <c r="J27" s="53">
        <v>76.400000000000091</v>
      </c>
      <c r="K27" s="53">
        <v>-4.3000000000001819</v>
      </c>
      <c r="R27" s="96"/>
      <c r="S27" s="54"/>
      <c r="T27" s="54"/>
      <c r="U27" s="54"/>
      <c r="V27" s="54"/>
      <c r="W27" s="54"/>
      <c r="X27" s="54"/>
      <c r="Y27" s="27"/>
      <c r="Z27" s="27"/>
    </row>
    <row r="28" spans="5:26" x14ac:dyDescent="0.3">
      <c r="E28" s="95">
        <v>14</v>
      </c>
      <c r="F28" s="53">
        <v>77.400000000000006</v>
      </c>
      <c r="G28" s="53">
        <v>5.6000000000000085</v>
      </c>
      <c r="H28" s="53">
        <v>3452.4</v>
      </c>
      <c r="I28" s="53">
        <v>636.59999999999991</v>
      </c>
      <c r="J28" s="53">
        <v>91.799999999999727</v>
      </c>
      <c r="K28" s="53">
        <v>15.399999999999636</v>
      </c>
      <c r="R28" s="96"/>
      <c r="S28" s="54"/>
      <c r="T28" s="54"/>
      <c r="U28" s="54"/>
      <c r="V28" s="54"/>
      <c r="W28" s="54"/>
      <c r="X28" s="54"/>
      <c r="Y28" s="27"/>
      <c r="Z28" s="27"/>
    </row>
    <row r="29" spans="5:26" x14ac:dyDescent="0.3">
      <c r="E29" s="95">
        <v>15</v>
      </c>
      <c r="F29" s="53">
        <v>76.5</v>
      </c>
      <c r="G29" s="53">
        <v>-0.90000000000000568</v>
      </c>
      <c r="H29" s="53">
        <v>4172.5</v>
      </c>
      <c r="I29" s="53">
        <v>720.09999999999991</v>
      </c>
      <c r="J29" s="53">
        <v>83.5</v>
      </c>
      <c r="K29" s="53">
        <v>-8.2999999999997272</v>
      </c>
      <c r="R29" s="96"/>
      <c r="S29" s="54"/>
      <c r="T29" s="54"/>
      <c r="U29" s="54"/>
      <c r="V29" s="54"/>
      <c r="W29" s="54"/>
      <c r="X29" s="54"/>
      <c r="Y29" s="27"/>
      <c r="Z29" s="27"/>
    </row>
    <row r="30" spans="5:26" x14ac:dyDescent="0.3">
      <c r="E30" s="95">
        <v>16</v>
      </c>
      <c r="F30" s="53">
        <v>79.7</v>
      </c>
      <c r="G30" s="53">
        <v>3.2000000000000028</v>
      </c>
      <c r="H30" s="53">
        <v>4992.7</v>
      </c>
      <c r="I30" s="53">
        <v>820.19999999999982</v>
      </c>
      <c r="J30" s="53">
        <v>100.09999999999991</v>
      </c>
      <c r="K30" s="53">
        <v>16.599999999999909</v>
      </c>
      <c r="R30" s="96"/>
      <c r="S30" s="54"/>
      <c r="T30" s="54"/>
      <c r="U30" s="54"/>
      <c r="V30" s="54"/>
      <c r="W30" s="54"/>
      <c r="X30" s="54"/>
      <c r="Y30" s="27"/>
      <c r="Z30" s="27"/>
    </row>
    <row r="31" spans="5:26" x14ac:dyDescent="0.3">
      <c r="E31" s="95">
        <v>17</v>
      </c>
      <c r="F31" s="53">
        <v>76.3</v>
      </c>
      <c r="G31" s="53">
        <v>-3.4000000000000057</v>
      </c>
      <c r="H31" s="53">
        <v>5908.3</v>
      </c>
      <c r="I31" s="53">
        <v>915.60000000000036</v>
      </c>
      <c r="J31" s="53">
        <v>95.400000000000546</v>
      </c>
      <c r="K31" s="53">
        <v>-4.6999999999993634</v>
      </c>
      <c r="R31" s="96"/>
      <c r="S31" s="54"/>
      <c r="T31" s="54"/>
      <c r="U31" s="54"/>
      <c r="V31" s="54"/>
      <c r="W31" s="54"/>
      <c r="X31" s="54"/>
      <c r="Y31" s="27"/>
      <c r="Z31" s="27"/>
    </row>
    <row r="32" spans="5:26" x14ac:dyDescent="0.3">
      <c r="E32" s="95">
        <v>18</v>
      </c>
      <c r="F32" s="53">
        <v>81.3</v>
      </c>
      <c r="G32" s="53">
        <v>5</v>
      </c>
      <c r="H32" s="53">
        <v>6940.3</v>
      </c>
      <c r="I32" s="53">
        <v>1032</v>
      </c>
      <c r="J32" s="53">
        <v>116.39999999999964</v>
      </c>
      <c r="K32" s="53">
        <v>20.999999999999091</v>
      </c>
      <c r="R32" s="96"/>
      <c r="S32" s="54"/>
      <c r="T32" s="54"/>
      <c r="U32" s="54"/>
      <c r="V32" s="54"/>
      <c r="W32" s="54"/>
      <c r="X32" s="54"/>
      <c r="Y32" s="27"/>
      <c r="Z32" s="27"/>
    </row>
    <row r="33" spans="5:26" x14ac:dyDescent="0.3">
      <c r="E33" s="95">
        <v>19</v>
      </c>
      <c r="F33" s="53">
        <v>81.599999999999994</v>
      </c>
      <c r="G33" s="53">
        <v>0.29999999999999716</v>
      </c>
      <c r="H33" s="53">
        <v>8081.6</v>
      </c>
      <c r="I33" s="53">
        <v>1141.3000000000002</v>
      </c>
      <c r="J33" s="53">
        <v>109.30000000000018</v>
      </c>
      <c r="K33" s="53">
        <v>-7.0999999999994543</v>
      </c>
      <c r="R33" s="96"/>
      <c r="S33" s="54"/>
      <c r="T33" s="54"/>
      <c r="U33" s="54"/>
      <c r="V33" s="54"/>
      <c r="W33" s="54"/>
      <c r="X33" s="54"/>
      <c r="Y33" s="27"/>
      <c r="Z33" s="27"/>
    </row>
    <row r="34" spans="5:26" x14ac:dyDescent="0.3">
      <c r="E34" s="95">
        <v>20</v>
      </c>
      <c r="F34" s="53">
        <v>85.7</v>
      </c>
      <c r="G34" s="53">
        <v>4.1000000000000085</v>
      </c>
      <c r="H34" s="53">
        <v>9346.7000000000007</v>
      </c>
      <c r="I34" s="53">
        <v>1265.1000000000004</v>
      </c>
      <c r="J34" s="53">
        <v>123.80000000000018</v>
      </c>
      <c r="K34" s="53">
        <v>14.5</v>
      </c>
      <c r="R34" s="96"/>
      <c r="S34" s="54"/>
      <c r="T34" s="54"/>
      <c r="U34" s="54"/>
      <c r="V34" s="54"/>
      <c r="W34" s="54"/>
      <c r="X34" s="54"/>
      <c r="Y34" s="27"/>
      <c r="Z34" s="27"/>
    </row>
    <row r="35" spans="5:26" x14ac:dyDescent="0.3">
      <c r="R35" s="96"/>
      <c r="S35" s="54"/>
      <c r="T35" s="54"/>
      <c r="U35" s="54"/>
      <c r="V35" s="54"/>
      <c r="W35" s="54"/>
      <c r="X35" s="54"/>
      <c r="Y35" s="27"/>
      <c r="Z35" s="27"/>
    </row>
    <row r="36" spans="5:26" x14ac:dyDescent="0.3">
      <c r="R36" s="96"/>
      <c r="S36" s="54"/>
      <c r="T36" s="54"/>
      <c r="U36" s="54"/>
      <c r="V36" s="54"/>
      <c r="W36" s="54"/>
      <c r="X36" s="54"/>
      <c r="Y36" s="27"/>
      <c r="Z36" s="27"/>
    </row>
    <row r="37" spans="5:26" x14ac:dyDescent="0.3">
      <c r="R37" s="96"/>
      <c r="S37" s="54"/>
      <c r="T37" s="54"/>
      <c r="U37" s="54"/>
      <c r="V37" s="54"/>
      <c r="W37" s="54"/>
      <c r="X37" s="54"/>
      <c r="Y37" s="27"/>
      <c r="Z37" s="27"/>
    </row>
    <row r="38" spans="5:26" x14ac:dyDescent="0.3">
      <c r="R38" s="96"/>
      <c r="S38" s="54"/>
      <c r="T38" s="54"/>
      <c r="U38" s="54"/>
      <c r="V38" s="54"/>
      <c r="W38" s="54"/>
      <c r="X38" s="54"/>
      <c r="Y38" s="27"/>
      <c r="Z38" s="27"/>
    </row>
    <row r="39" spans="5:26" x14ac:dyDescent="0.3">
      <c r="R39" s="96"/>
      <c r="S39" s="54"/>
      <c r="T39" s="54"/>
      <c r="U39" s="54"/>
      <c r="V39" s="54"/>
      <c r="W39" s="54"/>
      <c r="X39" s="54"/>
      <c r="Y39" s="27"/>
      <c r="Z39" s="27"/>
    </row>
    <row r="40" spans="5:26" x14ac:dyDescent="0.3">
      <c r="R40" s="96"/>
      <c r="S40" s="54"/>
      <c r="T40" s="54"/>
      <c r="U40" s="54"/>
      <c r="V40" s="54"/>
      <c r="W40" s="54"/>
      <c r="X40" s="54"/>
      <c r="Y40" s="27"/>
      <c r="Z40" s="27"/>
    </row>
    <row r="41" spans="5:26" x14ac:dyDescent="0.3">
      <c r="R41" s="96"/>
      <c r="S41" s="54"/>
      <c r="T41" s="54"/>
      <c r="U41" s="54"/>
      <c r="V41" s="54"/>
      <c r="W41" s="54"/>
      <c r="X41" s="54"/>
      <c r="Y41" s="27"/>
      <c r="Z41" s="27"/>
    </row>
    <row r="42" spans="5:26" x14ac:dyDescent="0.3">
      <c r="R42" s="96"/>
      <c r="S42" s="54"/>
      <c r="T42" s="54"/>
      <c r="U42" s="54"/>
      <c r="V42" s="54"/>
      <c r="W42" s="54"/>
      <c r="X42" s="54"/>
      <c r="Y42" s="27"/>
      <c r="Z42" s="27"/>
    </row>
    <row r="43" spans="5:26" x14ac:dyDescent="0.3">
      <c r="R43" s="96"/>
      <c r="S43" s="54"/>
      <c r="T43" s="54"/>
      <c r="U43" s="54"/>
      <c r="V43" s="54"/>
      <c r="W43" s="54"/>
      <c r="X43" s="54"/>
      <c r="Y43" s="27"/>
      <c r="Z43" s="27"/>
    </row>
    <row r="44" spans="5:26" x14ac:dyDescent="0.3">
      <c r="R44" s="96"/>
      <c r="S44" s="54"/>
      <c r="T44" s="54"/>
      <c r="U44" s="54"/>
      <c r="V44" s="54"/>
      <c r="W44" s="54"/>
      <c r="X44" s="54"/>
      <c r="Y44" s="27"/>
      <c r="Z44" s="27"/>
    </row>
    <row r="45" spans="5:26" x14ac:dyDescent="0.3">
      <c r="R45" s="96"/>
      <c r="S45" s="54"/>
      <c r="T45" s="54"/>
      <c r="U45" s="54"/>
      <c r="V45" s="54"/>
      <c r="W45" s="54"/>
      <c r="X45" s="54"/>
      <c r="Y45" s="27"/>
      <c r="Z45" s="27"/>
    </row>
    <row r="46" spans="5:26" x14ac:dyDescent="0.3">
      <c r="R46" s="96"/>
      <c r="S46" s="54"/>
      <c r="T46" s="54"/>
      <c r="U46" s="54"/>
      <c r="V46" s="54"/>
      <c r="W46" s="54"/>
      <c r="X46" s="54"/>
      <c r="Y46" s="27"/>
      <c r="Z46" s="27"/>
    </row>
    <row r="47" spans="5:26" x14ac:dyDescent="0.3">
      <c r="R47" s="96"/>
      <c r="S47" s="54"/>
      <c r="T47" s="54"/>
      <c r="U47" s="54"/>
      <c r="V47" s="54"/>
      <c r="W47" s="54"/>
      <c r="X47" s="54"/>
      <c r="Y47" s="27"/>
      <c r="Z47" s="27"/>
    </row>
    <row r="48" spans="5:26" x14ac:dyDescent="0.3">
      <c r="R48" s="96"/>
      <c r="S48" s="54"/>
      <c r="T48" s="54"/>
      <c r="U48" s="54"/>
      <c r="V48" s="54"/>
      <c r="W48" s="54"/>
      <c r="X48" s="54"/>
      <c r="Y48" s="27"/>
      <c r="Z48" s="27"/>
    </row>
    <row r="49" spans="18:26" x14ac:dyDescent="0.3">
      <c r="R49" s="96"/>
      <c r="S49" s="54"/>
      <c r="T49" s="54"/>
      <c r="U49" s="54"/>
      <c r="V49" s="54"/>
      <c r="W49" s="54"/>
      <c r="X49" s="54"/>
      <c r="Y49" s="27"/>
      <c r="Z49" s="27"/>
    </row>
    <row r="50" spans="18:26" x14ac:dyDescent="0.3">
      <c r="R50" s="96"/>
      <c r="S50" s="54"/>
      <c r="T50" s="54"/>
      <c r="U50" s="54"/>
      <c r="V50" s="54"/>
      <c r="W50" s="54"/>
      <c r="X50" s="54"/>
      <c r="Y50" s="27"/>
      <c r="Z50" s="27"/>
    </row>
    <row r="51" spans="18:26" x14ac:dyDescent="0.3">
      <c r="R51" s="96"/>
      <c r="S51" s="54"/>
      <c r="T51" s="54"/>
      <c r="U51" s="54"/>
      <c r="V51" s="54"/>
      <c r="W51" s="54"/>
      <c r="X51" s="54"/>
      <c r="Y51" s="27"/>
      <c r="Z51" s="27"/>
    </row>
    <row r="52" spans="18:26" x14ac:dyDescent="0.3">
      <c r="R52" s="96"/>
      <c r="S52" s="54"/>
      <c r="T52" s="54"/>
      <c r="U52" s="54"/>
      <c r="V52" s="54"/>
      <c r="W52" s="54"/>
      <c r="X52" s="54"/>
      <c r="Y52" s="27"/>
      <c r="Z52" s="27"/>
    </row>
    <row r="53" spans="18:26" x14ac:dyDescent="0.3">
      <c r="R53" s="96"/>
      <c r="S53" s="54"/>
      <c r="T53" s="54"/>
      <c r="U53" s="54"/>
      <c r="V53" s="54"/>
      <c r="W53" s="54"/>
      <c r="X53" s="54"/>
      <c r="Y53" s="27"/>
      <c r="Z53" s="27"/>
    </row>
    <row r="54" spans="18:26" x14ac:dyDescent="0.3">
      <c r="R54" s="96"/>
      <c r="S54" s="54"/>
      <c r="T54" s="54"/>
      <c r="U54" s="54"/>
      <c r="V54" s="54"/>
      <c r="W54" s="54"/>
      <c r="X54" s="54"/>
      <c r="Y54" s="27"/>
      <c r="Z54" s="27"/>
    </row>
    <row r="55" spans="18:26" x14ac:dyDescent="0.3">
      <c r="R55" s="96"/>
      <c r="S55" s="54"/>
      <c r="T55" s="54"/>
      <c r="U55" s="54"/>
      <c r="V55" s="54"/>
      <c r="W55" s="54"/>
      <c r="X55" s="54"/>
      <c r="Y55" s="27"/>
      <c r="Z55" s="27"/>
    </row>
    <row r="56" spans="18:26" x14ac:dyDescent="0.3">
      <c r="R56" s="96"/>
      <c r="S56" s="54"/>
      <c r="T56" s="54"/>
      <c r="U56" s="54"/>
      <c r="V56" s="54"/>
      <c r="W56" s="54"/>
      <c r="X56" s="54"/>
      <c r="Y56" s="27"/>
      <c r="Z56" s="27"/>
    </row>
    <row r="57" spans="18:26" x14ac:dyDescent="0.3">
      <c r="R57" s="96"/>
      <c r="S57" s="54"/>
      <c r="T57" s="54"/>
      <c r="U57" s="54"/>
      <c r="V57" s="54"/>
      <c r="W57" s="54"/>
      <c r="X57" s="54"/>
      <c r="Y57" s="27"/>
      <c r="Z57" s="27"/>
    </row>
    <row r="58" spans="18:26" x14ac:dyDescent="0.3">
      <c r="R58" s="96"/>
      <c r="S58" s="54"/>
      <c r="T58" s="54"/>
      <c r="U58" s="54"/>
      <c r="V58" s="54"/>
      <c r="W58" s="54"/>
      <c r="X58" s="54"/>
      <c r="Y58" s="27"/>
      <c r="Z58" s="27"/>
    </row>
    <row r="59" spans="18:26" x14ac:dyDescent="0.3">
      <c r="R59" s="96"/>
      <c r="S59" s="54"/>
      <c r="T59" s="54"/>
      <c r="U59" s="54"/>
      <c r="V59" s="54"/>
      <c r="W59" s="54"/>
      <c r="X59" s="54"/>
      <c r="Y59" s="27"/>
      <c r="Z59" s="27"/>
    </row>
    <row r="60" spans="18:26" x14ac:dyDescent="0.3">
      <c r="R60" s="96"/>
      <c r="S60" s="54"/>
      <c r="T60" s="54"/>
      <c r="U60" s="54"/>
      <c r="V60" s="54"/>
      <c r="W60" s="54"/>
      <c r="X60" s="54"/>
      <c r="Y60" s="27"/>
      <c r="Z60" s="27"/>
    </row>
    <row r="61" spans="18:26" x14ac:dyDescent="0.3">
      <c r="R61" s="96"/>
      <c r="S61" s="54"/>
      <c r="T61" s="54"/>
      <c r="U61" s="54"/>
      <c r="V61" s="54"/>
      <c r="W61" s="54"/>
      <c r="X61" s="54"/>
      <c r="Y61" s="27"/>
      <c r="Z61" s="27"/>
    </row>
    <row r="62" spans="18:26" x14ac:dyDescent="0.3">
      <c r="R62" s="96"/>
      <c r="S62" s="54"/>
      <c r="T62" s="54"/>
      <c r="U62" s="54"/>
      <c r="V62" s="54"/>
      <c r="W62" s="54"/>
      <c r="X62" s="54"/>
      <c r="Y62" s="27"/>
      <c r="Z62" s="27"/>
    </row>
    <row r="63" spans="18:26" x14ac:dyDescent="0.3">
      <c r="R63" s="96"/>
      <c r="S63" s="54"/>
      <c r="T63" s="54"/>
      <c r="U63" s="54"/>
      <c r="V63" s="54"/>
      <c r="W63" s="54"/>
      <c r="X63" s="54"/>
      <c r="Y63" s="27"/>
      <c r="Z63" s="27"/>
    </row>
    <row r="64" spans="18:26" x14ac:dyDescent="0.3">
      <c r="R64" s="96"/>
      <c r="S64" s="54"/>
      <c r="T64" s="54"/>
      <c r="U64" s="54"/>
      <c r="V64" s="54"/>
      <c r="W64" s="54"/>
      <c r="X64" s="54"/>
      <c r="Y64" s="27"/>
      <c r="Z64" s="27"/>
    </row>
    <row r="65" spans="18:26" x14ac:dyDescent="0.3">
      <c r="R65" s="96"/>
      <c r="S65" s="54"/>
      <c r="T65" s="54"/>
      <c r="U65" s="54"/>
      <c r="V65" s="54"/>
      <c r="W65" s="54"/>
      <c r="X65" s="54"/>
      <c r="Y65" s="27"/>
      <c r="Z65" s="27"/>
    </row>
    <row r="66" spans="18:26" x14ac:dyDescent="0.3">
      <c r="R66" s="96"/>
      <c r="S66" s="54"/>
      <c r="T66" s="54"/>
      <c r="U66" s="54"/>
      <c r="V66" s="54"/>
      <c r="W66" s="54"/>
      <c r="X66" s="54"/>
      <c r="Y66" s="27"/>
      <c r="Z66" s="27"/>
    </row>
    <row r="67" spans="18:26" x14ac:dyDescent="0.3">
      <c r="R67" s="96"/>
      <c r="S67" s="54"/>
      <c r="T67" s="54"/>
      <c r="U67" s="54"/>
      <c r="V67" s="54"/>
      <c r="W67" s="54"/>
      <c r="X67" s="54"/>
      <c r="Y67" s="27"/>
      <c r="Z67" s="27"/>
    </row>
    <row r="68" spans="18:26" x14ac:dyDescent="0.3">
      <c r="R68" s="96"/>
      <c r="S68" s="54"/>
      <c r="T68" s="54"/>
      <c r="U68" s="54"/>
      <c r="V68" s="54"/>
      <c r="W68" s="54"/>
      <c r="X68" s="54"/>
      <c r="Y68" s="27"/>
      <c r="Z68" s="27"/>
    </row>
    <row r="69" spans="18:26" x14ac:dyDescent="0.3">
      <c r="R69" s="96"/>
      <c r="S69" s="54"/>
      <c r="T69" s="54"/>
      <c r="U69" s="54"/>
      <c r="V69" s="54"/>
      <c r="W69" s="54"/>
      <c r="X69" s="54"/>
      <c r="Y69" s="27"/>
      <c r="Z69" s="27"/>
    </row>
    <row r="70" spans="18:26" x14ac:dyDescent="0.3">
      <c r="R70" s="96"/>
      <c r="S70" s="54"/>
      <c r="T70" s="54"/>
      <c r="U70" s="54"/>
      <c r="V70" s="54"/>
      <c r="W70" s="54"/>
      <c r="X70" s="54"/>
      <c r="Y70" s="27"/>
      <c r="Z70" s="27"/>
    </row>
    <row r="71" spans="18:26" x14ac:dyDescent="0.3">
      <c r="R71" s="96"/>
      <c r="S71" s="54"/>
      <c r="T71" s="54"/>
      <c r="U71" s="54"/>
      <c r="V71" s="54"/>
      <c r="W71" s="54"/>
      <c r="X71" s="54"/>
      <c r="Y71" s="27"/>
      <c r="Z71" s="27"/>
    </row>
    <row r="72" spans="18:26" x14ac:dyDescent="0.3">
      <c r="R72" s="96"/>
      <c r="S72" s="54"/>
      <c r="T72" s="54"/>
      <c r="U72" s="54"/>
      <c r="V72" s="54"/>
      <c r="W72" s="54"/>
      <c r="X72" s="54"/>
      <c r="Y72" s="27"/>
      <c r="Z72" s="27"/>
    </row>
    <row r="73" spans="18:26" x14ac:dyDescent="0.3">
      <c r="R73" s="96"/>
      <c r="S73" s="54"/>
      <c r="T73" s="54"/>
      <c r="U73" s="54"/>
      <c r="V73" s="54"/>
      <c r="W73" s="54"/>
      <c r="X73" s="54"/>
      <c r="Y73" s="27"/>
      <c r="Z73" s="27"/>
    </row>
    <row r="74" spans="18:26" x14ac:dyDescent="0.3">
      <c r="R74" s="96"/>
      <c r="S74" s="54"/>
      <c r="T74" s="54"/>
      <c r="U74" s="54"/>
      <c r="V74" s="54"/>
      <c r="W74" s="54"/>
      <c r="X74" s="54"/>
      <c r="Y74" s="27"/>
      <c r="Z74" s="27"/>
    </row>
    <row r="75" spans="18:26" x14ac:dyDescent="0.3">
      <c r="R75" s="96"/>
      <c r="S75" s="54"/>
      <c r="T75" s="54"/>
      <c r="U75" s="54"/>
      <c r="V75" s="54"/>
      <c r="W75" s="54"/>
      <c r="X75" s="54"/>
      <c r="Y75" s="27"/>
      <c r="Z75" s="27"/>
    </row>
    <row r="76" spans="18:26" x14ac:dyDescent="0.3">
      <c r="R76" s="96"/>
      <c r="S76" s="54"/>
      <c r="T76" s="54"/>
      <c r="U76" s="54"/>
      <c r="V76" s="54"/>
      <c r="W76" s="54"/>
      <c r="X76" s="54"/>
      <c r="Y76" s="27"/>
      <c r="Z76" s="27"/>
    </row>
    <row r="77" spans="18:26" x14ac:dyDescent="0.3">
      <c r="R77" s="96"/>
      <c r="S77" s="54"/>
      <c r="T77" s="54"/>
      <c r="U77" s="54"/>
      <c r="V77" s="54"/>
      <c r="W77" s="54"/>
      <c r="X77" s="54"/>
      <c r="Y77" s="27"/>
      <c r="Z77" s="27"/>
    </row>
    <row r="78" spans="18:26" x14ac:dyDescent="0.3">
      <c r="R78" s="96"/>
      <c r="S78" s="54"/>
      <c r="T78" s="54"/>
      <c r="U78" s="54"/>
      <c r="V78" s="54"/>
      <c r="W78" s="54"/>
      <c r="X78" s="54"/>
      <c r="Y78" s="27"/>
      <c r="Z78" s="27"/>
    </row>
    <row r="79" spans="18:26" x14ac:dyDescent="0.3">
      <c r="R79" s="96"/>
      <c r="S79" s="54"/>
      <c r="T79" s="54"/>
      <c r="U79" s="54"/>
      <c r="V79" s="54"/>
      <c r="W79" s="54"/>
      <c r="X79" s="54"/>
      <c r="Y79" s="27"/>
      <c r="Z79" s="27"/>
    </row>
    <row r="80" spans="18:26" x14ac:dyDescent="0.3">
      <c r="R80" s="96"/>
      <c r="S80" s="54"/>
      <c r="T80" s="54"/>
      <c r="U80" s="54"/>
      <c r="V80" s="54"/>
      <c r="W80" s="54"/>
      <c r="X80" s="54"/>
      <c r="Y80" s="27"/>
      <c r="Z80" s="27"/>
    </row>
    <row r="81" spans="18:26" x14ac:dyDescent="0.3">
      <c r="R81" s="96"/>
      <c r="S81" s="54"/>
      <c r="T81" s="54"/>
      <c r="U81" s="54"/>
      <c r="V81" s="54"/>
      <c r="W81" s="54"/>
      <c r="X81" s="54"/>
      <c r="Y81" s="27"/>
      <c r="Z81" s="27"/>
    </row>
    <row r="82" spans="18:26" x14ac:dyDescent="0.3">
      <c r="R82" s="96"/>
      <c r="S82" s="54"/>
      <c r="T82" s="54"/>
      <c r="U82" s="54"/>
      <c r="V82" s="54"/>
      <c r="W82" s="54"/>
      <c r="X82" s="54"/>
      <c r="Y82" s="27"/>
      <c r="Z82" s="27"/>
    </row>
    <row r="83" spans="18:26" x14ac:dyDescent="0.3">
      <c r="R83" s="96"/>
      <c r="S83" s="54"/>
      <c r="T83" s="54"/>
      <c r="U83" s="54"/>
      <c r="V83" s="54"/>
      <c r="W83" s="54"/>
      <c r="X83" s="54"/>
      <c r="Y83" s="27"/>
      <c r="Z83" s="27"/>
    </row>
    <row r="84" spans="18:26" x14ac:dyDescent="0.3">
      <c r="R84" s="96"/>
      <c r="S84" s="54"/>
      <c r="T84" s="54"/>
      <c r="U84" s="54"/>
      <c r="V84" s="54"/>
      <c r="W84" s="54"/>
      <c r="X84" s="54"/>
      <c r="Y84" s="27"/>
      <c r="Z84" s="27"/>
    </row>
    <row r="85" spans="18:26" x14ac:dyDescent="0.3">
      <c r="R85" s="96"/>
      <c r="S85" s="54"/>
      <c r="T85" s="54"/>
      <c r="U85" s="54"/>
      <c r="V85" s="54"/>
      <c r="W85" s="54"/>
      <c r="X85" s="54"/>
      <c r="Y85" s="27"/>
      <c r="Z85" s="27"/>
    </row>
    <row r="86" spans="18:26" x14ac:dyDescent="0.3">
      <c r="R86" s="96"/>
      <c r="S86" s="54"/>
      <c r="T86" s="54"/>
      <c r="U86" s="54"/>
      <c r="V86" s="54"/>
      <c r="W86" s="54"/>
      <c r="X86" s="54"/>
      <c r="Y86" s="27"/>
      <c r="Z86" s="27"/>
    </row>
    <row r="87" spans="18:26" x14ac:dyDescent="0.3">
      <c r="R87" s="96"/>
      <c r="S87" s="54"/>
      <c r="T87" s="54"/>
      <c r="U87" s="54"/>
      <c r="V87" s="54"/>
      <c r="W87" s="54"/>
      <c r="X87" s="54"/>
      <c r="Y87" s="27"/>
      <c r="Z87" s="27"/>
    </row>
    <row r="88" spans="18:26" x14ac:dyDescent="0.3">
      <c r="R88" s="96"/>
      <c r="S88" s="54"/>
      <c r="T88" s="54"/>
      <c r="U88" s="54"/>
      <c r="V88" s="54"/>
      <c r="W88" s="54"/>
      <c r="X88" s="54"/>
      <c r="Y88" s="27"/>
      <c r="Z88" s="27"/>
    </row>
    <row r="89" spans="18:26" x14ac:dyDescent="0.3">
      <c r="R89" s="96"/>
      <c r="S89" s="54"/>
      <c r="T89" s="54"/>
      <c r="U89" s="54"/>
      <c r="V89" s="54"/>
      <c r="W89" s="54"/>
      <c r="X89" s="54"/>
      <c r="Y89" s="27"/>
      <c r="Z89" s="27"/>
    </row>
    <row r="90" spans="18:26" x14ac:dyDescent="0.3">
      <c r="R90" s="96"/>
      <c r="S90" s="54"/>
      <c r="T90" s="54"/>
      <c r="U90" s="54"/>
      <c r="V90" s="54"/>
      <c r="W90" s="54"/>
      <c r="X90" s="54"/>
      <c r="Y90" s="27"/>
      <c r="Z90" s="27"/>
    </row>
    <row r="91" spans="18:26" x14ac:dyDescent="0.3">
      <c r="R91" s="96"/>
      <c r="S91" s="54"/>
      <c r="T91" s="54"/>
      <c r="U91" s="54"/>
      <c r="V91" s="54"/>
      <c r="W91" s="54"/>
      <c r="X91" s="54"/>
      <c r="Y91" s="27"/>
      <c r="Z91" s="27"/>
    </row>
    <row r="92" spans="18:26" x14ac:dyDescent="0.3">
      <c r="R92" s="96"/>
      <c r="S92" s="54"/>
      <c r="T92" s="54"/>
      <c r="U92" s="54"/>
      <c r="V92" s="54"/>
      <c r="W92" s="54"/>
      <c r="X92" s="54"/>
      <c r="Y92" s="27"/>
      <c r="Z92" s="27"/>
    </row>
    <row r="93" spans="18:26" x14ac:dyDescent="0.3">
      <c r="R93" s="96"/>
      <c r="S93" s="54"/>
      <c r="T93" s="54"/>
      <c r="U93" s="54"/>
      <c r="V93" s="54"/>
      <c r="W93" s="54"/>
      <c r="X93" s="54"/>
      <c r="Y93" s="27"/>
      <c r="Z93" s="27"/>
    </row>
    <row r="94" spans="18:26" x14ac:dyDescent="0.3">
      <c r="R94" s="96"/>
      <c r="S94" s="54"/>
      <c r="T94" s="54"/>
      <c r="U94" s="54"/>
      <c r="V94" s="54"/>
      <c r="W94" s="54"/>
      <c r="X94" s="54"/>
      <c r="Y94" s="27"/>
      <c r="Z94" s="27"/>
    </row>
    <row r="95" spans="18:26" x14ac:dyDescent="0.3">
      <c r="R95" s="96"/>
      <c r="S95" s="54"/>
      <c r="T95" s="54"/>
      <c r="U95" s="54"/>
      <c r="V95" s="54"/>
      <c r="W95" s="54"/>
      <c r="X95" s="54"/>
      <c r="Y95" s="27"/>
      <c r="Z95" s="27"/>
    </row>
    <row r="96" spans="18:26" x14ac:dyDescent="0.3">
      <c r="R96" s="96"/>
      <c r="S96" s="54"/>
      <c r="T96" s="54"/>
      <c r="U96" s="54"/>
      <c r="V96" s="54"/>
      <c r="W96" s="54"/>
      <c r="X96" s="54"/>
      <c r="Y96" s="27"/>
      <c r="Z96" s="27"/>
    </row>
    <row r="97" spans="18:26" x14ac:dyDescent="0.3">
      <c r="R97" s="96"/>
      <c r="S97" s="54"/>
      <c r="T97" s="54"/>
      <c r="U97" s="54"/>
      <c r="V97" s="54"/>
      <c r="W97" s="54"/>
      <c r="X97" s="54"/>
      <c r="Y97" s="27"/>
      <c r="Z97" s="27"/>
    </row>
    <row r="98" spans="18:26" x14ac:dyDescent="0.3">
      <c r="R98" s="96"/>
      <c r="S98" s="54"/>
      <c r="T98" s="54"/>
      <c r="U98" s="54"/>
      <c r="V98" s="54"/>
      <c r="W98" s="54"/>
      <c r="X98" s="54"/>
      <c r="Y98" s="27"/>
      <c r="Z98" s="27"/>
    </row>
    <row r="99" spans="18:26" x14ac:dyDescent="0.3">
      <c r="R99" s="96"/>
      <c r="S99" s="54"/>
      <c r="T99" s="54"/>
      <c r="U99" s="54"/>
      <c r="V99" s="54"/>
      <c r="W99" s="54"/>
      <c r="X99" s="54"/>
      <c r="Y99" s="27"/>
      <c r="Z99" s="27"/>
    </row>
    <row r="100" spans="18:26" x14ac:dyDescent="0.3">
      <c r="R100" s="96"/>
      <c r="S100" s="54"/>
      <c r="T100" s="54"/>
      <c r="U100" s="54"/>
      <c r="V100" s="54"/>
      <c r="W100" s="54"/>
      <c r="X100" s="54"/>
      <c r="Y100" s="27"/>
      <c r="Z100" s="27"/>
    </row>
    <row r="101" spans="18:26" x14ac:dyDescent="0.3">
      <c r="R101" s="96"/>
      <c r="S101" s="54"/>
      <c r="T101" s="54"/>
      <c r="U101" s="54"/>
      <c r="V101" s="54"/>
      <c r="W101" s="54"/>
      <c r="X101" s="54"/>
      <c r="Y101" s="27"/>
      <c r="Z101" s="27"/>
    </row>
    <row r="102" spans="18:26" x14ac:dyDescent="0.3">
      <c r="R102" s="96"/>
      <c r="S102" s="54"/>
      <c r="T102" s="54"/>
      <c r="U102" s="54"/>
      <c r="V102" s="54"/>
      <c r="W102" s="54"/>
      <c r="X102" s="54"/>
      <c r="Y102" s="27"/>
      <c r="Z102" s="27"/>
    </row>
    <row r="103" spans="18:26" x14ac:dyDescent="0.3">
      <c r="R103" s="96"/>
      <c r="S103" s="54"/>
      <c r="T103" s="54"/>
      <c r="U103" s="54"/>
      <c r="V103" s="54"/>
      <c r="W103" s="54"/>
      <c r="X103" s="54"/>
      <c r="Y103" s="27"/>
      <c r="Z103" s="27"/>
    </row>
    <row r="104" spans="18:26" x14ac:dyDescent="0.3">
      <c r="R104" s="96"/>
      <c r="S104" s="54"/>
      <c r="T104" s="54"/>
      <c r="U104" s="54"/>
      <c r="V104" s="54"/>
      <c r="W104" s="54"/>
      <c r="X104" s="54"/>
      <c r="Y104" s="27"/>
      <c r="Z104" s="27"/>
    </row>
    <row r="105" spans="18:26" x14ac:dyDescent="0.3">
      <c r="R105" s="96"/>
      <c r="S105" s="54"/>
      <c r="T105" s="54"/>
      <c r="U105" s="54"/>
      <c r="V105" s="54"/>
      <c r="W105" s="54"/>
      <c r="X105" s="54"/>
      <c r="Y105" s="27"/>
      <c r="Z105" s="27"/>
    </row>
    <row r="106" spans="18:26" x14ac:dyDescent="0.3">
      <c r="R106" s="96"/>
      <c r="S106" s="54"/>
      <c r="T106" s="54"/>
      <c r="U106" s="54"/>
      <c r="V106" s="54"/>
      <c r="W106" s="54"/>
      <c r="X106" s="54"/>
      <c r="Y106" s="27"/>
      <c r="Z106" s="27"/>
    </row>
    <row r="107" spans="18:26" x14ac:dyDescent="0.3">
      <c r="R107" s="96"/>
      <c r="S107" s="54"/>
      <c r="T107" s="54"/>
      <c r="U107" s="54"/>
      <c r="V107" s="54"/>
      <c r="W107" s="54"/>
      <c r="X107" s="54"/>
      <c r="Y107" s="27"/>
      <c r="Z107" s="27"/>
    </row>
    <row r="108" spans="18:26" x14ac:dyDescent="0.3">
      <c r="R108" s="96"/>
      <c r="S108" s="54"/>
      <c r="T108" s="54"/>
      <c r="U108" s="54"/>
      <c r="V108" s="54"/>
      <c r="W108" s="54"/>
      <c r="X108" s="54"/>
      <c r="Y108" s="27"/>
      <c r="Z108" s="27"/>
    </row>
    <row r="109" spans="18:26" x14ac:dyDescent="0.3">
      <c r="R109" s="96"/>
      <c r="S109" s="54"/>
      <c r="T109" s="54"/>
      <c r="U109" s="54"/>
      <c r="V109" s="54"/>
      <c r="W109" s="54"/>
      <c r="X109" s="54"/>
      <c r="Y109" s="27"/>
      <c r="Z109" s="27"/>
    </row>
    <row r="110" spans="18:26" x14ac:dyDescent="0.3">
      <c r="R110" s="96"/>
      <c r="S110" s="54"/>
      <c r="T110" s="54"/>
      <c r="U110" s="54"/>
      <c r="V110" s="54"/>
      <c r="W110" s="54"/>
      <c r="X110" s="54"/>
      <c r="Y110" s="27"/>
      <c r="Z110" s="27"/>
    </row>
    <row r="111" spans="18:26" x14ac:dyDescent="0.3">
      <c r="R111" s="96"/>
      <c r="S111" s="54"/>
      <c r="T111" s="54"/>
      <c r="U111" s="54"/>
      <c r="V111" s="54"/>
      <c r="W111" s="54"/>
      <c r="X111" s="54"/>
      <c r="Y111" s="27"/>
      <c r="Z111" s="27"/>
    </row>
    <row r="112" spans="18:26" x14ac:dyDescent="0.3">
      <c r="R112" s="96"/>
      <c r="S112" s="54"/>
      <c r="T112" s="54"/>
      <c r="U112" s="54"/>
      <c r="V112" s="54"/>
      <c r="W112" s="54"/>
      <c r="X112" s="54"/>
      <c r="Y112" s="27"/>
      <c r="Z112" s="27"/>
    </row>
    <row r="113" spans="18:26" x14ac:dyDescent="0.3">
      <c r="R113" s="96"/>
      <c r="S113" s="54"/>
      <c r="T113" s="54"/>
      <c r="U113" s="54"/>
      <c r="V113" s="54"/>
      <c r="W113" s="54"/>
      <c r="X113" s="54"/>
      <c r="Y113" s="27"/>
      <c r="Z113" s="27"/>
    </row>
    <row r="114" spans="18:26" x14ac:dyDescent="0.3">
      <c r="R114" s="96"/>
      <c r="S114" s="54"/>
      <c r="T114" s="54"/>
      <c r="U114" s="54"/>
      <c r="V114" s="54"/>
      <c r="W114" s="54"/>
      <c r="X114" s="54"/>
      <c r="Y114" s="27"/>
      <c r="Z114" s="27"/>
    </row>
    <row r="115" spans="18:26" x14ac:dyDescent="0.3">
      <c r="R115" s="96"/>
      <c r="S115" s="54"/>
      <c r="T115" s="54"/>
      <c r="U115" s="54"/>
      <c r="V115" s="54"/>
      <c r="W115" s="54"/>
      <c r="X115" s="54"/>
      <c r="Y115" s="27"/>
      <c r="Z115" s="27"/>
    </row>
    <row r="116" spans="18:26" x14ac:dyDescent="0.3">
      <c r="R116" s="96"/>
      <c r="S116" s="54"/>
      <c r="T116" s="54"/>
      <c r="U116" s="54"/>
      <c r="V116" s="54"/>
      <c r="W116" s="54"/>
      <c r="X116" s="54"/>
      <c r="Y116" s="27"/>
      <c r="Z116" s="27"/>
    </row>
    <row r="117" spans="18:26" x14ac:dyDescent="0.3">
      <c r="R117" s="96"/>
      <c r="S117" s="54"/>
      <c r="T117" s="54"/>
      <c r="U117" s="54"/>
      <c r="V117" s="54"/>
      <c r="W117" s="54"/>
      <c r="X117" s="54"/>
      <c r="Y117" s="27"/>
      <c r="Z117" s="27"/>
    </row>
    <row r="118" spans="18:26" x14ac:dyDescent="0.3">
      <c r="R118" s="96"/>
      <c r="S118" s="54"/>
      <c r="T118" s="54"/>
      <c r="U118" s="54"/>
      <c r="V118" s="54"/>
      <c r="W118" s="54"/>
      <c r="X118" s="54"/>
      <c r="Y118" s="27"/>
      <c r="Z118" s="27"/>
    </row>
    <row r="119" spans="18:26" x14ac:dyDescent="0.3">
      <c r="R119" s="96"/>
      <c r="S119" s="54"/>
      <c r="T119" s="54"/>
      <c r="U119" s="54"/>
      <c r="V119" s="54"/>
      <c r="W119" s="54"/>
      <c r="X119" s="54"/>
      <c r="Y119" s="27"/>
      <c r="Z119" s="27"/>
    </row>
    <row r="120" spans="18:26" x14ac:dyDescent="0.3">
      <c r="R120" s="96"/>
      <c r="S120" s="54"/>
      <c r="T120" s="54"/>
      <c r="U120" s="54"/>
      <c r="V120" s="54"/>
      <c r="W120" s="54"/>
      <c r="X120" s="54"/>
      <c r="Y120" s="27"/>
      <c r="Z120" s="27"/>
    </row>
    <row r="121" spans="18:26" x14ac:dyDescent="0.3">
      <c r="R121" s="96"/>
      <c r="S121" s="54"/>
      <c r="T121" s="54"/>
      <c r="U121" s="54"/>
      <c r="V121" s="54"/>
      <c r="W121" s="54"/>
      <c r="X121" s="54"/>
      <c r="Y121" s="27"/>
      <c r="Z121" s="27"/>
    </row>
    <row r="122" spans="18:26" x14ac:dyDescent="0.3">
      <c r="R122" s="96"/>
      <c r="S122" s="54"/>
      <c r="T122" s="54"/>
      <c r="U122" s="54"/>
      <c r="V122" s="54"/>
      <c r="W122" s="54"/>
      <c r="X122" s="54"/>
      <c r="Y122" s="27"/>
      <c r="Z122" s="27"/>
    </row>
    <row r="123" spans="18:26" x14ac:dyDescent="0.3">
      <c r="R123" s="96"/>
      <c r="S123" s="54"/>
      <c r="T123" s="54"/>
      <c r="U123" s="54"/>
      <c r="V123" s="54"/>
      <c r="W123" s="54"/>
      <c r="X123" s="54"/>
      <c r="Y123" s="27"/>
      <c r="Z123" s="27"/>
    </row>
    <row r="124" spans="18:26" x14ac:dyDescent="0.3">
      <c r="R124" s="96"/>
      <c r="S124" s="54"/>
      <c r="T124" s="54"/>
      <c r="U124" s="54"/>
      <c r="V124" s="54"/>
      <c r="W124" s="54"/>
      <c r="X124" s="54"/>
      <c r="Y124" s="27"/>
      <c r="Z124" s="27"/>
    </row>
    <row r="125" spans="18:26" x14ac:dyDescent="0.3">
      <c r="R125" s="96"/>
      <c r="S125" s="54"/>
      <c r="T125" s="54"/>
      <c r="U125" s="54"/>
      <c r="V125" s="54"/>
      <c r="W125" s="54"/>
      <c r="X125" s="54"/>
      <c r="Y125" s="27"/>
      <c r="Z125" s="27"/>
    </row>
    <row r="126" spans="18:26" x14ac:dyDescent="0.3">
      <c r="R126" s="96"/>
      <c r="S126" s="54"/>
      <c r="T126" s="54"/>
      <c r="U126" s="54"/>
      <c r="V126" s="54"/>
      <c r="W126" s="54"/>
      <c r="X126" s="54"/>
      <c r="Y126" s="27"/>
      <c r="Z126" s="27"/>
    </row>
    <row r="127" spans="18:26" x14ac:dyDescent="0.3">
      <c r="R127" s="96"/>
      <c r="S127" s="54"/>
      <c r="T127" s="54"/>
      <c r="U127" s="54"/>
      <c r="V127" s="54"/>
      <c r="W127" s="54"/>
      <c r="X127" s="54"/>
      <c r="Y127" s="27"/>
      <c r="Z127" s="27"/>
    </row>
    <row r="128" spans="18:26" x14ac:dyDescent="0.3">
      <c r="R128" s="96"/>
      <c r="S128" s="54"/>
      <c r="T128" s="54"/>
      <c r="U128" s="54"/>
      <c r="V128" s="54"/>
      <c r="W128" s="54"/>
      <c r="X128" s="54"/>
      <c r="Y128" s="27"/>
      <c r="Z128" s="27"/>
    </row>
    <row r="129" spans="18:26" x14ac:dyDescent="0.3">
      <c r="R129" s="96"/>
      <c r="S129" s="54"/>
      <c r="T129" s="54"/>
      <c r="U129" s="54"/>
      <c r="V129" s="54"/>
      <c r="W129" s="54"/>
      <c r="X129" s="54"/>
      <c r="Y129" s="27"/>
      <c r="Z129" s="27"/>
    </row>
    <row r="130" spans="18:26" x14ac:dyDescent="0.3">
      <c r="R130" s="96"/>
      <c r="S130" s="54"/>
      <c r="T130" s="54"/>
      <c r="U130" s="54"/>
      <c r="V130" s="54"/>
      <c r="W130" s="54"/>
      <c r="X130" s="54"/>
      <c r="Y130" s="27"/>
      <c r="Z130" s="27"/>
    </row>
    <row r="131" spans="18:26" x14ac:dyDescent="0.3">
      <c r="R131" s="96"/>
      <c r="S131" s="54"/>
      <c r="T131" s="54"/>
      <c r="U131" s="54"/>
      <c r="V131" s="54"/>
      <c r="W131" s="54"/>
      <c r="X131" s="54"/>
      <c r="Y131" s="27"/>
      <c r="Z131" s="27"/>
    </row>
    <row r="132" spans="18:26" x14ac:dyDescent="0.3">
      <c r="R132" s="96"/>
      <c r="S132" s="54"/>
      <c r="T132" s="54"/>
      <c r="U132" s="54"/>
      <c r="V132" s="54"/>
      <c r="W132" s="54"/>
      <c r="X132" s="54"/>
      <c r="Y132" s="27"/>
      <c r="Z132" s="27"/>
    </row>
    <row r="133" spans="18:26" x14ac:dyDescent="0.3">
      <c r="R133" s="96"/>
      <c r="S133" s="54"/>
      <c r="T133" s="54"/>
      <c r="U133" s="54"/>
      <c r="V133" s="54"/>
      <c r="W133" s="54"/>
      <c r="X133" s="54"/>
      <c r="Y133" s="27"/>
      <c r="Z133" s="27"/>
    </row>
    <row r="134" spans="18:26" x14ac:dyDescent="0.3">
      <c r="R134" s="96"/>
      <c r="S134" s="54"/>
      <c r="T134" s="54"/>
      <c r="U134" s="54"/>
      <c r="V134" s="54"/>
      <c r="W134" s="54"/>
      <c r="X134" s="54"/>
      <c r="Y134" s="27"/>
      <c r="Z134" s="27"/>
    </row>
    <row r="135" spans="18:26" x14ac:dyDescent="0.3">
      <c r="R135" s="96"/>
      <c r="S135" s="54"/>
      <c r="T135" s="54"/>
      <c r="U135" s="54"/>
      <c r="V135" s="54"/>
      <c r="W135" s="54"/>
      <c r="X135" s="54"/>
      <c r="Y135" s="27"/>
      <c r="Z135" s="27"/>
    </row>
    <row r="136" spans="18:26" x14ac:dyDescent="0.3">
      <c r="R136" s="96"/>
      <c r="S136" s="54"/>
      <c r="T136" s="54"/>
      <c r="U136" s="54"/>
      <c r="V136" s="54"/>
      <c r="W136" s="54"/>
      <c r="X136" s="54"/>
      <c r="Y136" s="27"/>
      <c r="Z136" s="27"/>
    </row>
    <row r="137" spans="18:26" x14ac:dyDescent="0.3">
      <c r="R137" s="96"/>
      <c r="S137" s="54"/>
      <c r="T137" s="54"/>
      <c r="U137" s="54"/>
      <c r="V137" s="54"/>
      <c r="W137" s="54"/>
      <c r="X137" s="54"/>
      <c r="Y137" s="27"/>
      <c r="Z137" s="27"/>
    </row>
    <row r="138" spans="18:26" x14ac:dyDescent="0.3">
      <c r="R138" s="96"/>
      <c r="S138" s="54"/>
      <c r="T138" s="54"/>
      <c r="U138" s="54"/>
      <c r="V138" s="54"/>
      <c r="W138" s="54"/>
      <c r="X138" s="54"/>
      <c r="Y138" s="27"/>
      <c r="Z138" s="27"/>
    </row>
    <row r="139" spans="18:26" x14ac:dyDescent="0.3">
      <c r="R139" s="96"/>
      <c r="S139" s="54"/>
      <c r="T139" s="54"/>
      <c r="U139" s="54"/>
      <c r="V139" s="54"/>
      <c r="W139" s="54"/>
      <c r="X139" s="54"/>
      <c r="Y139" s="27"/>
      <c r="Z139" s="27"/>
    </row>
    <row r="140" spans="18:26" x14ac:dyDescent="0.3">
      <c r="R140" s="96"/>
      <c r="S140" s="54"/>
      <c r="T140" s="54"/>
      <c r="U140" s="54"/>
      <c r="V140" s="54"/>
      <c r="W140" s="54"/>
      <c r="X140" s="54"/>
      <c r="Y140" s="27"/>
      <c r="Z140" s="27"/>
    </row>
    <row r="141" spans="18:26" x14ac:dyDescent="0.3">
      <c r="R141" s="96"/>
      <c r="S141" s="54"/>
      <c r="T141" s="54"/>
      <c r="U141" s="54"/>
      <c r="V141" s="54"/>
      <c r="W141" s="54"/>
      <c r="X141" s="54"/>
      <c r="Y141" s="27"/>
      <c r="Z141" s="27"/>
    </row>
    <row r="142" spans="18:26" x14ac:dyDescent="0.3">
      <c r="R142" s="96"/>
      <c r="S142" s="54"/>
      <c r="T142" s="54"/>
      <c r="U142" s="54"/>
      <c r="V142" s="54"/>
      <c r="W142" s="54"/>
      <c r="X142" s="54"/>
      <c r="Y142" s="27"/>
      <c r="Z142" s="27"/>
    </row>
    <row r="143" spans="18:26" x14ac:dyDescent="0.3">
      <c r="R143" s="96"/>
      <c r="S143" s="54"/>
      <c r="T143" s="54"/>
      <c r="U143" s="54"/>
      <c r="V143" s="54"/>
      <c r="W143" s="54"/>
      <c r="X143" s="54"/>
      <c r="Y143" s="27"/>
      <c r="Z143" s="27"/>
    </row>
    <row r="144" spans="18:26" x14ac:dyDescent="0.3">
      <c r="R144" s="96"/>
      <c r="S144" s="54"/>
      <c r="T144" s="54"/>
      <c r="U144" s="54"/>
      <c r="V144" s="54"/>
      <c r="W144" s="54"/>
      <c r="X144" s="54"/>
      <c r="Y144" s="27"/>
      <c r="Z144" s="27"/>
    </row>
    <row r="145" spans="18:26" x14ac:dyDescent="0.3">
      <c r="R145" s="96"/>
      <c r="S145" s="54"/>
      <c r="T145" s="54"/>
      <c r="U145" s="54"/>
      <c r="V145" s="54"/>
      <c r="W145" s="54"/>
      <c r="X145" s="54"/>
      <c r="Y145" s="27"/>
      <c r="Z145" s="27"/>
    </row>
    <row r="146" spans="18:26" x14ac:dyDescent="0.3">
      <c r="R146" s="96"/>
      <c r="S146" s="54"/>
      <c r="T146" s="54"/>
      <c r="U146" s="54"/>
      <c r="V146" s="54"/>
      <c r="W146" s="54"/>
      <c r="X146" s="54"/>
      <c r="Y146" s="27"/>
      <c r="Z146" s="27"/>
    </row>
    <row r="147" spans="18:26" x14ac:dyDescent="0.3">
      <c r="R147" s="96"/>
      <c r="S147" s="54"/>
      <c r="T147" s="54"/>
      <c r="U147" s="54"/>
      <c r="V147" s="54"/>
      <c r="W147" s="54"/>
      <c r="X147" s="54"/>
      <c r="Y147" s="27"/>
      <c r="Z147" s="27"/>
    </row>
    <row r="148" spans="18:26" x14ac:dyDescent="0.3">
      <c r="R148" s="96"/>
      <c r="S148" s="54"/>
      <c r="T148" s="54"/>
      <c r="U148" s="54"/>
      <c r="V148" s="54"/>
      <c r="W148" s="54"/>
      <c r="X148" s="54"/>
      <c r="Y148" s="27"/>
      <c r="Z148" s="27"/>
    </row>
    <row r="149" spans="18:26" x14ac:dyDescent="0.3">
      <c r="R149" s="96"/>
      <c r="S149" s="54"/>
      <c r="T149" s="54"/>
      <c r="U149" s="54"/>
      <c r="V149" s="54"/>
      <c r="W149" s="54"/>
      <c r="X149" s="54"/>
      <c r="Y149" s="27"/>
      <c r="Z149" s="27"/>
    </row>
    <row r="150" spans="18:26" x14ac:dyDescent="0.3">
      <c r="R150" s="96"/>
      <c r="S150" s="54"/>
      <c r="T150" s="54"/>
      <c r="U150" s="54"/>
      <c r="V150" s="54"/>
      <c r="W150" s="54"/>
      <c r="X150" s="54"/>
      <c r="Y150" s="27"/>
      <c r="Z150" s="27"/>
    </row>
    <row r="151" spans="18:26" x14ac:dyDescent="0.3">
      <c r="R151" s="96"/>
      <c r="S151" s="54"/>
      <c r="T151" s="54"/>
      <c r="U151" s="54"/>
      <c r="V151" s="54"/>
      <c r="W151" s="54"/>
      <c r="X151" s="54"/>
      <c r="Y151" s="27"/>
      <c r="Z151" s="27"/>
    </row>
    <row r="152" spans="18:26" x14ac:dyDescent="0.3">
      <c r="R152" s="96"/>
      <c r="S152" s="54"/>
      <c r="T152" s="54"/>
      <c r="U152" s="54"/>
      <c r="V152" s="54"/>
      <c r="W152" s="54"/>
      <c r="X152" s="54"/>
      <c r="Y152" s="27"/>
      <c r="Z152" s="27"/>
    </row>
    <row r="153" spans="18:26" x14ac:dyDescent="0.3">
      <c r="R153" s="96"/>
      <c r="S153" s="54"/>
      <c r="T153" s="54"/>
      <c r="U153" s="54"/>
      <c r="V153" s="54"/>
      <c r="W153" s="54"/>
      <c r="X153" s="54"/>
      <c r="Y153" s="27"/>
      <c r="Z153" s="27"/>
    </row>
    <row r="154" spans="18:26" x14ac:dyDescent="0.3">
      <c r="R154" s="96"/>
      <c r="S154" s="54"/>
      <c r="T154" s="54"/>
      <c r="U154" s="54"/>
      <c r="V154" s="54"/>
      <c r="W154" s="54"/>
      <c r="X154" s="54"/>
      <c r="Y154" s="27"/>
      <c r="Z154" s="27"/>
    </row>
    <row r="155" spans="18:26" x14ac:dyDescent="0.3">
      <c r="R155" s="96"/>
      <c r="S155" s="54"/>
      <c r="T155" s="54"/>
      <c r="U155" s="54"/>
      <c r="V155" s="54"/>
      <c r="W155" s="54"/>
      <c r="X155" s="54"/>
      <c r="Y155" s="27"/>
      <c r="Z155" s="27"/>
    </row>
    <row r="156" spans="18:26" x14ac:dyDescent="0.3">
      <c r="R156" s="96"/>
      <c r="S156" s="54"/>
      <c r="T156" s="54"/>
      <c r="U156" s="54"/>
      <c r="V156" s="54"/>
      <c r="W156" s="54"/>
      <c r="X156" s="54"/>
      <c r="Y156" s="27"/>
      <c r="Z156" s="27"/>
    </row>
    <row r="157" spans="18:26" x14ac:dyDescent="0.3">
      <c r="R157" s="96"/>
      <c r="S157" s="54"/>
      <c r="T157" s="54"/>
      <c r="U157" s="54"/>
      <c r="V157" s="54"/>
      <c r="W157" s="54"/>
      <c r="X157" s="54"/>
      <c r="Y157" s="27"/>
      <c r="Z157" s="27"/>
    </row>
    <row r="158" spans="18:26" x14ac:dyDescent="0.3">
      <c r="R158" s="96"/>
      <c r="S158" s="54"/>
      <c r="T158" s="54"/>
      <c r="U158" s="54"/>
      <c r="V158" s="54"/>
      <c r="W158" s="54"/>
      <c r="X158" s="54"/>
      <c r="Y158" s="27"/>
      <c r="Z158" s="27"/>
    </row>
    <row r="159" spans="18:26" x14ac:dyDescent="0.3">
      <c r="R159" s="96"/>
      <c r="S159" s="54"/>
      <c r="T159" s="54"/>
      <c r="U159" s="54"/>
      <c r="V159" s="54"/>
      <c r="W159" s="54"/>
      <c r="X159" s="54"/>
      <c r="Y159" s="27"/>
      <c r="Z159" s="27"/>
    </row>
    <row r="160" spans="18:26" x14ac:dyDescent="0.3">
      <c r="R160" s="96"/>
      <c r="S160" s="54"/>
      <c r="T160" s="54"/>
      <c r="U160" s="54"/>
      <c r="V160" s="54"/>
      <c r="W160" s="54"/>
      <c r="X160" s="54"/>
      <c r="Y160" s="27"/>
      <c r="Z160" s="27"/>
    </row>
    <row r="161" spans="18:26" x14ac:dyDescent="0.3">
      <c r="R161" s="96"/>
      <c r="S161" s="54"/>
      <c r="T161" s="54"/>
      <c r="U161" s="54"/>
      <c r="V161" s="54"/>
      <c r="W161" s="54"/>
      <c r="X161" s="54"/>
      <c r="Y161" s="27"/>
      <c r="Z161" s="27"/>
    </row>
    <row r="162" spans="18:26" x14ac:dyDescent="0.3">
      <c r="R162" s="96"/>
      <c r="S162" s="54"/>
      <c r="T162" s="54"/>
      <c r="U162" s="54"/>
      <c r="V162" s="54"/>
      <c r="W162" s="54"/>
      <c r="X162" s="54"/>
      <c r="Y162" s="27"/>
      <c r="Z162" s="27"/>
    </row>
    <row r="163" spans="18:26" x14ac:dyDescent="0.3">
      <c r="R163" s="96"/>
      <c r="S163" s="54"/>
      <c r="T163" s="54"/>
      <c r="U163" s="54"/>
      <c r="V163" s="54"/>
      <c r="W163" s="54"/>
      <c r="X163" s="54"/>
      <c r="Y163" s="27"/>
      <c r="Z163" s="27"/>
    </row>
    <row r="164" spans="18:26" x14ac:dyDescent="0.3">
      <c r="R164" s="96"/>
      <c r="S164" s="54"/>
      <c r="T164" s="54"/>
      <c r="U164" s="54"/>
      <c r="V164" s="54"/>
      <c r="W164" s="54"/>
      <c r="X164" s="54"/>
      <c r="Y164" s="27"/>
      <c r="Z164" s="27"/>
    </row>
    <row r="165" spans="18:26" x14ac:dyDescent="0.3">
      <c r="R165" s="96"/>
      <c r="S165" s="54"/>
      <c r="T165" s="54"/>
      <c r="U165" s="54"/>
      <c r="V165" s="54"/>
      <c r="W165" s="54"/>
      <c r="X165" s="54"/>
      <c r="Y165" s="27"/>
      <c r="Z165" s="27"/>
    </row>
    <row r="166" spans="18:26" x14ac:dyDescent="0.3">
      <c r="R166" s="96"/>
      <c r="S166" s="54"/>
      <c r="T166" s="54"/>
      <c r="U166" s="54"/>
      <c r="V166" s="54"/>
      <c r="W166" s="54"/>
      <c r="X166" s="54"/>
      <c r="Y166" s="27"/>
      <c r="Z166" s="27"/>
    </row>
    <row r="167" spans="18:26" x14ac:dyDescent="0.3">
      <c r="R167" s="96"/>
      <c r="S167" s="54"/>
      <c r="T167" s="54"/>
      <c r="U167" s="54"/>
      <c r="V167" s="54"/>
      <c r="W167" s="54"/>
      <c r="X167" s="54"/>
      <c r="Y167" s="27"/>
      <c r="Z167" s="27"/>
    </row>
    <row r="168" spans="18:26" x14ac:dyDescent="0.3">
      <c r="R168" s="96"/>
      <c r="S168" s="54"/>
      <c r="T168" s="54"/>
      <c r="U168" s="54"/>
      <c r="V168" s="54"/>
      <c r="W168" s="54"/>
      <c r="X168" s="54"/>
      <c r="Y168" s="27"/>
      <c r="Z168" s="27"/>
    </row>
    <row r="169" spans="18:26" x14ac:dyDescent="0.3">
      <c r="R169" s="96"/>
      <c r="S169" s="54"/>
      <c r="T169" s="54"/>
      <c r="U169" s="54"/>
      <c r="V169" s="54"/>
      <c r="W169" s="54"/>
      <c r="X169" s="54"/>
      <c r="Y169" s="27"/>
      <c r="Z169" s="27"/>
    </row>
    <row r="170" spans="18:26" x14ac:dyDescent="0.3">
      <c r="R170" s="96"/>
      <c r="S170" s="54"/>
      <c r="T170" s="54"/>
      <c r="U170" s="54"/>
      <c r="V170" s="54"/>
      <c r="W170" s="54"/>
      <c r="X170" s="54"/>
      <c r="Y170" s="27"/>
      <c r="Z170" s="27"/>
    </row>
    <row r="171" spans="18:26" x14ac:dyDescent="0.3">
      <c r="R171" s="96"/>
      <c r="S171" s="54"/>
      <c r="T171" s="54"/>
      <c r="U171" s="54"/>
      <c r="V171" s="54"/>
      <c r="W171" s="54"/>
      <c r="X171" s="54"/>
      <c r="Y171" s="27"/>
      <c r="Z171" s="27"/>
    </row>
    <row r="172" spans="18:26" x14ac:dyDescent="0.3">
      <c r="R172" s="96"/>
      <c r="S172" s="54"/>
      <c r="T172" s="54"/>
      <c r="U172" s="54"/>
      <c r="V172" s="54"/>
      <c r="W172" s="54"/>
      <c r="X172" s="54"/>
      <c r="Y172" s="27"/>
      <c r="Z172" s="27"/>
    </row>
    <row r="173" spans="18:26" x14ac:dyDescent="0.3">
      <c r="R173" s="96"/>
      <c r="S173" s="54"/>
      <c r="T173" s="54"/>
      <c r="U173" s="54"/>
      <c r="V173" s="54"/>
      <c r="W173" s="54"/>
      <c r="X173" s="54"/>
      <c r="Y173" s="27"/>
      <c r="Z173" s="27"/>
    </row>
    <row r="174" spans="18:26" x14ac:dyDescent="0.3">
      <c r="R174" s="96"/>
      <c r="S174" s="54"/>
      <c r="T174" s="54"/>
      <c r="U174" s="54"/>
      <c r="V174" s="54"/>
      <c r="W174" s="54"/>
      <c r="X174" s="54"/>
      <c r="Y174" s="27"/>
      <c r="Z174" s="27"/>
    </row>
    <row r="175" spans="18:26" x14ac:dyDescent="0.3">
      <c r="R175" s="96"/>
      <c r="S175" s="54"/>
      <c r="T175" s="54"/>
      <c r="U175" s="54"/>
      <c r="V175" s="54"/>
      <c r="W175" s="54"/>
      <c r="X175" s="54"/>
      <c r="Y175" s="27"/>
      <c r="Z175" s="27"/>
    </row>
    <row r="176" spans="18:26" x14ac:dyDescent="0.3">
      <c r="R176" s="96"/>
      <c r="S176" s="54"/>
      <c r="T176" s="54"/>
      <c r="U176" s="54"/>
      <c r="V176" s="54"/>
      <c r="W176" s="54"/>
      <c r="X176" s="54"/>
      <c r="Y176" s="27"/>
      <c r="Z176" s="27"/>
    </row>
    <row r="177" spans="18:26" x14ac:dyDescent="0.3">
      <c r="R177" s="96"/>
      <c r="S177" s="54"/>
      <c r="T177" s="54"/>
      <c r="U177" s="54"/>
      <c r="V177" s="54"/>
      <c r="W177" s="54"/>
      <c r="X177" s="54"/>
      <c r="Y177" s="27"/>
      <c r="Z177" s="27"/>
    </row>
    <row r="178" spans="18:26" x14ac:dyDescent="0.3">
      <c r="R178" s="96"/>
      <c r="S178" s="54"/>
      <c r="T178" s="54"/>
      <c r="U178" s="54"/>
      <c r="V178" s="54"/>
      <c r="W178" s="54"/>
      <c r="X178" s="54"/>
      <c r="Y178" s="27"/>
      <c r="Z178" s="27"/>
    </row>
    <row r="179" spans="18:26" x14ac:dyDescent="0.3">
      <c r="R179" s="96"/>
      <c r="S179" s="54"/>
      <c r="T179" s="54"/>
      <c r="U179" s="54"/>
      <c r="V179" s="54"/>
      <c r="W179" s="54"/>
      <c r="X179" s="54"/>
      <c r="Y179" s="27"/>
      <c r="Z179" s="27"/>
    </row>
    <row r="180" spans="18:26" x14ac:dyDescent="0.3">
      <c r="R180" s="96"/>
      <c r="S180" s="54"/>
      <c r="T180" s="54"/>
      <c r="U180" s="54"/>
      <c r="V180" s="54"/>
      <c r="W180" s="54"/>
      <c r="X180" s="54"/>
      <c r="Y180" s="27"/>
      <c r="Z180" s="27"/>
    </row>
    <row r="181" spans="18:26" x14ac:dyDescent="0.3">
      <c r="R181" s="96"/>
      <c r="S181" s="54"/>
      <c r="T181" s="54"/>
      <c r="U181" s="54"/>
      <c r="V181" s="54"/>
      <c r="W181" s="54"/>
      <c r="X181" s="54"/>
      <c r="Y181" s="27"/>
      <c r="Z181" s="27"/>
    </row>
    <row r="182" spans="18:26" x14ac:dyDescent="0.3">
      <c r="R182" s="96"/>
      <c r="S182" s="54"/>
      <c r="T182" s="54"/>
      <c r="U182" s="54"/>
      <c r="V182" s="54"/>
      <c r="W182" s="54"/>
      <c r="X182" s="54"/>
      <c r="Y182" s="27"/>
      <c r="Z182" s="27"/>
    </row>
    <row r="183" spans="18:26" x14ac:dyDescent="0.3">
      <c r="R183" s="96"/>
      <c r="S183" s="54"/>
      <c r="T183" s="54"/>
      <c r="U183" s="54"/>
      <c r="V183" s="54"/>
      <c r="W183" s="54"/>
      <c r="X183" s="54"/>
      <c r="Y183" s="27"/>
      <c r="Z183" s="27"/>
    </row>
    <row r="184" spans="18:26" x14ac:dyDescent="0.3">
      <c r="R184" s="96"/>
      <c r="S184" s="54"/>
      <c r="T184" s="54"/>
      <c r="U184" s="54"/>
      <c r="V184" s="54"/>
      <c r="W184" s="54"/>
      <c r="X184" s="54"/>
      <c r="Y184" s="27"/>
      <c r="Z184" s="27"/>
    </row>
    <row r="185" spans="18:26" x14ac:dyDescent="0.3">
      <c r="R185" s="96"/>
      <c r="S185" s="54"/>
      <c r="T185" s="54"/>
      <c r="U185" s="54"/>
      <c r="V185" s="54"/>
      <c r="W185" s="54"/>
      <c r="X185" s="54"/>
      <c r="Y185" s="27"/>
      <c r="Z185" s="27"/>
    </row>
    <row r="186" spans="18:26" x14ac:dyDescent="0.3">
      <c r="R186" s="96"/>
      <c r="S186" s="54"/>
      <c r="T186" s="54"/>
      <c r="U186" s="54"/>
      <c r="V186" s="54"/>
      <c r="W186" s="54"/>
      <c r="X186" s="54"/>
      <c r="Y186" s="27"/>
      <c r="Z186" s="27"/>
    </row>
    <row r="187" spans="18:26" x14ac:dyDescent="0.3">
      <c r="R187" s="96"/>
      <c r="S187" s="54"/>
      <c r="T187" s="54"/>
      <c r="U187" s="54"/>
      <c r="V187" s="54"/>
      <c r="W187" s="54"/>
      <c r="X187" s="54"/>
      <c r="Y187" s="27"/>
      <c r="Z187" s="27"/>
    </row>
    <row r="188" spans="18:26" x14ac:dyDescent="0.3">
      <c r="R188" s="96"/>
      <c r="S188" s="54"/>
      <c r="T188" s="54"/>
      <c r="U188" s="54"/>
      <c r="V188" s="54"/>
      <c r="W188" s="54"/>
      <c r="X188" s="54"/>
      <c r="Y188" s="27"/>
      <c r="Z188" s="27"/>
    </row>
    <row r="189" spans="18:26" x14ac:dyDescent="0.3">
      <c r="R189" s="96"/>
      <c r="S189" s="54"/>
      <c r="T189" s="54"/>
      <c r="U189" s="54"/>
      <c r="V189" s="54"/>
      <c r="W189" s="54"/>
      <c r="X189" s="54"/>
      <c r="Y189" s="27"/>
      <c r="Z189" s="27"/>
    </row>
    <row r="190" spans="18:26" x14ac:dyDescent="0.3">
      <c r="R190" s="96"/>
      <c r="S190" s="54"/>
      <c r="T190" s="54"/>
      <c r="U190" s="54"/>
      <c r="V190" s="54"/>
      <c r="W190" s="54"/>
      <c r="X190" s="54"/>
      <c r="Y190" s="27"/>
      <c r="Z190" s="27"/>
    </row>
    <row r="191" spans="18:26" x14ac:dyDescent="0.3">
      <c r="R191" s="96"/>
      <c r="S191" s="54"/>
      <c r="T191" s="54"/>
      <c r="U191" s="54"/>
      <c r="V191" s="54"/>
      <c r="W191" s="54"/>
      <c r="X191" s="54"/>
      <c r="Y191" s="27"/>
      <c r="Z191" s="27"/>
    </row>
    <row r="192" spans="18:26" x14ac:dyDescent="0.3">
      <c r="R192" s="96"/>
      <c r="S192" s="54"/>
      <c r="T192" s="54"/>
      <c r="U192" s="54"/>
      <c r="V192" s="54"/>
      <c r="W192" s="54"/>
      <c r="X192" s="54"/>
      <c r="Y192" s="27"/>
      <c r="Z192" s="27"/>
    </row>
    <row r="193" spans="18:26" x14ac:dyDescent="0.3">
      <c r="R193" s="96"/>
      <c r="S193" s="54"/>
      <c r="T193" s="54"/>
      <c r="U193" s="54"/>
      <c r="V193" s="54"/>
      <c r="W193" s="54"/>
      <c r="X193" s="54"/>
      <c r="Y193" s="27"/>
      <c r="Z193" s="27"/>
    </row>
    <row r="194" spans="18:26" x14ac:dyDescent="0.3">
      <c r="R194" s="96"/>
      <c r="S194" s="54"/>
      <c r="T194" s="54"/>
      <c r="U194" s="54"/>
      <c r="V194" s="54"/>
      <c r="W194" s="54"/>
      <c r="X194" s="54"/>
      <c r="Y194" s="27"/>
      <c r="Z194" s="27"/>
    </row>
    <row r="195" spans="18:26" x14ac:dyDescent="0.3">
      <c r="R195" s="96"/>
      <c r="S195" s="54"/>
      <c r="T195" s="54"/>
      <c r="U195" s="54"/>
      <c r="V195" s="54"/>
      <c r="W195" s="54"/>
      <c r="X195" s="54"/>
      <c r="Y195" s="27"/>
      <c r="Z195" s="27"/>
    </row>
    <row r="196" spans="18:26" x14ac:dyDescent="0.3">
      <c r="R196" s="96"/>
      <c r="S196" s="54"/>
      <c r="T196" s="54"/>
      <c r="U196" s="54"/>
      <c r="V196" s="54"/>
      <c r="W196" s="54"/>
      <c r="X196" s="54"/>
      <c r="Y196" s="27"/>
      <c r="Z196" s="27"/>
    </row>
    <row r="197" spans="18:26" x14ac:dyDescent="0.3">
      <c r="R197" s="96"/>
      <c r="S197" s="54"/>
      <c r="T197" s="54"/>
      <c r="U197" s="54"/>
      <c r="V197" s="54"/>
      <c r="W197" s="54"/>
      <c r="X197" s="54"/>
      <c r="Y197" s="27"/>
      <c r="Z197" s="27"/>
    </row>
    <row r="198" spans="18:26" x14ac:dyDescent="0.3">
      <c r="R198" s="96"/>
      <c r="S198" s="54"/>
      <c r="T198" s="54"/>
      <c r="U198" s="54"/>
      <c r="V198" s="54"/>
      <c r="W198" s="54"/>
      <c r="X198" s="54"/>
      <c r="Y198" s="27"/>
      <c r="Z198" s="27"/>
    </row>
    <row r="199" spans="18:26" x14ac:dyDescent="0.3">
      <c r="R199" s="96"/>
      <c r="S199" s="54"/>
      <c r="T199" s="54"/>
      <c r="U199" s="54"/>
      <c r="V199" s="54"/>
      <c r="W199" s="54"/>
      <c r="X199" s="54"/>
      <c r="Y199" s="27"/>
      <c r="Z199" s="27"/>
    </row>
    <row r="200" spans="18:26" x14ac:dyDescent="0.3">
      <c r="R200" s="96"/>
      <c r="S200" s="54"/>
      <c r="T200" s="54"/>
      <c r="U200" s="54"/>
      <c r="V200" s="54"/>
      <c r="W200" s="54"/>
      <c r="X200" s="54"/>
      <c r="Y200" s="27"/>
      <c r="Z200" s="27"/>
    </row>
    <row r="201" spans="18:26" x14ac:dyDescent="0.3">
      <c r="R201" s="96"/>
      <c r="S201" s="54"/>
      <c r="T201" s="54"/>
      <c r="U201" s="54"/>
      <c r="V201" s="54"/>
      <c r="W201" s="54"/>
      <c r="X201" s="54"/>
      <c r="Y201" s="27"/>
      <c r="Z201" s="27"/>
    </row>
    <row r="202" spans="18:26" x14ac:dyDescent="0.3">
      <c r="R202" s="96"/>
      <c r="S202" s="54"/>
      <c r="T202" s="54"/>
      <c r="U202" s="54"/>
      <c r="V202" s="54"/>
      <c r="W202" s="54"/>
      <c r="X202" s="54"/>
      <c r="Y202" s="27"/>
      <c r="Z202" s="27"/>
    </row>
    <row r="203" spans="18:26" x14ac:dyDescent="0.3">
      <c r="R203" s="96"/>
      <c r="S203" s="54"/>
      <c r="T203" s="54"/>
      <c r="U203" s="54"/>
      <c r="V203" s="54"/>
      <c r="W203" s="54"/>
      <c r="X203" s="54"/>
      <c r="Y203" s="27"/>
      <c r="Z203" s="27"/>
    </row>
    <row r="204" spans="18:26" x14ac:dyDescent="0.3">
      <c r="R204" s="96"/>
      <c r="S204" s="54"/>
      <c r="T204" s="54"/>
      <c r="U204" s="54"/>
      <c r="V204" s="54"/>
      <c r="W204" s="54"/>
      <c r="X204" s="54"/>
      <c r="Y204" s="27"/>
      <c r="Z204" s="27"/>
    </row>
    <row r="205" spans="18:26" x14ac:dyDescent="0.3">
      <c r="R205" s="96"/>
      <c r="S205" s="54"/>
      <c r="T205" s="54"/>
      <c r="U205" s="54"/>
      <c r="V205" s="54"/>
      <c r="W205" s="54"/>
      <c r="X205" s="54"/>
      <c r="Y205" s="27"/>
      <c r="Z205" s="27"/>
    </row>
    <row r="206" spans="18:26" x14ac:dyDescent="0.3">
      <c r="R206" s="96"/>
      <c r="S206" s="54"/>
      <c r="T206" s="54"/>
      <c r="U206" s="54"/>
      <c r="V206" s="54"/>
      <c r="W206" s="54"/>
      <c r="X206" s="54"/>
      <c r="Y206" s="27"/>
      <c r="Z206" s="27"/>
    </row>
    <row r="207" spans="18:26" x14ac:dyDescent="0.3">
      <c r="R207" s="96"/>
      <c r="S207" s="54"/>
      <c r="T207" s="54"/>
      <c r="U207" s="54"/>
      <c r="V207" s="54"/>
      <c r="W207" s="54"/>
      <c r="X207" s="54"/>
      <c r="Y207" s="27"/>
      <c r="Z207" s="27"/>
    </row>
    <row r="208" spans="18:26" x14ac:dyDescent="0.3">
      <c r="R208" s="96"/>
      <c r="S208" s="54"/>
      <c r="T208" s="54"/>
      <c r="U208" s="54"/>
      <c r="V208" s="54"/>
      <c r="W208" s="54"/>
      <c r="X208" s="54"/>
      <c r="Y208" s="27"/>
      <c r="Z208" s="27"/>
    </row>
    <row r="209" spans="18:26" x14ac:dyDescent="0.3">
      <c r="R209" s="96"/>
      <c r="S209" s="54"/>
      <c r="T209" s="54"/>
      <c r="U209" s="54"/>
      <c r="V209" s="54"/>
      <c r="W209" s="54"/>
      <c r="X209" s="54"/>
      <c r="Y209" s="27"/>
      <c r="Z209" s="27"/>
    </row>
    <row r="210" spans="18:26" x14ac:dyDescent="0.3">
      <c r="R210" s="96"/>
      <c r="S210" s="54"/>
      <c r="T210" s="54"/>
      <c r="U210" s="54"/>
      <c r="V210" s="54"/>
      <c r="W210" s="54"/>
      <c r="X210" s="54"/>
      <c r="Y210" s="27"/>
      <c r="Z210" s="27"/>
    </row>
    <row r="211" spans="18:26" x14ac:dyDescent="0.3">
      <c r="R211" s="96"/>
      <c r="S211" s="54"/>
      <c r="T211" s="54"/>
      <c r="U211" s="54"/>
      <c r="V211" s="54"/>
      <c r="W211" s="54"/>
      <c r="X211" s="54"/>
      <c r="Y211" s="27"/>
      <c r="Z211" s="27"/>
    </row>
    <row r="212" spans="18:26" x14ac:dyDescent="0.3">
      <c r="R212" s="96"/>
      <c r="S212" s="54"/>
      <c r="T212" s="54"/>
      <c r="U212" s="54"/>
      <c r="V212" s="54"/>
      <c r="W212" s="54"/>
      <c r="X212" s="54"/>
      <c r="Y212" s="27"/>
      <c r="Z212" s="27"/>
    </row>
    <row r="213" spans="18:26" x14ac:dyDescent="0.3">
      <c r="R213" s="96"/>
      <c r="S213" s="54"/>
      <c r="T213" s="54"/>
      <c r="U213" s="54"/>
      <c r="V213" s="54"/>
      <c r="W213" s="54"/>
      <c r="X213" s="54"/>
      <c r="Y213" s="27"/>
      <c r="Z213" s="27"/>
    </row>
    <row r="214" spans="18:26" x14ac:dyDescent="0.3">
      <c r="R214" s="96"/>
      <c r="S214" s="54"/>
      <c r="T214" s="54"/>
      <c r="U214" s="54"/>
      <c r="V214" s="54"/>
      <c r="W214" s="54"/>
      <c r="X214" s="54"/>
      <c r="Y214" s="27"/>
      <c r="Z214" s="27"/>
    </row>
    <row r="215" spans="18:26" x14ac:dyDescent="0.3">
      <c r="R215" s="96"/>
      <c r="S215" s="54"/>
      <c r="T215" s="54"/>
      <c r="U215" s="54"/>
      <c r="V215" s="54"/>
      <c r="W215" s="54"/>
      <c r="X215" s="54"/>
      <c r="Y215" s="27"/>
      <c r="Z215" s="27"/>
    </row>
    <row r="216" spans="18:26" x14ac:dyDescent="0.3">
      <c r="R216" s="96"/>
      <c r="S216" s="54"/>
      <c r="T216" s="54"/>
      <c r="U216" s="54"/>
      <c r="V216" s="54"/>
      <c r="W216" s="54"/>
      <c r="X216" s="54"/>
      <c r="Y216" s="27"/>
      <c r="Z216" s="27"/>
    </row>
    <row r="217" spans="18:26" x14ac:dyDescent="0.3">
      <c r="R217" s="96"/>
      <c r="S217" s="54"/>
      <c r="T217" s="54"/>
      <c r="U217" s="54"/>
      <c r="V217" s="54"/>
      <c r="W217" s="54"/>
      <c r="X217" s="54"/>
      <c r="Y217" s="27"/>
      <c r="Z217" s="27"/>
    </row>
    <row r="218" spans="18:26" x14ac:dyDescent="0.3">
      <c r="R218" s="96"/>
      <c r="S218" s="54"/>
      <c r="T218" s="54"/>
      <c r="U218" s="54"/>
      <c r="V218" s="54"/>
      <c r="W218" s="54"/>
      <c r="X218" s="54"/>
      <c r="Y218" s="27"/>
      <c r="Z218" s="27"/>
    </row>
    <row r="219" spans="18:26" x14ac:dyDescent="0.3">
      <c r="R219" s="96"/>
      <c r="S219" s="54"/>
      <c r="T219" s="54"/>
      <c r="U219" s="54"/>
      <c r="V219" s="54"/>
      <c r="W219" s="54"/>
      <c r="X219" s="54"/>
      <c r="Y219" s="27"/>
      <c r="Z219" s="27"/>
    </row>
    <row r="220" spans="18:26" x14ac:dyDescent="0.3">
      <c r="R220" s="96"/>
      <c r="S220" s="54"/>
      <c r="T220" s="54"/>
      <c r="U220" s="54"/>
      <c r="V220" s="54"/>
      <c r="W220" s="54"/>
      <c r="X220" s="54"/>
      <c r="Y220" s="27"/>
      <c r="Z220" s="27"/>
    </row>
    <row r="221" spans="18:26" x14ac:dyDescent="0.3">
      <c r="R221" s="96"/>
      <c r="S221" s="54"/>
      <c r="T221" s="54"/>
      <c r="U221" s="54"/>
      <c r="V221" s="54"/>
      <c r="W221" s="54"/>
      <c r="X221" s="54"/>
      <c r="Y221" s="27"/>
      <c r="Z221" s="27"/>
    </row>
    <row r="222" spans="18:26" x14ac:dyDescent="0.3">
      <c r="R222" s="96"/>
      <c r="S222" s="54"/>
      <c r="T222" s="54"/>
      <c r="U222" s="54"/>
      <c r="V222" s="54"/>
      <c r="W222" s="54"/>
      <c r="X222" s="54"/>
      <c r="Y222" s="27"/>
      <c r="Z222" s="27"/>
    </row>
    <row r="223" spans="18:26" x14ac:dyDescent="0.3">
      <c r="R223" s="96"/>
      <c r="S223" s="54"/>
      <c r="T223" s="54"/>
      <c r="U223" s="54"/>
      <c r="V223" s="54"/>
      <c r="W223" s="54"/>
      <c r="X223" s="54"/>
      <c r="Y223" s="27"/>
      <c r="Z223" s="27"/>
    </row>
    <row r="224" spans="18:26" x14ac:dyDescent="0.3">
      <c r="R224" s="96"/>
      <c r="S224" s="54"/>
      <c r="T224" s="54"/>
      <c r="U224" s="54"/>
      <c r="V224" s="54"/>
      <c r="W224" s="54"/>
      <c r="X224" s="54"/>
      <c r="Y224" s="27"/>
      <c r="Z224" s="27"/>
    </row>
    <row r="225" spans="18:26" x14ac:dyDescent="0.3">
      <c r="R225" s="96"/>
      <c r="S225" s="54"/>
      <c r="T225" s="54"/>
      <c r="U225" s="54"/>
      <c r="V225" s="54"/>
      <c r="W225" s="54"/>
      <c r="X225" s="54"/>
      <c r="Y225" s="27"/>
      <c r="Z225" s="27"/>
    </row>
    <row r="226" spans="18:26" x14ac:dyDescent="0.3">
      <c r="R226" s="96"/>
      <c r="S226" s="54"/>
      <c r="T226" s="54"/>
      <c r="U226" s="54"/>
      <c r="V226" s="54"/>
      <c r="W226" s="54"/>
      <c r="X226" s="54"/>
      <c r="Y226" s="27"/>
      <c r="Z226" s="27"/>
    </row>
    <row r="227" spans="18:26" x14ac:dyDescent="0.3">
      <c r="R227" s="96"/>
      <c r="S227" s="54"/>
      <c r="T227" s="54"/>
      <c r="U227" s="54"/>
      <c r="V227" s="54"/>
      <c r="W227" s="54"/>
      <c r="X227" s="54"/>
      <c r="Y227" s="27"/>
      <c r="Z227" s="27"/>
    </row>
    <row r="228" spans="18:26" x14ac:dyDescent="0.3">
      <c r="R228" s="96"/>
      <c r="S228" s="54"/>
      <c r="T228" s="54"/>
      <c r="U228" s="54"/>
      <c r="V228" s="54"/>
      <c r="W228" s="54"/>
      <c r="X228" s="54"/>
      <c r="Y228" s="27"/>
      <c r="Z228" s="27"/>
    </row>
    <row r="229" spans="18:26" x14ac:dyDescent="0.3">
      <c r="R229" s="96"/>
      <c r="S229" s="54"/>
      <c r="T229" s="54"/>
      <c r="U229" s="54"/>
      <c r="V229" s="54"/>
      <c r="W229" s="54"/>
      <c r="X229" s="54"/>
      <c r="Y229" s="27"/>
      <c r="Z229" s="27"/>
    </row>
    <row r="230" spans="18:26" x14ac:dyDescent="0.3">
      <c r="R230" s="96"/>
      <c r="S230" s="54"/>
      <c r="T230" s="54"/>
      <c r="U230" s="54"/>
      <c r="V230" s="54"/>
      <c r="W230" s="54"/>
      <c r="X230" s="54"/>
      <c r="Y230" s="27"/>
      <c r="Z230" s="27"/>
    </row>
    <row r="231" spans="18:26" x14ac:dyDescent="0.3">
      <c r="R231" s="96"/>
      <c r="S231" s="54"/>
      <c r="T231" s="54"/>
      <c r="U231" s="54"/>
      <c r="V231" s="54"/>
      <c r="W231" s="54"/>
      <c r="X231" s="54"/>
      <c r="Y231" s="27"/>
      <c r="Z231" s="27"/>
    </row>
    <row r="232" spans="18:26" x14ac:dyDescent="0.3">
      <c r="R232" s="96"/>
      <c r="S232" s="54"/>
      <c r="T232" s="54"/>
      <c r="U232" s="54"/>
      <c r="V232" s="54"/>
      <c r="W232" s="54"/>
      <c r="X232" s="54"/>
      <c r="Y232" s="27"/>
      <c r="Z232" s="27"/>
    </row>
    <row r="233" spans="18:26" x14ac:dyDescent="0.3">
      <c r="R233" s="96"/>
      <c r="S233" s="54"/>
      <c r="T233" s="54"/>
      <c r="U233" s="54"/>
      <c r="V233" s="54"/>
      <c r="W233" s="54"/>
      <c r="X233" s="54"/>
      <c r="Y233" s="27"/>
      <c r="Z233" s="27"/>
    </row>
    <row r="234" spans="18:26" x14ac:dyDescent="0.3">
      <c r="R234" s="96"/>
      <c r="S234" s="54"/>
      <c r="T234" s="54"/>
      <c r="U234" s="54"/>
      <c r="V234" s="54"/>
      <c r="W234" s="54"/>
      <c r="X234" s="54"/>
      <c r="Y234" s="27"/>
      <c r="Z234" s="27"/>
    </row>
    <row r="235" spans="18:26" x14ac:dyDescent="0.3">
      <c r="R235" s="96"/>
      <c r="S235" s="54"/>
      <c r="T235" s="54"/>
      <c r="U235" s="54"/>
      <c r="V235" s="54"/>
      <c r="W235" s="54"/>
      <c r="X235" s="54"/>
      <c r="Y235" s="27"/>
      <c r="Z235" s="27"/>
    </row>
    <row r="236" spans="18:26" x14ac:dyDescent="0.3">
      <c r="R236" s="96"/>
      <c r="S236" s="54"/>
      <c r="T236" s="54"/>
      <c r="U236" s="54"/>
      <c r="V236" s="54"/>
      <c r="W236" s="54"/>
      <c r="X236" s="54"/>
      <c r="Y236" s="27"/>
      <c r="Z236" s="27"/>
    </row>
    <row r="237" spans="18:26" x14ac:dyDescent="0.3">
      <c r="R237" s="96"/>
      <c r="S237" s="54"/>
      <c r="T237" s="54"/>
      <c r="U237" s="54"/>
      <c r="V237" s="54"/>
      <c r="W237" s="54"/>
      <c r="X237" s="54"/>
      <c r="Y237" s="27"/>
      <c r="Z237" s="27"/>
    </row>
    <row r="238" spans="18:26" x14ac:dyDescent="0.3">
      <c r="R238" s="96"/>
      <c r="S238" s="54"/>
      <c r="T238" s="54"/>
      <c r="U238" s="54"/>
      <c r="V238" s="54"/>
      <c r="W238" s="54"/>
      <c r="X238" s="54"/>
      <c r="Y238" s="27"/>
      <c r="Z238" s="27"/>
    </row>
    <row r="239" spans="18:26" x14ac:dyDescent="0.3">
      <c r="R239" s="96"/>
      <c r="S239" s="54"/>
      <c r="T239" s="54"/>
      <c r="U239" s="54"/>
      <c r="V239" s="54"/>
      <c r="W239" s="54"/>
      <c r="X239" s="54"/>
      <c r="Y239" s="27"/>
      <c r="Z239" s="27"/>
    </row>
    <row r="240" spans="18:26" x14ac:dyDescent="0.3">
      <c r="R240" s="96"/>
      <c r="S240" s="54"/>
      <c r="T240" s="54"/>
      <c r="U240" s="54"/>
      <c r="V240" s="54"/>
      <c r="W240" s="54"/>
      <c r="X240" s="54"/>
      <c r="Y240" s="27"/>
      <c r="Z240" s="27"/>
    </row>
    <row r="241" spans="18:26" x14ac:dyDescent="0.3">
      <c r="R241" s="96"/>
      <c r="S241" s="54"/>
      <c r="T241" s="54"/>
      <c r="U241" s="54"/>
      <c r="V241" s="54"/>
      <c r="W241" s="54"/>
      <c r="X241" s="54"/>
      <c r="Y241" s="27"/>
      <c r="Z241" s="27"/>
    </row>
    <row r="242" spans="18:26" x14ac:dyDescent="0.3">
      <c r="R242" s="96"/>
      <c r="S242" s="54"/>
      <c r="T242" s="54"/>
      <c r="U242" s="54"/>
      <c r="V242" s="54"/>
      <c r="W242" s="54"/>
      <c r="X242" s="54"/>
      <c r="Y242" s="27"/>
      <c r="Z242" s="27"/>
    </row>
    <row r="243" spans="18:26" x14ac:dyDescent="0.3">
      <c r="R243" s="96"/>
      <c r="S243" s="54"/>
      <c r="T243" s="54"/>
      <c r="U243" s="54"/>
      <c r="V243" s="54"/>
      <c r="W243" s="54"/>
      <c r="X243" s="54"/>
      <c r="Y243" s="27"/>
      <c r="Z243" s="27"/>
    </row>
    <row r="244" spans="18:26" x14ac:dyDescent="0.3">
      <c r="R244" s="96"/>
      <c r="S244" s="54"/>
      <c r="T244" s="54"/>
      <c r="U244" s="54"/>
      <c r="V244" s="54"/>
      <c r="W244" s="54"/>
      <c r="X244" s="54"/>
      <c r="Y244" s="27"/>
      <c r="Z244" s="27"/>
    </row>
    <row r="245" spans="18:26" x14ac:dyDescent="0.3">
      <c r="R245" s="96"/>
      <c r="S245" s="54"/>
      <c r="T245" s="54"/>
      <c r="U245" s="54"/>
      <c r="V245" s="54"/>
      <c r="W245" s="54"/>
      <c r="X245" s="54"/>
      <c r="Y245" s="27"/>
      <c r="Z245" s="27"/>
    </row>
    <row r="246" spans="18:26" x14ac:dyDescent="0.3">
      <c r="R246" s="96"/>
      <c r="S246" s="54"/>
      <c r="T246" s="54"/>
      <c r="U246" s="54"/>
      <c r="V246" s="54"/>
      <c r="W246" s="54"/>
      <c r="X246" s="54"/>
      <c r="Y246" s="27"/>
      <c r="Z246" s="27"/>
    </row>
    <row r="247" spans="18:26" x14ac:dyDescent="0.3">
      <c r="R247" s="96"/>
      <c r="S247" s="54"/>
      <c r="T247" s="54"/>
      <c r="U247" s="54"/>
      <c r="V247" s="54"/>
      <c r="W247" s="54"/>
      <c r="X247" s="54"/>
      <c r="Y247" s="27"/>
      <c r="Z247" s="27"/>
    </row>
    <row r="248" spans="18:26" x14ac:dyDescent="0.3">
      <c r="R248" s="96"/>
      <c r="S248" s="54"/>
      <c r="T248" s="54"/>
      <c r="U248" s="54"/>
      <c r="V248" s="54"/>
      <c r="W248" s="54"/>
      <c r="X248" s="54"/>
      <c r="Y248" s="27"/>
      <c r="Z248" s="27"/>
    </row>
    <row r="249" spans="18:26" x14ac:dyDescent="0.3">
      <c r="R249" s="96"/>
      <c r="S249" s="54"/>
      <c r="T249" s="54"/>
      <c r="U249" s="54"/>
      <c r="V249" s="54"/>
      <c r="W249" s="54"/>
      <c r="X249" s="54"/>
      <c r="Y249" s="27"/>
      <c r="Z249" s="27"/>
    </row>
    <row r="250" spans="18:26" x14ac:dyDescent="0.3">
      <c r="R250" s="96"/>
      <c r="S250" s="54"/>
      <c r="T250" s="54"/>
      <c r="U250" s="54"/>
      <c r="V250" s="54"/>
      <c r="W250" s="54"/>
      <c r="X250" s="54"/>
      <c r="Y250" s="27"/>
      <c r="Z250" s="27"/>
    </row>
    <row r="251" spans="18:26" x14ac:dyDescent="0.3">
      <c r="R251" s="96"/>
      <c r="S251" s="54"/>
      <c r="T251" s="54"/>
      <c r="U251" s="54"/>
      <c r="V251" s="54"/>
      <c r="W251" s="54"/>
      <c r="X251" s="54"/>
      <c r="Y251" s="27"/>
      <c r="Z251" s="27"/>
    </row>
    <row r="252" spans="18:26" x14ac:dyDescent="0.3">
      <c r="R252" s="96"/>
      <c r="S252" s="54"/>
      <c r="T252" s="54"/>
      <c r="U252" s="54"/>
      <c r="V252" s="54"/>
      <c r="W252" s="54"/>
      <c r="X252" s="54"/>
      <c r="Y252" s="27"/>
      <c r="Z252" s="27"/>
    </row>
    <row r="253" spans="18:26" x14ac:dyDescent="0.3">
      <c r="S253" s="54"/>
      <c r="T253" s="54"/>
      <c r="U253" s="54"/>
      <c r="V253" s="54"/>
      <c r="W253" s="54"/>
      <c r="X253" s="54"/>
      <c r="Y253" s="27"/>
      <c r="Z253" s="27"/>
    </row>
    <row r="254" spans="18:26" x14ac:dyDescent="0.3">
      <c r="S254" s="27"/>
      <c r="T254" s="27"/>
      <c r="U254" s="27"/>
      <c r="V254" s="27"/>
      <c r="W254" s="27"/>
      <c r="X254" s="27"/>
    </row>
    <row r="255" spans="18:26" x14ac:dyDescent="0.3">
      <c r="S255" s="27"/>
      <c r="T255" s="27"/>
      <c r="U255" s="27"/>
      <c r="V255" s="27"/>
      <c r="W255" s="27"/>
      <c r="X255" s="27"/>
    </row>
    <row r="256" spans="18:26" x14ac:dyDescent="0.3">
      <c r="S256" s="27"/>
      <c r="T256" s="27"/>
      <c r="U256" s="27"/>
      <c r="V256" s="27"/>
      <c r="W256" s="27"/>
      <c r="X256" s="27"/>
    </row>
    <row r="257" spans="19:24" x14ac:dyDescent="0.3">
      <c r="S257" s="27"/>
      <c r="T257" s="27"/>
      <c r="U257" s="27"/>
      <c r="V257" s="27"/>
      <c r="W257" s="27"/>
      <c r="X257" s="27"/>
    </row>
    <row r="258" spans="19:24" x14ac:dyDescent="0.3">
      <c r="S258" s="27"/>
      <c r="T258" s="27"/>
      <c r="U258" s="27"/>
      <c r="V258" s="27"/>
      <c r="W258" s="27"/>
      <c r="X258" s="27"/>
    </row>
    <row r="259" spans="19:24" x14ac:dyDescent="0.3">
      <c r="S259" s="27"/>
      <c r="T259" s="27"/>
      <c r="U259" s="27"/>
      <c r="V259" s="27"/>
      <c r="W259" s="27"/>
      <c r="X259" s="27"/>
    </row>
    <row r="260" spans="19:24" x14ac:dyDescent="0.3">
      <c r="S260" s="27"/>
      <c r="T260" s="27"/>
      <c r="U260" s="27"/>
      <c r="V260" s="27"/>
      <c r="W260" s="27"/>
      <c r="X260" s="27"/>
    </row>
    <row r="261" spans="19:24" x14ac:dyDescent="0.3">
      <c r="S261" s="27"/>
      <c r="T261" s="27"/>
      <c r="U261" s="27"/>
      <c r="V261" s="27"/>
      <c r="W261" s="27"/>
      <c r="X261" s="27"/>
    </row>
    <row r="262" spans="19:24" x14ac:dyDescent="0.3">
      <c r="S262" s="27"/>
      <c r="T262" s="27"/>
      <c r="U262" s="27"/>
      <c r="V262" s="27"/>
      <c r="W262" s="27"/>
      <c r="X262" s="27"/>
    </row>
    <row r="263" spans="19:24" x14ac:dyDescent="0.3">
      <c r="S263" s="27"/>
      <c r="T263" s="27"/>
      <c r="U263" s="27"/>
      <c r="V263" s="27"/>
      <c r="W263" s="27"/>
      <c r="X263" s="27"/>
    </row>
    <row r="264" spans="19:24" x14ac:dyDescent="0.3">
      <c r="S264" s="27"/>
      <c r="T264" s="27"/>
      <c r="U264" s="27"/>
      <c r="V264" s="27"/>
      <c r="W264" s="27"/>
      <c r="X264" s="27"/>
    </row>
    <row r="265" spans="19:24" x14ac:dyDescent="0.3">
      <c r="S265" s="27"/>
      <c r="T265" s="27"/>
      <c r="U265" s="27"/>
      <c r="V265" s="27"/>
      <c r="W265" s="27"/>
      <c r="X265" s="27"/>
    </row>
    <row r="266" spans="19:24" x14ac:dyDescent="0.3">
      <c r="S266" s="27"/>
      <c r="T266" s="27"/>
      <c r="U266" s="27"/>
      <c r="V266" s="27"/>
      <c r="W266" s="27"/>
      <c r="X266" s="27"/>
    </row>
    <row r="267" spans="19:24" x14ac:dyDescent="0.3">
      <c r="S267" s="27"/>
      <c r="T267" s="27"/>
      <c r="U267" s="27"/>
      <c r="V267" s="27"/>
      <c r="W267" s="27"/>
      <c r="X267" s="27"/>
    </row>
    <row r="268" spans="19:24" x14ac:dyDescent="0.3">
      <c r="S268" s="27"/>
      <c r="T268" s="27"/>
      <c r="U268" s="27"/>
      <c r="V268" s="27"/>
      <c r="W268" s="27"/>
      <c r="X268" s="27"/>
    </row>
    <row r="269" spans="19:24" x14ac:dyDescent="0.3">
      <c r="S269" s="27"/>
      <c r="T269" s="27"/>
      <c r="U269" s="27"/>
      <c r="V269" s="27"/>
      <c r="W269" s="27"/>
      <c r="X269" s="27"/>
    </row>
    <row r="270" spans="19:24" x14ac:dyDescent="0.3">
      <c r="S270" s="27"/>
      <c r="T270" s="27"/>
      <c r="U270" s="27"/>
      <c r="V270" s="27"/>
      <c r="W270" s="27"/>
      <c r="X270" s="27"/>
    </row>
    <row r="271" spans="19:24" x14ac:dyDescent="0.3">
      <c r="S271" s="27"/>
      <c r="T271" s="27"/>
      <c r="U271" s="27"/>
      <c r="V271" s="27"/>
      <c r="W271" s="27"/>
      <c r="X271" s="27"/>
    </row>
    <row r="272" spans="19:24" x14ac:dyDescent="0.3">
      <c r="S272" s="27"/>
      <c r="T272" s="27"/>
      <c r="U272" s="27"/>
      <c r="V272" s="27"/>
      <c r="W272" s="27"/>
      <c r="X272" s="27"/>
    </row>
    <row r="273" spans="19:24" x14ac:dyDescent="0.3">
      <c r="S273" s="27"/>
      <c r="T273" s="27"/>
      <c r="U273" s="27"/>
      <c r="V273" s="27"/>
      <c r="W273" s="27"/>
      <c r="X273" s="27"/>
    </row>
    <row r="274" spans="19:24" x14ac:dyDescent="0.3">
      <c r="S274" s="27"/>
      <c r="T274" s="27"/>
      <c r="U274" s="27"/>
      <c r="V274" s="27"/>
      <c r="W274" s="27"/>
      <c r="X274" s="27"/>
    </row>
    <row r="275" spans="19:24" x14ac:dyDescent="0.3">
      <c r="S275" s="27"/>
      <c r="T275" s="27"/>
      <c r="U275" s="27"/>
      <c r="V275" s="27"/>
      <c r="W275" s="27"/>
      <c r="X275" s="27"/>
    </row>
    <row r="276" spans="19:24" x14ac:dyDescent="0.3">
      <c r="S276" s="27"/>
      <c r="T276" s="27"/>
      <c r="U276" s="27"/>
      <c r="V276" s="27"/>
      <c r="W276" s="27"/>
      <c r="X276" s="27"/>
    </row>
    <row r="277" spans="19:24" x14ac:dyDescent="0.3">
      <c r="S277" s="27"/>
      <c r="T277" s="27"/>
      <c r="U277" s="27"/>
      <c r="V277" s="27"/>
      <c r="W277" s="27"/>
      <c r="X277" s="27"/>
    </row>
    <row r="278" spans="19:24" x14ac:dyDescent="0.3">
      <c r="S278" s="27"/>
      <c r="T278" s="27"/>
      <c r="U278" s="27"/>
      <c r="V278" s="27"/>
      <c r="W278" s="27"/>
      <c r="X278" s="27"/>
    </row>
    <row r="279" spans="19:24" x14ac:dyDescent="0.3">
      <c r="S279" s="27"/>
      <c r="T279" s="27"/>
      <c r="U279" s="27"/>
      <c r="V279" s="27"/>
      <c r="W279" s="27"/>
      <c r="X279" s="27"/>
    </row>
    <row r="280" spans="19:24" x14ac:dyDescent="0.3">
      <c r="S280" s="27"/>
      <c r="T280" s="27"/>
      <c r="U280" s="27"/>
      <c r="V280" s="27"/>
      <c r="W280" s="27"/>
      <c r="X280" s="27"/>
    </row>
    <row r="281" spans="19:24" x14ac:dyDescent="0.3">
      <c r="S281" s="27"/>
      <c r="T281" s="27"/>
      <c r="U281" s="27"/>
      <c r="V281" s="27"/>
      <c r="W281" s="27"/>
      <c r="X281" s="27"/>
    </row>
    <row r="282" spans="19:24" x14ac:dyDescent="0.3">
      <c r="S282" s="27"/>
      <c r="T282" s="27"/>
      <c r="U282" s="27"/>
      <c r="V282" s="27"/>
      <c r="W282" s="27"/>
      <c r="X282" s="27"/>
    </row>
    <row r="283" spans="19:24" x14ac:dyDescent="0.3">
      <c r="S283" s="27"/>
      <c r="T283" s="27"/>
      <c r="U283" s="27"/>
      <c r="V283" s="27"/>
      <c r="W283" s="27"/>
      <c r="X283" s="27"/>
    </row>
    <row r="284" spans="19:24" x14ac:dyDescent="0.3">
      <c r="S284" s="27"/>
      <c r="T284" s="27"/>
      <c r="U284" s="27"/>
      <c r="V284" s="27"/>
      <c r="W284" s="27"/>
      <c r="X284" s="27"/>
    </row>
    <row r="285" spans="19:24" x14ac:dyDescent="0.3">
      <c r="S285" s="27"/>
      <c r="T285" s="27"/>
      <c r="U285" s="27"/>
      <c r="V285" s="27"/>
      <c r="W285" s="27"/>
      <c r="X285" s="27"/>
    </row>
    <row r="286" spans="19:24" x14ac:dyDescent="0.3">
      <c r="S286" s="27"/>
      <c r="T286" s="27"/>
      <c r="U286" s="27"/>
      <c r="V286" s="27"/>
      <c r="W286" s="27"/>
      <c r="X286" s="27"/>
    </row>
    <row r="287" spans="19:24" x14ac:dyDescent="0.3">
      <c r="S287" s="27"/>
      <c r="T287" s="27"/>
      <c r="U287" s="27"/>
      <c r="V287" s="27"/>
      <c r="W287" s="27"/>
      <c r="X287" s="27"/>
    </row>
    <row r="288" spans="19:24" x14ac:dyDescent="0.3">
      <c r="S288" s="27"/>
      <c r="T288" s="27"/>
      <c r="U288" s="27"/>
      <c r="V288" s="27"/>
      <c r="W288" s="27"/>
      <c r="X288" s="27"/>
    </row>
    <row r="289" spans="19:24" x14ac:dyDescent="0.3">
      <c r="S289" s="27"/>
      <c r="T289" s="27"/>
      <c r="U289" s="27"/>
      <c r="V289" s="27"/>
      <c r="W289" s="27"/>
      <c r="X289" s="27"/>
    </row>
    <row r="290" spans="19:24" x14ac:dyDescent="0.3">
      <c r="S290" s="27"/>
      <c r="T290" s="27"/>
      <c r="U290" s="27"/>
      <c r="V290" s="27"/>
      <c r="W290" s="27"/>
      <c r="X290" s="27"/>
    </row>
    <row r="291" spans="19:24" x14ac:dyDescent="0.3">
      <c r="S291" s="27"/>
      <c r="T291" s="27"/>
      <c r="U291" s="27"/>
      <c r="V291" s="27"/>
      <c r="W291" s="27"/>
      <c r="X291" s="27"/>
    </row>
    <row r="292" spans="19:24" x14ac:dyDescent="0.3">
      <c r="S292" s="27"/>
      <c r="T292" s="27"/>
      <c r="U292" s="27"/>
      <c r="V292" s="27"/>
      <c r="W292" s="27"/>
      <c r="X292" s="27"/>
    </row>
    <row r="293" spans="19:24" x14ac:dyDescent="0.3">
      <c r="S293" s="27"/>
      <c r="T293" s="27"/>
      <c r="U293" s="27"/>
      <c r="V293" s="27"/>
      <c r="W293" s="27"/>
      <c r="X293" s="27"/>
    </row>
    <row r="294" spans="19:24" x14ac:dyDescent="0.3">
      <c r="S294" s="27"/>
      <c r="T294" s="27"/>
      <c r="U294" s="27"/>
      <c r="V294" s="27"/>
      <c r="W294" s="27"/>
      <c r="X294" s="27"/>
    </row>
    <row r="295" spans="19:24" x14ac:dyDescent="0.3">
      <c r="S295" s="27"/>
      <c r="T295" s="27"/>
      <c r="U295" s="27"/>
      <c r="V295" s="27"/>
      <c r="W295" s="27"/>
      <c r="X295" s="27"/>
    </row>
    <row r="296" spans="19:24" x14ac:dyDescent="0.3">
      <c r="S296" s="27"/>
      <c r="T296" s="27"/>
      <c r="U296" s="27"/>
      <c r="V296" s="27"/>
      <c r="W296" s="27"/>
      <c r="X296" s="27"/>
    </row>
    <row r="297" spans="19:24" x14ac:dyDescent="0.3">
      <c r="S297" s="27"/>
      <c r="T297" s="27"/>
      <c r="U297" s="27"/>
      <c r="V297" s="27"/>
      <c r="W297" s="27"/>
      <c r="X297" s="27"/>
    </row>
    <row r="298" spans="19:24" x14ac:dyDescent="0.3">
      <c r="S298" s="27"/>
      <c r="T298" s="27"/>
      <c r="U298" s="27"/>
      <c r="V298" s="27"/>
      <c r="W298" s="27"/>
      <c r="X298" s="27"/>
    </row>
    <row r="299" spans="19:24" x14ac:dyDescent="0.3">
      <c r="S299" s="27"/>
      <c r="T299" s="27"/>
      <c r="U299" s="27"/>
      <c r="V299" s="27"/>
      <c r="W299" s="27"/>
      <c r="X299" s="27"/>
    </row>
    <row r="300" spans="19:24" x14ac:dyDescent="0.3">
      <c r="S300" s="27"/>
      <c r="T300" s="27"/>
      <c r="U300" s="27"/>
      <c r="V300" s="27"/>
      <c r="W300" s="27"/>
      <c r="X300" s="27"/>
    </row>
  </sheetData>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B7A93-45FE-4EB7-99D1-F43EFF4FA080}">
  <sheetPr codeName="Planilha34">
    <tabColor theme="9" tint="0.59999389629810485"/>
  </sheetPr>
  <dimension ref="A1:AI302"/>
  <sheetViews>
    <sheetView showGridLines="0" workbookViewId="0"/>
  </sheetViews>
  <sheetFormatPr defaultColWidth="8.85546875" defaultRowHeight="18.75" x14ac:dyDescent="0.3"/>
  <cols>
    <col min="1" max="1" width="12.7109375" style="17" customWidth="1"/>
    <col min="2" max="2" width="26.140625" customWidth="1"/>
    <col min="4" max="4" width="4.5703125" customWidth="1"/>
    <col min="5" max="5" width="10.7109375" bestFit="1" customWidth="1"/>
    <col min="6" max="6" width="8.5703125" bestFit="1" customWidth="1"/>
    <col min="7" max="8" width="12.85546875" bestFit="1" customWidth="1"/>
    <col min="9" max="9" width="10.7109375" bestFit="1" customWidth="1"/>
    <col min="10" max="10" width="8.5703125" bestFit="1" customWidth="1"/>
    <col min="11" max="12" width="12.85546875" bestFit="1" customWidth="1"/>
    <col min="13" max="18" width="12.42578125" bestFit="1" customWidth="1"/>
    <col min="20" max="20" width="12.42578125" style="15" bestFit="1" customWidth="1"/>
    <col min="21" max="24" width="9" style="15" customWidth="1"/>
    <col min="25" max="25" width="15.42578125" style="15" bestFit="1" customWidth="1"/>
    <col min="26" max="27" width="12.42578125" style="15" bestFit="1" customWidth="1"/>
    <col min="28" max="35" width="8.85546875" style="15"/>
  </cols>
  <sheetData>
    <row r="1" spans="1:35" x14ac:dyDescent="0.3">
      <c r="A1" s="84" t="s">
        <v>503</v>
      </c>
      <c r="T1" s="14"/>
      <c r="U1" s="14"/>
      <c r="V1" s="14"/>
      <c r="W1" s="14"/>
      <c r="X1" s="14"/>
      <c r="Y1" s="14"/>
      <c r="Z1" s="14"/>
      <c r="AA1" s="14"/>
      <c r="AB1" s="14"/>
      <c r="AC1" s="14"/>
      <c r="AD1" s="14"/>
      <c r="AE1" s="14"/>
      <c r="AF1" s="14"/>
      <c r="AG1" s="14"/>
      <c r="AH1" s="14"/>
      <c r="AI1" s="14"/>
    </row>
    <row r="2" spans="1:35" x14ac:dyDescent="0.3">
      <c r="A2" s="17" t="s">
        <v>478</v>
      </c>
      <c r="T2" s="14"/>
      <c r="U2" s="14"/>
      <c r="V2" s="14"/>
      <c r="W2" s="14"/>
      <c r="X2" s="14"/>
      <c r="Y2" s="14"/>
      <c r="Z2" s="14"/>
      <c r="AA2" s="14"/>
      <c r="AB2" s="14"/>
      <c r="AC2" s="14"/>
      <c r="AD2" s="14"/>
      <c r="AE2" s="14"/>
      <c r="AF2" s="14"/>
      <c r="AG2" s="14"/>
      <c r="AH2" s="14"/>
      <c r="AI2" s="14"/>
    </row>
    <row r="3" spans="1:35" ht="15.75" x14ac:dyDescent="0.25">
      <c r="A3" s="44" t="s">
        <v>483</v>
      </c>
      <c r="T3" s="14"/>
      <c r="U3" s="14"/>
      <c r="V3" s="14"/>
      <c r="W3" s="14"/>
      <c r="X3" s="14"/>
      <c r="Y3" s="14"/>
      <c r="Z3" s="14"/>
      <c r="AA3" s="14"/>
      <c r="AB3" s="14"/>
      <c r="AC3" s="14"/>
      <c r="AD3" s="14"/>
      <c r="AE3" s="14"/>
      <c r="AF3" s="14"/>
      <c r="AG3" s="14"/>
      <c r="AH3" s="14"/>
      <c r="AI3" s="14"/>
    </row>
    <row r="5" spans="1:35" ht="15.75" x14ac:dyDescent="0.25">
      <c r="A5" s="2" t="s">
        <v>15</v>
      </c>
      <c r="B5" s="2" t="s">
        <v>16</v>
      </c>
    </row>
    <row r="6" spans="1:35" ht="15.75" x14ac:dyDescent="0.25">
      <c r="A6" s="23" t="s">
        <v>479</v>
      </c>
      <c r="B6" s="24" t="s">
        <v>481</v>
      </c>
    </row>
    <row r="7" spans="1:35" ht="15.75" x14ac:dyDescent="0.25">
      <c r="A7" s="23" t="s">
        <v>480</v>
      </c>
      <c r="B7" s="24" t="s">
        <v>482</v>
      </c>
    </row>
    <row r="8" spans="1:35" ht="126" x14ac:dyDescent="0.25">
      <c r="A8" s="23" t="s">
        <v>364</v>
      </c>
      <c r="B8" s="24" t="s">
        <v>365</v>
      </c>
      <c r="Y8" s="105" t="s">
        <v>90</v>
      </c>
    </row>
    <row r="9" spans="1:35" ht="47.25" x14ac:dyDescent="0.25">
      <c r="A9" s="23" t="s">
        <v>209</v>
      </c>
      <c r="B9" s="24" t="s">
        <v>368</v>
      </c>
    </row>
    <row r="10" spans="1:35" ht="15.75" x14ac:dyDescent="0.25">
      <c r="A10" s="23" t="s">
        <v>257</v>
      </c>
      <c r="B10" s="24" t="s">
        <v>344</v>
      </c>
      <c r="Y10" s="54"/>
      <c r="Z10" s="27"/>
      <c r="AA10" s="27"/>
    </row>
    <row r="11" spans="1:35" ht="15" x14ac:dyDescent="0.25">
      <c r="A11"/>
      <c r="Y11" s="28" cm="1">
        <f t="array" ref="Y11">IORDER(F$16:F$121,$M$16,$N$16,$O$16,$R$16)</f>
        <v>1</v>
      </c>
      <c r="Z11" s="28" cm="1">
        <f t="array" ref="Z11">IORDER(G$16:G$121,$M$16,$N$16,$O$16,$R$16)</f>
        <v>1</v>
      </c>
      <c r="AA11" s="28" cm="1">
        <f t="array" ref="AA11">IORDER(H$16:H$121,$M$16,$N$16,$O$16,$R$16)</f>
        <v>0</v>
      </c>
      <c r="AC11" s="28" cm="1">
        <f t="array" ref="AC11">IORDER(J$16:J$151,$M$16,$N$16,$O$16,$R$16)</f>
        <v>1</v>
      </c>
      <c r="AD11" s="28" cm="1">
        <f t="array" ref="AD11">IORDER(K$16:K$151,$M$16,$N$16,$O$16,$R$16)</f>
        <v>1</v>
      </c>
      <c r="AE11" s="28" cm="1">
        <f t="array" ref="AE11">IORDER(L$16:L$151,$M$16,$N$16,$O$16,$R$16)</f>
        <v>1</v>
      </c>
    </row>
    <row r="12" spans="1:35" ht="15" x14ac:dyDescent="0.25">
      <c r="A12"/>
      <c r="Y12" s="61" t="s">
        <v>359</v>
      </c>
    </row>
    <row r="13" spans="1:35" ht="15.75" x14ac:dyDescent="0.25">
      <c r="A13" s="23"/>
      <c r="B13" s="26"/>
      <c r="Y13" s="54" t="b" cm="1">
        <f t="array" ref="Y13">ISSTATIONARY(F$16:F$121,$M$16,$N$16,$O$16,$P$16,$Q$16)</f>
        <v>0</v>
      </c>
      <c r="Z13" s="54" t="b" cm="1">
        <f t="array" ref="Z13">ISSTATIONARY(G$16:G$121,$M$16,$N$16,$O$16,$P$16,$Q$16)</f>
        <v>0</v>
      </c>
      <c r="AA13" s="54" t="b" cm="1">
        <f t="array" ref="AA13">ISSTATIONARY(H$16:H$121,$M$16,$N$16,$O$16,$P$16,$Q$16)</f>
        <v>1</v>
      </c>
      <c r="AC13" s="54" t="b" cm="1">
        <f t="array" ref="AC13">ISSTATIONARY(J$16:J$121,$M$16,$N$16,$O$16,$P$16,$Q$16)</f>
        <v>0</v>
      </c>
      <c r="AD13" s="54" t="b" cm="1">
        <f t="array" ref="AD13">ISSTATIONARY(K$16:K$121,$M$16,$N$16,$O$16,$P$16,$Q$16)</f>
        <v>0</v>
      </c>
      <c r="AE13" s="54" t="b" cm="1">
        <f t="array" ref="AE13">ISSTATIONARY(L$16:L$121,$M$16,$N$16,$O$16,$P$16,$Q$16)</f>
        <v>0</v>
      </c>
    </row>
    <row r="14" spans="1:35" ht="15.75" x14ac:dyDescent="0.25">
      <c r="A14" s="23"/>
      <c r="B14" s="26"/>
      <c r="F14" t="s">
        <v>314</v>
      </c>
      <c r="J14" t="s">
        <v>313</v>
      </c>
    </row>
    <row r="15" spans="1:35" x14ac:dyDescent="0.3">
      <c r="E15" t="s">
        <v>202</v>
      </c>
      <c r="F15" s="13" t="s">
        <v>473</v>
      </c>
      <c r="G15" s="13" t="s">
        <v>474</v>
      </c>
      <c r="H15" s="13" t="s">
        <v>475</v>
      </c>
      <c r="I15" t="s">
        <v>202</v>
      </c>
      <c r="J15" s="13" t="s">
        <v>476</v>
      </c>
      <c r="K15" s="13" t="s">
        <v>477</v>
      </c>
      <c r="L15" s="13" t="s">
        <v>475</v>
      </c>
      <c r="M15" s="13" t="s">
        <v>366</v>
      </c>
      <c r="N15" s="13" t="s">
        <v>213</v>
      </c>
      <c r="O15" s="13" t="s">
        <v>261</v>
      </c>
      <c r="P15" s="13" t="s">
        <v>339</v>
      </c>
      <c r="Q15" s="13" t="s">
        <v>203</v>
      </c>
      <c r="R15" s="13" t="s">
        <v>351</v>
      </c>
      <c r="T15" s="61" t="s">
        <v>253</v>
      </c>
      <c r="Y15" s="90" t="s">
        <v>254</v>
      </c>
    </row>
    <row r="16" spans="1:35" ht="18.75" customHeight="1" x14ac:dyDescent="0.3">
      <c r="E16" s="104">
        <v>35065</v>
      </c>
      <c r="F16" s="53">
        <v>175528</v>
      </c>
      <c r="G16" s="53">
        <v>110899</v>
      </c>
      <c r="H16" s="55" cm="1">
        <f t="array" ref="H16:H121">OLS_RESIDUALS($F$16:$F$121,ADDCONST($G$16:$G$121))</f>
        <v>-8161.4722316855041</v>
      </c>
      <c r="I16" s="104">
        <v>40603</v>
      </c>
      <c r="J16" s="53">
        <v>11.62</v>
      </c>
      <c r="K16" s="53">
        <v>27.35</v>
      </c>
      <c r="L16" s="53" cm="1">
        <f t="array" ref="L16:L151">OLS_RESIDUALS($J$16:$J$151,ADDCONST($K$16:$K$151))</f>
        <v>0.9223026636246221</v>
      </c>
      <c r="M16" s="93" t="b">
        <v>0</v>
      </c>
      <c r="N16" s="55">
        <v>4</v>
      </c>
      <c r="O16" s="93">
        <v>0.05</v>
      </c>
      <c r="P16" s="103" t="b">
        <v>0</v>
      </c>
      <c r="Q16" s="103" t="b">
        <v>0</v>
      </c>
      <c r="R16" s="55">
        <v>4</v>
      </c>
      <c r="S16" s="96"/>
      <c r="T16" s="28" t="b" cm="1">
        <f t="array" ref="T16">_xlfn.LAMBDA(_xlpm.valuesA,_xlpm.valuesB,_xlop.automatic,_xlop.nLags,_xlop.significance,_xlop.maxDiffs,
_xlfn.LET(
_xlpm.automatic, IF(_xlfn.ISOMITTED(_xlpm.automatic), FALSE, _xlpm.automatic),
_xlpm.nLags,IF(_xlfn.ISOMITTED(_xlpm.nLags), 0, _xlpm.nLags),
_xlpm.significance, IF(_xlfn.ISOMITTED(_xlpm.significance), FALSE, _xlpm.significance),
_xlpm.constant, FALSE,
_xlpm.trend, FALSE,
_xlpm.maxDiffs, IF(OR( _xlfn.ISOMITTED(_xlpm.maxDiffs), ISBLANK(_xlpm.maxDiffs)), 2, _xlpm.maxDiffs ),
_xlpm.orderA, IORDER(_xlpm.valuesA, _xlpm.automatic, _xlpm.nLags, _xlpm.significance, _xlpm.maxDiffs),
_xlpm.orderB, IORDER(_xlpm.valuesB, _xlpm.automatic, _xlpm.nLags, _xlpm.significance, _xlpm.maxDiffs),
IF(_xlpm.orderA&lt;&gt;_xlpm.orderB, "# both series must be integrated at the same order: valuesA is I("&amp; _xlpm.orderA &amp; ") and valuesB is I(" &amp; _xlpm.orderB &amp; ")",
_xlfn.LET(_xlpm.orderC, IORDER(OLS_RESIDUALS(_xlpm.valuesA, ADDCONST(_xlpm.valuesB)), _xlpm.automatic, _xlpm.nLags, _xlpm.significance, _xlpm.maxDiffs), IF(AND(_xlpm.orderA&gt;_xlpm.orderC, _xlpm.orderB&gt;_xlpm.orderC), TRUE, FALSE) )
)))($F$16:$F$121,$G$16:$G$121,$M$16,$N$16,$O$16,$R$16)</f>
        <v>1</v>
      </c>
      <c r="U16" s="28"/>
      <c r="V16" s="28"/>
      <c r="W16" s="28"/>
      <c r="X16" s="28"/>
      <c r="Y16" s="15" t="b" cm="1">
        <f t="array" ref="Y16">ISCOINTEGRATED($F$16:$F$121,$G$16:$G$121,$M$16,$N$16,$O$16,$R$16)</f>
        <v>1</v>
      </c>
      <c r="AC16" s="15" t="b" cm="1">
        <f t="array" ref="AC16">ISCOINTEGRATED($J$16:$J$151,$K$16:$K$151,$M$16,$N$16,$O$16,$R$16)</f>
        <v>0</v>
      </c>
    </row>
    <row r="17" spans="5:27" x14ac:dyDescent="0.3">
      <c r="E17" s="104">
        <v>35156</v>
      </c>
      <c r="F17" s="53">
        <v>177502</v>
      </c>
      <c r="G17" s="53">
        <v>113427</v>
      </c>
      <c r="H17" s="55">
        <v>-9503.2918967638107</v>
      </c>
      <c r="I17" s="104">
        <v>40634</v>
      </c>
      <c r="J17" s="53">
        <v>11.74</v>
      </c>
      <c r="K17" s="53">
        <v>27.94</v>
      </c>
      <c r="L17" s="53">
        <v>0.57059635041156831</v>
      </c>
      <c r="S17" s="96"/>
      <c r="T17" s="54"/>
      <c r="U17" s="54"/>
      <c r="V17" s="54"/>
      <c r="W17" s="54"/>
      <c r="X17" s="54"/>
    </row>
    <row r="18" spans="5:27" x14ac:dyDescent="0.3">
      <c r="E18" s="104">
        <v>35247</v>
      </c>
      <c r="F18" s="53">
        <v>184128</v>
      </c>
      <c r="G18" s="53">
        <v>116861</v>
      </c>
      <c r="H18" s="55">
        <v>-7381.4551601652638</v>
      </c>
      <c r="I18" s="104">
        <v>40664</v>
      </c>
      <c r="J18" s="53">
        <v>11.92</v>
      </c>
      <c r="K18" s="53">
        <v>27.86</v>
      </c>
      <c r="L18" s="53">
        <v>0.81455652847435722</v>
      </c>
      <c r="S18" s="96"/>
      <c r="T18" s="54"/>
      <c r="U18" s="54"/>
      <c r="V18" s="54"/>
      <c r="W18" s="54"/>
      <c r="X18" s="54"/>
    </row>
    <row r="19" spans="5:27" x14ac:dyDescent="0.3">
      <c r="E19" s="104">
        <v>35339</v>
      </c>
      <c r="F19" s="53">
        <v>182357</v>
      </c>
      <c r="G19" s="53">
        <v>122759</v>
      </c>
      <c r="H19" s="55">
        <v>-16888.493286997429</v>
      </c>
      <c r="I19" s="104">
        <v>40695</v>
      </c>
      <c r="J19" s="53">
        <v>12.1</v>
      </c>
      <c r="K19" s="53">
        <v>27.62</v>
      </c>
      <c r="L19" s="53">
        <v>1.1864370626627174</v>
      </c>
      <c r="S19" s="96"/>
      <c r="T19" s="54"/>
      <c r="U19" s="54"/>
      <c r="V19" s="54"/>
      <c r="W19" s="54"/>
      <c r="X19" s="54"/>
      <c r="Y19" s="54"/>
      <c r="Z19" s="27"/>
      <c r="AA19" s="27"/>
    </row>
    <row r="20" spans="5:27" x14ac:dyDescent="0.3">
      <c r="E20" s="104">
        <v>35431</v>
      </c>
      <c r="F20" s="53">
        <v>184248</v>
      </c>
      <c r="G20" s="53">
        <v>119659</v>
      </c>
      <c r="H20" s="55">
        <v>-10931.41695719416</v>
      </c>
      <c r="I20" s="104">
        <v>40725</v>
      </c>
      <c r="J20" s="53">
        <v>12.25</v>
      </c>
      <c r="K20" s="53">
        <v>27.81</v>
      </c>
      <c r="L20" s="53">
        <v>1.1845316397635983</v>
      </c>
      <c r="S20" s="96"/>
      <c r="T20" s="54"/>
      <c r="U20" s="54"/>
      <c r="V20" s="54"/>
      <c r="W20" s="54"/>
      <c r="X20" s="54"/>
      <c r="Y20" s="54"/>
      <c r="Z20" s="27"/>
      <c r="AA20" s="27"/>
    </row>
    <row r="21" spans="5:27" x14ac:dyDescent="0.3">
      <c r="E21" s="104">
        <v>35521</v>
      </c>
      <c r="F21" s="53">
        <v>185273</v>
      </c>
      <c r="G21" s="53">
        <v>120224</v>
      </c>
      <c r="H21" s="55">
        <v>-10647.492159238929</v>
      </c>
      <c r="I21" s="104">
        <v>40756</v>
      </c>
      <c r="J21" s="53">
        <v>12.42</v>
      </c>
      <c r="K21" s="53">
        <v>27.23</v>
      </c>
      <c r="L21" s="53">
        <v>1.8182429307188048</v>
      </c>
      <c r="S21" s="96"/>
      <c r="T21" s="54"/>
      <c r="U21" s="54"/>
      <c r="V21" s="54"/>
      <c r="W21" s="54"/>
      <c r="X21" s="54"/>
      <c r="Y21" s="54"/>
      <c r="Z21" s="27"/>
      <c r="AA21" s="27"/>
    </row>
    <row r="22" spans="5:27" x14ac:dyDescent="0.3">
      <c r="E22" s="104">
        <v>35612</v>
      </c>
      <c r="F22" s="53">
        <v>187587</v>
      </c>
      <c r="G22" s="53">
        <v>119282</v>
      </c>
      <c r="H22" s="55">
        <v>-7097.9296099890489</v>
      </c>
      <c r="I22" s="104">
        <v>40787</v>
      </c>
      <c r="J22" s="53">
        <v>11.91</v>
      </c>
      <c r="K22" s="53">
        <v>27.2</v>
      </c>
      <c r="L22" s="53">
        <v>1.3322279974923532</v>
      </c>
      <c r="S22" s="96"/>
      <c r="T22" s="54"/>
      <c r="U22" s="54"/>
      <c r="V22" s="54"/>
      <c r="W22" s="54"/>
      <c r="X22" s="54"/>
      <c r="Y22" s="54"/>
      <c r="Z22" s="27"/>
      <c r="AA22" s="27"/>
    </row>
    <row r="23" spans="5:27" x14ac:dyDescent="0.3">
      <c r="E23" s="104">
        <v>35704</v>
      </c>
      <c r="F23" s="53">
        <v>189150</v>
      </c>
      <c r="G23" s="53">
        <v>119244</v>
      </c>
      <c r="H23" s="55">
        <v>-5485.0873840108106</v>
      </c>
      <c r="I23" s="104">
        <v>40817</v>
      </c>
      <c r="J23" s="53">
        <v>11.7</v>
      </c>
      <c r="K23" s="53">
        <v>27.45</v>
      </c>
      <c r="L23" s="53">
        <v>0.92235244104614011</v>
      </c>
      <c r="S23" s="96"/>
      <c r="T23" s="54"/>
      <c r="U23" s="54"/>
      <c r="V23" s="54"/>
      <c r="W23" s="54"/>
      <c r="X23" s="54"/>
      <c r="Y23" s="54"/>
      <c r="Z23" s="27"/>
      <c r="AA23" s="27"/>
    </row>
    <row r="24" spans="5:27" x14ac:dyDescent="0.3">
      <c r="E24" s="104">
        <v>35796</v>
      </c>
      <c r="F24" s="53">
        <v>185427</v>
      </c>
      <c r="G24" s="53">
        <v>119078</v>
      </c>
      <c r="H24" s="55">
        <v>-8990.3555547374708</v>
      </c>
      <c r="I24" s="104">
        <v>40848</v>
      </c>
      <c r="J24" s="53">
        <v>11.4</v>
      </c>
      <c r="K24" s="53">
        <v>26.66</v>
      </c>
      <c r="L24" s="53">
        <v>1.2539591994161636</v>
      </c>
      <c r="S24" s="96"/>
      <c r="T24" s="54"/>
      <c r="U24" s="54"/>
      <c r="V24" s="54"/>
      <c r="W24" s="54"/>
      <c r="X24" s="54"/>
      <c r="Y24" s="54"/>
      <c r="Z24" s="27"/>
      <c r="AA24" s="27"/>
    </row>
    <row r="25" spans="5:27" x14ac:dyDescent="0.3">
      <c r="E25" s="104">
        <v>35886</v>
      </c>
      <c r="F25" s="53">
        <v>188539</v>
      </c>
      <c r="G25" s="53">
        <v>118897</v>
      </c>
      <c r="H25" s="55">
        <v>-5640.9491625779774</v>
      </c>
      <c r="I25" s="104">
        <v>40878</v>
      </c>
      <c r="J25" s="53">
        <v>10.9</v>
      </c>
      <c r="K25" s="53">
        <v>25.82</v>
      </c>
      <c r="L25" s="53">
        <v>1.4255410690754307</v>
      </c>
      <c r="S25" s="96"/>
      <c r="T25" s="54"/>
      <c r="U25" s="54"/>
      <c r="V25" s="54"/>
      <c r="W25" s="54"/>
      <c r="X25" s="54"/>
      <c r="Y25" s="54"/>
      <c r="Z25" s="27"/>
      <c r="AA25" s="27"/>
    </row>
    <row r="26" spans="5:27" x14ac:dyDescent="0.3">
      <c r="E26" s="104">
        <v>35977</v>
      </c>
      <c r="F26" s="53">
        <v>188547</v>
      </c>
      <c r="G26" s="53">
        <v>119368</v>
      </c>
      <c r="H26" s="55">
        <v>-6250.7304372029321</v>
      </c>
      <c r="I26" s="104">
        <v>40909</v>
      </c>
      <c r="J26" s="53">
        <v>10.7</v>
      </c>
      <c r="K26" s="53">
        <v>26.8</v>
      </c>
      <c r="L26" s="53">
        <v>0.44202888780628413</v>
      </c>
      <c r="S26" s="96"/>
      <c r="T26" s="54"/>
      <c r="U26" s="54"/>
      <c r="V26" s="54"/>
      <c r="W26" s="54"/>
      <c r="X26" s="54"/>
      <c r="Y26" s="54"/>
      <c r="Z26" s="27"/>
      <c r="AA26" s="27"/>
    </row>
    <row r="27" spans="5:27" x14ac:dyDescent="0.3">
      <c r="E27" s="104">
        <v>36069</v>
      </c>
      <c r="F27" s="53">
        <v>186374</v>
      </c>
      <c r="G27" s="53">
        <v>117666</v>
      </c>
      <c r="H27" s="55">
        <v>-6191.3233683883736</v>
      </c>
      <c r="I27" s="104">
        <v>40940</v>
      </c>
      <c r="J27" s="53">
        <v>10.4</v>
      </c>
      <c r="K27" s="53">
        <v>26.86</v>
      </c>
      <c r="L27" s="53">
        <v>9.4058754259195965E-2</v>
      </c>
      <c r="S27" s="96"/>
      <c r="T27" s="54"/>
      <c r="U27" s="54"/>
      <c r="V27" s="54"/>
      <c r="W27" s="54"/>
      <c r="X27" s="54"/>
      <c r="Y27" s="54"/>
      <c r="Z27" s="27"/>
      <c r="AA27" s="27"/>
    </row>
    <row r="28" spans="5:27" x14ac:dyDescent="0.3">
      <c r="E28" s="104">
        <v>36161</v>
      </c>
      <c r="F28" s="53">
        <v>186713</v>
      </c>
      <c r="G28" s="53">
        <v>117950</v>
      </c>
      <c r="H28" s="55">
        <v>-6224.8284256993793</v>
      </c>
      <c r="I28" s="104">
        <v>40969</v>
      </c>
      <c r="J28" s="53">
        <v>9.82</v>
      </c>
      <c r="K28" s="53">
        <v>26.54</v>
      </c>
      <c r="L28" s="53">
        <v>-0.23010053348965442</v>
      </c>
      <c r="S28" s="96"/>
      <c r="T28" s="54"/>
      <c r="U28" s="54"/>
      <c r="V28" s="54"/>
      <c r="W28" s="54"/>
      <c r="X28" s="54"/>
      <c r="Y28" s="54"/>
      <c r="Z28" s="27"/>
      <c r="AA28" s="27"/>
    </row>
    <row r="29" spans="5:27" x14ac:dyDescent="0.3">
      <c r="E29" s="104">
        <v>36251</v>
      </c>
      <c r="F29" s="53">
        <v>187665</v>
      </c>
      <c r="G29" s="53">
        <v>118127</v>
      </c>
      <c r="H29" s="55">
        <v>-5504.9882677558926</v>
      </c>
      <c r="I29" s="104">
        <v>41000</v>
      </c>
      <c r="J29" s="53">
        <v>9.35</v>
      </c>
      <c r="K29" s="53">
        <v>25.96</v>
      </c>
      <c r="L29" s="53">
        <v>-0.23638924253444848</v>
      </c>
      <c r="S29" s="96"/>
      <c r="T29" s="54"/>
      <c r="U29" s="54"/>
      <c r="V29" s="54"/>
      <c r="W29" s="54"/>
      <c r="X29" s="54"/>
      <c r="Y29" s="54"/>
      <c r="Z29" s="27"/>
      <c r="AA29" s="27"/>
    </row>
    <row r="30" spans="5:27" x14ac:dyDescent="0.3">
      <c r="E30" s="104">
        <v>36342</v>
      </c>
      <c r="F30" s="53">
        <v>187707</v>
      </c>
      <c r="G30" s="53">
        <v>119301</v>
      </c>
      <c r="H30" s="55">
        <v>-7002.8507229781535</v>
      </c>
      <c r="I30" s="104">
        <v>41030</v>
      </c>
      <c r="J30" s="53">
        <v>8.8699999999999992</v>
      </c>
      <c r="K30" s="53">
        <v>24.36</v>
      </c>
      <c r="L30" s="53">
        <v>0.56281431872129595</v>
      </c>
      <c r="S30" s="96"/>
      <c r="T30" s="54"/>
      <c r="U30" s="54"/>
      <c r="V30" s="54"/>
      <c r="W30" s="54"/>
      <c r="X30" s="54"/>
      <c r="Y30" s="54"/>
      <c r="Z30" s="27"/>
      <c r="AA30" s="27"/>
    </row>
    <row r="31" spans="5:27" x14ac:dyDescent="0.3">
      <c r="E31" s="104">
        <v>36434</v>
      </c>
      <c r="F31" s="53">
        <v>190360</v>
      </c>
      <c r="G31" s="53">
        <v>121311</v>
      </c>
      <c r="H31" s="55">
        <v>-6986.2421497215691</v>
      </c>
      <c r="I31" s="104">
        <v>41061</v>
      </c>
      <c r="J31" s="53">
        <v>8.39</v>
      </c>
      <c r="K31" s="53">
        <v>23.62</v>
      </c>
      <c r="L31" s="53">
        <v>0.67444596580207872</v>
      </c>
      <c r="S31" s="96"/>
      <c r="T31" s="54"/>
      <c r="U31" s="54"/>
      <c r="V31" s="54"/>
      <c r="W31" s="54"/>
      <c r="X31" s="54"/>
      <c r="Y31" s="54"/>
      <c r="Z31" s="27"/>
      <c r="AA31" s="27"/>
    </row>
    <row r="32" spans="5:27" x14ac:dyDescent="0.3">
      <c r="E32" s="104">
        <v>36526</v>
      </c>
      <c r="F32" s="53">
        <v>192374</v>
      </c>
      <c r="G32" s="53">
        <v>121439</v>
      </c>
      <c r="H32" s="55">
        <v>-5140.1317530166707</v>
      </c>
      <c r="I32" s="104">
        <v>41091</v>
      </c>
      <c r="J32" s="53">
        <v>8.07</v>
      </c>
      <c r="K32" s="53">
        <v>23.03</v>
      </c>
      <c r="L32" s="53">
        <v>0.82615227901513322</v>
      </c>
      <c r="S32" s="96"/>
      <c r="T32" s="54"/>
      <c r="U32" s="54"/>
      <c r="V32" s="54"/>
      <c r="W32" s="54"/>
      <c r="X32" s="54"/>
      <c r="Y32" s="54"/>
      <c r="Z32" s="27"/>
      <c r="AA32" s="27"/>
    </row>
    <row r="33" spans="5:27" x14ac:dyDescent="0.3">
      <c r="E33" s="104">
        <v>36617</v>
      </c>
      <c r="F33" s="53">
        <v>195058</v>
      </c>
      <c r="G33" s="53">
        <v>123093</v>
      </c>
      <c r="H33" s="55">
        <v>-4625.5802205955843</v>
      </c>
      <c r="I33" s="104">
        <v>41122</v>
      </c>
      <c r="J33" s="53">
        <v>7.85</v>
      </c>
      <c r="K33" s="53">
        <v>22.54</v>
      </c>
      <c r="L33" s="53">
        <v>0.99790836964970531</v>
      </c>
      <c r="S33" s="96"/>
      <c r="T33" s="54"/>
      <c r="U33" s="54"/>
      <c r="V33" s="54"/>
      <c r="W33" s="54"/>
      <c r="X33" s="54"/>
      <c r="Y33" s="54"/>
      <c r="Z33" s="27"/>
      <c r="AA33" s="27"/>
    </row>
    <row r="34" spans="5:27" x14ac:dyDescent="0.3">
      <c r="E34" s="104">
        <v>36708</v>
      </c>
      <c r="F34" s="53">
        <v>197337</v>
      </c>
      <c r="G34" s="53">
        <v>125087</v>
      </c>
      <c r="H34" s="55">
        <v>-4961.9854469271377</v>
      </c>
      <c r="I34" s="104">
        <v>41153</v>
      </c>
      <c r="J34" s="53">
        <v>7.39</v>
      </c>
      <c r="K34" s="53">
        <v>22.3</v>
      </c>
      <c r="L34" s="53">
        <v>0.72978890383806583</v>
      </c>
      <c r="S34" s="96"/>
      <c r="T34" s="54"/>
      <c r="U34" s="54"/>
      <c r="V34" s="54"/>
      <c r="W34" s="54"/>
      <c r="X34" s="54"/>
      <c r="Y34" s="54"/>
      <c r="Z34" s="27"/>
      <c r="AA34" s="27"/>
    </row>
    <row r="35" spans="5:27" x14ac:dyDescent="0.3">
      <c r="E35" s="104">
        <v>36800</v>
      </c>
      <c r="F35" s="53">
        <v>199746</v>
      </c>
      <c r="G35" s="53">
        <v>126257</v>
      </c>
      <c r="H35" s="55">
        <v>-4087.6013520464185</v>
      </c>
      <c r="I35" s="104">
        <v>41183</v>
      </c>
      <c r="J35" s="53">
        <v>7.23</v>
      </c>
      <c r="K35" s="53">
        <v>21.72</v>
      </c>
      <c r="L35" s="53">
        <v>1.0335001947932767</v>
      </c>
      <c r="S35" s="96"/>
      <c r="T35" s="54"/>
      <c r="U35" s="54"/>
      <c r="V35" s="54"/>
      <c r="W35" s="54"/>
      <c r="X35" s="54"/>
      <c r="Y35" s="54"/>
      <c r="Z35" s="27"/>
      <c r="AA35" s="27"/>
    </row>
    <row r="36" spans="5:27" x14ac:dyDescent="0.3">
      <c r="E36" s="104">
        <v>36892</v>
      </c>
      <c r="F36" s="53">
        <v>200577</v>
      </c>
      <c r="G36" s="53">
        <v>126235</v>
      </c>
      <c r="H36" s="55">
        <v>-3227.7453264800715</v>
      </c>
      <c r="I36" s="104">
        <v>41214</v>
      </c>
      <c r="J36" s="53">
        <v>7.14</v>
      </c>
      <c r="K36" s="53">
        <v>21.47</v>
      </c>
      <c r="L36" s="53">
        <v>1.1433757512394847</v>
      </c>
      <c r="S36" s="96"/>
      <c r="T36" s="54"/>
      <c r="U36" s="54"/>
      <c r="V36" s="54"/>
      <c r="W36" s="54"/>
      <c r="X36" s="54"/>
      <c r="Y36" s="54"/>
      <c r="Z36" s="27"/>
      <c r="AA36" s="27"/>
    </row>
    <row r="37" spans="5:27" x14ac:dyDescent="0.3">
      <c r="E37" s="104">
        <v>36982</v>
      </c>
      <c r="F37" s="53">
        <v>199542</v>
      </c>
      <c r="G37" s="53">
        <v>126890</v>
      </c>
      <c r="H37" s="55">
        <v>-5121.867905841762</v>
      </c>
      <c r="I37" s="104">
        <v>41244</v>
      </c>
      <c r="J37" s="53">
        <v>7.16</v>
      </c>
      <c r="K37" s="53">
        <v>20.39</v>
      </c>
      <c r="L37" s="53">
        <v>2.0268381550871126</v>
      </c>
      <c r="S37" s="96"/>
      <c r="T37" s="54"/>
      <c r="U37" s="54"/>
      <c r="V37" s="54"/>
      <c r="W37" s="54"/>
      <c r="X37" s="54"/>
      <c r="Y37" s="54"/>
      <c r="Z37" s="27"/>
      <c r="AA37" s="27"/>
    </row>
    <row r="38" spans="5:27" x14ac:dyDescent="0.3">
      <c r="E38" s="104">
        <v>37073</v>
      </c>
      <c r="F38" s="53">
        <v>198477</v>
      </c>
      <c r="G38" s="53">
        <v>122915</v>
      </c>
      <c r="H38" s="55">
        <v>-973.1087410133332</v>
      </c>
      <c r="I38" s="104">
        <v>41275</v>
      </c>
      <c r="J38" s="53">
        <v>7.11</v>
      </c>
      <c r="K38" s="53">
        <v>20.84</v>
      </c>
      <c r="L38" s="53">
        <v>1.6170621534839329</v>
      </c>
      <c r="S38" s="96"/>
      <c r="T38" s="54"/>
      <c r="U38" s="54"/>
      <c r="V38" s="54"/>
      <c r="W38" s="54"/>
      <c r="X38" s="54"/>
      <c r="Y38" s="54"/>
      <c r="Z38" s="27"/>
      <c r="AA38" s="27"/>
    </row>
    <row r="39" spans="5:27" x14ac:dyDescent="0.3">
      <c r="E39" s="104">
        <v>37165</v>
      </c>
      <c r="F39" s="53">
        <v>197956</v>
      </c>
      <c r="G39" s="53">
        <v>123882</v>
      </c>
      <c r="H39" s="55">
        <v>-2762.4622284068319</v>
      </c>
      <c r="I39" s="104">
        <v>41306</v>
      </c>
      <c r="J39" s="53">
        <v>7.12</v>
      </c>
      <c r="K39" s="53">
        <v>21.18</v>
      </c>
      <c r="L39" s="53">
        <v>1.3552313967170901</v>
      </c>
      <c r="S39" s="96"/>
      <c r="T39" s="54"/>
      <c r="U39" s="54"/>
      <c r="V39" s="54"/>
      <c r="W39" s="54"/>
      <c r="X39" s="54"/>
      <c r="Y39" s="54"/>
      <c r="Z39" s="27"/>
      <c r="AA39" s="27"/>
    </row>
    <row r="40" spans="5:27" x14ac:dyDescent="0.3">
      <c r="E40" s="104">
        <v>37257</v>
      </c>
      <c r="F40" s="53">
        <v>202731</v>
      </c>
      <c r="G40" s="53">
        <v>126457</v>
      </c>
      <c r="H40" s="55">
        <v>-1364.9288571950165</v>
      </c>
      <c r="I40" s="104">
        <v>41334</v>
      </c>
      <c r="J40" s="53">
        <v>7.15</v>
      </c>
      <c r="K40" s="53">
        <v>20.93</v>
      </c>
      <c r="L40" s="53">
        <v>1.5851069531632991</v>
      </c>
      <c r="S40" s="96"/>
      <c r="T40" s="54"/>
      <c r="U40" s="54"/>
      <c r="V40" s="54"/>
      <c r="W40" s="54"/>
      <c r="X40" s="54"/>
      <c r="Y40" s="54"/>
      <c r="Z40" s="27"/>
      <c r="AA40" s="27"/>
    </row>
    <row r="41" spans="5:27" x14ac:dyDescent="0.3">
      <c r="E41" s="104">
        <v>37347</v>
      </c>
      <c r="F41" s="53">
        <v>203437</v>
      </c>
      <c r="G41" s="53">
        <v>127792</v>
      </c>
      <c r="H41" s="55">
        <v>-2409.9649540619284</v>
      </c>
      <c r="I41" s="104">
        <v>41365</v>
      </c>
      <c r="J41" s="53">
        <v>7.26</v>
      </c>
      <c r="K41" s="53">
        <v>20.83</v>
      </c>
      <c r="L41" s="53">
        <v>1.7750571757417841</v>
      </c>
      <c r="S41" s="96"/>
      <c r="T41" s="54"/>
      <c r="U41" s="54"/>
      <c r="V41" s="54"/>
      <c r="W41" s="54"/>
      <c r="X41" s="54"/>
      <c r="Y41" s="54"/>
      <c r="Z41" s="27"/>
      <c r="AA41" s="27"/>
    </row>
    <row r="42" spans="5:27" x14ac:dyDescent="0.3">
      <c r="E42" s="104">
        <v>37438</v>
      </c>
      <c r="F42" s="53">
        <v>206179</v>
      </c>
      <c r="G42" s="53">
        <v>126346</v>
      </c>
      <c r="H42" s="55">
        <v>2228.662908162456</v>
      </c>
      <c r="I42" s="104">
        <v>41395</v>
      </c>
      <c r="J42" s="53">
        <v>7.42</v>
      </c>
      <c r="K42" s="53">
        <v>20.57</v>
      </c>
      <c r="L42" s="53">
        <v>2.1429277544458412</v>
      </c>
      <c r="S42" s="96"/>
      <c r="T42" s="54"/>
      <c r="U42" s="54"/>
      <c r="V42" s="54"/>
      <c r="W42" s="54"/>
      <c r="X42" s="54"/>
      <c r="Y42" s="54"/>
      <c r="Z42" s="27"/>
      <c r="AA42" s="27"/>
    </row>
    <row r="43" spans="5:27" x14ac:dyDescent="0.3">
      <c r="E43" s="104">
        <v>37530</v>
      </c>
      <c r="F43" s="53">
        <v>208262</v>
      </c>
      <c r="G43" s="53">
        <v>125845</v>
      </c>
      <c r="H43" s="55">
        <v>4968.7933085596887</v>
      </c>
      <c r="I43" s="104">
        <v>41426</v>
      </c>
      <c r="J43" s="53">
        <v>7.9</v>
      </c>
      <c r="K43" s="53">
        <v>20.85</v>
      </c>
      <c r="L43" s="53">
        <v>2.3990671312260847</v>
      </c>
      <c r="S43" s="96"/>
      <c r="T43" s="54"/>
      <c r="U43" s="54"/>
      <c r="V43" s="54"/>
      <c r="W43" s="54"/>
      <c r="X43" s="54"/>
      <c r="Y43" s="54"/>
      <c r="Z43" s="27"/>
      <c r="AA43" s="27"/>
    </row>
    <row r="44" spans="5:27" x14ac:dyDescent="0.3">
      <c r="E44" s="104">
        <v>37622</v>
      </c>
      <c r="F44" s="53">
        <v>207329</v>
      </c>
      <c r="G44" s="53">
        <v>126385</v>
      </c>
      <c r="H44" s="55">
        <v>3327.5090446584509</v>
      </c>
      <c r="I44" s="104">
        <v>41456</v>
      </c>
      <c r="J44" s="53">
        <v>8.23</v>
      </c>
      <c r="K44" s="53">
        <v>21.28</v>
      </c>
      <c r="L44" s="53">
        <v>2.3852811741386049</v>
      </c>
      <c r="S44" s="96"/>
      <c r="T44" s="54"/>
      <c r="U44" s="54"/>
      <c r="V44" s="54"/>
      <c r="W44" s="54"/>
      <c r="X44" s="54"/>
      <c r="Y44" s="54"/>
      <c r="Z44" s="27"/>
      <c r="AA44" s="27"/>
    </row>
    <row r="45" spans="5:27" x14ac:dyDescent="0.3">
      <c r="E45" s="104">
        <v>37712</v>
      </c>
      <c r="F45" s="53">
        <v>205607</v>
      </c>
      <c r="G45" s="53">
        <v>125199</v>
      </c>
      <c r="H45" s="55">
        <v>3161.1111501896521</v>
      </c>
      <c r="I45" s="104">
        <v>41487</v>
      </c>
      <c r="J45" s="53">
        <v>8.4499999999999993</v>
      </c>
      <c r="K45" s="53">
        <v>21.46</v>
      </c>
      <c r="L45" s="53">
        <v>2.4613707734973325</v>
      </c>
      <c r="S45" s="96"/>
      <c r="T45" s="54"/>
      <c r="U45" s="54"/>
      <c r="V45" s="54"/>
      <c r="W45" s="54"/>
      <c r="X45" s="54"/>
      <c r="Y45" s="54"/>
      <c r="Z45" s="27"/>
      <c r="AA45" s="27"/>
    </row>
    <row r="46" spans="5:27" x14ac:dyDescent="0.3">
      <c r="E46" s="104">
        <v>37803</v>
      </c>
      <c r="F46" s="53">
        <v>207530</v>
      </c>
      <c r="G46" s="53">
        <v>125492</v>
      </c>
      <c r="H46" s="55">
        <v>4699.8013551469485</v>
      </c>
      <c r="I46" s="104">
        <v>41518</v>
      </c>
      <c r="J46" s="53">
        <v>8.9</v>
      </c>
      <c r="K46" s="53">
        <v>21.61</v>
      </c>
      <c r="L46" s="53">
        <v>2.7914454396296069</v>
      </c>
      <c r="S46" s="96"/>
      <c r="T46" s="54"/>
      <c r="U46" s="54"/>
      <c r="V46" s="54"/>
      <c r="W46" s="54"/>
      <c r="X46" s="54"/>
      <c r="Y46" s="54"/>
      <c r="Z46" s="27"/>
      <c r="AA46" s="27"/>
    </row>
    <row r="47" spans="5:27" x14ac:dyDescent="0.3">
      <c r="E47" s="104">
        <v>37895</v>
      </c>
      <c r="F47" s="53">
        <v>209685</v>
      </c>
      <c r="G47" s="53">
        <v>126554</v>
      </c>
      <c r="H47" s="55">
        <v>5461.8423028078978</v>
      </c>
      <c r="I47" s="104">
        <v>41548</v>
      </c>
      <c r="J47" s="53">
        <v>9.25</v>
      </c>
      <c r="K47" s="53">
        <v>21.98</v>
      </c>
      <c r="L47" s="53">
        <v>2.8456296160892158</v>
      </c>
      <c r="S47" s="96"/>
      <c r="T47" s="54"/>
      <c r="U47" s="54"/>
      <c r="V47" s="54"/>
      <c r="W47" s="54"/>
      <c r="X47" s="54"/>
      <c r="Y47" s="54"/>
      <c r="Z47" s="27"/>
      <c r="AA47" s="27"/>
    </row>
    <row r="48" spans="5:27" x14ac:dyDescent="0.3">
      <c r="E48" s="104">
        <v>37987</v>
      </c>
      <c r="F48" s="53">
        <v>212590</v>
      </c>
      <c r="G48" s="53">
        <v>127481</v>
      </c>
      <c r="H48" s="55">
        <v>7150.954316444142</v>
      </c>
      <c r="I48" s="104">
        <v>41579</v>
      </c>
      <c r="J48" s="53">
        <v>9.4499999999999993</v>
      </c>
      <c r="K48" s="53">
        <v>22.21</v>
      </c>
      <c r="L48" s="53">
        <v>2.8617441041587028</v>
      </c>
      <c r="S48" s="96"/>
      <c r="T48" s="54"/>
      <c r="U48" s="54"/>
      <c r="V48" s="54"/>
      <c r="W48" s="54"/>
      <c r="X48" s="54"/>
      <c r="Y48" s="54"/>
      <c r="Z48" s="27"/>
      <c r="AA48" s="27"/>
    </row>
    <row r="49" spans="5:27" x14ac:dyDescent="0.3">
      <c r="E49" s="104">
        <v>38078</v>
      </c>
      <c r="F49" s="53">
        <v>218480</v>
      </c>
      <c r="G49" s="53">
        <v>129113</v>
      </c>
      <c r="H49" s="55">
        <v>10900.361874431575</v>
      </c>
      <c r="I49" s="104">
        <v>41609</v>
      </c>
      <c r="J49" s="53">
        <v>9.9</v>
      </c>
      <c r="K49" s="53">
        <v>21.87</v>
      </c>
      <c r="L49" s="53">
        <v>3.5835748609255464</v>
      </c>
      <c r="S49" s="96"/>
      <c r="T49" s="54"/>
      <c r="U49" s="54"/>
      <c r="V49" s="54"/>
      <c r="W49" s="54"/>
      <c r="X49" s="54"/>
      <c r="Y49" s="54"/>
      <c r="Z49" s="27"/>
      <c r="AA49" s="27"/>
    </row>
    <row r="50" spans="5:27" x14ac:dyDescent="0.3">
      <c r="E50" s="104">
        <v>38169</v>
      </c>
      <c r="F50" s="53">
        <v>221209</v>
      </c>
      <c r="G50" s="53">
        <v>131668</v>
      </c>
      <c r="H50" s="55">
        <v>10278.127996158233</v>
      </c>
      <c r="I50" s="104">
        <v>41640</v>
      </c>
      <c r="J50" s="53">
        <v>10.17</v>
      </c>
      <c r="K50" s="53">
        <v>22.84</v>
      </c>
      <c r="L50" s="53">
        <v>3.0780577019142523</v>
      </c>
      <c r="S50" s="96"/>
      <c r="T50" s="54"/>
      <c r="U50" s="54"/>
      <c r="V50" s="54"/>
      <c r="W50" s="54"/>
      <c r="X50" s="54"/>
      <c r="Y50" s="54"/>
      <c r="Z50" s="27"/>
      <c r="AA50" s="27"/>
    </row>
    <row r="51" spans="5:27" x14ac:dyDescent="0.3">
      <c r="E51" s="104">
        <v>38261</v>
      </c>
      <c r="F51" s="53">
        <v>222910</v>
      </c>
      <c r="G51" s="53">
        <v>134910</v>
      </c>
      <c r="H51" s="55">
        <v>7726.7991376994178</v>
      </c>
      <c r="I51" s="104">
        <v>41671</v>
      </c>
      <c r="J51" s="53">
        <v>10.43</v>
      </c>
      <c r="K51" s="53">
        <v>23.38</v>
      </c>
      <c r="L51" s="53">
        <v>2.9063264999904419</v>
      </c>
      <c r="S51" s="96"/>
      <c r="T51" s="54"/>
      <c r="U51" s="54"/>
      <c r="V51" s="54"/>
      <c r="W51" s="54"/>
      <c r="X51" s="54"/>
      <c r="Y51" s="54"/>
      <c r="Z51" s="27"/>
      <c r="AA51" s="27"/>
    </row>
    <row r="52" spans="5:27" x14ac:dyDescent="0.3">
      <c r="E52" s="104">
        <v>38353</v>
      </c>
      <c r="F52" s="53">
        <v>224747</v>
      </c>
      <c r="G52" s="53">
        <v>134255</v>
      </c>
      <c r="H52" s="55">
        <v>10422.921717061108</v>
      </c>
      <c r="I52" s="104">
        <v>41699</v>
      </c>
      <c r="J52" s="53">
        <v>10.65</v>
      </c>
      <c r="K52" s="53">
        <v>23.53</v>
      </c>
      <c r="L52" s="53">
        <v>3.0064011661227124</v>
      </c>
      <c r="S52" s="96"/>
      <c r="T52" s="54"/>
      <c r="U52" s="54"/>
      <c r="V52" s="54"/>
      <c r="W52" s="54"/>
      <c r="X52" s="54"/>
      <c r="Y52" s="54"/>
      <c r="Z52" s="27"/>
      <c r="AA52" s="27"/>
    </row>
    <row r="53" spans="5:27" x14ac:dyDescent="0.3">
      <c r="E53" s="104">
        <v>38443</v>
      </c>
      <c r="F53" s="53">
        <v>227413</v>
      </c>
      <c r="G53" s="53">
        <v>135298</v>
      </c>
      <c r="H53" s="55">
        <v>11720.883777711162</v>
      </c>
      <c r="I53" s="104">
        <v>41730</v>
      </c>
      <c r="J53" s="53">
        <v>10.87</v>
      </c>
      <c r="K53" s="53">
        <v>23.41</v>
      </c>
      <c r="L53" s="53">
        <v>3.3223414332168932</v>
      </c>
      <c r="S53" s="96"/>
      <c r="T53" s="54"/>
      <c r="U53" s="54"/>
      <c r="V53" s="54"/>
      <c r="W53" s="54"/>
      <c r="X53" s="54"/>
      <c r="Y53" s="54"/>
      <c r="Z53" s="27"/>
      <c r="AA53" s="27"/>
    </row>
    <row r="54" spans="5:27" x14ac:dyDescent="0.3">
      <c r="E54" s="104">
        <v>38534</v>
      </c>
      <c r="F54" s="53">
        <v>225926</v>
      </c>
      <c r="G54" s="53">
        <v>137416</v>
      </c>
      <c r="H54" s="55">
        <v>7455.8354981874872</v>
      </c>
      <c r="I54" s="104">
        <v>41760</v>
      </c>
      <c r="J54" s="53">
        <v>10.9</v>
      </c>
      <c r="K54" s="53">
        <v>23.59</v>
      </c>
      <c r="L54" s="53">
        <v>3.2084310325756231</v>
      </c>
      <c r="S54" s="96"/>
      <c r="T54" s="54"/>
      <c r="U54" s="54"/>
      <c r="V54" s="54"/>
      <c r="W54" s="54"/>
      <c r="X54" s="54"/>
      <c r="Y54" s="54"/>
      <c r="Z54" s="27"/>
      <c r="AA54" s="27"/>
    </row>
    <row r="55" spans="5:27" x14ac:dyDescent="0.3">
      <c r="E55" s="104">
        <v>38626</v>
      </c>
      <c r="F55" s="53">
        <v>228736</v>
      </c>
      <c r="G55" s="53">
        <v>139408</v>
      </c>
      <c r="H55" s="55">
        <v>7653.0535469074384</v>
      </c>
      <c r="I55" s="104">
        <v>41791</v>
      </c>
      <c r="J55" s="53">
        <v>10.9</v>
      </c>
      <c r="K55" s="53">
        <v>23.46</v>
      </c>
      <c r="L55" s="53">
        <v>3.3123663219276533</v>
      </c>
      <c r="S55" s="96"/>
      <c r="T55" s="54"/>
      <c r="U55" s="54"/>
      <c r="V55" s="54"/>
      <c r="W55" s="54"/>
      <c r="X55" s="54"/>
      <c r="Y55" s="54"/>
      <c r="Z55" s="27"/>
      <c r="AA55" s="27"/>
    </row>
    <row r="56" spans="5:27" x14ac:dyDescent="0.3">
      <c r="E56" s="104">
        <v>38718</v>
      </c>
      <c r="F56" s="53">
        <v>232628</v>
      </c>
      <c r="G56" s="53">
        <v>140918</v>
      </c>
      <c r="H56" s="55">
        <v>9564.4808830355178</v>
      </c>
      <c r="I56" s="104">
        <v>41821</v>
      </c>
      <c r="J56" s="53">
        <v>10.9</v>
      </c>
      <c r="K56" s="53">
        <v>23.7</v>
      </c>
      <c r="L56" s="53">
        <v>3.1204857877392929</v>
      </c>
      <c r="S56" s="96"/>
      <c r="T56" s="54"/>
      <c r="U56" s="54"/>
      <c r="V56" s="54"/>
      <c r="W56" s="54"/>
      <c r="X56" s="54"/>
      <c r="Y56" s="54"/>
      <c r="Z56" s="27"/>
      <c r="AA56" s="27"/>
    </row>
    <row r="57" spans="5:27" x14ac:dyDescent="0.3">
      <c r="E57" s="104">
        <v>38808</v>
      </c>
      <c r="F57" s="53">
        <v>233263</v>
      </c>
      <c r="G57" s="53">
        <v>143104</v>
      </c>
      <c r="H57" s="55">
        <v>7332.2412517613266</v>
      </c>
      <c r="I57" s="104">
        <v>41852</v>
      </c>
      <c r="J57" s="53">
        <v>10.9</v>
      </c>
      <c r="K57" s="53">
        <v>23.61</v>
      </c>
      <c r="L57" s="53">
        <v>3.1924409880599267</v>
      </c>
      <c r="S57" s="96"/>
      <c r="T57" s="54"/>
      <c r="U57" s="54"/>
      <c r="V57" s="54"/>
      <c r="W57" s="54"/>
      <c r="X57" s="54"/>
      <c r="Y57" s="54"/>
      <c r="Z57" s="27"/>
      <c r="AA57" s="27"/>
    </row>
    <row r="58" spans="5:27" x14ac:dyDescent="0.3">
      <c r="E58" s="104">
        <v>38899</v>
      </c>
      <c r="F58" s="53">
        <v>237002</v>
      </c>
      <c r="G58" s="53">
        <v>144584</v>
      </c>
      <c r="H58" s="55">
        <v>9130.017713661684</v>
      </c>
      <c r="I58" s="104">
        <v>41883</v>
      </c>
      <c r="J58" s="53">
        <v>10.9</v>
      </c>
      <c r="K58" s="53">
        <v>23.26</v>
      </c>
      <c r="L58" s="53">
        <v>3.472266767084621</v>
      </c>
      <c r="S58" s="96"/>
      <c r="T58" s="54"/>
      <c r="U58" s="54"/>
      <c r="V58" s="54"/>
      <c r="W58" s="54"/>
      <c r="X58" s="54"/>
      <c r="Y58" s="54"/>
      <c r="Z58" s="27"/>
      <c r="AA58" s="27"/>
    </row>
    <row r="59" spans="5:27" x14ac:dyDescent="0.3">
      <c r="E59" s="104">
        <v>38991</v>
      </c>
      <c r="F59" s="53">
        <v>239834</v>
      </c>
      <c r="G59" s="53">
        <v>146671</v>
      </c>
      <c r="H59" s="55">
        <v>9224.630197436054</v>
      </c>
      <c r="I59" s="104">
        <v>41913</v>
      </c>
      <c r="J59" s="53">
        <v>10.92</v>
      </c>
      <c r="K59" s="53">
        <v>23.79</v>
      </c>
      <c r="L59" s="53">
        <v>3.068530587418655</v>
      </c>
      <c r="S59" s="96"/>
      <c r="T59" s="54"/>
      <c r="U59" s="54"/>
      <c r="V59" s="54"/>
      <c r="W59" s="54"/>
      <c r="X59" s="54"/>
      <c r="Y59" s="54"/>
      <c r="Z59" s="27"/>
      <c r="AA59" s="27"/>
    </row>
    <row r="60" spans="5:27" x14ac:dyDescent="0.3">
      <c r="E60" s="104">
        <v>39083</v>
      </c>
      <c r="F60" s="53">
        <v>244548</v>
      </c>
      <c r="G60" s="53">
        <v>149916</v>
      </c>
      <c r="H60" s="55">
        <v>9682.3664264000545</v>
      </c>
      <c r="I60" s="104">
        <v>41944</v>
      </c>
      <c r="J60" s="53">
        <v>11.15</v>
      </c>
      <c r="K60" s="53">
        <v>23.87</v>
      </c>
      <c r="L60" s="53">
        <v>3.2345704093558663</v>
      </c>
      <c r="S60" s="96"/>
      <c r="T60" s="54"/>
      <c r="U60" s="54"/>
      <c r="V60" s="54"/>
      <c r="W60" s="54"/>
      <c r="X60" s="54"/>
      <c r="Y60" s="54"/>
      <c r="Z60" s="27"/>
      <c r="AA60" s="27"/>
    </row>
    <row r="61" spans="5:27" x14ac:dyDescent="0.3">
      <c r="E61" s="104">
        <v>39173</v>
      </c>
      <c r="F61" s="53">
        <v>248523</v>
      </c>
      <c r="G61" s="53">
        <v>151883</v>
      </c>
      <c r="H61" s="55">
        <v>11077.375413263566</v>
      </c>
      <c r="I61" s="104">
        <v>41974</v>
      </c>
      <c r="J61" s="53">
        <v>11.58</v>
      </c>
      <c r="K61" s="53">
        <v>23.39</v>
      </c>
      <c r="L61" s="53">
        <v>4.0483314777325905</v>
      </c>
      <c r="S61" s="96"/>
      <c r="T61" s="54"/>
      <c r="U61" s="54"/>
      <c r="V61" s="54"/>
      <c r="W61" s="54"/>
      <c r="X61" s="54"/>
      <c r="Y61" s="54"/>
      <c r="Z61" s="27"/>
      <c r="AA61" s="27"/>
    </row>
    <row r="62" spans="5:27" x14ac:dyDescent="0.3">
      <c r="E62" s="104">
        <v>39264</v>
      </c>
      <c r="F62" s="53">
        <v>250953</v>
      </c>
      <c r="G62" s="53">
        <v>152842</v>
      </c>
      <c r="H62" s="55">
        <v>12249.515026076057</v>
      </c>
      <c r="I62" s="104">
        <v>42005</v>
      </c>
      <c r="J62" s="53">
        <v>11.82</v>
      </c>
      <c r="K62" s="53">
        <v>24.6</v>
      </c>
      <c r="L62" s="53">
        <v>3.320933784532933</v>
      </c>
      <c r="S62" s="96"/>
      <c r="T62" s="54"/>
      <c r="U62" s="54"/>
      <c r="V62" s="54"/>
      <c r="W62" s="54"/>
      <c r="X62" s="54"/>
      <c r="Y62" s="54"/>
      <c r="Z62" s="27"/>
      <c r="AA62" s="27"/>
    </row>
    <row r="63" spans="5:27" x14ac:dyDescent="0.3">
      <c r="E63" s="104">
        <v>39356</v>
      </c>
      <c r="F63" s="53">
        <v>254918</v>
      </c>
      <c r="G63" s="53">
        <v>157284</v>
      </c>
      <c r="H63" s="55">
        <v>10388.221136725653</v>
      </c>
      <c r="I63" s="104">
        <v>42036</v>
      </c>
      <c r="J63" s="53">
        <v>12.15</v>
      </c>
      <c r="K63" s="53">
        <v>25.32</v>
      </c>
      <c r="L63" s="53">
        <v>3.0752921819678516</v>
      </c>
      <c r="S63" s="96"/>
      <c r="T63" s="54"/>
      <c r="U63" s="54"/>
      <c r="V63" s="54"/>
      <c r="W63" s="54"/>
      <c r="X63" s="54"/>
      <c r="Y63" s="54"/>
      <c r="Z63" s="27"/>
      <c r="AA63" s="27"/>
    </row>
    <row r="64" spans="5:27" x14ac:dyDescent="0.3">
      <c r="E64" s="104">
        <v>39448</v>
      </c>
      <c r="F64" s="53">
        <v>258056</v>
      </c>
      <c r="G64" s="53">
        <v>160679</v>
      </c>
      <c r="H64" s="55">
        <v>9073.2117368282052</v>
      </c>
      <c r="I64" s="104">
        <v>42064</v>
      </c>
      <c r="J64" s="53">
        <v>12.58</v>
      </c>
      <c r="K64" s="53">
        <v>25.51</v>
      </c>
      <c r="L64" s="53">
        <v>3.3533867590687283</v>
      </c>
      <c r="S64" s="96"/>
      <c r="T64" s="54"/>
      <c r="U64" s="54"/>
      <c r="V64" s="54"/>
      <c r="W64" s="54"/>
      <c r="X64" s="54"/>
      <c r="Y64" s="54"/>
      <c r="Z64" s="27"/>
      <c r="AA64" s="27"/>
    </row>
    <row r="65" spans="5:27" x14ac:dyDescent="0.3">
      <c r="E65" s="104">
        <v>39539</v>
      </c>
      <c r="F65" s="53">
        <v>263463</v>
      </c>
      <c r="G65" s="53">
        <v>162514</v>
      </c>
      <c r="H65" s="55">
        <v>12073.356877089798</v>
      </c>
      <c r="I65" s="104">
        <v>42095</v>
      </c>
      <c r="J65" s="53">
        <v>12.68</v>
      </c>
      <c r="K65" s="53">
        <v>26.13</v>
      </c>
      <c r="L65" s="53">
        <v>2.9576953790821321</v>
      </c>
      <c r="S65" s="96"/>
      <c r="T65" s="54"/>
      <c r="U65" s="54"/>
      <c r="V65" s="54"/>
      <c r="W65" s="54"/>
      <c r="X65" s="54"/>
      <c r="Y65" s="54"/>
      <c r="Z65" s="27"/>
      <c r="AA65" s="27"/>
    </row>
    <row r="66" spans="5:27" x14ac:dyDescent="0.3">
      <c r="E66" s="104">
        <v>39630</v>
      </c>
      <c r="F66" s="53">
        <v>267615</v>
      </c>
      <c r="G66" s="53">
        <v>165550</v>
      </c>
      <c r="H66" s="55">
        <v>12243.225348934066</v>
      </c>
      <c r="I66" s="104">
        <v>42125</v>
      </c>
      <c r="J66" s="53">
        <v>13.15</v>
      </c>
      <c r="K66" s="53">
        <v>26.73</v>
      </c>
      <c r="L66" s="53">
        <v>2.9479940436112262</v>
      </c>
      <c r="S66" s="96"/>
      <c r="T66" s="54"/>
      <c r="U66" s="54"/>
      <c r="V66" s="54"/>
      <c r="W66" s="54"/>
      <c r="X66" s="54"/>
      <c r="Y66" s="54"/>
      <c r="Z66" s="27"/>
      <c r="AA66" s="27"/>
    </row>
    <row r="67" spans="5:27" x14ac:dyDescent="0.3">
      <c r="E67" s="104">
        <v>39722</v>
      </c>
      <c r="F67" s="53">
        <v>257534</v>
      </c>
      <c r="G67" s="53">
        <v>162886</v>
      </c>
      <c r="H67" s="55">
        <v>5656.4277175134048</v>
      </c>
      <c r="I67" s="104">
        <v>42156</v>
      </c>
      <c r="J67" s="53">
        <v>13.58</v>
      </c>
      <c r="K67" s="53">
        <v>27.25</v>
      </c>
      <c r="L67" s="53">
        <v>2.9622528862031086</v>
      </c>
      <c r="S67" s="96"/>
      <c r="T67" s="54"/>
      <c r="U67" s="54"/>
      <c r="V67" s="54"/>
      <c r="W67" s="54"/>
      <c r="X67" s="54"/>
      <c r="Y67" s="54"/>
      <c r="Z67" s="27"/>
      <c r="AA67" s="27"/>
    </row>
    <row r="68" spans="5:27" x14ac:dyDescent="0.3">
      <c r="E68" s="104">
        <v>39814</v>
      </c>
      <c r="F68" s="53">
        <v>253940</v>
      </c>
      <c r="G68" s="53">
        <v>164299</v>
      </c>
      <c r="H68" s="55">
        <v>209.08389363854076</v>
      </c>
      <c r="I68" s="104">
        <v>42186</v>
      </c>
      <c r="J68" s="53">
        <v>13.69</v>
      </c>
      <c r="K68" s="53">
        <v>28.05</v>
      </c>
      <c r="L68" s="53">
        <v>2.4326511055752373</v>
      </c>
      <c r="S68" s="96"/>
      <c r="T68" s="54"/>
      <c r="U68" s="54"/>
      <c r="V68" s="54"/>
      <c r="W68" s="54"/>
      <c r="X68" s="54"/>
      <c r="Y68" s="54"/>
      <c r="Z68" s="27"/>
      <c r="AA68" s="27"/>
    </row>
    <row r="69" spans="5:27" x14ac:dyDescent="0.3">
      <c r="E69" s="104">
        <v>39904</v>
      </c>
      <c r="F69" s="53">
        <v>258488</v>
      </c>
      <c r="G69" s="53">
        <v>169014</v>
      </c>
      <c r="H69" s="55">
        <v>-1427.2870402396657</v>
      </c>
      <c r="I69" s="104">
        <v>42217</v>
      </c>
      <c r="J69" s="53">
        <v>14.15</v>
      </c>
      <c r="K69" s="53">
        <v>28.55</v>
      </c>
      <c r="L69" s="53">
        <v>2.4928999926828173</v>
      </c>
      <c r="S69" s="96"/>
      <c r="T69" s="54"/>
      <c r="U69" s="54"/>
      <c r="V69" s="54"/>
      <c r="W69" s="54"/>
      <c r="X69" s="54"/>
      <c r="Y69" s="54"/>
      <c r="Z69" s="27"/>
      <c r="AA69" s="27"/>
    </row>
    <row r="70" spans="5:27" x14ac:dyDescent="0.3">
      <c r="E70" s="104">
        <v>39995</v>
      </c>
      <c r="F70" s="53">
        <v>264566</v>
      </c>
      <c r="G70" s="53">
        <v>172926</v>
      </c>
      <c r="H70" s="55">
        <v>-480.41304094623774</v>
      </c>
      <c r="I70" s="104">
        <v>42248</v>
      </c>
      <c r="J70" s="53">
        <v>14.15</v>
      </c>
      <c r="K70" s="53">
        <v>29.06</v>
      </c>
      <c r="L70" s="53">
        <v>2.0851538575325481</v>
      </c>
      <c r="S70" s="96"/>
      <c r="T70" s="54"/>
      <c r="U70" s="54"/>
      <c r="V70" s="54"/>
      <c r="W70" s="54"/>
      <c r="X70" s="54"/>
      <c r="Y70" s="54"/>
      <c r="Z70" s="27"/>
      <c r="AA70" s="27"/>
    </row>
    <row r="71" spans="5:27" x14ac:dyDescent="0.3">
      <c r="E71" s="104">
        <v>40087</v>
      </c>
      <c r="F71" s="53">
        <v>271334</v>
      </c>
      <c r="G71" s="53">
        <v>174170</v>
      </c>
      <c r="H71" s="55">
        <v>4655.9098770294804</v>
      </c>
      <c r="I71" s="104">
        <v>42278</v>
      </c>
      <c r="J71" s="53">
        <v>14.15</v>
      </c>
      <c r="K71" s="53">
        <v>29.85</v>
      </c>
      <c r="L71" s="53">
        <v>1.4535470991625257</v>
      </c>
      <c r="S71" s="96"/>
      <c r="T71" s="54"/>
      <c r="U71" s="54"/>
      <c r="V71" s="54"/>
      <c r="W71" s="54"/>
      <c r="X71" s="54"/>
      <c r="Y71" s="54"/>
      <c r="Z71" s="27"/>
      <c r="AA71" s="27"/>
    </row>
    <row r="72" spans="5:27" x14ac:dyDescent="0.3">
      <c r="E72" s="104">
        <v>40179</v>
      </c>
      <c r="F72" s="53">
        <v>277127</v>
      </c>
      <c r="G72" s="53">
        <v>176537</v>
      </c>
      <c r="H72" s="55">
        <v>7344.2638535957667</v>
      </c>
      <c r="I72" s="104">
        <v>42309</v>
      </c>
      <c r="J72" s="53">
        <v>14.15</v>
      </c>
      <c r="K72" s="53">
        <v>30.13</v>
      </c>
      <c r="L72" s="53">
        <v>1.2296864759427724</v>
      </c>
      <c r="S72" s="96"/>
      <c r="T72" s="54"/>
      <c r="U72" s="54"/>
      <c r="V72" s="54"/>
      <c r="W72" s="54"/>
      <c r="X72" s="54"/>
      <c r="Y72" s="54"/>
      <c r="Z72" s="27"/>
      <c r="AA72" s="27"/>
    </row>
    <row r="73" spans="5:27" x14ac:dyDescent="0.3">
      <c r="E73" s="104">
        <v>40269</v>
      </c>
      <c r="F73" s="53">
        <v>280479</v>
      </c>
      <c r="G73" s="53">
        <v>178218</v>
      </c>
      <c r="H73" s="55">
        <v>8491.4011728217592</v>
      </c>
      <c r="I73" s="104">
        <v>42339</v>
      </c>
      <c r="J73" s="53">
        <v>14.15</v>
      </c>
      <c r="K73" s="53">
        <v>29.38</v>
      </c>
      <c r="L73" s="53">
        <v>1.829313145281402</v>
      </c>
      <c r="S73" s="96"/>
      <c r="T73" s="54"/>
      <c r="U73" s="54"/>
      <c r="V73" s="54"/>
      <c r="W73" s="54"/>
      <c r="X73" s="54"/>
      <c r="Y73" s="54"/>
      <c r="Z73" s="27"/>
      <c r="AA73" s="27"/>
    </row>
    <row r="74" spans="5:27" x14ac:dyDescent="0.3">
      <c r="E74" s="104">
        <v>40360</v>
      </c>
      <c r="F74" s="53">
        <v>283006</v>
      </c>
      <c r="G74" s="53">
        <v>182109</v>
      </c>
      <c r="H74" s="55">
        <v>5914.8195601557964</v>
      </c>
      <c r="I74" s="104">
        <v>42370</v>
      </c>
      <c r="J74" s="53">
        <v>14.15</v>
      </c>
      <c r="K74" s="53">
        <v>31.03</v>
      </c>
      <c r="L74" s="53">
        <v>0.51013447273641255</v>
      </c>
      <c r="S74" s="96"/>
      <c r="T74" s="54"/>
      <c r="U74" s="54"/>
      <c r="V74" s="54"/>
      <c r="W74" s="54"/>
      <c r="X74" s="54"/>
      <c r="Y74" s="54"/>
      <c r="Z74" s="27"/>
      <c r="AA74" s="27"/>
    </row>
    <row r="75" spans="5:27" x14ac:dyDescent="0.3">
      <c r="E75" s="104">
        <v>40452</v>
      </c>
      <c r="F75" s="53">
        <v>286939</v>
      </c>
      <c r="G75" s="53">
        <v>185966</v>
      </c>
      <c r="H75" s="55">
        <v>4788.8336233650334</v>
      </c>
      <c r="I75" s="104">
        <v>42401</v>
      </c>
      <c r="J75" s="53">
        <v>14.15</v>
      </c>
      <c r="K75" s="53">
        <v>31.52</v>
      </c>
      <c r="L75" s="53">
        <v>0.11837838210184337</v>
      </c>
      <c r="S75" s="96"/>
      <c r="T75" s="54"/>
      <c r="U75" s="54"/>
      <c r="V75" s="54"/>
      <c r="W75" s="54"/>
      <c r="X75" s="54"/>
      <c r="Y75" s="54"/>
      <c r="Z75" s="27"/>
      <c r="AA75" s="27"/>
    </row>
    <row r="76" spans="5:27" x14ac:dyDescent="0.3">
      <c r="E76" s="104">
        <v>40544</v>
      </c>
      <c r="F76" s="53">
        <v>291050</v>
      </c>
      <c r="G76" s="53">
        <v>187699</v>
      </c>
      <c r="H76" s="55">
        <v>6626.7657912524883</v>
      </c>
      <c r="I76" s="104">
        <v>42430</v>
      </c>
      <c r="J76" s="53">
        <v>14.15</v>
      </c>
      <c r="K76" s="53">
        <v>31.71</v>
      </c>
      <c r="L76" s="53">
        <v>-3.3527040797279639E-2</v>
      </c>
      <c r="S76" s="96"/>
      <c r="T76" s="54"/>
      <c r="U76" s="54"/>
      <c r="V76" s="54"/>
      <c r="W76" s="54"/>
      <c r="X76" s="54"/>
      <c r="Y76" s="54"/>
      <c r="Z76" s="27"/>
      <c r="AA76" s="27"/>
    </row>
    <row r="77" spans="5:27" x14ac:dyDescent="0.3">
      <c r="E77" s="104">
        <v>40634</v>
      </c>
      <c r="F77" s="53">
        <v>293790</v>
      </c>
      <c r="G77" s="53">
        <v>190212</v>
      </c>
      <c r="H77" s="55">
        <v>6070.6206890603062</v>
      </c>
      <c r="I77" s="104">
        <v>42461</v>
      </c>
      <c r="J77" s="53">
        <v>14.15</v>
      </c>
      <c r="K77" s="53">
        <v>32.130000000000003</v>
      </c>
      <c r="L77" s="53">
        <v>-0.36931797562691138</v>
      </c>
      <c r="S77" s="96"/>
      <c r="T77" s="54"/>
      <c r="U77" s="54"/>
      <c r="V77" s="54"/>
      <c r="W77" s="54"/>
      <c r="X77" s="54"/>
      <c r="Y77" s="54"/>
      <c r="Z77" s="27"/>
      <c r="AA77" s="27"/>
    </row>
    <row r="78" spans="5:27" x14ac:dyDescent="0.3">
      <c r="E78" s="104">
        <v>40725</v>
      </c>
      <c r="F78" s="53">
        <v>293200</v>
      </c>
      <c r="G78" s="53">
        <v>189488</v>
      </c>
      <c r="H78" s="55">
        <v>6430.2462576982798</v>
      </c>
      <c r="I78" s="104">
        <v>42491</v>
      </c>
      <c r="J78" s="53">
        <v>14.15</v>
      </c>
      <c r="K78" s="53">
        <v>32.229999999999997</v>
      </c>
      <c r="L78" s="53">
        <v>-0.44926819820539343</v>
      </c>
      <c r="S78" s="96"/>
      <c r="T78" s="54"/>
      <c r="U78" s="54"/>
      <c r="V78" s="54"/>
      <c r="W78" s="54"/>
      <c r="X78" s="54"/>
      <c r="Y78" s="54"/>
      <c r="Z78" s="27"/>
      <c r="AA78" s="27"/>
    </row>
    <row r="79" spans="5:27" x14ac:dyDescent="0.3">
      <c r="E79" s="104">
        <v>40817</v>
      </c>
      <c r="F79" s="53">
        <v>295631</v>
      </c>
      <c r="G79" s="53">
        <v>190477</v>
      </c>
      <c r="H79" s="55">
        <v>7564.0367447384633</v>
      </c>
      <c r="I79" s="104">
        <v>42522</v>
      </c>
      <c r="J79" s="53">
        <v>14.15</v>
      </c>
      <c r="K79" s="53">
        <v>32.08</v>
      </c>
      <c r="L79" s="53">
        <v>-0.3293428643376668</v>
      </c>
      <c r="S79" s="96"/>
      <c r="T79" s="54"/>
      <c r="U79" s="54"/>
      <c r="V79" s="54"/>
      <c r="W79" s="54"/>
      <c r="X79" s="54"/>
      <c r="Y79" s="54"/>
      <c r="Z79" s="27"/>
      <c r="AA79" s="27"/>
    </row>
    <row r="80" spans="5:27" x14ac:dyDescent="0.3">
      <c r="E80" s="104">
        <v>40909</v>
      </c>
      <c r="F80" s="53">
        <v>291791</v>
      </c>
      <c r="G80" s="53">
        <v>193125</v>
      </c>
      <c r="H80" s="55">
        <v>250.8205765709863</v>
      </c>
      <c r="I80" s="104">
        <v>42552</v>
      </c>
      <c r="J80" s="53">
        <v>14.15</v>
      </c>
      <c r="K80" s="53">
        <v>32.54</v>
      </c>
      <c r="L80" s="53">
        <v>-0.69711388819869491</v>
      </c>
      <c r="S80" s="96"/>
      <c r="T80" s="54"/>
      <c r="U80" s="54"/>
      <c r="V80" s="54"/>
      <c r="W80" s="54"/>
      <c r="X80" s="54"/>
      <c r="Y80" s="54"/>
      <c r="Z80" s="27"/>
      <c r="AA80" s="27"/>
    </row>
    <row r="81" spans="5:27" x14ac:dyDescent="0.3">
      <c r="E81" s="104">
        <v>41000</v>
      </c>
      <c r="F81" s="53">
        <v>296859</v>
      </c>
      <c r="G81" s="53">
        <v>194617</v>
      </c>
      <c r="H81" s="55">
        <v>3361.8573881624034</v>
      </c>
      <c r="I81" s="104">
        <v>42583</v>
      </c>
      <c r="J81" s="53">
        <v>14.15</v>
      </c>
      <c r="K81" s="53">
        <v>32.69</v>
      </c>
      <c r="L81" s="53">
        <v>-0.81703922206641799</v>
      </c>
      <c r="S81" s="96"/>
      <c r="T81" s="54"/>
      <c r="U81" s="54"/>
      <c r="V81" s="54"/>
      <c r="W81" s="54"/>
      <c r="X81" s="54"/>
      <c r="Y81" s="54"/>
      <c r="Z81" s="27"/>
      <c r="AA81" s="27"/>
    </row>
    <row r="82" spans="5:27" x14ac:dyDescent="0.3">
      <c r="E82" s="104">
        <v>41091</v>
      </c>
      <c r="F82" s="53">
        <v>301930</v>
      </c>
      <c r="G82" s="53">
        <v>197195</v>
      </c>
      <c r="H82" s="55">
        <v>5051.4558467969764</v>
      </c>
      <c r="I82" s="104">
        <v>42614</v>
      </c>
      <c r="J82" s="53">
        <v>14.15</v>
      </c>
      <c r="K82" s="53">
        <v>32.71</v>
      </c>
      <c r="L82" s="53">
        <v>-0.83302926658211796</v>
      </c>
      <c r="S82" s="96"/>
      <c r="T82" s="54"/>
      <c r="U82" s="54"/>
      <c r="V82" s="54"/>
      <c r="W82" s="54"/>
      <c r="X82" s="54"/>
      <c r="Y82" s="54"/>
      <c r="Z82" s="27"/>
      <c r="AA82" s="27"/>
    </row>
    <row r="83" spans="5:27" x14ac:dyDescent="0.3">
      <c r="E83" s="104">
        <v>41183</v>
      </c>
      <c r="F83" s="53">
        <v>301992</v>
      </c>
      <c r="G83" s="53">
        <v>199345</v>
      </c>
      <c r="H83" s="55">
        <v>2293.4351664495189</v>
      </c>
      <c r="I83" s="104">
        <v>42644</v>
      </c>
      <c r="J83" s="53">
        <v>14.05</v>
      </c>
      <c r="K83" s="53">
        <v>32.99</v>
      </c>
      <c r="L83" s="53">
        <v>-1.1568898898018745</v>
      </c>
      <c r="S83" s="96"/>
      <c r="T83" s="54"/>
      <c r="U83" s="54"/>
      <c r="V83" s="54"/>
      <c r="W83" s="54"/>
      <c r="X83" s="54"/>
      <c r="Y83" s="54"/>
      <c r="Z83" s="27"/>
      <c r="AA83" s="27"/>
    </row>
    <row r="84" spans="5:27" x14ac:dyDescent="0.3">
      <c r="E84" s="104">
        <v>41275</v>
      </c>
      <c r="F84" s="53">
        <v>303650</v>
      </c>
      <c r="G84" s="53">
        <v>200312</v>
      </c>
      <c r="H84" s="55">
        <v>2683.0816790560493</v>
      </c>
      <c r="I84" s="104">
        <v>42675</v>
      </c>
      <c r="J84" s="53">
        <v>13.9</v>
      </c>
      <c r="K84" s="53">
        <v>32.799999999999997</v>
      </c>
      <c r="L84" s="53">
        <v>-1.1549844669027518</v>
      </c>
      <c r="S84" s="96"/>
      <c r="T84" s="54"/>
      <c r="U84" s="54"/>
      <c r="V84" s="54"/>
      <c r="W84" s="54"/>
      <c r="X84" s="54"/>
      <c r="Y84" s="54"/>
      <c r="Z84" s="27"/>
      <c r="AA84" s="27"/>
    </row>
    <row r="85" spans="5:27" x14ac:dyDescent="0.3">
      <c r="E85" s="104">
        <v>41365</v>
      </c>
      <c r="F85" s="53">
        <v>308049</v>
      </c>
      <c r="G85" s="53">
        <v>202908</v>
      </c>
      <c r="H85" s="55">
        <v>3677.0706622272264</v>
      </c>
      <c r="I85" s="104">
        <v>42705</v>
      </c>
      <c r="J85" s="53">
        <v>13.65</v>
      </c>
      <c r="K85" s="53">
        <v>31.81</v>
      </c>
      <c r="L85" s="53">
        <v>-0.61347726337576169</v>
      </c>
      <c r="S85" s="96"/>
      <c r="T85" s="54"/>
      <c r="U85" s="54"/>
      <c r="V85" s="54"/>
      <c r="W85" s="54"/>
      <c r="X85" s="54"/>
      <c r="Y85" s="54"/>
      <c r="Z85" s="27"/>
      <c r="AA85" s="27"/>
    </row>
    <row r="86" spans="5:27" x14ac:dyDescent="0.3">
      <c r="E86" s="104">
        <v>41456</v>
      </c>
      <c r="F86" s="53">
        <v>309415</v>
      </c>
      <c r="G86" s="53">
        <v>204254</v>
      </c>
      <c r="H86" s="55">
        <v>3277.6065525771701</v>
      </c>
      <c r="I86" s="104">
        <v>42736</v>
      </c>
      <c r="J86" s="53">
        <v>13.17</v>
      </c>
      <c r="K86" s="53">
        <v>32.54</v>
      </c>
      <c r="L86" s="53">
        <v>-1.6771138881986953</v>
      </c>
      <c r="S86" s="96"/>
      <c r="T86" s="54"/>
      <c r="U86" s="54"/>
      <c r="V86" s="54"/>
      <c r="W86" s="54"/>
      <c r="X86" s="54"/>
      <c r="Y86" s="54"/>
      <c r="Z86" s="27"/>
      <c r="AA86" s="27"/>
    </row>
    <row r="87" spans="5:27" x14ac:dyDescent="0.3">
      <c r="E87" s="104">
        <v>41548</v>
      </c>
      <c r="F87" s="53">
        <v>309812</v>
      </c>
      <c r="G87" s="53">
        <v>204060</v>
      </c>
      <c r="H87" s="55">
        <v>3929.0642325713416</v>
      </c>
      <c r="I87" s="104">
        <v>42767</v>
      </c>
      <c r="J87" s="53">
        <v>12.82</v>
      </c>
      <c r="K87" s="53">
        <v>31.78</v>
      </c>
      <c r="L87" s="53">
        <v>-1.4194921966022171</v>
      </c>
      <c r="S87" s="96"/>
      <c r="T87" s="54"/>
      <c r="U87" s="54"/>
      <c r="V87" s="54"/>
      <c r="W87" s="54"/>
      <c r="X87" s="54"/>
      <c r="Y87" s="54"/>
      <c r="Z87" s="27"/>
      <c r="AA87" s="27"/>
    </row>
    <row r="88" spans="5:27" x14ac:dyDescent="0.3">
      <c r="E88" s="104">
        <v>41640</v>
      </c>
      <c r="F88" s="53">
        <v>312525</v>
      </c>
      <c r="G88" s="53">
        <v>207390</v>
      </c>
      <c r="H88" s="55">
        <v>2274.3112718471675</v>
      </c>
      <c r="I88" s="104">
        <v>42795</v>
      </c>
      <c r="J88" s="53">
        <v>12.15</v>
      </c>
      <c r="K88" s="53">
        <v>31.72</v>
      </c>
      <c r="L88" s="53">
        <v>-2.0415220630551243</v>
      </c>
      <c r="S88" s="96"/>
      <c r="T88" s="54"/>
      <c r="U88" s="54"/>
      <c r="V88" s="54"/>
      <c r="W88" s="54"/>
      <c r="X88" s="54"/>
      <c r="Y88" s="54"/>
      <c r="Z88" s="27"/>
      <c r="AA88" s="27"/>
    </row>
    <row r="89" spans="5:27" x14ac:dyDescent="0.3">
      <c r="E89" s="104">
        <v>41730</v>
      </c>
      <c r="F89" s="53">
        <v>307822</v>
      </c>
      <c r="G89" s="53">
        <v>206268</v>
      </c>
      <c r="H89" s="55">
        <v>-957.03142426919658</v>
      </c>
      <c r="I89" s="104">
        <v>42826</v>
      </c>
      <c r="J89" s="53">
        <v>11.59</v>
      </c>
      <c r="K89" s="53">
        <v>29.82</v>
      </c>
      <c r="L89" s="53">
        <v>-1.0824678340639302</v>
      </c>
      <c r="S89" s="96"/>
      <c r="T89" s="54"/>
      <c r="U89" s="54"/>
      <c r="V89" s="54"/>
      <c r="W89" s="54"/>
      <c r="X89" s="54"/>
      <c r="Y89" s="54"/>
      <c r="Z89" s="27"/>
      <c r="AA89" s="27"/>
    </row>
    <row r="90" spans="5:27" x14ac:dyDescent="0.3">
      <c r="E90" s="104">
        <v>41821</v>
      </c>
      <c r="F90" s="53">
        <v>307733</v>
      </c>
      <c r="G90" s="53">
        <v>206575</v>
      </c>
      <c r="H90" s="55">
        <v>-1448.704144672316</v>
      </c>
      <c r="I90" s="104">
        <v>42856</v>
      </c>
      <c r="J90" s="53">
        <v>11.15</v>
      </c>
      <c r="K90" s="53">
        <v>28.74</v>
      </c>
      <c r="L90" s="53">
        <v>-0.6590054302163022</v>
      </c>
      <c r="S90" s="96"/>
      <c r="T90" s="54"/>
      <c r="U90" s="54"/>
      <c r="V90" s="54"/>
      <c r="W90" s="54"/>
      <c r="X90" s="54"/>
      <c r="Y90" s="54"/>
      <c r="Z90" s="27"/>
      <c r="AA90" s="27"/>
    </row>
    <row r="91" spans="5:27" x14ac:dyDescent="0.3">
      <c r="E91" s="104">
        <v>41913</v>
      </c>
      <c r="F91" s="53">
        <v>309305</v>
      </c>
      <c r="G91" s="53">
        <v>209584</v>
      </c>
      <c r="H91" s="55">
        <v>-3823.4214596329839</v>
      </c>
      <c r="I91" s="104">
        <v>42887</v>
      </c>
      <c r="J91" s="53">
        <v>10.15</v>
      </c>
      <c r="K91" s="53">
        <v>28.52</v>
      </c>
      <c r="L91" s="53">
        <v>-1.4831149405436381</v>
      </c>
      <c r="S91" s="96"/>
      <c r="T91" s="54"/>
      <c r="U91" s="54"/>
      <c r="V91" s="54"/>
      <c r="W91" s="54"/>
      <c r="X91" s="54"/>
      <c r="Y91" s="54"/>
      <c r="Z91" s="27"/>
      <c r="AA91" s="27"/>
    </row>
    <row r="92" spans="5:27" x14ac:dyDescent="0.3">
      <c r="E92" s="104">
        <v>42005</v>
      </c>
      <c r="F92" s="53">
        <v>306840</v>
      </c>
      <c r="G92" s="53">
        <v>206003</v>
      </c>
      <c r="H92" s="55">
        <v>-1591.4474799472955</v>
      </c>
      <c r="I92" s="104">
        <v>42917</v>
      </c>
      <c r="J92" s="53">
        <v>10.01</v>
      </c>
      <c r="K92" s="53">
        <v>28.95</v>
      </c>
      <c r="L92" s="53">
        <v>-1.9669008976311186</v>
      </c>
      <c r="S92" s="96"/>
      <c r="T92" s="54"/>
      <c r="U92" s="54"/>
      <c r="V92" s="54"/>
      <c r="W92" s="54"/>
      <c r="X92" s="54"/>
      <c r="Y92" s="54"/>
      <c r="Z92" s="27"/>
      <c r="AA92" s="27"/>
    </row>
    <row r="93" spans="5:27" x14ac:dyDescent="0.3">
      <c r="E93" s="104">
        <v>42095</v>
      </c>
      <c r="F93" s="53">
        <v>299543</v>
      </c>
      <c r="G93" s="53">
        <v>202079</v>
      </c>
      <c r="H93" s="55">
        <v>-3741.5818289318122</v>
      </c>
      <c r="I93" s="104">
        <v>42948</v>
      </c>
      <c r="J93" s="53">
        <v>9.15</v>
      </c>
      <c r="K93" s="53">
        <v>28.47</v>
      </c>
      <c r="L93" s="53">
        <v>-2.4431398292543935</v>
      </c>
      <c r="S93" s="96"/>
      <c r="T93" s="54"/>
      <c r="U93" s="54"/>
      <c r="V93" s="54"/>
      <c r="W93" s="54"/>
      <c r="X93" s="54"/>
      <c r="Y93" s="54"/>
      <c r="Z93" s="27"/>
      <c r="AA93" s="27"/>
    </row>
    <row r="94" spans="5:27" x14ac:dyDescent="0.3">
      <c r="E94" s="104">
        <v>42186</v>
      </c>
      <c r="F94" s="53">
        <v>294788</v>
      </c>
      <c r="G94" s="53">
        <v>198448</v>
      </c>
      <c r="H94" s="55">
        <v>-3734.0259729590034</v>
      </c>
      <c r="I94" s="104">
        <v>42979</v>
      </c>
      <c r="J94" s="53">
        <v>8.35</v>
      </c>
      <c r="K94" s="53">
        <v>26.85</v>
      </c>
      <c r="L94" s="53">
        <v>-1.9479462234829565</v>
      </c>
      <c r="S94" s="96"/>
      <c r="T94" s="54"/>
      <c r="U94" s="54"/>
      <c r="V94" s="54"/>
      <c r="W94" s="54"/>
      <c r="X94" s="54"/>
      <c r="Y94" s="54"/>
      <c r="Z94" s="27"/>
      <c r="AA94" s="27"/>
    </row>
    <row r="95" spans="5:27" x14ac:dyDescent="0.3">
      <c r="E95" s="104">
        <v>42278</v>
      </c>
      <c r="F95" s="53">
        <v>292448</v>
      </c>
      <c r="G95" s="53">
        <v>196912</v>
      </c>
      <c r="H95" s="55">
        <v>-4059.3507334177848</v>
      </c>
      <c r="I95" s="104">
        <v>43009</v>
      </c>
      <c r="J95" s="53">
        <v>8.01</v>
      </c>
      <c r="K95" s="53">
        <v>27.36</v>
      </c>
      <c r="L95" s="53">
        <v>-2.695692358633222</v>
      </c>
      <c r="S95" s="96"/>
      <c r="T95" s="54"/>
      <c r="U95" s="54"/>
      <c r="V95" s="54"/>
      <c r="W95" s="54"/>
      <c r="X95" s="54"/>
      <c r="Y95" s="54"/>
      <c r="Z95" s="27"/>
      <c r="AA95" s="27"/>
    </row>
    <row r="96" spans="5:27" x14ac:dyDescent="0.3">
      <c r="E96" s="104">
        <v>42370</v>
      </c>
      <c r="F96" s="53">
        <v>288021</v>
      </c>
      <c r="G96" s="53">
        <v>194431</v>
      </c>
      <c r="H96" s="55">
        <v>-5232.1780320493854</v>
      </c>
      <c r="I96" s="104">
        <v>43040</v>
      </c>
      <c r="J96" s="53">
        <v>7.4</v>
      </c>
      <c r="K96" s="53">
        <v>26.82</v>
      </c>
      <c r="L96" s="53">
        <v>-2.8739611567094112</v>
      </c>
      <c r="S96" s="96"/>
      <c r="T96" s="54"/>
      <c r="U96" s="54"/>
      <c r="V96" s="54"/>
      <c r="W96" s="54"/>
      <c r="X96" s="54"/>
      <c r="Y96" s="54"/>
      <c r="Z96" s="27"/>
      <c r="AA96" s="27"/>
    </row>
    <row r="97" spans="5:27" x14ac:dyDescent="0.3">
      <c r="E97" s="104">
        <v>42461</v>
      </c>
      <c r="F97" s="53">
        <v>289087</v>
      </c>
      <c r="G97" s="53">
        <v>193295</v>
      </c>
      <c r="H97" s="55">
        <v>-2676.1578028053045</v>
      </c>
      <c r="I97" s="104">
        <v>43070</v>
      </c>
      <c r="J97" s="53">
        <v>7</v>
      </c>
      <c r="K97" s="53">
        <v>25.49</v>
      </c>
      <c r="L97" s="53">
        <v>-2.2106231964155718</v>
      </c>
      <c r="S97" s="96"/>
      <c r="T97" s="54"/>
      <c r="U97" s="54"/>
      <c r="V97" s="54"/>
      <c r="W97" s="54"/>
      <c r="X97" s="54"/>
      <c r="Y97" s="54"/>
      <c r="Z97" s="27"/>
      <c r="AA97" s="27"/>
    </row>
    <row r="98" spans="5:27" x14ac:dyDescent="0.3">
      <c r="E98" s="104">
        <v>42552</v>
      </c>
      <c r="F98" s="53">
        <v>287640</v>
      </c>
      <c r="G98" s="53">
        <v>192681</v>
      </c>
      <c r="H98" s="55">
        <v>-3317.8123619991238</v>
      </c>
      <c r="I98" s="104">
        <v>43101</v>
      </c>
      <c r="J98" s="53">
        <v>6.9</v>
      </c>
      <c r="K98" s="53">
        <v>25.98</v>
      </c>
      <c r="L98" s="53">
        <v>-2.7023792870501442</v>
      </c>
      <c r="S98" s="96"/>
      <c r="T98" s="54"/>
      <c r="U98" s="54"/>
      <c r="V98" s="54"/>
      <c r="W98" s="54"/>
      <c r="X98" s="54"/>
      <c r="Y98" s="54"/>
      <c r="Z98" s="27"/>
      <c r="AA98" s="27"/>
    </row>
    <row r="99" spans="5:27" x14ac:dyDescent="0.3">
      <c r="E99" s="104">
        <v>42644</v>
      </c>
      <c r="F99" s="53">
        <v>287013</v>
      </c>
      <c r="G99" s="53">
        <v>191993</v>
      </c>
      <c r="H99" s="55">
        <v>-3042.4057442879421</v>
      </c>
      <c r="I99" s="104">
        <v>43132</v>
      </c>
      <c r="J99" s="53">
        <v>6.72</v>
      </c>
      <c r="K99" s="53">
        <v>26.56</v>
      </c>
      <c r="L99" s="53">
        <v>-3.3460905780053514</v>
      </c>
      <c r="S99" s="96"/>
      <c r="T99" s="54"/>
      <c r="U99" s="54"/>
      <c r="V99" s="54"/>
      <c r="W99" s="54"/>
      <c r="X99" s="54"/>
      <c r="Y99" s="54"/>
      <c r="Z99" s="27"/>
      <c r="AA99" s="27"/>
    </row>
    <row r="100" spans="5:27" x14ac:dyDescent="0.3">
      <c r="E100" s="104">
        <v>42736</v>
      </c>
      <c r="F100" s="53">
        <v>290171</v>
      </c>
      <c r="G100" s="53">
        <v>193424</v>
      </c>
      <c r="H100" s="55">
        <v>-1761.3590436261729</v>
      </c>
      <c r="I100" s="104">
        <v>43160</v>
      </c>
      <c r="J100" s="53">
        <v>6.58</v>
      </c>
      <c r="K100" s="53">
        <v>25.88</v>
      </c>
      <c r="L100" s="53">
        <v>-2.9424290644716589</v>
      </c>
      <c r="S100" s="96"/>
      <c r="T100" s="54"/>
      <c r="U100" s="54"/>
      <c r="V100" s="54"/>
      <c r="W100" s="54"/>
      <c r="X100" s="54"/>
      <c r="Y100" s="54"/>
      <c r="Z100" s="27"/>
      <c r="AA100" s="27"/>
    </row>
    <row r="101" spans="5:27" x14ac:dyDescent="0.3">
      <c r="E101" s="104">
        <v>42826</v>
      </c>
      <c r="F101" s="53">
        <v>292416</v>
      </c>
      <c r="G101" s="53">
        <v>196608</v>
      </c>
      <c r="H101" s="55">
        <v>-3692.6129255918786</v>
      </c>
      <c r="I101" s="104">
        <v>43191</v>
      </c>
      <c r="J101" s="53">
        <v>6.4</v>
      </c>
      <c r="K101" s="53">
        <v>25.61</v>
      </c>
      <c r="L101" s="53">
        <v>-2.9065634635097535</v>
      </c>
      <c r="S101" s="96"/>
      <c r="T101" s="54"/>
      <c r="U101" s="54"/>
      <c r="V101" s="54"/>
      <c r="W101" s="54"/>
      <c r="X101" s="54"/>
      <c r="Y101" s="54"/>
      <c r="Z101" s="27"/>
      <c r="AA101" s="27"/>
    </row>
    <row r="102" spans="5:27" x14ac:dyDescent="0.3">
      <c r="E102" s="104">
        <v>42917</v>
      </c>
      <c r="F102" s="53">
        <v>293328</v>
      </c>
      <c r="G102" s="53">
        <v>198577</v>
      </c>
      <c r="H102" s="55">
        <v>-5363.2272137798136</v>
      </c>
      <c r="I102" s="104">
        <v>43221</v>
      </c>
      <c r="J102" s="53">
        <v>6.4</v>
      </c>
      <c r="K102" s="53">
        <v>24.64</v>
      </c>
      <c r="L102" s="53">
        <v>-2.1310463044984598</v>
      </c>
      <c r="S102" s="96"/>
      <c r="T102" s="54"/>
      <c r="U102" s="54"/>
      <c r="V102" s="54"/>
      <c r="W102" s="54"/>
      <c r="X102" s="54"/>
      <c r="Y102" s="54"/>
      <c r="Z102" s="27"/>
      <c r="AA102" s="27"/>
    </row>
    <row r="103" spans="5:27" x14ac:dyDescent="0.3">
      <c r="E103" s="104">
        <v>43009</v>
      </c>
      <c r="F103" s="53">
        <v>294518</v>
      </c>
      <c r="G103" s="53">
        <v>198797</v>
      </c>
      <c r="H103" s="55">
        <v>-4461.787469443283</v>
      </c>
      <c r="I103" s="104">
        <v>43252</v>
      </c>
      <c r="J103" s="53">
        <v>6.4</v>
      </c>
      <c r="K103" s="53">
        <v>24.31</v>
      </c>
      <c r="L103" s="53">
        <v>-1.8672105699894583</v>
      </c>
      <c r="S103" s="96"/>
      <c r="T103" s="54"/>
      <c r="U103" s="54"/>
      <c r="V103" s="54"/>
      <c r="W103" s="54"/>
      <c r="X103" s="54"/>
      <c r="Y103" s="54"/>
      <c r="Z103" s="27"/>
      <c r="AA103" s="27"/>
    </row>
    <row r="104" spans="5:27" x14ac:dyDescent="0.3">
      <c r="E104" s="104">
        <v>43101</v>
      </c>
      <c r="F104" s="53">
        <v>296385</v>
      </c>
      <c r="G104" s="53">
        <v>200553</v>
      </c>
      <c r="H104" s="55">
        <v>-4898.0229646479711</v>
      </c>
      <c r="I104" s="104">
        <v>43282</v>
      </c>
      <c r="J104" s="53">
        <v>6.4</v>
      </c>
      <c r="K104" s="53">
        <v>24.14</v>
      </c>
      <c r="L104" s="53">
        <v>-1.7312951916060388</v>
      </c>
      <c r="S104" s="96"/>
      <c r="T104" s="54"/>
      <c r="U104" s="54"/>
      <c r="V104" s="54"/>
      <c r="W104" s="54"/>
      <c r="X104" s="54"/>
      <c r="Y104" s="54"/>
      <c r="Z104" s="27"/>
      <c r="AA104" s="27"/>
    </row>
    <row r="105" spans="5:27" x14ac:dyDescent="0.3">
      <c r="E105" s="104">
        <v>43191</v>
      </c>
      <c r="F105" s="53">
        <v>296231</v>
      </c>
      <c r="G105" s="53">
        <v>201053</v>
      </c>
      <c r="H105" s="55">
        <v>-5707.8417275194661</v>
      </c>
      <c r="I105" s="104">
        <v>43313</v>
      </c>
      <c r="J105" s="53">
        <v>6.4</v>
      </c>
      <c r="K105" s="53">
        <v>24.1</v>
      </c>
      <c r="L105" s="53">
        <v>-1.699315102574646</v>
      </c>
      <c r="S105" s="96"/>
      <c r="T105" s="54"/>
      <c r="U105" s="54"/>
      <c r="V105" s="54"/>
      <c r="W105" s="54"/>
      <c r="X105" s="54"/>
      <c r="Y105" s="54"/>
      <c r="Z105" s="27"/>
      <c r="AA105" s="27"/>
    </row>
    <row r="106" spans="5:27" x14ac:dyDescent="0.3">
      <c r="E106" s="104">
        <v>43282</v>
      </c>
      <c r="F106" s="53">
        <v>299292</v>
      </c>
      <c r="G106" s="53">
        <v>202323</v>
      </c>
      <c r="H106" s="55">
        <v>-4312.6213852131041</v>
      </c>
      <c r="I106" s="104">
        <v>43344</v>
      </c>
      <c r="J106" s="53">
        <v>6.4</v>
      </c>
      <c r="K106" s="53">
        <v>23.96</v>
      </c>
      <c r="L106" s="53">
        <v>-1.5873847909647676</v>
      </c>
      <c r="S106" s="96"/>
      <c r="T106" s="54"/>
      <c r="U106" s="54"/>
      <c r="V106" s="54"/>
      <c r="W106" s="54"/>
      <c r="X106" s="54"/>
      <c r="Y106" s="54"/>
      <c r="Z106" s="27"/>
      <c r="AA106" s="27"/>
    </row>
    <row r="107" spans="5:27" x14ac:dyDescent="0.3">
      <c r="E107" s="104">
        <v>43374</v>
      </c>
      <c r="F107" s="53">
        <v>298262</v>
      </c>
      <c r="G107" s="53">
        <v>202195</v>
      </c>
      <c r="H107" s="55">
        <v>-5174.7317819179734</v>
      </c>
      <c r="I107" s="104">
        <v>43374</v>
      </c>
      <c r="J107" s="53">
        <v>6.4</v>
      </c>
      <c r="K107" s="53">
        <v>24.25</v>
      </c>
      <c r="L107" s="53">
        <v>-1.8192404364423691</v>
      </c>
      <c r="S107" s="96"/>
      <c r="T107" s="54"/>
      <c r="U107" s="54"/>
      <c r="V107" s="54"/>
      <c r="W107" s="54"/>
      <c r="X107" s="54"/>
      <c r="Y107" s="54"/>
      <c r="Z107" s="27"/>
      <c r="AA107" s="27"/>
    </row>
    <row r="108" spans="5:27" x14ac:dyDescent="0.3">
      <c r="E108" s="104">
        <v>43466</v>
      </c>
      <c r="F108" s="53">
        <v>299482</v>
      </c>
      <c r="G108" s="53">
        <v>205674</v>
      </c>
      <c r="H108" s="55">
        <v>-8517.9187339778873</v>
      </c>
      <c r="I108" s="104">
        <v>43405</v>
      </c>
      <c r="J108" s="53">
        <v>6.4</v>
      </c>
      <c r="K108" s="53">
        <v>24.24</v>
      </c>
      <c r="L108" s="53">
        <v>-1.8112454141845209</v>
      </c>
      <c r="S108" s="96"/>
      <c r="T108" s="54"/>
      <c r="U108" s="54"/>
      <c r="V108" s="54"/>
      <c r="W108" s="54"/>
      <c r="X108" s="54"/>
      <c r="Y108" s="54"/>
      <c r="Z108" s="27"/>
      <c r="AA108" s="27"/>
    </row>
    <row r="109" spans="5:27" x14ac:dyDescent="0.3">
      <c r="E109" s="104">
        <v>43556</v>
      </c>
      <c r="F109" s="53">
        <v>301159</v>
      </c>
      <c r="G109" s="53">
        <v>206556</v>
      </c>
      <c r="H109" s="55">
        <v>-7997.7830316831823</v>
      </c>
      <c r="I109" s="104">
        <v>43435</v>
      </c>
      <c r="J109" s="53">
        <v>6.4</v>
      </c>
      <c r="K109" s="53">
        <v>22.93</v>
      </c>
      <c r="L109" s="53">
        <v>-0.7638974984063811</v>
      </c>
      <c r="S109" s="96"/>
      <c r="T109" s="54"/>
      <c r="U109" s="54"/>
      <c r="V109" s="54"/>
      <c r="W109" s="54"/>
      <c r="X109" s="54"/>
      <c r="Y109" s="54"/>
      <c r="Z109" s="27"/>
      <c r="AA109" s="27"/>
    </row>
    <row r="110" spans="5:27" x14ac:dyDescent="0.3">
      <c r="E110" s="104">
        <v>43647</v>
      </c>
      <c r="F110" s="53">
        <v>301480</v>
      </c>
      <c r="G110" s="53">
        <v>207474</v>
      </c>
      <c r="H110" s="55">
        <v>-8880.8662803152693</v>
      </c>
      <c r="I110" s="104">
        <v>43466</v>
      </c>
      <c r="J110" s="53">
        <v>6.4</v>
      </c>
      <c r="K110" s="53">
        <v>24.33</v>
      </c>
      <c r="L110" s="53">
        <v>-1.8832006145051547</v>
      </c>
      <c r="S110" s="96"/>
      <c r="T110" s="54"/>
      <c r="U110" s="54"/>
      <c r="V110" s="54"/>
      <c r="W110" s="54"/>
      <c r="X110" s="54"/>
      <c r="Y110" s="54"/>
      <c r="Z110" s="27"/>
      <c r="AA110" s="27"/>
    </row>
    <row r="111" spans="5:27" x14ac:dyDescent="0.3">
      <c r="E111" s="104">
        <v>43739</v>
      </c>
      <c r="F111" s="53">
        <v>302539</v>
      </c>
      <c r="G111" s="53">
        <v>207375</v>
      </c>
      <c r="H111" s="55">
        <v>-7692.014165266708</v>
      </c>
      <c r="I111" s="104">
        <v>43497</v>
      </c>
      <c r="J111" s="53">
        <v>6.4</v>
      </c>
      <c r="K111" s="53">
        <v>24.65</v>
      </c>
      <c r="L111" s="53">
        <v>-2.1390413267563044</v>
      </c>
      <c r="S111" s="96"/>
      <c r="T111" s="54"/>
      <c r="U111" s="54"/>
      <c r="V111" s="54"/>
      <c r="W111" s="54"/>
      <c r="X111" s="54"/>
      <c r="Y111" s="54"/>
      <c r="Z111" s="27"/>
      <c r="AA111" s="27"/>
    </row>
    <row r="112" spans="5:27" x14ac:dyDescent="0.3">
      <c r="E112" s="104">
        <v>43831</v>
      </c>
      <c r="F112" s="53">
        <v>295396</v>
      </c>
      <c r="G112" s="53">
        <v>204776</v>
      </c>
      <c r="H112" s="55">
        <v>-11426.068235860672</v>
      </c>
      <c r="I112" s="104">
        <v>43525</v>
      </c>
      <c r="J112" s="53">
        <v>6.4</v>
      </c>
      <c r="K112" s="53">
        <v>24.92</v>
      </c>
      <c r="L112" s="53">
        <v>-2.3549069277182131</v>
      </c>
      <c r="S112" s="96"/>
      <c r="T112" s="54"/>
      <c r="U112" s="54"/>
      <c r="V112" s="54"/>
      <c r="W112" s="54"/>
      <c r="X112" s="54"/>
      <c r="Y112" s="54"/>
      <c r="Z112" s="27"/>
      <c r="AA112" s="27"/>
    </row>
    <row r="113" spans="5:27" x14ac:dyDescent="0.3">
      <c r="E113" s="104">
        <v>43922</v>
      </c>
      <c r="F113" s="53">
        <v>268915</v>
      </c>
      <c r="G113" s="53">
        <v>181601</v>
      </c>
      <c r="H113" s="55">
        <v>-7509.8685767667484</v>
      </c>
      <c r="I113" s="104">
        <v>43556</v>
      </c>
      <c r="J113" s="53">
        <v>6.4</v>
      </c>
      <c r="K113" s="53">
        <v>24.99</v>
      </c>
      <c r="L113" s="53">
        <v>-2.4108720835231505</v>
      </c>
      <c r="S113" s="96"/>
      <c r="T113" s="54"/>
      <c r="U113" s="54"/>
      <c r="V113" s="54"/>
      <c r="W113" s="54"/>
      <c r="X113" s="54"/>
      <c r="Y113" s="54"/>
      <c r="Z113" s="27"/>
      <c r="AA113" s="27"/>
    </row>
    <row r="114" spans="5:27" x14ac:dyDescent="0.3">
      <c r="E114" s="104">
        <v>44013</v>
      </c>
      <c r="F114" s="53">
        <v>290404</v>
      </c>
      <c r="G114" s="53">
        <v>194704</v>
      </c>
      <c r="H114" s="55">
        <v>-3207.2550765771884</v>
      </c>
      <c r="I114" s="104">
        <v>43586</v>
      </c>
      <c r="J114" s="53">
        <v>6.4</v>
      </c>
      <c r="K114" s="53">
        <v>24.83</v>
      </c>
      <c r="L114" s="53">
        <v>-2.2829517273975757</v>
      </c>
      <c r="S114" s="96"/>
      <c r="T114" s="54"/>
      <c r="U114" s="54"/>
      <c r="V114" s="54"/>
      <c r="W114" s="54"/>
      <c r="X114" s="54"/>
      <c r="Y114" s="54"/>
      <c r="Z114" s="27"/>
      <c r="AA114" s="27"/>
    </row>
    <row r="115" spans="5:27" x14ac:dyDescent="0.3">
      <c r="E115" s="104">
        <v>44105</v>
      </c>
      <c r="F115" s="53">
        <v>299623</v>
      </c>
      <c r="G115" s="53">
        <v>200720</v>
      </c>
      <c r="H115" s="55">
        <v>-1879.0664314470487</v>
      </c>
      <c r="I115" s="104">
        <v>43617</v>
      </c>
      <c r="J115" s="53">
        <v>6.4</v>
      </c>
      <c r="K115" s="53">
        <v>24.72</v>
      </c>
      <c r="L115" s="53">
        <v>-2.1950064825612454</v>
      </c>
      <c r="S115" s="96"/>
      <c r="T115" s="54"/>
      <c r="U115" s="54"/>
      <c r="V115" s="54"/>
      <c r="W115" s="54"/>
      <c r="X115" s="54"/>
      <c r="Y115" s="54"/>
      <c r="Z115" s="27"/>
      <c r="AA115" s="27"/>
    </row>
    <row r="116" spans="5:27" x14ac:dyDescent="0.3">
      <c r="E116" s="104">
        <v>44197</v>
      </c>
      <c r="F116" s="53">
        <v>302823</v>
      </c>
      <c r="G116" s="53">
        <v>201441</v>
      </c>
      <c r="H116" s="55">
        <v>375.24291249224916</v>
      </c>
      <c r="I116" s="104">
        <v>43647</v>
      </c>
      <c r="J116" s="53">
        <v>6.4</v>
      </c>
      <c r="K116" s="53">
        <v>24.61</v>
      </c>
      <c r="L116" s="53">
        <v>-2.1070612377249116</v>
      </c>
      <c r="S116" s="96"/>
      <c r="T116" s="54"/>
      <c r="U116" s="54"/>
      <c r="V116" s="54"/>
      <c r="W116" s="54"/>
      <c r="X116" s="54"/>
      <c r="Y116" s="54"/>
      <c r="Z116" s="27"/>
      <c r="AA116" s="27"/>
    </row>
    <row r="117" spans="5:27" x14ac:dyDescent="0.3">
      <c r="E117" s="104">
        <v>44287</v>
      </c>
      <c r="F117" s="53">
        <v>301977</v>
      </c>
      <c r="G117" s="53">
        <v>200796</v>
      </c>
      <c r="H117" s="55">
        <v>375.24911659647478</v>
      </c>
      <c r="I117" s="104">
        <v>43678</v>
      </c>
      <c r="J117" s="53">
        <v>5.9</v>
      </c>
      <c r="K117" s="53">
        <v>24.7</v>
      </c>
      <c r="L117" s="53">
        <v>-2.679016438045549</v>
      </c>
      <c r="S117" s="96"/>
      <c r="T117" s="54"/>
      <c r="U117" s="54"/>
      <c r="V117" s="54"/>
      <c r="W117" s="54"/>
      <c r="X117" s="54"/>
      <c r="Y117" s="54"/>
      <c r="Z117" s="27"/>
      <c r="AA117" s="27"/>
    </row>
    <row r="118" spans="5:27" x14ac:dyDescent="0.3">
      <c r="E118" s="104">
        <v>44378</v>
      </c>
      <c r="F118" s="53">
        <v>302157</v>
      </c>
      <c r="G118" s="53">
        <v>202890</v>
      </c>
      <c r="H118" s="55">
        <v>-2191.3198623093776</v>
      </c>
      <c r="I118" s="104">
        <v>43709</v>
      </c>
      <c r="J118" s="53">
        <v>5.71</v>
      </c>
      <c r="K118" s="53">
        <v>23.91</v>
      </c>
      <c r="L118" s="53">
        <v>-2.237409679675527</v>
      </c>
      <c r="S118" s="96"/>
      <c r="T118" s="54"/>
      <c r="U118" s="54"/>
      <c r="V118" s="54"/>
      <c r="W118" s="54"/>
      <c r="X118" s="54"/>
      <c r="Y118" s="54"/>
      <c r="Z118" s="27"/>
      <c r="AA118" s="27"/>
    </row>
    <row r="119" spans="5:27" x14ac:dyDescent="0.3">
      <c r="E119" s="104">
        <v>44470</v>
      </c>
      <c r="F119" s="53">
        <v>304498</v>
      </c>
      <c r="G119" s="53">
        <v>204883</v>
      </c>
      <c r="H119" s="55">
        <v>-2464.4134511151351</v>
      </c>
      <c r="I119" s="104">
        <v>43739</v>
      </c>
      <c r="J119" s="53">
        <v>5.38</v>
      </c>
      <c r="K119" s="53">
        <v>23.42</v>
      </c>
      <c r="L119" s="53">
        <v>-2.1756535890409543</v>
      </c>
      <c r="S119" s="96"/>
      <c r="T119" s="54"/>
      <c r="U119" s="54"/>
      <c r="V119" s="54"/>
      <c r="W119" s="54"/>
      <c r="X119" s="54"/>
      <c r="Y119" s="54"/>
      <c r="Z119" s="27"/>
      <c r="AA119" s="27"/>
    </row>
    <row r="120" spans="5:27" x14ac:dyDescent="0.3">
      <c r="E120" s="104">
        <v>44562</v>
      </c>
      <c r="F120" s="53">
        <v>307915</v>
      </c>
      <c r="G120" s="53">
        <v>205962</v>
      </c>
      <c r="H120" s="55">
        <v>-462.67034139187308</v>
      </c>
      <c r="I120" s="104">
        <v>43770</v>
      </c>
      <c r="J120" s="53">
        <v>4.9000000000000004</v>
      </c>
      <c r="K120" s="53">
        <v>23.51</v>
      </c>
      <c r="L120" s="53">
        <v>-2.7276087893615912</v>
      </c>
      <c r="S120" s="96"/>
      <c r="T120" s="54"/>
      <c r="U120" s="54"/>
      <c r="V120" s="54"/>
      <c r="W120" s="54"/>
      <c r="X120" s="54"/>
      <c r="Y120" s="54"/>
      <c r="Z120" s="27"/>
      <c r="AA120" s="27"/>
    </row>
    <row r="121" spans="5:27" x14ac:dyDescent="0.3">
      <c r="E121" s="104">
        <v>44652</v>
      </c>
      <c r="F121" s="53">
        <v>311711</v>
      </c>
      <c r="G121" s="53">
        <v>211400</v>
      </c>
      <c r="H121" s="55">
        <v>-3799.3552063822863</v>
      </c>
      <c r="I121" s="104">
        <v>43800</v>
      </c>
      <c r="J121" s="53">
        <v>4.59</v>
      </c>
      <c r="K121" s="53">
        <v>22.51</v>
      </c>
      <c r="L121" s="53">
        <v>-2.2381065635767499</v>
      </c>
      <c r="S121" s="96"/>
      <c r="T121" s="54"/>
      <c r="U121" s="54"/>
      <c r="V121" s="54"/>
      <c r="W121" s="54"/>
      <c r="X121" s="54"/>
      <c r="Y121" s="54"/>
      <c r="Z121" s="27"/>
      <c r="AA121" s="27"/>
    </row>
    <row r="122" spans="5:27" x14ac:dyDescent="0.3">
      <c r="I122" s="104">
        <v>43831</v>
      </c>
      <c r="J122" s="53">
        <v>4.4000000000000004</v>
      </c>
      <c r="K122" s="53">
        <v>23.02</v>
      </c>
      <c r="L122" s="53">
        <v>-2.8358526987270185</v>
      </c>
      <c r="S122" s="96"/>
      <c r="T122" s="54"/>
      <c r="U122" s="54"/>
      <c r="V122" s="54"/>
      <c r="W122" s="54"/>
      <c r="X122" s="54"/>
      <c r="Y122" s="54"/>
      <c r="Z122" s="27"/>
      <c r="AA122" s="27"/>
    </row>
    <row r="123" spans="5:27" x14ac:dyDescent="0.3">
      <c r="I123" s="104">
        <v>43862</v>
      </c>
      <c r="J123" s="53">
        <v>4.1900000000000004</v>
      </c>
      <c r="K123" s="53">
        <v>22.98</v>
      </c>
      <c r="L123" s="53">
        <v>-3.0138726096956221</v>
      </c>
      <c r="S123" s="96"/>
      <c r="T123" s="54"/>
      <c r="U123" s="54"/>
      <c r="V123" s="54"/>
      <c r="W123" s="54"/>
      <c r="X123" s="54"/>
      <c r="Y123" s="54"/>
      <c r="Z123" s="27"/>
      <c r="AA123" s="27"/>
    </row>
    <row r="124" spans="5:27" x14ac:dyDescent="0.3">
      <c r="I124" s="104">
        <v>43891</v>
      </c>
      <c r="J124" s="53">
        <v>3.95</v>
      </c>
      <c r="K124" s="53">
        <v>22.61</v>
      </c>
      <c r="L124" s="53">
        <v>-2.9580567861552316</v>
      </c>
      <c r="S124" s="96"/>
      <c r="T124" s="54"/>
      <c r="U124" s="54"/>
      <c r="V124" s="54"/>
      <c r="W124" s="54"/>
      <c r="X124" s="54"/>
      <c r="Y124" s="54"/>
      <c r="Z124" s="27"/>
      <c r="AA124" s="27"/>
    </row>
    <row r="125" spans="5:27" x14ac:dyDescent="0.3">
      <c r="I125" s="104">
        <v>43922</v>
      </c>
      <c r="J125" s="53">
        <v>3.65</v>
      </c>
      <c r="K125" s="53">
        <v>21.45</v>
      </c>
      <c r="L125" s="53">
        <v>-2.3306342042448187</v>
      </c>
      <c r="S125" s="96"/>
      <c r="T125" s="54"/>
      <c r="U125" s="54"/>
      <c r="V125" s="54"/>
      <c r="W125" s="54"/>
      <c r="X125" s="54"/>
      <c r="Y125" s="54"/>
      <c r="Z125" s="27"/>
      <c r="AA125" s="27"/>
    </row>
    <row r="126" spans="5:27" x14ac:dyDescent="0.3">
      <c r="I126" s="104">
        <v>43952</v>
      </c>
      <c r="J126" s="53">
        <v>3.01</v>
      </c>
      <c r="K126" s="53">
        <v>20.58</v>
      </c>
      <c r="L126" s="53">
        <v>-2.2750672678120072</v>
      </c>
      <c r="S126" s="96"/>
      <c r="T126" s="54"/>
      <c r="U126" s="54"/>
      <c r="V126" s="54"/>
      <c r="W126" s="54"/>
      <c r="X126" s="54"/>
      <c r="Y126" s="54"/>
      <c r="Z126" s="27"/>
      <c r="AA126" s="27"/>
    </row>
    <row r="127" spans="5:27" x14ac:dyDescent="0.3">
      <c r="I127" s="104">
        <v>43983</v>
      </c>
      <c r="J127" s="53">
        <v>2.58</v>
      </c>
      <c r="K127" s="53">
        <v>19.25</v>
      </c>
      <c r="L127" s="53">
        <v>-1.6417293075181707</v>
      </c>
      <c r="S127" s="96"/>
      <c r="T127" s="54"/>
      <c r="U127" s="54"/>
      <c r="V127" s="54"/>
      <c r="W127" s="54"/>
      <c r="X127" s="54"/>
      <c r="Y127" s="54"/>
      <c r="Z127" s="27"/>
      <c r="AA127" s="27"/>
    </row>
    <row r="128" spans="5:27" x14ac:dyDescent="0.3">
      <c r="I128" s="104">
        <v>44013</v>
      </c>
      <c r="J128" s="53">
        <v>2.15</v>
      </c>
      <c r="K128" s="53">
        <v>19.02</v>
      </c>
      <c r="L128" s="53">
        <v>-1.8878437955876568</v>
      </c>
      <c r="S128" s="96"/>
      <c r="T128" s="54"/>
      <c r="U128" s="54"/>
      <c r="V128" s="54"/>
      <c r="W128" s="54"/>
      <c r="X128" s="54"/>
      <c r="Y128" s="54"/>
      <c r="Z128" s="27"/>
      <c r="AA128" s="27"/>
    </row>
    <row r="129" spans="9:27" x14ac:dyDescent="0.3">
      <c r="I129" s="104">
        <v>44044</v>
      </c>
      <c r="J129" s="53">
        <v>1.94</v>
      </c>
      <c r="K129" s="53">
        <v>18.57</v>
      </c>
      <c r="L129" s="53">
        <v>-1.7380677939844786</v>
      </c>
      <c r="S129" s="96"/>
      <c r="T129" s="54"/>
      <c r="U129" s="54"/>
      <c r="V129" s="54"/>
      <c r="W129" s="54"/>
      <c r="X129" s="54"/>
      <c r="Y129" s="54"/>
      <c r="Z129" s="27"/>
      <c r="AA129" s="27"/>
    </row>
    <row r="130" spans="9:27" x14ac:dyDescent="0.3">
      <c r="I130" s="104">
        <v>44075</v>
      </c>
      <c r="J130" s="53">
        <v>1.9</v>
      </c>
      <c r="K130" s="53">
        <v>18.02</v>
      </c>
      <c r="L130" s="53">
        <v>-1.3383415698028167</v>
      </c>
      <c r="S130" s="96"/>
      <c r="T130" s="54"/>
      <c r="U130" s="54"/>
      <c r="V130" s="54"/>
      <c r="W130" s="54"/>
      <c r="X130" s="54"/>
      <c r="Y130" s="54"/>
      <c r="Z130" s="27"/>
      <c r="AA130" s="27"/>
    </row>
    <row r="131" spans="9:27" x14ac:dyDescent="0.3">
      <c r="I131" s="104">
        <v>44105</v>
      </c>
      <c r="J131" s="53">
        <v>1.9</v>
      </c>
      <c r="K131" s="53">
        <v>18.59</v>
      </c>
      <c r="L131" s="53">
        <v>-1.7940578385001751</v>
      </c>
      <c r="S131" s="96"/>
      <c r="T131" s="54"/>
      <c r="U131" s="54"/>
      <c r="V131" s="54"/>
      <c r="W131" s="54"/>
      <c r="X131" s="54"/>
      <c r="Y131" s="54"/>
      <c r="Z131" s="27"/>
      <c r="AA131" s="27"/>
    </row>
    <row r="132" spans="9:27" x14ac:dyDescent="0.3">
      <c r="I132" s="104">
        <v>44136</v>
      </c>
      <c r="J132" s="53">
        <v>1.9</v>
      </c>
      <c r="K132" s="53">
        <v>18.46</v>
      </c>
      <c r="L132" s="53">
        <v>-1.6901225491481466</v>
      </c>
      <c r="S132" s="96"/>
      <c r="T132" s="54"/>
      <c r="U132" s="54"/>
      <c r="V132" s="54"/>
      <c r="W132" s="54"/>
      <c r="X132" s="54"/>
      <c r="Y132" s="54"/>
      <c r="Z132" s="27"/>
      <c r="AA132" s="27"/>
    </row>
    <row r="133" spans="9:27" x14ac:dyDescent="0.3">
      <c r="I133" s="104">
        <v>44166</v>
      </c>
      <c r="J133" s="53">
        <v>1.9</v>
      </c>
      <c r="K133" s="53">
        <v>18.309999999999999</v>
      </c>
      <c r="L133" s="53">
        <v>-1.57019721528042</v>
      </c>
      <c r="S133" s="96"/>
      <c r="T133" s="54"/>
      <c r="U133" s="54"/>
      <c r="V133" s="54"/>
      <c r="W133" s="54"/>
      <c r="X133" s="54"/>
      <c r="Y133" s="54"/>
      <c r="Z133" s="27"/>
      <c r="AA133" s="27"/>
    </row>
    <row r="134" spans="9:27" x14ac:dyDescent="0.3">
      <c r="I134" s="104">
        <v>44197</v>
      </c>
      <c r="J134" s="53">
        <v>1.9</v>
      </c>
      <c r="K134" s="53">
        <v>20.05</v>
      </c>
      <c r="L134" s="53">
        <v>-2.9613310881460415</v>
      </c>
      <c r="S134" s="96"/>
      <c r="T134" s="54"/>
      <c r="U134" s="54"/>
      <c r="V134" s="54"/>
      <c r="W134" s="54"/>
      <c r="X134" s="54"/>
      <c r="Y134" s="54"/>
      <c r="Z134" s="27"/>
      <c r="AA134" s="27"/>
    </row>
    <row r="135" spans="9:27" x14ac:dyDescent="0.3">
      <c r="I135" s="104">
        <v>44228</v>
      </c>
      <c r="J135" s="53">
        <v>1.9</v>
      </c>
      <c r="K135" s="53">
        <v>19.760000000000002</v>
      </c>
      <c r="L135" s="53">
        <v>-2.72947544266844</v>
      </c>
      <c r="S135" s="96"/>
      <c r="T135" s="54"/>
      <c r="U135" s="54"/>
      <c r="V135" s="54"/>
      <c r="W135" s="54"/>
      <c r="X135" s="54"/>
      <c r="Y135" s="54"/>
      <c r="Z135" s="27"/>
      <c r="AA135" s="27"/>
    </row>
    <row r="136" spans="9:27" x14ac:dyDescent="0.3">
      <c r="I136" s="104">
        <v>44256</v>
      </c>
      <c r="J136" s="53">
        <v>2.23</v>
      </c>
      <c r="K136" s="53">
        <v>19.920000000000002</v>
      </c>
      <c r="L136" s="53">
        <v>-2.5273957987940148</v>
      </c>
      <c r="S136" s="96"/>
      <c r="T136" s="54"/>
      <c r="U136" s="54"/>
      <c r="V136" s="54"/>
      <c r="W136" s="54"/>
      <c r="X136" s="54"/>
      <c r="Y136" s="54"/>
      <c r="Z136" s="27"/>
      <c r="AA136" s="27"/>
    </row>
    <row r="137" spans="9:27" x14ac:dyDescent="0.3">
      <c r="I137" s="104">
        <v>44287</v>
      </c>
      <c r="J137" s="53">
        <v>2.65</v>
      </c>
      <c r="K137" s="53">
        <v>20.41</v>
      </c>
      <c r="L137" s="53">
        <v>-2.499151889428584</v>
      </c>
      <c r="S137" s="96"/>
      <c r="T137" s="54"/>
      <c r="U137" s="54"/>
      <c r="V137" s="54"/>
      <c r="W137" s="54"/>
      <c r="X137" s="54"/>
      <c r="Y137" s="54"/>
      <c r="Z137" s="27"/>
      <c r="AA137" s="27"/>
    </row>
    <row r="138" spans="9:27" x14ac:dyDescent="0.3">
      <c r="I138" s="104">
        <v>44317</v>
      </c>
      <c r="J138" s="53">
        <v>3.29</v>
      </c>
      <c r="K138" s="53">
        <v>19.91</v>
      </c>
      <c r="L138" s="53">
        <v>-1.4594007765361647</v>
      </c>
      <c r="S138" s="96"/>
      <c r="T138" s="54"/>
      <c r="U138" s="54"/>
      <c r="V138" s="54"/>
      <c r="W138" s="54"/>
      <c r="X138" s="54"/>
      <c r="Y138" s="54"/>
      <c r="Z138" s="27"/>
      <c r="AA138" s="27"/>
    </row>
    <row r="139" spans="9:27" x14ac:dyDescent="0.3">
      <c r="I139" s="104">
        <v>44348</v>
      </c>
      <c r="J139" s="53">
        <v>3.76</v>
      </c>
      <c r="K139" s="53">
        <v>20.03</v>
      </c>
      <c r="L139" s="53">
        <v>-1.0853410436303452</v>
      </c>
      <c r="S139" s="96"/>
      <c r="T139" s="54"/>
      <c r="U139" s="54"/>
      <c r="V139" s="54"/>
      <c r="W139" s="54"/>
      <c r="X139" s="54"/>
      <c r="Y139" s="54"/>
      <c r="Z139" s="27"/>
      <c r="AA139" s="27"/>
    </row>
    <row r="140" spans="9:27" x14ac:dyDescent="0.3">
      <c r="I140" s="104">
        <v>44378</v>
      </c>
      <c r="J140" s="53">
        <v>4.1500000000000004</v>
      </c>
      <c r="K140" s="53">
        <v>20.41</v>
      </c>
      <c r="L140" s="53">
        <v>-0.99915188942858357</v>
      </c>
      <c r="S140" s="96"/>
      <c r="T140" s="54"/>
      <c r="U140" s="54"/>
      <c r="V140" s="54"/>
      <c r="W140" s="54"/>
      <c r="X140" s="54"/>
      <c r="Y140" s="54"/>
      <c r="Z140" s="27"/>
      <c r="AA140" s="27"/>
    </row>
    <row r="141" spans="9:27" x14ac:dyDescent="0.3">
      <c r="I141" s="104">
        <v>44409</v>
      </c>
      <c r="J141" s="53">
        <v>5.01</v>
      </c>
      <c r="K141" s="53">
        <v>21.08</v>
      </c>
      <c r="L141" s="53">
        <v>-0.67481838070442812</v>
      </c>
      <c r="S141" s="96"/>
      <c r="T141" s="54"/>
      <c r="U141" s="54"/>
      <c r="V141" s="54"/>
      <c r="W141" s="54"/>
      <c r="X141" s="54"/>
      <c r="Y141" s="54"/>
      <c r="Z141" s="27"/>
      <c r="AA141" s="27"/>
    </row>
    <row r="142" spans="9:27" x14ac:dyDescent="0.3">
      <c r="I142" s="104">
        <v>44440</v>
      </c>
      <c r="J142" s="53">
        <v>5.43</v>
      </c>
      <c r="K142" s="53">
        <v>21.57</v>
      </c>
      <c r="L142" s="53">
        <v>-0.64657447133900092</v>
      </c>
      <c r="S142" s="96"/>
      <c r="T142" s="54"/>
      <c r="U142" s="54"/>
      <c r="V142" s="54"/>
      <c r="W142" s="54"/>
      <c r="X142" s="54"/>
      <c r="Y142" s="54"/>
      <c r="Z142" s="27"/>
      <c r="AA142" s="27"/>
    </row>
    <row r="143" spans="9:27" x14ac:dyDescent="0.3">
      <c r="I143" s="104">
        <v>44470</v>
      </c>
      <c r="J143" s="53">
        <v>6.3</v>
      </c>
      <c r="K143" s="53">
        <v>23.01</v>
      </c>
      <c r="L143" s="53">
        <v>-0.92785767646917083</v>
      </c>
      <c r="S143" s="96"/>
      <c r="T143" s="54"/>
      <c r="U143" s="54"/>
      <c r="V143" s="54"/>
      <c r="W143" s="54"/>
      <c r="X143" s="54"/>
      <c r="Y143" s="54"/>
      <c r="Z143" s="27"/>
      <c r="AA143" s="27"/>
    </row>
    <row r="144" spans="9:27" x14ac:dyDescent="0.3">
      <c r="I144" s="104">
        <v>44501</v>
      </c>
      <c r="J144" s="53">
        <v>7.65</v>
      </c>
      <c r="K144" s="53">
        <v>24.01</v>
      </c>
      <c r="L144" s="53">
        <v>-0.37735990225400862</v>
      </c>
      <c r="S144" s="96"/>
      <c r="T144" s="54"/>
      <c r="U144" s="54"/>
      <c r="V144" s="54"/>
      <c r="W144" s="54"/>
      <c r="X144" s="54"/>
      <c r="Y144" s="54"/>
      <c r="Z144" s="27"/>
      <c r="AA144" s="27"/>
    </row>
    <row r="145" spans="9:27" x14ac:dyDescent="0.3">
      <c r="I145" s="104">
        <v>44531</v>
      </c>
      <c r="J145" s="53">
        <v>8.76</v>
      </c>
      <c r="K145" s="53">
        <v>24.31</v>
      </c>
      <c r="L145" s="53">
        <v>0.4927894300105411</v>
      </c>
      <c r="S145" s="96"/>
      <c r="T145" s="54"/>
      <c r="U145" s="54"/>
      <c r="V145" s="54"/>
      <c r="W145" s="54"/>
      <c r="X145" s="54"/>
      <c r="Y145" s="54"/>
      <c r="Z145" s="27"/>
      <c r="AA145" s="27"/>
    </row>
    <row r="146" spans="9:27" x14ac:dyDescent="0.3">
      <c r="I146" s="104">
        <v>44562</v>
      </c>
      <c r="J146" s="53">
        <v>9.15</v>
      </c>
      <c r="K146" s="53">
        <v>25.32</v>
      </c>
      <c r="L146" s="53">
        <v>7.529218196785159E-2</v>
      </c>
      <c r="S146" s="96"/>
      <c r="T146" s="54"/>
      <c r="U146" s="54"/>
      <c r="V146" s="54"/>
      <c r="W146" s="54"/>
      <c r="X146" s="54"/>
      <c r="Y146" s="54"/>
      <c r="Z146" s="27"/>
      <c r="AA146" s="27"/>
    </row>
    <row r="147" spans="9:27" x14ac:dyDescent="0.3">
      <c r="I147" s="104">
        <v>44593</v>
      </c>
      <c r="J147" s="53">
        <v>10.49</v>
      </c>
      <c r="K147" s="53">
        <v>25.73</v>
      </c>
      <c r="L147" s="53">
        <v>1.0874962693960644</v>
      </c>
      <c r="S147" s="96"/>
      <c r="T147" s="54"/>
      <c r="U147" s="54"/>
      <c r="V147" s="54"/>
      <c r="W147" s="54"/>
      <c r="X147" s="54"/>
      <c r="Y147" s="54"/>
      <c r="Z147" s="27"/>
      <c r="AA147" s="27"/>
    </row>
    <row r="148" spans="9:27" x14ac:dyDescent="0.3">
      <c r="I148" s="104">
        <v>44621</v>
      </c>
      <c r="J148" s="53">
        <v>11.15</v>
      </c>
      <c r="K148" s="53">
        <v>26.67</v>
      </c>
      <c r="L148" s="53">
        <v>0.99596417715831542</v>
      </c>
      <c r="S148" s="96"/>
      <c r="T148" s="54"/>
      <c r="U148" s="54"/>
      <c r="V148" s="54"/>
      <c r="W148" s="54"/>
      <c r="X148" s="54"/>
      <c r="Y148" s="54"/>
      <c r="Z148" s="27"/>
      <c r="AA148" s="27"/>
    </row>
    <row r="149" spans="9:27" x14ac:dyDescent="0.3">
      <c r="I149" s="104">
        <v>44652</v>
      </c>
      <c r="J149" s="53">
        <v>11.65</v>
      </c>
      <c r="K149" s="53">
        <v>27.57</v>
      </c>
      <c r="L149" s="53">
        <v>0.77641217395195916</v>
      </c>
      <c r="S149" s="96"/>
      <c r="T149" s="54"/>
      <c r="U149" s="54"/>
      <c r="V149" s="54"/>
      <c r="W149" s="54"/>
      <c r="X149" s="54"/>
      <c r="Y149" s="54"/>
      <c r="Z149" s="27"/>
      <c r="AA149" s="27"/>
    </row>
    <row r="150" spans="9:27" x14ac:dyDescent="0.3">
      <c r="I150" s="104">
        <v>44682</v>
      </c>
      <c r="J150" s="53">
        <v>12.51</v>
      </c>
      <c r="K150" s="53">
        <v>27.59</v>
      </c>
      <c r="L150" s="53">
        <v>1.6204221294362622</v>
      </c>
      <c r="S150" s="96"/>
      <c r="T150" s="54"/>
      <c r="U150" s="54"/>
      <c r="V150" s="54"/>
      <c r="W150" s="54"/>
      <c r="X150" s="54"/>
      <c r="Y150" s="54"/>
      <c r="Z150" s="27"/>
      <c r="AA150" s="27"/>
    </row>
    <row r="151" spans="9:27" x14ac:dyDescent="0.3">
      <c r="I151" s="104">
        <v>44713</v>
      </c>
      <c r="J151" s="53">
        <v>12.89</v>
      </c>
      <c r="K151" s="53">
        <v>28.13</v>
      </c>
      <c r="L151" s="53">
        <v>1.5686909275124528</v>
      </c>
      <c r="S151" s="96"/>
      <c r="T151" s="54"/>
      <c r="U151" s="54"/>
      <c r="V151" s="54"/>
      <c r="W151" s="54"/>
      <c r="X151" s="54"/>
      <c r="Y151" s="54"/>
      <c r="Z151" s="27"/>
      <c r="AA151" s="27"/>
    </row>
    <row r="152" spans="9:27" x14ac:dyDescent="0.3">
      <c r="S152" s="96"/>
      <c r="T152" s="54"/>
      <c r="U152" s="54"/>
      <c r="V152" s="54"/>
      <c r="W152" s="54"/>
      <c r="X152" s="54"/>
      <c r="Y152" s="54"/>
      <c r="Z152" s="27"/>
      <c r="AA152" s="27"/>
    </row>
    <row r="153" spans="9:27" x14ac:dyDescent="0.3">
      <c r="S153" s="96"/>
      <c r="T153" s="54"/>
      <c r="U153" s="54"/>
      <c r="V153" s="54"/>
      <c r="W153" s="54"/>
      <c r="X153" s="54"/>
      <c r="Y153" s="54"/>
      <c r="Z153" s="27"/>
      <c r="AA153" s="27"/>
    </row>
    <row r="154" spans="9:27" x14ac:dyDescent="0.3">
      <c r="S154" s="96"/>
      <c r="T154" s="54"/>
      <c r="U154" s="54"/>
      <c r="V154" s="54"/>
      <c r="W154" s="54"/>
      <c r="X154" s="54"/>
      <c r="Y154" s="54"/>
      <c r="Z154" s="27"/>
      <c r="AA154" s="27"/>
    </row>
    <row r="155" spans="9:27" x14ac:dyDescent="0.3">
      <c r="S155" s="96"/>
      <c r="T155" s="54"/>
      <c r="U155" s="54"/>
      <c r="V155" s="54"/>
      <c r="W155" s="54"/>
      <c r="X155" s="54"/>
      <c r="Y155" s="54"/>
      <c r="Z155" s="27"/>
      <c r="AA155" s="27"/>
    </row>
    <row r="156" spans="9:27" x14ac:dyDescent="0.3">
      <c r="S156" s="96"/>
      <c r="T156" s="54"/>
      <c r="U156" s="54"/>
      <c r="V156" s="54"/>
      <c r="W156" s="54"/>
      <c r="X156" s="54"/>
      <c r="Y156" s="54"/>
      <c r="Z156" s="27"/>
      <c r="AA156" s="27"/>
    </row>
    <row r="157" spans="9:27" x14ac:dyDescent="0.3">
      <c r="S157" s="96"/>
      <c r="T157" s="54"/>
      <c r="U157" s="54"/>
      <c r="V157" s="54"/>
      <c r="W157" s="54"/>
      <c r="X157" s="54"/>
      <c r="Y157" s="54"/>
      <c r="Z157" s="27"/>
      <c r="AA157" s="27"/>
    </row>
    <row r="158" spans="9:27" x14ac:dyDescent="0.3">
      <c r="S158" s="96"/>
      <c r="T158" s="54"/>
      <c r="U158" s="54"/>
      <c r="V158" s="54"/>
      <c r="W158" s="54"/>
      <c r="X158" s="54"/>
      <c r="Y158" s="54"/>
      <c r="Z158" s="27"/>
      <c r="AA158" s="27"/>
    </row>
    <row r="159" spans="9:27" x14ac:dyDescent="0.3">
      <c r="S159" s="96"/>
      <c r="T159" s="54"/>
      <c r="U159" s="54"/>
      <c r="V159" s="54"/>
      <c r="W159" s="54"/>
      <c r="X159" s="54"/>
      <c r="Y159" s="54"/>
      <c r="Z159" s="27"/>
      <c r="AA159" s="27"/>
    </row>
    <row r="160" spans="9:27" x14ac:dyDescent="0.3">
      <c r="S160" s="96"/>
      <c r="T160" s="54"/>
      <c r="U160" s="54"/>
      <c r="V160" s="54"/>
      <c r="W160" s="54"/>
      <c r="X160" s="54"/>
      <c r="Y160" s="54"/>
      <c r="Z160" s="27"/>
      <c r="AA160" s="27"/>
    </row>
    <row r="161" spans="19:27" x14ac:dyDescent="0.3">
      <c r="S161" s="96"/>
      <c r="T161" s="54"/>
      <c r="U161" s="54"/>
      <c r="V161" s="54"/>
      <c r="W161" s="54"/>
      <c r="X161" s="54"/>
      <c r="Y161" s="54"/>
      <c r="Z161" s="27"/>
      <c r="AA161" s="27"/>
    </row>
    <row r="162" spans="19:27" x14ac:dyDescent="0.3">
      <c r="S162" s="96"/>
      <c r="T162" s="54"/>
      <c r="U162" s="54"/>
      <c r="V162" s="54"/>
      <c r="W162" s="54"/>
      <c r="X162" s="54"/>
      <c r="Y162" s="54"/>
      <c r="Z162" s="27"/>
      <c r="AA162" s="27"/>
    </row>
    <row r="163" spans="19:27" x14ac:dyDescent="0.3">
      <c r="S163" s="96"/>
      <c r="T163" s="54"/>
      <c r="U163" s="54"/>
      <c r="V163" s="54"/>
      <c r="W163" s="54"/>
      <c r="X163" s="54"/>
      <c r="Y163" s="54"/>
      <c r="Z163" s="27"/>
      <c r="AA163" s="27"/>
    </row>
    <row r="164" spans="19:27" x14ac:dyDescent="0.3">
      <c r="S164" s="96"/>
      <c r="T164" s="54"/>
      <c r="U164" s="54"/>
      <c r="V164" s="54"/>
      <c r="W164" s="54"/>
      <c r="X164" s="54"/>
      <c r="Y164" s="54"/>
      <c r="Z164" s="27"/>
      <c r="AA164" s="27"/>
    </row>
    <row r="165" spans="19:27" x14ac:dyDescent="0.3">
      <c r="S165" s="96"/>
      <c r="T165" s="54"/>
      <c r="U165" s="54"/>
      <c r="V165" s="54"/>
      <c r="W165" s="54"/>
      <c r="X165" s="54"/>
      <c r="Y165" s="54"/>
      <c r="Z165" s="27"/>
      <c r="AA165" s="27"/>
    </row>
    <row r="166" spans="19:27" x14ac:dyDescent="0.3">
      <c r="S166" s="96"/>
      <c r="T166" s="54"/>
      <c r="U166" s="54"/>
      <c r="V166" s="54"/>
      <c r="W166" s="54"/>
      <c r="X166" s="54"/>
      <c r="Y166" s="54"/>
      <c r="Z166" s="27"/>
      <c r="AA166" s="27"/>
    </row>
    <row r="167" spans="19:27" x14ac:dyDescent="0.3">
      <c r="S167" s="96"/>
      <c r="T167" s="54"/>
      <c r="U167" s="54"/>
      <c r="V167" s="54"/>
      <c r="W167" s="54"/>
      <c r="X167" s="54"/>
      <c r="Y167" s="54"/>
      <c r="Z167" s="27"/>
      <c r="AA167" s="27"/>
    </row>
    <row r="168" spans="19:27" x14ac:dyDescent="0.3">
      <c r="S168" s="96"/>
      <c r="T168" s="54"/>
      <c r="U168" s="54"/>
      <c r="V168" s="54"/>
      <c r="W168" s="54"/>
      <c r="X168" s="54"/>
      <c r="Y168" s="54"/>
      <c r="Z168" s="27"/>
      <c r="AA168" s="27"/>
    </row>
    <row r="169" spans="19:27" x14ac:dyDescent="0.3">
      <c r="S169" s="96"/>
      <c r="T169" s="54"/>
      <c r="U169" s="54"/>
      <c r="V169" s="54"/>
      <c r="W169" s="54"/>
      <c r="X169" s="54"/>
      <c r="Y169" s="54"/>
      <c r="Z169" s="27"/>
      <c r="AA169" s="27"/>
    </row>
    <row r="170" spans="19:27" x14ac:dyDescent="0.3">
      <c r="S170" s="96"/>
      <c r="T170" s="54"/>
      <c r="U170" s="54"/>
      <c r="V170" s="54"/>
      <c r="W170" s="54"/>
      <c r="X170" s="54"/>
      <c r="Y170" s="54"/>
      <c r="Z170" s="27"/>
      <c r="AA170" s="27"/>
    </row>
    <row r="171" spans="19:27" x14ac:dyDescent="0.3">
      <c r="S171" s="96"/>
      <c r="T171" s="54"/>
      <c r="U171" s="54"/>
      <c r="V171" s="54"/>
      <c r="W171" s="54"/>
      <c r="X171" s="54"/>
      <c r="Y171" s="54"/>
      <c r="Z171" s="27"/>
      <c r="AA171" s="27"/>
    </row>
    <row r="172" spans="19:27" x14ac:dyDescent="0.3">
      <c r="S172" s="96"/>
      <c r="T172" s="54"/>
      <c r="U172" s="54"/>
      <c r="V172" s="54"/>
      <c r="W172" s="54"/>
      <c r="X172" s="54"/>
      <c r="Y172" s="54"/>
      <c r="Z172" s="27"/>
      <c r="AA172" s="27"/>
    </row>
    <row r="173" spans="19:27" x14ac:dyDescent="0.3">
      <c r="S173" s="96"/>
      <c r="T173" s="54"/>
      <c r="U173" s="54"/>
      <c r="V173" s="54"/>
      <c r="W173" s="54"/>
      <c r="X173" s="54"/>
      <c r="Y173" s="54"/>
      <c r="Z173" s="27"/>
      <c r="AA173" s="27"/>
    </row>
    <row r="174" spans="19:27" x14ac:dyDescent="0.3">
      <c r="S174" s="96"/>
      <c r="T174" s="54"/>
      <c r="U174" s="54"/>
      <c r="V174" s="54"/>
      <c r="W174" s="54"/>
      <c r="X174" s="54"/>
      <c r="Y174" s="54"/>
      <c r="Z174" s="27"/>
      <c r="AA174" s="27"/>
    </row>
    <row r="175" spans="19:27" x14ac:dyDescent="0.3">
      <c r="S175" s="96"/>
      <c r="T175" s="54"/>
      <c r="U175" s="54"/>
      <c r="V175" s="54"/>
      <c r="W175" s="54"/>
      <c r="X175" s="54"/>
      <c r="Y175" s="54"/>
      <c r="Z175" s="27"/>
      <c r="AA175" s="27"/>
    </row>
    <row r="176" spans="19:27" x14ac:dyDescent="0.3">
      <c r="S176" s="96"/>
      <c r="T176" s="54"/>
      <c r="U176" s="54"/>
      <c r="V176" s="54"/>
      <c r="W176" s="54"/>
      <c r="X176" s="54"/>
      <c r="Y176" s="54"/>
      <c r="Z176" s="27"/>
      <c r="AA176" s="27"/>
    </row>
    <row r="177" spans="19:27" x14ac:dyDescent="0.3">
      <c r="S177" s="96"/>
      <c r="T177" s="54"/>
      <c r="U177" s="54"/>
      <c r="V177" s="54"/>
      <c r="W177" s="54"/>
      <c r="X177" s="54"/>
      <c r="Y177" s="54"/>
      <c r="Z177" s="27"/>
      <c r="AA177" s="27"/>
    </row>
    <row r="178" spans="19:27" x14ac:dyDescent="0.3">
      <c r="S178" s="96"/>
      <c r="T178" s="54"/>
      <c r="U178" s="54"/>
      <c r="V178" s="54"/>
      <c r="W178" s="54"/>
      <c r="X178" s="54"/>
      <c r="Y178" s="54"/>
      <c r="Z178" s="27"/>
      <c r="AA178" s="27"/>
    </row>
    <row r="179" spans="19:27" x14ac:dyDescent="0.3">
      <c r="S179" s="96"/>
      <c r="T179" s="54"/>
      <c r="U179" s="54"/>
      <c r="V179" s="54"/>
      <c r="W179" s="54"/>
      <c r="X179" s="54"/>
      <c r="Y179" s="54"/>
      <c r="Z179" s="27"/>
      <c r="AA179" s="27"/>
    </row>
    <row r="180" spans="19:27" x14ac:dyDescent="0.3">
      <c r="S180" s="96"/>
      <c r="T180" s="54"/>
      <c r="U180" s="54"/>
      <c r="V180" s="54"/>
      <c r="W180" s="54"/>
      <c r="X180" s="54"/>
      <c r="Y180" s="54"/>
      <c r="Z180" s="27"/>
      <c r="AA180" s="27"/>
    </row>
    <row r="181" spans="19:27" x14ac:dyDescent="0.3">
      <c r="S181" s="96"/>
      <c r="T181" s="54"/>
      <c r="U181" s="54"/>
      <c r="V181" s="54"/>
      <c r="W181" s="54"/>
      <c r="X181" s="54"/>
      <c r="Y181" s="54"/>
      <c r="Z181" s="27"/>
      <c r="AA181" s="27"/>
    </row>
    <row r="182" spans="19:27" x14ac:dyDescent="0.3">
      <c r="S182" s="96"/>
      <c r="T182" s="54"/>
      <c r="U182" s="54"/>
      <c r="V182" s="54"/>
      <c r="W182" s="54"/>
      <c r="X182" s="54"/>
      <c r="Y182" s="54"/>
      <c r="Z182" s="27"/>
      <c r="AA182" s="27"/>
    </row>
    <row r="183" spans="19:27" x14ac:dyDescent="0.3">
      <c r="S183" s="96"/>
      <c r="T183" s="54"/>
      <c r="U183" s="54"/>
      <c r="V183" s="54"/>
      <c r="W183" s="54"/>
      <c r="X183" s="54"/>
      <c r="Y183" s="54"/>
      <c r="Z183" s="27"/>
      <c r="AA183" s="27"/>
    </row>
    <row r="184" spans="19:27" x14ac:dyDescent="0.3">
      <c r="S184" s="96"/>
      <c r="T184" s="54"/>
      <c r="U184" s="54"/>
      <c r="V184" s="54"/>
      <c r="W184" s="54"/>
      <c r="X184" s="54"/>
      <c r="Y184" s="54"/>
      <c r="Z184" s="27"/>
      <c r="AA184" s="27"/>
    </row>
    <row r="185" spans="19:27" x14ac:dyDescent="0.3">
      <c r="S185" s="96"/>
      <c r="T185" s="54"/>
      <c r="U185" s="54"/>
      <c r="V185" s="54"/>
      <c r="W185" s="54"/>
      <c r="X185" s="54"/>
      <c r="Y185" s="54"/>
      <c r="Z185" s="27"/>
      <c r="AA185" s="27"/>
    </row>
    <row r="186" spans="19:27" x14ac:dyDescent="0.3">
      <c r="S186" s="96"/>
      <c r="T186" s="54"/>
      <c r="U186" s="54"/>
      <c r="V186" s="54"/>
      <c r="W186" s="54"/>
      <c r="X186" s="54"/>
      <c r="Y186" s="54"/>
      <c r="Z186" s="27"/>
      <c r="AA186" s="27"/>
    </row>
    <row r="187" spans="19:27" x14ac:dyDescent="0.3">
      <c r="S187" s="96"/>
      <c r="T187" s="54"/>
      <c r="U187" s="54"/>
      <c r="V187" s="54"/>
      <c r="W187" s="54"/>
      <c r="X187" s="54"/>
      <c r="Y187" s="54"/>
      <c r="Z187" s="27"/>
      <c r="AA187" s="27"/>
    </row>
    <row r="188" spans="19:27" x14ac:dyDescent="0.3">
      <c r="S188" s="96"/>
      <c r="T188" s="54"/>
      <c r="U188" s="54"/>
      <c r="V188" s="54"/>
      <c r="W188" s="54"/>
      <c r="X188" s="54"/>
      <c r="Y188" s="54"/>
      <c r="Z188" s="27"/>
      <c r="AA188" s="27"/>
    </row>
    <row r="189" spans="19:27" x14ac:dyDescent="0.3">
      <c r="S189" s="96"/>
      <c r="T189" s="54"/>
      <c r="U189" s="54"/>
      <c r="V189" s="54"/>
      <c r="W189" s="54"/>
      <c r="X189" s="54"/>
      <c r="Y189" s="54"/>
      <c r="Z189" s="27"/>
      <c r="AA189" s="27"/>
    </row>
    <row r="190" spans="19:27" x14ac:dyDescent="0.3">
      <c r="S190" s="96"/>
      <c r="T190" s="54"/>
      <c r="U190" s="54"/>
      <c r="V190" s="54"/>
      <c r="W190" s="54"/>
      <c r="X190" s="54"/>
      <c r="Y190" s="54"/>
      <c r="Z190" s="27"/>
      <c r="AA190" s="27"/>
    </row>
    <row r="191" spans="19:27" x14ac:dyDescent="0.3">
      <c r="S191" s="96"/>
      <c r="T191" s="54"/>
      <c r="U191" s="54"/>
      <c r="V191" s="54"/>
      <c r="W191" s="54"/>
      <c r="X191" s="54"/>
      <c r="Y191" s="54"/>
      <c r="Z191" s="27"/>
      <c r="AA191" s="27"/>
    </row>
    <row r="192" spans="19:27" x14ac:dyDescent="0.3">
      <c r="S192" s="96"/>
      <c r="T192" s="54"/>
      <c r="U192" s="54"/>
      <c r="V192" s="54"/>
      <c r="W192" s="54"/>
      <c r="X192" s="54"/>
      <c r="Y192" s="54"/>
      <c r="Z192" s="27"/>
      <c r="AA192" s="27"/>
    </row>
    <row r="193" spans="19:27" x14ac:dyDescent="0.3">
      <c r="S193" s="96"/>
      <c r="T193" s="54"/>
      <c r="U193" s="54"/>
      <c r="V193" s="54"/>
      <c r="W193" s="54"/>
      <c r="X193" s="54"/>
      <c r="Y193" s="54"/>
      <c r="Z193" s="27"/>
      <c r="AA193" s="27"/>
    </row>
    <row r="194" spans="19:27" x14ac:dyDescent="0.3">
      <c r="S194" s="96"/>
      <c r="T194" s="54"/>
      <c r="U194" s="54"/>
      <c r="V194" s="54"/>
      <c r="W194" s="54"/>
      <c r="X194" s="54"/>
      <c r="Y194" s="54"/>
      <c r="Z194" s="27"/>
      <c r="AA194" s="27"/>
    </row>
    <row r="195" spans="19:27" x14ac:dyDescent="0.3">
      <c r="S195" s="96"/>
      <c r="T195" s="54"/>
      <c r="U195" s="54"/>
      <c r="V195" s="54"/>
      <c r="W195" s="54"/>
      <c r="X195" s="54"/>
      <c r="Y195" s="54"/>
      <c r="Z195" s="27"/>
      <c r="AA195" s="27"/>
    </row>
    <row r="196" spans="19:27" x14ac:dyDescent="0.3">
      <c r="S196" s="96"/>
      <c r="T196" s="54"/>
      <c r="U196" s="54"/>
      <c r="V196" s="54"/>
      <c r="W196" s="54"/>
      <c r="X196" s="54"/>
      <c r="Y196" s="54"/>
      <c r="Z196" s="27"/>
      <c r="AA196" s="27"/>
    </row>
    <row r="197" spans="19:27" x14ac:dyDescent="0.3">
      <c r="S197" s="96"/>
      <c r="T197" s="54"/>
      <c r="U197" s="54"/>
      <c r="V197" s="54"/>
      <c r="W197" s="54"/>
      <c r="X197" s="54"/>
      <c r="Y197" s="54"/>
      <c r="Z197" s="27"/>
      <c r="AA197" s="27"/>
    </row>
    <row r="198" spans="19:27" x14ac:dyDescent="0.3">
      <c r="S198" s="96"/>
      <c r="T198" s="54"/>
      <c r="U198" s="54"/>
      <c r="V198" s="54"/>
      <c r="W198" s="54"/>
      <c r="X198" s="54"/>
      <c r="Y198" s="54"/>
      <c r="Z198" s="27"/>
      <c r="AA198" s="27"/>
    </row>
    <row r="199" spans="19:27" x14ac:dyDescent="0.3">
      <c r="S199" s="96"/>
      <c r="T199" s="54"/>
      <c r="U199" s="54"/>
      <c r="V199" s="54"/>
      <c r="W199" s="54"/>
      <c r="X199" s="54"/>
      <c r="Y199" s="54"/>
      <c r="Z199" s="27"/>
      <c r="AA199" s="27"/>
    </row>
    <row r="200" spans="19:27" x14ac:dyDescent="0.3">
      <c r="S200" s="96"/>
      <c r="T200" s="54"/>
      <c r="U200" s="54"/>
      <c r="V200" s="54"/>
      <c r="W200" s="54"/>
      <c r="X200" s="54"/>
      <c r="Y200" s="54"/>
      <c r="Z200" s="27"/>
      <c r="AA200" s="27"/>
    </row>
    <row r="201" spans="19:27" x14ac:dyDescent="0.3">
      <c r="S201" s="96"/>
      <c r="T201" s="54"/>
      <c r="U201" s="54"/>
      <c r="V201" s="54"/>
      <c r="W201" s="54"/>
      <c r="X201" s="54"/>
      <c r="Y201" s="54"/>
      <c r="Z201" s="27"/>
      <c r="AA201" s="27"/>
    </row>
    <row r="202" spans="19:27" x14ac:dyDescent="0.3">
      <c r="S202" s="96"/>
      <c r="T202" s="54"/>
      <c r="U202" s="54"/>
      <c r="V202" s="54"/>
      <c r="W202" s="54"/>
      <c r="X202" s="54"/>
      <c r="Y202" s="54"/>
      <c r="Z202" s="27"/>
      <c r="AA202" s="27"/>
    </row>
    <row r="203" spans="19:27" x14ac:dyDescent="0.3">
      <c r="S203" s="96"/>
      <c r="T203" s="54"/>
      <c r="U203" s="54"/>
      <c r="V203" s="54"/>
      <c r="W203" s="54"/>
      <c r="X203" s="54"/>
      <c r="Y203" s="54"/>
      <c r="Z203" s="27"/>
      <c r="AA203" s="27"/>
    </row>
    <row r="204" spans="19:27" x14ac:dyDescent="0.3">
      <c r="S204" s="96"/>
      <c r="T204" s="54"/>
      <c r="U204" s="54"/>
      <c r="V204" s="54"/>
      <c r="W204" s="54"/>
      <c r="X204" s="54"/>
      <c r="Y204" s="54"/>
      <c r="Z204" s="27"/>
      <c r="AA204" s="27"/>
    </row>
    <row r="205" spans="19:27" x14ac:dyDescent="0.3">
      <c r="S205" s="96"/>
      <c r="T205" s="54"/>
      <c r="U205" s="54"/>
      <c r="V205" s="54"/>
      <c r="W205" s="54"/>
      <c r="X205" s="54"/>
      <c r="Y205" s="54"/>
      <c r="Z205" s="27"/>
      <c r="AA205" s="27"/>
    </row>
    <row r="206" spans="19:27" x14ac:dyDescent="0.3">
      <c r="S206" s="96"/>
      <c r="T206" s="54"/>
      <c r="U206" s="54"/>
      <c r="V206" s="54"/>
      <c r="W206" s="54"/>
      <c r="X206" s="54"/>
      <c r="Y206" s="54"/>
      <c r="Z206" s="27"/>
      <c r="AA206" s="27"/>
    </row>
    <row r="207" spans="19:27" x14ac:dyDescent="0.3">
      <c r="S207" s="96"/>
      <c r="T207" s="54"/>
      <c r="U207" s="54"/>
      <c r="V207" s="54"/>
      <c r="W207" s="54"/>
      <c r="X207" s="54"/>
      <c r="Y207" s="54"/>
      <c r="Z207" s="27"/>
      <c r="AA207" s="27"/>
    </row>
    <row r="208" spans="19:27" x14ac:dyDescent="0.3">
      <c r="S208" s="96"/>
      <c r="T208" s="54"/>
      <c r="U208" s="54"/>
      <c r="V208" s="54"/>
      <c r="W208" s="54"/>
      <c r="X208" s="54"/>
      <c r="Y208" s="54"/>
      <c r="Z208" s="27"/>
      <c r="AA208" s="27"/>
    </row>
    <row r="209" spans="19:27" x14ac:dyDescent="0.3">
      <c r="S209" s="96"/>
      <c r="T209" s="54"/>
      <c r="U209" s="54"/>
      <c r="V209" s="54"/>
      <c r="W209" s="54"/>
      <c r="X209" s="54"/>
      <c r="Y209" s="54"/>
      <c r="Z209" s="27"/>
      <c r="AA209" s="27"/>
    </row>
    <row r="210" spans="19:27" x14ac:dyDescent="0.3">
      <c r="S210" s="96"/>
      <c r="T210" s="54"/>
      <c r="U210" s="54"/>
      <c r="V210" s="54"/>
      <c r="W210" s="54"/>
      <c r="X210" s="54"/>
      <c r="Y210" s="54"/>
      <c r="Z210" s="27"/>
      <c r="AA210" s="27"/>
    </row>
    <row r="211" spans="19:27" x14ac:dyDescent="0.3">
      <c r="S211" s="96"/>
      <c r="T211" s="54"/>
      <c r="U211" s="54"/>
      <c r="V211" s="54"/>
      <c r="W211" s="54"/>
      <c r="X211" s="54"/>
      <c r="Y211" s="54"/>
      <c r="Z211" s="27"/>
      <c r="AA211" s="27"/>
    </row>
    <row r="212" spans="19:27" x14ac:dyDescent="0.3">
      <c r="S212" s="96"/>
      <c r="T212" s="54"/>
      <c r="U212" s="54"/>
      <c r="V212" s="54"/>
      <c r="W212" s="54"/>
      <c r="X212" s="54"/>
      <c r="Y212" s="54"/>
      <c r="Z212" s="27"/>
      <c r="AA212" s="27"/>
    </row>
    <row r="213" spans="19:27" x14ac:dyDescent="0.3">
      <c r="S213" s="96"/>
      <c r="T213" s="54"/>
      <c r="U213" s="54"/>
      <c r="V213" s="54"/>
      <c r="W213" s="54"/>
      <c r="X213" s="54"/>
      <c r="Y213" s="54"/>
      <c r="Z213" s="27"/>
      <c r="AA213" s="27"/>
    </row>
    <row r="214" spans="19:27" x14ac:dyDescent="0.3">
      <c r="S214" s="96"/>
      <c r="T214" s="54"/>
      <c r="U214" s="54"/>
      <c r="V214" s="54"/>
      <c r="W214" s="54"/>
      <c r="X214" s="54"/>
      <c r="Y214" s="54"/>
      <c r="Z214" s="27"/>
      <c r="AA214" s="27"/>
    </row>
    <row r="215" spans="19:27" x14ac:dyDescent="0.3">
      <c r="S215" s="96"/>
      <c r="T215" s="54"/>
      <c r="U215" s="54"/>
      <c r="V215" s="54"/>
      <c r="W215" s="54"/>
      <c r="X215" s="54"/>
      <c r="Y215" s="54"/>
      <c r="Z215" s="27"/>
      <c r="AA215" s="27"/>
    </row>
    <row r="216" spans="19:27" x14ac:dyDescent="0.3">
      <c r="S216" s="96"/>
      <c r="T216" s="54"/>
      <c r="U216" s="54"/>
      <c r="V216" s="54"/>
      <c r="W216" s="54"/>
      <c r="X216" s="54"/>
      <c r="Y216" s="54"/>
      <c r="Z216" s="27"/>
      <c r="AA216" s="27"/>
    </row>
    <row r="217" spans="19:27" x14ac:dyDescent="0.3">
      <c r="S217" s="96"/>
      <c r="T217" s="54"/>
      <c r="U217" s="54"/>
      <c r="V217" s="54"/>
      <c r="W217" s="54"/>
      <c r="X217" s="54"/>
      <c r="Y217" s="54"/>
      <c r="Z217" s="27"/>
      <c r="AA217" s="27"/>
    </row>
    <row r="218" spans="19:27" x14ac:dyDescent="0.3">
      <c r="S218" s="96"/>
      <c r="T218" s="54"/>
      <c r="U218" s="54"/>
      <c r="V218" s="54"/>
      <c r="W218" s="54"/>
      <c r="X218" s="54"/>
      <c r="Y218" s="54"/>
      <c r="Z218" s="27"/>
      <c r="AA218" s="27"/>
    </row>
    <row r="219" spans="19:27" x14ac:dyDescent="0.3">
      <c r="S219" s="96"/>
      <c r="T219" s="54"/>
      <c r="U219" s="54"/>
      <c r="V219" s="54"/>
      <c r="W219" s="54"/>
      <c r="X219" s="54"/>
      <c r="Y219" s="54"/>
      <c r="Z219" s="27"/>
      <c r="AA219" s="27"/>
    </row>
    <row r="220" spans="19:27" x14ac:dyDescent="0.3">
      <c r="S220" s="96"/>
      <c r="T220" s="54"/>
      <c r="U220" s="54"/>
      <c r="V220" s="54"/>
      <c r="W220" s="54"/>
      <c r="X220" s="54"/>
      <c r="Y220" s="54"/>
      <c r="Z220" s="27"/>
      <c r="AA220" s="27"/>
    </row>
    <row r="221" spans="19:27" x14ac:dyDescent="0.3">
      <c r="S221" s="96"/>
      <c r="T221" s="54"/>
      <c r="U221" s="54"/>
      <c r="V221" s="54"/>
      <c r="W221" s="54"/>
      <c r="X221" s="54"/>
      <c r="Y221" s="54"/>
      <c r="Z221" s="27"/>
      <c r="AA221" s="27"/>
    </row>
    <row r="222" spans="19:27" x14ac:dyDescent="0.3">
      <c r="S222" s="96"/>
      <c r="T222" s="54"/>
      <c r="U222" s="54"/>
      <c r="V222" s="54"/>
      <c r="W222" s="54"/>
      <c r="X222" s="54"/>
      <c r="Y222" s="54"/>
      <c r="Z222" s="27"/>
      <c r="AA222" s="27"/>
    </row>
    <row r="223" spans="19:27" x14ac:dyDescent="0.3">
      <c r="S223" s="96"/>
      <c r="T223" s="54"/>
      <c r="U223" s="54"/>
      <c r="V223" s="54"/>
      <c r="W223" s="54"/>
      <c r="X223" s="54"/>
      <c r="Y223" s="54"/>
      <c r="Z223" s="27"/>
      <c r="AA223" s="27"/>
    </row>
    <row r="224" spans="19:27" x14ac:dyDescent="0.3">
      <c r="S224" s="96"/>
      <c r="T224" s="54"/>
      <c r="U224" s="54"/>
      <c r="V224" s="54"/>
      <c r="W224" s="54"/>
      <c r="X224" s="54"/>
      <c r="Y224" s="54"/>
      <c r="Z224" s="27"/>
      <c r="AA224" s="27"/>
    </row>
    <row r="225" spans="19:27" x14ac:dyDescent="0.3">
      <c r="S225" s="96"/>
      <c r="T225" s="54"/>
      <c r="U225" s="54"/>
      <c r="V225" s="54"/>
      <c r="W225" s="54"/>
      <c r="X225" s="54"/>
      <c r="Y225" s="54"/>
      <c r="Z225" s="27"/>
      <c r="AA225" s="27"/>
    </row>
    <row r="226" spans="19:27" x14ac:dyDescent="0.3">
      <c r="S226" s="96"/>
      <c r="T226" s="54"/>
      <c r="U226" s="54"/>
      <c r="V226" s="54"/>
      <c r="W226" s="54"/>
      <c r="X226" s="54"/>
      <c r="Y226" s="54"/>
      <c r="Z226" s="27"/>
      <c r="AA226" s="27"/>
    </row>
    <row r="227" spans="19:27" x14ac:dyDescent="0.3">
      <c r="S227" s="96"/>
      <c r="T227" s="54"/>
      <c r="U227" s="54"/>
      <c r="V227" s="54"/>
      <c r="W227" s="54"/>
      <c r="X227" s="54"/>
      <c r="Y227" s="54"/>
      <c r="Z227" s="27"/>
      <c r="AA227" s="27"/>
    </row>
    <row r="228" spans="19:27" x14ac:dyDescent="0.3">
      <c r="S228" s="96"/>
      <c r="T228" s="54"/>
      <c r="U228" s="54"/>
      <c r="V228" s="54"/>
      <c r="W228" s="54"/>
      <c r="X228" s="54"/>
      <c r="Y228" s="54"/>
      <c r="Z228" s="27"/>
      <c r="AA228" s="27"/>
    </row>
    <row r="229" spans="19:27" x14ac:dyDescent="0.3">
      <c r="S229" s="96"/>
      <c r="T229" s="54"/>
      <c r="U229" s="54"/>
      <c r="V229" s="54"/>
      <c r="W229" s="54"/>
      <c r="X229" s="54"/>
      <c r="Y229" s="54"/>
      <c r="Z229" s="27"/>
      <c r="AA229" s="27"/>
    </row>
    <row r="230" spans="19:27" x14ac:dyDescent="0.3">
      <c r="S230" s="96"/>
      <c r="T230" s="54"/>
      <c r="U230" s="54"/>
      <c r="V230" s="54"/>
      <c r="W230" s="54"/>
      <c r="X230" s="54"/>
      <c r="Y230" s="54"/>
      <c r="Z230" s="27"/>
      <c r="AA230" s="27"/>
    </row>
    <row r="231" spans="19:27" x14ac:dyDescent="0.3">
      <c r="S231" s="96"/>
      <c r="T231" s="54"/>
      <c r="U231" s="54"/>
      <c r="V231" s="54"/>
      <c r="W231" s="54"/>
      <c r="X231" s="54"/>
      <c r="Y231" s="54"/>
      <c r="Z231" s="27"/>
      <c r="AA231" s="27"/>
    </row>
    <row r="232" spans="19:27" x14ac:dyDescent="0.3">
      <c r="S232" s="96"/>
      <c r="T232" s="54"/>
      <c r="U232" s="54"/>
      <c r="V232" s="54"/>
      <c r="W232" s="54"/>
      <c r="X232" s="54"/>
      <c r="Y232" s="54"/>
      <c r="Z232" s="27"/>
      <c r="AA232" s="27"/>
    </row>
    <row r="233" spans="19:27" x14ac:dyDescent="0.3">
      <c r="S233" s="96"/>
      <c r="T233" s="54"/>
      <c r="U233" s="54"/>
      <c r="V233" s="54"/>
      <c r="W233" s="54"/>
      <c r="X233" s="54"/>
      <c r="Y233" s="54"/>
      <c r="Z233" s="27"/>
      <c r="AA233" s="27"/>
    </row>
    <row r="234" spans="19:27" x14ac:dyDescent="0.3">
      <c r="S234" s="96"/>
      <c r="T234" s="54"/>
      <c r="U234" s="54"/>
      <c r="V234" s="54"/>
      <c r="W234" s="54"/>
      <c r="X234" s="54"/>
      <c r="Y234" s="54"/>
      <c r="Z234" s="27"/>
      <c r="AA234" s="27"/>
    </row>
    <row r="235" spans="19:27" x14ac:dyDescent="0.3">
      <c r="S235" s="96"/>
      <c r="T235" s="54"/>
      <c r="U235" s="54"/>
      <c r="V235" s="54"/>
      <c r="W235" s="54"/>
      <c r="X235" s="54"/>
      <c r="Y235" s="54"/>
      <c r="Z235" s="27"/>
      <c r="AA235" s="27"/>
    </row>
    <row r="236" spans="19:27" x14ac:dyDescent="0.3">
      <c r="S236" s="96"/>
      <c r="T236" s="54"/>
      <c r="U236" s="54"/>
      <c r="V236" s="54"/>
      <c r="W236" s="54"/>
      <c r="X236" s="54"/>
      <c r="Y236" s="54"/>
      <c r="Z236" s="27"/>
      <c r="AA236" s="27"/>
    </row>
    <row r="237" spans="19:27" x14ac:dyDescent="0.3">
      <c r="S237" s="96"/>
      <c r="T237" s="54"/>
      <c r="U237" s="54"/>
      <c r="V237" s="54"/>
      <c r="W237" s="54"/>
      <c r="X237" s="54"/>
      <c r="Y237" s="54"/>
      <c r="Z237" s="27"/>
      <c r="AA237" s="27"/>
    </row>
    <row r="238" spans="19:27" x14ac:dyDescent="0.3">
      <c r="S238" s="96"/>
      <c r="T238" s="54"/>
      <c r="U238" s="54"/>
      <c r="V238" s="54"/>
      <c r="W238" s="54"/>
      <c r="X238" s="54"/>
      <c r="Y238" s="54"/>
      <c r="Z238" s="27"/>
      <c r="AA238" s="27"/>
    </row>
    <row r="239" spans="19:27" x14ac:dyDescent="0.3">
      <c r="S239" s="96"/>
      <c r="T239" s="54"/>
      <c r="U239" s="54"/>
      <c r="V239" s="54"/>
      <c r="W239" s="54"/>
      <c r="X239" s="54"/>
      <c r="Y239" s="54"/>
      <c r="Z239" s="27"/>
      <c r="AA239" s="27"/>
    </row>
    <row r="240" spans="19:27" x14ac:dyDescent="0.3">
      <c r="S240" s="96"/>
      <c r="T240" s="54"/>
      <c r="U240" s="54"/>
      <c r="V240" s="54"/>
      <c r="W240" s="54"/>
      <c r="X240" s="54"/>
      <c r="Y240" s="54"/>
      <c r="Z240" s="27"/>
      <c r="AA240" s="27"/>
    </row>
    <row r="241" spans="19:27" x14ac:dyDescent="0.3">
      <c r="S241" s="96"/>
      <c r="T241" s="54"/>
      <c r="U241" s="54"/>
      <c r="V241" s="54"/>
      <c r="W241" s="54"/>
      <c r="X241" s="54"/>
      <c r="Y241" s="54"/>
      <c r="Z241" s="27"/>
      <c r="AA241" s="27"/>
    </row>
    <row r="242" spans="19:27" x14ac:dyDescent="0.3">
      <c r="S242" s="96"/>
      <c r="T242" s="54"/>
      <c r="U242" s="54"/>
      <c r="V242" s="54"/>
      <c r="W242" s="54"/>
      <c r="X242" s="54"/>
      <c r="Y242" s="54"/>
      <c r="Z242" s="27"/>
      <c r="AA242" s="27"/>
    </row>
    <row r="243" spans="19:27" x14ac:dyDescent="0.3">
      <c r="S243" s="96"/>
      <c r="T243" s="54"/>
      <c r="U243" s="54"/>
      <c r="V243" s="54"/>
      <c r="W243" s="54"/>
      <c r="X243" s="54"/>
      <c r="Y243" s="54"/>
      <c r="Z243" s="27"/>
      <c r="AA243" s="27"/>
    </row>
    <row r="244" spans="19:27" x14ac:dyDescent="0.3">
      <c r="S244" s="96"/>
      <c r="T244" s="54"/>
      <c r="U244" s="54"/>
      <c r="V244" s="54"/>
      <c r="W244" s="54"/>
      <c r="X244" s="54"/>
      <c r="Y244" s="54"/>
      <c r="Z244" s="27"/>
      <c r="AA244" s="27"/>
    </row>
    <row r="245" spans="19:27" x14ac:dyDescent="0.3">
      <c r="S245" s="96"/>
      <c r="T245" s="54"/>
      <c r="U245" s="54"/>
      <c r="V245" s="54"/>
      <c r="W245" s="54"/>
      <c r="X245" s="54"/>
      <c r="Y245" s="54"/>
      <c r="Z245" s="27"/>
      <c r="AA245" s="27"/>
    </row>
    <row r="246" spans="19:27" x14ac:dyDescent="0.3">
      <c r="S246" s="96"/>
      <c r="T246" s="54"/>
      <c r="U246" s="54"/>
      <c r="V246" s="54"/>
      <c r="W246" s="54"/>
      <c r="X246" s="54"/>
      <c r="Y246" s="54"/>
      <c r="Z246" s="27"/>
      <c r="AA246" s="27"/>
    </row>
    <row r="247" spans="19:27" x14ac:dyDescent="0.3">
      <c r="S247" s="96"/>
      <c r="T247" s="54"/>
      <c r="U247" s="54"/>
      <c r="V247" s="54"/>
      <c r="W247" s="54"/>
      <c r="X247" s="54"/>
      <c r="Y247" s="54"/>
      <c r="Z247" s="27"/>
      <c r="AA247" s="27"/>
    </row>
    <row r="248" spans="19:27" x14ac:dyDescent="0.3">
      <c r="S248" s="96"/>
      <c r="T248" s="54"/>
      <c r="U248" s="54"/>
      <c r="V248" s="54"/>
      <c r="W248" s="54"/>
      <c r="X248" s="54"/>
      <c r="Y248" s="54"/>
      <c r="Z248" s="27"/>
      <c r="AA248" s="27"/>
    </row>
    <row r="249" spans="19:27" x14ac:dyDescent="0.3">
      <c r="S249" s="96"/>
      <c r="T249" s="54"/>
      <c r="U249" s="54"/>
      <c r="V249" s="54"/>
      <c r="W249" s="54"/>
      <c r="X249" s="54"/>
      <c r="Y249" s="54"/>
      <c r="Z249" s="27"/>
      <c r="AA249" s="27"/>
    </row>
    <row r="250" spans="19:27" x14ac:dyDescent="0.3">
      <c r="S250" s="96"/>
      <c r="T250" s="54"/>
      <c r="U250" s="54"/>
      <c r="V250" s="54"/>
      <c r="W250" s="54"/>
      <c r="X250" s="54"/>
      <c r="Y250" s="54"/>
      <c r="Z250" s="27"/>
      <c r="AA250" s="27"/>
    </row>
    <row r="251" spans="19:27" x14ac:dyDescent="0.3">
      <c r="S251" s="96"/>
      <c r="T251" s="54"/>
      <c r="U251" s="54"/>
      <c r="V251" s="54"/>
      <c r="W251" s="54"/>
      <c r="X251" s="54"/>
      <c r="Y251" s="54"/>
      <c r="Z251" s="27"/>
      <c r="AA251" s="27"/>
    </row>
    <row r="252" spans="19:27" x14ac:dyDescent="0.3">
      <c r="S252" s="96"/>
      <c r="T252" s="54"/>
      <c r="U252" s="54"/>
      <c r="V252" s="54"/>
      <c r="W252" s="54"/>
      <c r="X252" s="54"/>
      <c r="Y252" s="54"/>
      <c r="Z252" s="27"/>
      <c r="AA252" s="27"/>
    </row>
    <row r="253" spans="19:27" x14ac:dyDescent="0.3">
      <c r="S253" s="96"/>
      <c r="T253" s="54"/>
      <c r="U253" s="54"/>
      <c r="V253" s="54"/>
      <c r="W253" s="54"/>
      <c r="X253" s="54"/>
      <c r="Y253" s="54"/>
      <c r="Z253" s="27"/>
      <c r="AA253" s="27"/>
    </row>
    <row r="254" spans="19:27" x14ac:dyDescent="0.3">
      <c r="S254" s="96"/>
      <c r="T254" s="54"/>
      <c r="U254" s="54"/>
      <c r="V254" s="54"/>
      <c r="W254" s="54"/>
      <c r="X254" s="54"/>
      <c r="Y254" s="54"/>
      <c r="Z254" s="27"/>
      <c r="AA254" s="27"/>
    </row>
    <row r="255" spans="19:27" x14ac:dyDescent="0.3">
      <c r="T255" s="54"/>
      <c r="U255" s="54"/>
      <c r="V255" s="54"/>
      <c r="W255" s="54"/>
      <c r="X255" s="54"/>
      <c r="Y255" s="54"/>
      <c r="Z255" s="27"/>
      <c r="AA255" s="27"/>
    </row>
    <row r="256" spans="19:27" x14ac:dyDescent="0.3">
      <c r="T256" s="27"/>
      <c r="U256" s="27"/>
      <c r="V256" s="27"/>
      <c r="W256" s="27"/>
      <c r="X256" s="27"/>
      <c r="Y256" s="27"/>
    </row>
    <row r="257" spans="20:25" x14ac:dyDescent="0.3">
      <c r="T257" s="27"/>
      <c r="U257" s="27"/>
      <c r="V257" s="27"/>
      <c r="W257" s="27"/>
      <c r="X257" s="27"/>
      <c r="Y257" s="27"/>
    </row>
    <row r="258" spans="20:25" x14ac:dyDescent="0.3">
      <c r="T258" s="27"/>
      <c r="U258" s="27"/>
      <c r="V258" s="27"/>
      <c r="W258" s="27"/>
      <c r="X258" s="27"/>
      <c r="Y258" s="27"/>
    </row>
    <row r="259" spans="20:25" x14ac:dyDescent="0.3">
      <c r="T259" s="27"/>
      <c r="U259" s="27"/>
      <c r="V259" s="27"/>
      <c r="W259" s="27"/>
      <c r="X259" s="27"/>
      <c r="Y259" s="27"/>
    </row>
    <row r="260" spans="20:25" x14ac:dyDescent="0.3">
      <c r="T260" s="27"/>
      <c r="U260" s="27"/>
      <c r="V260" s="27"/>
      <c r="W260" s="27"/>
      <c r="X260" s="27"/>
      <c r="Y260" s="27"/>
    </row>
    <row r="261" spans="20:25" x14ac:dyDescent="0.3">
      <c r="T261" s="27"/>
      <c r="U261" s="27"/>
      <c r="V261" s="27"/>
      <c r="W261" s="27"/>
      <c r="X261" s="27"/>
      <c r="Y261" s="27"/>
    </row>
    <row r="262" spans="20:25" x14ac:dyDescent="0.3">
      <c r="T262" s="27"/>
      <c r="U262" s="27"/>
      <c r="V262" s="27"/>
      <c r="W262" s="27"/>
      <c r="X262" s="27"/>
      <c r="Y262" s="27"/>
    </row>
    <row r="263" spans="20:25" x14ac:dyDescent="0.3">
      <c r="T263" s="27"/>
      <c r="U263" s="27"/>
      <c r="V263" s="27"/>
      <c r="W263" s="27"/>
      <c r="X263" s="27"/>
      <c r="Y263" s="27"/>
    </row>
    <row r="264" spans="20:25" x14ac:dyDescent="0.3">
      <c r="T264" s="27"/>
      <c r="U264" s="27"/>
      <c r="V264" s="27"/>
      <c r="W264" s="27"/>
      <c r="X264" s="27"/>
      <c r="Y264" s="27"/>
    </row>
    <row r="265" spans="20:25" x14ac:dyDescent="0.3">
      <c r="T265" s="27"/>
      <c r="U265" s="27"/>
      <c r="V265" s="27"/>
      <c r="W265" s="27"/>
      <c r="X265" s="27"/>
      <c r="Y265" s="27"/>
    </row>
    <row r="266" spans="20:25" x14ac:dyDescent="0.3">
      <c r="T266" s="27"/>
      <c r="U266" s="27"/>
      <c r="V266" s="27"/>
      <c r="W266" s="27"/>
      <c r="X266" s="27"/>
      <c r="Y266" s="27"/>
    </row>
    <row r="267" spans="20:25" x14ac:dyDescent="0.3">
      <c r="T267" s="27"/>
      <c r="U267" s="27"/>
      <c r="V267" s="27"/>
      <c r="W267" s="27"/>
      <c r="X267" s="27"/>
      <c r="Y267" s="27"/>
    </row>
    <row r="268" spans="20:25" x14ac:dyDescent="0.3">
      <c r="T268" s="27"/>
      <c r="U268" s="27"/>
      <c r="V268" s="27"/>
      <c r="W268" s="27"/>
      <c r="X268" s="27"/>
      <c r="Y268" s="27"/>
    </row>
    <row r="269" spans="20:25" x14ac:dyDescent="0.3">
      <c r="T269" s="27"/>
      <c r="U269" s="27"/>
      <c r="V269" s="27"/>
      <c r="W269" s="27"/>
      <c r="X269" s="27"/>
      <c r="Y269" s="27"/>
    </row>
    <row r="270" spans="20:25" x14ac:dyDescent="0.3">
      <c r="T270" s="27"/>
      <c r="U270" s="27"/>
      <c r="V270" s="27"/>
      <c r="W270" s="27"/>
      <c r="X270" s="27"/>
      <c r="Y270" s="27"/>
    </row>
    <row r="271" spans="20:25" x14ac:dyDescent="0.3">
      <c r="T271" s="27"/>
      <c r="U271" s="27"/>
      <c r="V271" s="27"/>
      <c r="W271" s="27"/>
      <c r="X271" s="27"/>
      <c r="Y271" s="27"/>
    </row>
    <row r="272" spans="20:25" x14ac:dyDescent="0.3">
      <c r="T272" s="27"/>
      <c r="U272" s="27"/>
      <c r="V272" s="27"/>
      <c r="W272" s="27"/>
      <c r="X272" s="27"/>
      <c r="Y272" s="27"/>
    </row>
    <row r="273" spans="20:25" x14ac:dyDescent="0.3">
      <c r="T273" s="27"/>
      <c r="U273" s="27"/>
      <c r="V273" s="27"/>
      <c r="W273" s="27"/>
      <c r="X273" s="27"/>
      <c r="Y273" s="27"/>
    </row>
    <row r="274" spans="20:25" x14ac:dyDescent="0.3">
      <c r="T274" s="27"/>
      <c r="U274" s="27"/>
      <c r="V274" s="27"/>
      <c r="W274" s="27"/>
      <c r="X274" s="27"/>
      <c r="Y274" s="27"/>
    </row>
    <row r="275" spans="20:25" x14ac:dyDescent="0.3">
      <c r="T275" s="27"/>
      <c r="U275" s="27"/>
      <c r="V275" s="27"/>
      <c r="W275" s="27"/>
      <c r="X275" s="27"/>
      <c r="Y275" s="27"/>
    </row>
    <row r="276" spans="20:25" x14ac:dyDescent="0.3">
      <c r="T276" s="27"/>
      <c r="U276" s="27"/>
      <c r="V276" s="27"/>
      <c r="W276" s="27"/>
      <c r="X276" s="27"/>
      <c r="Y276" s="27"/>
    </row>
    <row r="277" spans="20:25" x14ac:dyDescent="0.3">
      <c r="T277" s="27"/>
      <c r="U277" s="27"/>
      <c r="V277" s="27"/>
      <c r="W277" s="27"/>
      <c r="X277" s="27"/>
      <c r="Y277" s="27"/>
    </row>
    <row r="278" spans="20:25" x14ac:dyDescent="0.3">
      <c r="T278" s="27"/>
      <c r="U278" s="27"/>
      <c r="V278" s="27"/>
      <c r="W278" s="27"/>
      <c r="X278" s="27"/>
      <c r="Y278" s="27"/>
    </row>
    <row r="279" spans="20:25" x14ac:dyDescent="0.3">
      <c r="T279" s="27"/>
      <c r="U279" s="27"/>
      <c r="V279" s="27"/>
      <c r="W279" s="27"/>
      <c r="X279" s="27"/>
      <c r="Y279" s="27"/>
    </row>
    <row r="280" spans="20:25" x14ac:dyDescent="0.3">
      <c r="T280" s="27"/>
      <c r="U280" s="27"/>
      <c r="V280" s="27"/>
      <c r="W280" s="27"/>
      <c r="X280" s="27"/>
      <c r="Y280" s="27"/>
    </row>
    <row r="281" spans="20:25" x14ac:dyDescent="0.3">
      <c r="T281" s="27"/>
      <c r="U281" s="27"/>
      <c r="V281" s="27"/>
      <c r="W281" s="27"/>
      <c r="X281" s="27"/>
      <c r="Y281" s="27"/>
    </row>
    <row r="282" spans="20:25" x14ac:dyDescent="0.3">
      <c r="T282" s="27"/>
      <c r="U282" s="27"/>
      <c r="V282" s="27"/>
      <c r="W282" s="27"/>
      <c r="X282" s="27"/>
      <c r="Y282" s="27"/>
    </row>
    <row r="283" spans="20:25" x14ac:dyDescent="0.3">
      <c r="T283" s="27"/>
      <c r="U283" s="27"/>
      <c r="V283" s="27"/>
      <c r="W283" s="27"/>
      <c r="X283" s="27"/>
      <c r="Y283" s="27"/>
    </row>
    <row r="284" spans="20:25" x14ac:dyDescent="0.3">
      <c r="T284" s="27"/>
      <c r="U284" s="27"/>
      <c r="V284" s="27"/>
      <c r="W284" s="27"/>
      <c r="X284" s="27"/>
      <c r="Y284" s="27"/>
    </row>
    <row r="285" spans="20:25" x14ac:dyDescent="0.3">
      <c r="T285" s="27"/>
      <c r="U285" s="27"/>
      <c r="V285" s="27"/>
      <c r="W285" s="27"/>
      <c r="X285" s="27"/>
      <c r="Y285" s="27"/>
    </row>
    <row r="286" spans="20:25" x14ac:dyDescent="0.3">
      <c r="T286" s="27"/>
      <c r="U286" s="27"/>
      <c r="V286" s="27"/>
      <c r="W286" s="27"/>
      <c r="X286" s="27"/>
      <c r="Y286" s="27"/>
    </row>
    <row r="287" spans="20:25" x14ac:dyDescent="0.3">
      <c r="T287" s="27"/>
      <c r="U287" s="27"/>
      <c r="V287" s="27"/>
      <c r="W287" s="27"/>
      <c r="X287" s="27"/>
      <c r="Y287" s="27"/>
    </row>
    <row r="288" spans="20:25" x14ac:dyDescent="0.3">
      <c r="T288" s="27"/>
      <c r="U288" s="27"/>
      <c r="V288" s="27"/>
      <c r="W288" s="27"/>
      <c r="X288" s="27"/>
      <c r="Y288" s="27"/>
    </row>
    <row r="289" spans="20:25" x14ac:dyDescent="0.3">
      <c r="T289" s="27"/>
      <c r="U289" s="27"/>
      <c r="V289" s="27"/>
      <c r="W289" s="27"/>
      <c r="X289" s="27"/>
      <c r="Y289" s="27"/>
    </row>
    <row r="290" spans="20:25" x14ac:dyDescent="0.3">
      <c r="T290" s="27"/>
      <c r="U290" s="27"/>
      <c r="V290" s="27"/>
      <c r="W290" s="27"/>
      <c r="X290" s="27"/>
      <c r="Y290" s="27"/>
    </row>
    <row r="291" spans="20:25" x14ac:dyDescent="0.3">
      <c r="T291" s="27"/>
      <c r="U291" s="27"/>
      <c r="V291" s="27"/>
      <c r="W291" s="27"/>
      <c r="X291" s="27"/>
      <c r="Y291" s="27"/>
    </row>
    <row r="292" spans="20:25" x14ac:dyDescent="0.3">
      <c r="T292" s="27"/>
      <c r="U292" s="27"/>
      <c r="V292" s="27"/>
      <c r="W292" s="27"/>
      <c r="X292" s="27"/>
      <c r="Y292" s="27"/>
    </row>
    <row r="293" spans="20:25" x14ac:dyDescent="0.3">
      <c r="T293" s="27"/>
      <c r="U293" s="27"/>
      <c r="V293" s="27"/>
      <c r="W293" s="27"/>
      <c r="X293" s="27"/>
      <c r="Y293" s="27"/>
    </row>
    <row r="294" spans="20:25" x14ac:dyDescent="0.3">
      <c r="T294" s="27"/>
      <c r="U294" s="27"/>
      <c r="V294" s="27"/>
      <c r="W294" s="27"/>
      <c r="X294" s="27"/>
      <c r="Y294" s="27"/>
    </row>
    <row r="295" spans="20:25" x14ac:dyDescent="0.3">
      <c r="T295" s="27"/>
      <c r="U295" s="27"/>
      <c r="V295" s="27"/>
      <c r="W295" s="27"/>
      <c r="X295" s="27"/>
      <c r="Y295" s="27"/>
    </row>
    <row r="296" spans="20:25" x14ac:dyDescent="0.3">
      <c r="T296" s="27"/>
      <c r="U296" s="27"/>
      <c r="V296" s="27"/>
      <c r="W296" s="27"/>
      <c r="X296" s="27"/>
      <c r="Y296" s="27"/>
    </row>
    <row r="297" spans="20:25" x14ac:dyDescent="0.3">
      <c r="T297" s="27"/>
      <c r="U297" s="27"/>
      <c r="V297" s="27"/>
      <c r="W297" s="27"/>
      <c r="X297" s="27"/>
      <c r="Y297" s="27"/>
    </row>
    <row r="298" spans="20:25" x14ac:dyDescent="0.3">
      <c r="T298" s="27"/>
      <c r="U298" s="27"/>
      <c r="V298" s="27"/>
      <c r="W298" s="27"/>
      <c r="X298" s="27"/>
      <c r="Y298" s="27"/>
    </row>
    <row r="299" spans="20:25" x14ac:dyDescent="0.3">
      <c r="T299" s="27"/>
      <c r="U299" s="27"/>
      <c r="V299" s="27"/>
      <c r="W299" s="27"/>
      <c r="X299" s="27"/>
      <c r="Y299" s="27"/>
    </row>
    <row r="300" spans="20:25" x14ac:dyDescent="0.3">
      <c r="T300" s="27"/>
      <c r="U300" s="27"/>
      <c r="V300" s="27"/>
      <c r="W300" s="27"/>
      <c r="X300" s="27"/>
      <c r="Y300" s="27"/>
    </row>
    <row r="301" spans="20:25" x14ac:dyDescent="0.3">
      <c r="T301" s="27"/>
      <c r="U301" s="27"/>
      <c r="V301" s="27"/>
      <c r="W301" s="27"/>
      <c r="X301" s="27"/>
      <c r="Y301" s="27"/>
    </row>
    <row r="302" spans="20:25" x14ac:dyDescent="0.3">
      <c r="T302" s="27"/>
      <c r="U302" s="27"/>
      <c r="V302" s="27"/>
      <c r="W302" s="27"/>
      <c r="X302" s="27"/>
      <c r="Y302" s="2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D4359-06C0-403F-B329-D942B2CC57DA}">
  <sheetPr codeName="Planilha35">
    <tabColor theme="9" tint="0.59999389629810485"/>
  </sheetPr>
  <dimension ref="A1:P299"/>
  <sheetViews>
    <sheetView showGridLines="0" workbookViewId="0">
      <selection activeCell="E12" sqref="E12"/>
    </sheetView>
  </sheetViews>
  <sheetFormatPr defaultColWidth="8.85546875" defaultRowHeight="18.75" x14ac:dyDescent="0.3"/>
  <cols>
    <col min="1" max="1" width="12.7109375" style="17" customWidth="1"/>
    <col min="2" max="2" width="30.5703125" customWidth="1"/>
    <col min="4" max="4" width="4.5703125" customWidth="1"/>
    <col min="5" max="5" width="11" bestFit="1" customWidth="1"/>
    <col min="6" max="6" width="12.42578125" customWidth="1"/>
    <col min="7" max="8" width="12.42578125" bestFit="1" customWidth="1"/>
    <col min="10" max="13" width="9" style="15" customWidth="1"/>
    <col min="14" max="16" width="8.85546875" style="15"/>
  </cols>
  <sheetData>
    <row r="1" spans="1:16" x14ac:dyDescent="0.3">
      <c r="A1" s="16" t="s">
        <v>340</v>
      </c>
      <c r="J1" s="14"/>
      <c r="K1" s="14"/>
      <c r="L1" s="14"/>
      <c r="M1" s="14"/>
      <c r="N1" s="14"/>
      <c r="O1" s="14"/>
      <c r="P1" s="14"/>
    </row>
    <row r="2" spans="1:16" x14ac:dyDescent="0.3">
      <c r="A2" s="17" t="s">
        <v>341</v>
      </c>
      <c r="J2" s="14"/>
      <c r="K2" s="14"/>
      <c r="L2" s="14"/>
      <c r="M2" s="14"/>
      <c r="N2" s="14"/>
      <c r="O2" s="14"/>
      <c r="P2" s="14"/>
    </row>
    <row r="4" spans="1:16" ht="15.75" x14ac:dyDescent="0.25">
      <c r="A4" s="2" t="s">
        <v>15</v>
      </c>
      <c r="B4" s="2" t="s">
        <v>16</v>
      </c>
    </row>
    <row r="5" spans="1:16" ht="15.75" x14ac:dyDescent="0.25">
      <c r="A5" s="23" t="s">
        <v>350</v>
      </c>
      <c r="B5" s="24" t="s">
        <v>349</v>
      </c>
    </row>
    <row r="6" spans="1:16" ht="15.75" x14ac:dyDescent="0.25">
      <c r="A6" s="23" t="s">
        <v>257</v>
      </c>
      <c r="B6" s="24" t="s">
        <v>344</v>
      </c>
    </row>
    <row r="7" spans="1:16" ht="31.5" x14ac:dyDescent="0.25">
      <c r="A7" s="23" t="s">
        <v>337</v>
      </c>
      <c r="B7" s="24" t="s">
        <v>345</v>
      </c>
    </row>
    <row r="8" spans="1:16" ht="47.25" x14ac:dyDescent="0.25">
      <c r="A8" s="23" t="s">
        <v>338</v>
      </c>
      <c r="B8" s="24" t="s">
        <v>346</v>
      </c>
    </row>
    <row r="9" spans="1:16" ht="15.75" x14ac:dyDescent="0.25">
      <c r="A9" s="94" t="s">
        <v>343</v>
      </c>
      <c r="B9" s="24"/>
    </row>
    <row r="10" spans="1:16" ht="15.75" x14ac:dyDescent="0.25">
      <c r="A10" s="23" t="s">
        <v>347</v>
      </c>
      <c r="B10" s="26"/>
    </row>
    <row r="11" spans="1:16" ht="15.75" x14ac:dyDescent="0.25">
      <c r="A11" s="23"/>
      <c r="B11" s="26"/>
    </row>
    <row r="12" spans="1:16" x14ac:dyDescent="0.3">
      <c r="E12" s="49" t="s">
        <v>342</v>
      </c>
      <c r="F12" s="49" t="s">
        <v>261</v>
      </c>
      <c r="G12" s="49" t="s">
        <v>339</v>
      </c>
      <c r="H12" s="49" t="s">
        <v>203</v>
      </c>
      <c r="J12" s="61" t="s">
        <v>253</v>
      </c>
      <c r="M12" s="90" t="s">
        <v>254</v>
      </c>
    </row>
    <row r="13" spans="1:16" ht="18.75" customHeight="1" x14ac:dyDescent="0.3">
      <c r="E13" s="55">
        <v>20</v>
      </c>
      <c r="F13" s="93">
        <v>0.05</v>
      </c>
      <c r="G13" s="55" t="b">
        <v>1</v>
      </c>
      <c r="H13" s="55" t="b">
        <v>0</v>
      </c>
      <c r="J13" s="63" cm="1">
        <f t="array" ref="J13">_xlfn.LAMBDA(_xlpm.nObs,_xlop.significance,_xlop.constant,_xlop.trend,
_xlfn.LET(
_xlpm.significance,IF(_xlfn.ISOMITTED(_xlpm.significance),FALSE,_xlpm.significance),
_xlpm.constant,IF(_xlfn.ISOMITTED(_xlpm.constant),FALSE,_xlpm.constant),
_xlpm.trend,IF(_xlfn.ISOMITTED(_xlpm.trend),FALSE,_xlpm.trend),
_xlpm.noConstant_noTrend,
{-2.56574,-2.22213,-1.941,-1.61682;-2.2358,-1.15384,-0.2686,0.2656;-3.627,-3.4829,-3.365,-2.714;0,17.17265,31.223,25.364},
_xlpm.constant_noTrend,
{-3.43035,-3.1175,-2.86154,-256677;-6.5393,-4.53235,-2.8903,-1.5384;-16.786,-9.8824,-4.234,-2.809;-79.433,-57.7669,-40.04,0},
_xlpm.constant_trend,
{-3.95877,-3.65722,-3.41049,-3.12705;-9.0531,-6.48862,-4.3904,-2.5856;-28.428,-17.7624,-9.036,-3.925;-134.155,-85.3255,-45.374,-22.38},
_xlpm.matrix, _xlfn.IFS( AND(_xlpm.constant,_xlpm.trend), _xlpm.constant_trend, _xlpm.constant, _xlpm.constant_noTrend, _xlpm.trend, #VALUE!, TRUE, _xlpm.noConstant_noTrend ),
_xlpm.colIdx, _xlfn.IFS(_xlpm.significance = 0.01, 1, _xlpm.significance = 0.025, 2, _xlpm.significance = 0.05, 3, _xlpm.significance = 0.1, 4, TRUE, #VALUE!),
_xlpm.N, _xlpm.nObs,
SLICE(_xlpm.matrix,1,1,_xlpm.colIdx,_xlpm.colIdx) + SLICE(_xlpm.matrix,2,2,_xlpm.colIdx,_xlpm.colIdx)/_xlpm.N + SLICE(_xlpm.matrix,3,3,_xlpm.colIdx,_xlpm.colIdx)/(_xlpm.N^2) + SLICE(_xlpm.matrix,4,4,_xlpm.colIdx,_xlpm.colIdx)/(_xlpm.N^3)
))($E$13,$F$13,$G$13,$H$13)</f>
        <v>-3.0216450000000004</v>
      </c>
      <c r="K13" s="54"/>
      <c r="L13" s="54"/>
      <c r="M13" s="63" cm="1">
        <f t="array" ref="M13">DFTABLE($E$13,$F$13,$G$13,$H$13)</f>
        <v>-3.0216450000000004</v>
      </c>
    </row>
    <row r="14" spans="1:16" x14ac:dyDescent="0.3">
      <c r="J14" s="54"/>
      <c r="K14" s="54"/>
      <c r="L14" s="54"/>
      <c r="M14" s="54"/>
    </row>
    <row r="15" spans="1:16" x14ac:dyDescent="0.3">
      <c r="J15" s="54"/>
      <c r="K15" s="54"/>
      <c r="L15" s="54"/>
      <c r="M15" s="54"/>
    </row>
    <row r="16" spans="1:16" x14ac:dyDescent="0.3">
      <c r="J16" s="54"/>
      <c r="K16" s="54"/>
      <c r="L16" s="54"/>
      <c r="M16" s="54"/>
    </row>
    <row r="17" spans="10:13" x14ac:dyDescent="0.3">
      <c r="J17" s="54"/>
      <c r="K17" s="54"/>
      <c r="L17" s="54"/>
      <c r="M17" s="54"/>
    </row>
    <row r="18" spans="10:13" x14ac:dyDescent="0.3">
      <c r="J18" s="54"/>
      <c r="K18" s="54"/>
      <c r="L18" s="54"/>
      <c r="M18" s="54"/>
    </row>
    <row r="19" spans="10:13" x14ac:dyDescent="0.3">
      <c r="J19" s="54"/>
      <c r="K19" s="54"/>
      <c r="L19" s="54"/>
      <c r="M19" s="54"/>
    </row>
    <row r="20" spans="10:13" x14ac:dyDescent="0.3">
      <c r="J20" s="54"/>
      <c r="K20" s="54"/>
      <c r="L20" s="54"/>
      <c r="M20" s="54"/>
    </row>
    <row r="21" spans="10:13" x14ac:dyDescent="0.3">
      <c r="J21" s="54"/>
      <c r="K21" s="54"/>
      <c r="L21" s="54"/>
      <c r="M21" s="54"/>
    </row>
    <row r="22" spans="10:13" x14ac:dyDescent="0.3">
      <c r="J22" s="54"/>
      <c r="K22" s="54"/>
      <c r="L22" s="54"/>
      <c r="M22" s="54"/>
    </row>
    <row r="23" spans="10:13" x14ac:dyDescent="0.3">
      <c r="J23" s="54"/>
      <c r="K23" s="54"/>
      <c r="L23" s="54"/>
      <c r="M23" s="54"/>
    </row>
    <row r="24" spans="10:13" x14ac:dyDescent="0.3">
      <c r="J24" s="54"/>
      <c r="K24" s="54"/>
      <c r="L24" s="54"/>
      <c r="M24" s="54"/>
    </row>
    <row r="25" spans="10:13" x14ac:dyDescent="0.3">
      <c r="J25" s="54"/>
      <c r="K25" s="54"/>
      <c r="L25" s="54"/>
      <c r="M25" s="54"/>
    </row>
    <row r="26" spans="10:13" x14ac:dyDescent="0.3">
      <c r="J26" s="54"/>
      <c r="K26" s="54"/>
      <c r="L26" s="54"/>
      <c r="M26" s="54"/>
    </row>
    <row r="27" spans="10:13" x14ac:dyDescent="0.3">
      <c r="J27" s="54"/>
      <c r="K27" s="54"/>
      <c r="L27" s="54"/>
      <c r="M27" s="54"/>
    </row>
    <row r="28" spans="10:13" x14ac:dyDescent="0.3">
      <c r="J28" s="54"/>
      <c r="K28" s="54"/>
      <c r="L28" s="54"/>
      <c r="M28" s="54"/>
    </row>
    <row r="29" spans="10:13" x14ac:dyDescent="0.3">
      <c r="J29" s="54"/>
      <c r="K29" s="54"/>
      <c r="L29" s="54"/>
      <c r="M29" s="54"/>
    </row>
    <row r="30" spans="10:13" x14ac:dyDescent="0.3">
      <c r="J30" s="54"/>
      <c r="K30" s="54"/>
      <c r="L30" s="54"/>
      <c r="M30" s="54"/>
    </row>
    <row r="31" spans="10:13" x14ac:dyDescent="0.3">
      <c r="J31" s="54"/>
      <c r="K31" s="54"/>
      <c r="L31" s="54"/>
      <c r="M31" s="54"/>
    </row>
    <row r="32" spans="10:13" x14ac:dyDescent="0.3">
      <c r="J32" s="54"/>
      <c r="K32" s="54"/>
      <c r="L32" s="54"/>
      <c r="M32" s="54"/>
    </row>
    <row r="33" spans="10:13" x14ac:dyDescent="0.3">
      <c r="J33" s="54"/>
      <c r="K33" s="54"/>
      <c r="L33" s="54"/>
      <c r="M33" s="54"/>
    </row>
    <row r="34" spans="10:13" x14ac:dyDescent="0.3">
      <c r="J34" s="54"/>
      <c r="K34" s="54"/>
      <c r="L34" s="54"/>
      <c r="M34" s="54"/>
    </row>
    <row r="35" spans="10:13" x14ac:dyDescent="0.3">
      <c r="J35" s="54"/>
      <c r="K35" s="54"/>
      <c r="L35" s="54"/>
      <c r="M35" s="54"/>
    </row>
    <row r="36" spans="10:13" x14ac:dyDescent="0.3">
      <c r="J36" s="54"/>
      <c r="K36" s="54"/>
      <c r="L36" s="54"/>
      <c r="M36" s="54"/>
    </row>
    <row r="37" spans="10:13" x14ac:dyDescent="0.3">
      <c r="J37" s="54"/>
      <c r="K37" s="54"/>
      <c r="L37" s="54"/>
      <c r="M37" s="54"/>
    </row>
    <row r="38" spans="10:13" x14ac:dyDescent="0.3">
      <c r="J38" s="54"/>
      <c r="K38" s="54"/>
      <c r="L38" s="54"/>
      <c r="M38" s="54"/>
    </row>
    <row r="39" spans="10:13" x14ac:dyDescent="0.3">
      <c r="J39" s="54"/>
      <c r="K39" s="54"/>
      <c r="L39" s="54"/>
      <c r="M39" s="54"/>
    </row>
    <row r="40" spans="10:13" x14ac:dyDescent="0.3">
      <c r="J40" s="54"/>
      <c r="K40" s="54"/>
      <c r="L40" s="54"/>
      <c r="M40" s="54"/>
    </row>
    <row r="41" spans="10:13" x14ac:dyDescent="0.3">
      <c r="J41" s="54"/>
      <c r="K41" s="54"/>
      <c r="L41" s="54"/>
      <c r="M41" s="54"/>
    </row>
    <row r="42" spans="10:13" x14ac:dyDescent="0.3">
      <c r="J42" s="54"/>
      <c r="K42" s="54"/>
      <c r="L42" s="54"/>
      <c r="M42" s="54"/>
    </row>
    <row r="43" spans="10:13" x14ac:dyDescent="0.3">
      <c r="J43" s="54"/>
      <c r="K43" s="54"/>
      <c r="L43" s="54"/>
      <c r="M43" s="54"/>
    </row>
    <row r="44" spans="10:13" x14ac:dyDescent="0.3">
      <c r="J44" s="54"/>
      <c r="K44" s="54"/>
      <c r="L44" s="54"/>
      <c r="M44" s="54"/>
    </row>
    <row r="45" spans="10:13" x14ac:dyDescent="0.3">
      <c r="J45" s="54"/>
      <c r="K45" s="54"/>
      <c r="L45" s="54"/>
      <c r="M45" s="54"/>
    </row>
    <row r="46" spans="10:13" x14ac:dyDescent="0.3">
      <c r="J46" s="54"/>
      <c r="K46" s="54"/>
      <c r="L46" s="54"/>
      <c r="M46" s="54"/>
    </row>
    <row r="47" spans="10:13" x14ac:dyDescent="0.3">
      <c r="J47" s="54"/>
      <c r="K47" s="54"/>
      <c r="L47" s="54"/>
      <c r="M47" s="54"/>
    </row>
    <row r="48" spans="10:13" x14ac:dyDescent="0.3">
      <c r="J48" s="54"/>
      <c r="K48" s="54"/>
      <c r="L48" s="54"/>
      <c r="M48" s="54"/>
    </row>
    <row r="49" spans="10:13" x14ac:dyDescent="0.3">
      <c r="J49" s="54"/>
      <c r="K49" s="54"/>
      <c r="L49" s="54"/>
      <c r="M49" s="54"/>
    </row>
    <row r="50" spans="10:13" x14ac:dyDescent="0.3">
      <c r="J50" s="54"/>
      <c r="K50" s="54"/>
      <c r="L50" s="54"/>
      <c r="M50" s="54"/>
    </row>
    <row r="51" spans="10:13" x14ac:dyDescent="0.3">
      <c r="J51" s="54"/>
      <c r="K51" s="54"/>
      <c r="L51" s="54"/>
      <c r="M51" s="54"/>
    </row>
    <row r="52" spans="10:13" x14ac:dyDescent="0.3">
      <c r="J52" s="54"/>
      <c r="K52" s="54"/>
      <c r="L52" s="54"/>
      <c r="M52" s="54"/>
    </row>
    <row r="53" spans="10:13" x14ac:dyDescent="0.3">
      <c r="J53" s="54"/>
      <c r="K53" s="54"/>
      <c r="L53" s="54"/>
      <c r="M53" s="54"/>
    </row>
    <row r="54" spans="10:13" x14ac:dyDescent="0.3">
      <c r="J54" s="54"/>
      <c r="K54" s="54"/>
      <c r="L54" s="54"/>
      <c r="M54" s="54"/>
    </row>
    <row r="55" spans="10:13" x14ac:dyDescent="0.3">
      <c r="J55" s="54"/>
      <c r="K55" s="54"/>
      <c r="L55" s="54"/>
      <c r="M55" s="54"/>
    </row>
    <row r="56" spans="10:13" x14ac:dyDescent="0.3">
      <c r="J56" s="54"/>
      <c r="K56" s="54"/>
      <c r="L56" s="54"/>
      <c r="M56" s="54"/>
    </row>
    <row r="57" spans="10:13" x14ac:dyDescent="0.3">
      <c r="J57" s="54"/>
      <c r="K57" s="54"/>
      <c r="L57" s="54"/>
      <c r="M57" s="54"/>
    </row>
    <row r="58" spans="10:13" x14ac:dyDescent="0.3">
      <c r="J58" s="54"/>
      <c r="K58" s="54"/>
      <c r="L58" s="54"/>
      <c r="M58" s="54"/>
    </row>
    <row r="59" spans="10:13" x14ac:dyDescent="0.3">
      <c r="J59" s="54"/>
      <c r="K59" s="54"/>
      <c r="L59" s="54"/>
      <c r="M59" s="54"/>
    </row>
    <row r="60" spans="10:13" x14ac:dyDescent="0.3">
      <c r="J60" s="54"/>
      <c r="K60" s="54"/>
      <c r="L60" s="54"/>
      <c r="M60" s="54"/>
    </row>
    <row r="61" spans="10:13" x14ac:dyDescent="0.3">
      <c r="J61" s="54"/>
      <c r="K61" s="54"/>
      <c r="L61" s="54"/>
      <c r="M61" s="54"/>
    </row>
    <row r="62" spans="10:13" x14ac:dyDescent="0.3">
      <c r="J62" s="54"/>
      <c r="K62" s="54"/>
      <c r="L62" s="54"/>
      <c r="M62" s="54"/>
    </row>
    <row r="63" spans="10:13" x14ac:dyDescent="0.3">
      <c r="J63" s="54"/>
      <c r="K63" s="54"/>
      <c r="L63" s="54"/>
      <c r="M63" s="54"/>
    </row>
    <row r="64" spans="10:13" x14ac:dyDescent="0.3">
      <c r="J64" s="54"/>
      <c r="K64" s="54"/>
      <c r="L64" s="54"/>
      <c r="M64" s="54"/>
    </row>
    <row r="65" spans="10:13" x14ac:dyDescent="0.3">
      <c r="J65" s="54"/>
      <c r="K65" s="54"/>
      <c r="L65" s="54"/>
      <c r="M65" s="54"/>
    </row>
    <row r="66" spans="10:13" x14ac:dyDescent="0.3">
      <c r="J66" s="54"/>
      <c r="K66" s="54"/>
      <c r="L66" s="54"/>
      <c r="M66" s="54"/>
    </row>
    <row r="67" spans="10:13" x14ac:dyDescent="0.3">
      <c r="J67" s="54"/>
      <c r="K67" s="54"/>
      <c r="L67" s="54"/>
      <c r="M67" s="54"/>
    </row>
    <row r="68" spans="10:13" x14ac:dyDescent="0.3">
      <c r="J68" s="54"/>
      <c r="K68" s="54"/>
      <c r="L68" s="54"/>
      <c r="M68" s="54"/>
    </row>
    <row r="69" spans="10:13" x14ac:dyDescent="0.3">
      <c r="J69" s="54"/>
      <c r="K69" s="54"/>
      <c r="L69" s="54"/>
      <c r="M69" s="54"/>
    </row>
    <row r="70" spans="10:13" x14ac:dyDescent="0.3">
      <c r="J70" s="54"/>
      <c r="K70" s="54"/>
      <c r="L70" s="54"/>
      <c r="M70" s="54"/>
    </row>
    <row r="71" spans="10:13" x14ac:dyDescent="0.3">
      <c r="J71" s="54"/>
      <c r="K71" s="54"/>
      <c r="L71" s="54"/>
      <c r="M71" s="54"/>
    </row>
    <row r="72" spans="10:13" x14ac:dyDescent="0.3">
      <c r="J72" s="54"/>
      <c r="K72" s="54"/>
      <c r="L72" s="54"/>
      <c r="M72" s="54"/>
    </row>
    <row r="73" spans="10:13" x14ac:dyDescent="0.3">
      <c r="J73" s="54"/>
      <c r="K73" s="54"/>
      <c r="L73" s="54"/>
      <c r="M73" s="54"/>
    </row>
    <row r="74" spans="10:13" x14ac:dyDescent="0.3">
      <c r="J74" s="54"/>
      <c r="K74" s="54"/>
      <c r="L74" s="54"/>
      <c r="M74" s="54"/>
    </row>
    <row r="75" spans="10:13" x14ac:dyDescent="0.3">
      <c r="J75" s="54"/>
      <c r="K75" s="54"/>
      <c r="L75" s="54"/>
      <c r="M75" s="54"/>
    </row>
    <row r="76" spans="10:13" x14ac:dyDescent="0.3">
      <c r="J76" s="54"/>
      <c r="K76" s="54"/>
      <c r="L76" s="54"/>
      <c r="M76" s="54"/>
    </row>
    <row r="77" spans="10:13" x14ac:dyDescent="0.3">
      <c r="J77" s="54"/>
      <c r="K77" s="54"/>
      <c r="L77" s="54"/>
      <c r="M77" s="54"/>
    </row>
    <row r="78" spans="10:13" x14ac:dyDescent="0.3">
      <c r="J78" s="54"/>
      <c r="K78" s="54"/>
      <c r="L78" s="54"/>
      <c r="M78" s="54"/>
    </row>
    <row r="79" spans="10:13" x14ac:dyDescent="0.3">
      <c r="J79" s="54"/>
      <c r="K79" s="54"/>
      <c r="L79" s="54"/>
      <c r="M79" s="54"/>
    </row>
    <row r="80" spans="10:13" x14ac:dyDescent="0.3">
      <c r="J80" s="54"/>
      <c r="K80" s="54"/>
      <c r="L80" s="54"/>
      <c r="M80" s="54"/>
    </row>
    <row r="81" spans="10:13" x14ac:dyDescent="0.3">
      <c r="J81" s="54"/>
      <c r="K81" s="54"/>
      <c r="L81" s="54"/>
      <c r="M81" s="54"/>
    </row>
    <row r="82" spans="10:13" x14ac:dyDescent="0.3">
      <c r="J82" s="54"/>
      <c r="K82" s="54"/>
      <c r="L82" s="54"/>
      <c r="M82" s="54"/>
    </row>
    <row r="83" spans="10:13" x14ac:dyDescent="0.3">
      <c r="J83" s="54"/>
      <c r="K83" s="54"/>
      <c r="L83" s="54"/>
      <c r="M83" s="54"/>
    </row>
    <row r="84" spans="10:13" x14ac:dyDescent="0.3">
      <c r="J84" s="54"/>
      <c r="K84" s="54"/>
      <c r="L84" s="54"/>
      <c r="M84" s="54"/>
    </row>
    <row r="85" spans="10:13" x14ac:dyDescent="0.3">
      <c r="J85" s="54"/>
      <c r="K85" s="54"/>
      <c r="L85" s="54"/>
      <c r="M85" s="54"/>
    </row>
    <row r="86" spans="10:13" x14ac:dyDescent="0.3">
      <c r="J86" s="54"/>
      <c r="K86" s="54"/>
      <c r="L86" s="54"/>
      <c r="M86" s="54"/>
    </row>
    <row r="87" spans="10:13" x14ac:dyDescent="0.3">
      <c r="J87" s="54"/>
      <c r="K87" s="54"/>
      <c r="L87" s="54"/>
      <c r="M87" s="54"/>
    </row>
    <row r="88" spans="10:13" x14ac:dyDescent="0.3">
      <c r="J88" s="54"/>
      <c r="K88" s="54"/>
      <c r="L88" s="54"/>
      <c r="M88" s="54"/>
    </row>
    <row r="89" spans="10:13" x14ac:dyDescent="0.3">
      <c r="J89" s="54"/>
      <c r="K89" s="54"/>
      <c r="L89" s="54"/>
      <c r="M89" s="54"/>
    </row>
    <row r="90" spans="10:13" x14ac:dyDescent="0.3">
      <c r="J90" s="54"/>
      <c r="K90" s="54"/>
      <c r="L90" s="54"/>
      <c r="M90" s="54"/>
    </row>
    <row r="91" spans="10:13" x14ac:dyDescent="0.3">
      <c r="J91" s="54"/>
      <c r="K91" s="54"/>
      <c r="L91" s="54"/>
      <c r="M91" s="54"/>
    </row>
    <row r="92" spans="10:13" x14ac:dyDescent="0.3">
      <c r="J92" s="54"/>
      <c r="K92" s="54"/>
      <c r="L92" s="54"/>
      <c r="M92" s="54"/>
    </row>
    <row r="93" spans="10:13" x14ac:dyDescent="0.3">
      <c r="J93" s="54"/>
      <c r="K93" s="54"/>
      <c r="L93" s="54"/>
      <c r="M93" s="54"/>
    </row>
    <row r="94" spans="10:13" x14ac:dyDescent="0.3">
      <c r="J94" s="54"/>
      <c r="K94" s="54"/>
      <c r="L94" s="54"/>
      <c r="M94" s="54"/>
    </row>
    <row r="95" spans="10:13" x14ac:dyDescent="0.3">
      <c r="J95" s="54"/>
      <c r="K95" s="54"/>
      <c r="L95" s="54"/>
      <c r="M95" s="54"/>
    </row>
    <row r="96" spans="10:13" x14ac:dyDescent="0.3">
      <c r="J96" s="54"/>
      <c r="K96" s="54"/>
      <c r="L96" s="54"/>
      <c r="M96" s="54"/>
    </row>
    <row r="97" spans="10:13" x14ac:dyDescent="0.3">
      <c r="J97" s="54"/>
      <c r="K97" s="54"/>
      <c r="L97" s="54"/>
      <c r="M97" s="54"/>
    </row>
    <row r="98" spans="10:13" x14ac:dyDescent="0.3">
      <c r="J98" s="54"/>
      <c r="K98" s="54"/>
      <c r="L98" s="54"/>
      <c r="M98" s="54"/>
    </row>
    <row r="99" spans="10:13" x14ac:dyDescent="0.3">
      <c r="J99" s="54"/>
      <c r="K99" s="54"/>
      <c r="L99" s="54"/>
      <c r="M99" s="54"/>
    </row>
    <row r="100" spans="10:13" x14ac:dyDescent="0.3">
      <c r="J100" s="54"/>
      <c r="K100" s="54"/>
      <c r="L100" s="54"/>
      <c r="M100" s="54"/>
    </row>
    <row r="101" spans="10:13" x14ac:dyDescent="0.3">
      <c r="J101" s="54"/>
      <c r="K101" s="54"/>
      <c r="L101" s="54"/>
      <c r="M101" s="54"/>
    </row>
    <row r="102" spans="10:13" x14ac:dyDescent="0.3">
      <c r="J102" s="54"/>
      <c r="K102" s="54"/>
      <c r="L102" s="54"/>
      <c r="M102" s="54"/>
    </row>
    <row r="103" spans="10:13" x14ac:dyDescent="0.3">
      <c r="J103" s="54"/>
      <c r="K103" s="54"/>
      <c r="L103" s="54"/>
      <c r="M103" s="54"/>
    </row>
    <row r="104" spans="10:13" x14ac:dyDescent="0.3">
      <c r="J104" s="54"/>
      <c r="K104" s="54"/>
      <c r="L104" s="54"/>
      <c r="M104" s="54"/>
    </row>
    <row r="105" spans="10:13" x14ac:dyDescent="0.3">
      <c r="J105" s="54"/>
      <c r="K105" s="54"/>
      <c r="L105" s="54"/>
      <c r="M105" s="54"/>
    </row>
    <row r="106" spans="10:13" x14ac:dyDescent="0.3">
      <c r="J106" s="54"/>
      <c r="K106" s="54"/>
      <c r="L106" s="54"/>
      <c r="M106" s="54"/>
    </row>
    <row r="107" spans="10:13" x14ac:dyDescent="0.3">
      <c r="J107" s="54"/>
      <c r="K107" s="54"/>
      <c r="L107" s="54"/>
      <c r="M107" s="54"/>
    </row>
    <row r="108" spans="10:13" x14ac:dyDescent="0.3">
      <c r="J108" s="54"/>
      <c r="K108" s="54"/>
      <c r="L108" s="54"/>
      <c r="M108" s="54"/>
    </row>
    <row r="109" spans="10:13" x14ac:dyDescent="0.3">
      <c r="J109" s="54"/>
      <c r="K109" s="54"/>
      <c r="L109" s="54"/>
      <c r="M109" s="54"/>
    </row>
    <row r="110" spans="10:13" x14ac:dyDescent="0.3">
      <c r="J110" s="54"/>
      <c r="K110" s="54"/>
      <c r="L110" s="54"/>
      <c r="M110" s="54"/>
    </row>
    <row r="111" spans="10:13" x14ac:dyDescent="0.3">
      <c r="J111" s="54"/>
      <c r="K111" s="54"/>
      <c r="L111" s="54"/>
      <c r="M111" s="54"/>
    </row>
    <row r="112" spans="10:13" x14ac:dyDescent="0.3">
      <c r="J112" s="54"/>
      <c r="K112" s="54"/>
      <c r="L112" s="54"/>
      <c r="M112" s="54"/>
    </row>
    <row r="113" spans="10:13" x14ac:dyDescent="0.3">
      <c r="J113" s="54"/>
      <c r="K113" s="54"/>
      <c r="L113" s="54"/>
      <c r="M113" s="54"/>
    </row>
    <row r="114" spans="10:13" x14ac:dyDescent="0.3">
      <c r="J114" s="54"/>
      <c r="K114" s="54"/>
      <c r="L114" s="54"/>
      <c r="M114" s="54"/>
    </row>
    <row r="115" spans="10:13" x14ac:dyDescent="0.3">
      <c r="J115" s="54"/>
      <c r="K115" s="54"/>
      <c r="L115" s="54"/>
      <c r="M115" s="54"/>
    </row>
    <row r="116" spans="10:13" x14ac:dyDescent="0.3">
      <c r="J116" s="54"/>
      <c r="K116" s="54"/>
      <c r="L116" s="54"/>
      <c r="M116" s="54"/>
    </row>
    <row r="117" spans="10:13" x14ac:dyDescent="0.3">
      <c r="J117" s="54"/>
      <c r="K117" s="54"/>
      <c r="L117" s="54"/>
      <c r="M117" s="54"/>
    </row>
    <row r="118" spans="10:13" x14ac:dyDescent="0.3">
      <c r="J118" s="54"/>
      <c r="K118" s="54"/>
      <c r="L118" s="54"/>
      <c r="M118" s="54"/>
    </row>
    <row r="119" spans="10:13" x14ac:dyDescent="0.3">
      <c r="J119" s="54"/>
      <c r="K119" s="54"/>
      <c r="L119" s="54"/>
      <c r="M119" s="54"/>
    </row>
    <row r="120" spans="10:13" x14ac:dyDescent="0.3">
      <c r="J120" s="54"/>
      <c r="K120" s="54"/>
      <c r="L120" s="54"/>
      <c r="M120" s="54"/>
    </row>
    <row r="121" spans="10:13" x14ac:dyDescent="0.3">
      <c r="J121" s="54"/>
      <c r="K121" s="54"/>
      <c r="L121" s="54"/>
      <c r="M121" s="54"/>
    </row>
    <row r="122" spans="10:13" x14ac:dyDescent="0.3">
      <c r="J122" s="54"/>
      <c r="K122" s="54"/>
      <c r="L122" s="54"/>
      <c r="M122" s="54"/>
    </row>
    <row r="123" spans="10:13" x14ac:dyDescent="0.3">
      <c r="J123" s="54"/>
      <c r="K123" s="54"/>
      <c r="L123" s="54"/>
      <c r="M123" s="54"/>
    </row>
    <row r="124" spans="10:13" x14ac:dyDescent="0.3">
      <c r="J124" s="54"/>
      <c r="K124" s="54"/>
      <c r="L124" s="54"/>
      <c r="M124" s="54"/>
    </row>
    <row r="125" spans="10:13" x14ac:dyDescent="0.3">
      <c r="J125" s="54"/>
      <c r="K125" s="54"/>
      <c r="L125" s="54"/>
      <c r="M125" s="54"/>
    </row>
    <row r="126" spans="10:13" x14ac:dyDescent="0.3">
      <c r="J126" s="54"/>
      <c r="K126" s="54"/>
      <c r="L126" s="54"/>
      <c r="M126" s="54"/>
    </row>
    <row r="127" spans="10:13" x14ac:dyDescent="0.3">
      <c r="J127" s="54"/>
      <c r="K127" s="54"/>
      <c r="L127" s="54"/>
      <c r="M127" s="54"/>
    </row>
    <row r="128" spans="10:13" x14ac:dyDescent="0.3">
      <c r="J128" s="54"/>
      <c r="K128" s="54"/>
      <c r="L128" s="54"/>
      <c r="M128" s="54"/>
    </row>
    <row r="129" spans="10:13" x14ac:dyDescent="0.3">
      <c r="J129" s="54"/>
      <c r="K129" s="54"/>
      <c r="L129" s="54"/>
      <c r="M129" s="54"/>
    </row>
    <row r="130" spans="10:13" x14ac:dyDescent="0.3">
      <c r="J130" s="54"/>
      <c r="K130" s="54"/>
      <c r="L130" s="54"/>
      <c r="M130" s="54"/>
    </row>
    <row r="131" spans="10:13" x14ac:dyDescent="0.3">
      <c r="J131" s="54"/>
      <c r="K131" s="54"/>
      <c r="L131" s="54"/>
      <c r="M131" s="54"/>
    </row>
    <row r="132" spans="10:13" x14ac:dyDescent="0.3">
      <c r="J132" s="54"/>
      <c r="K132" s="54"/>
      <c r="L132" s="54"/>
      <c r="M132" s="54"/>
    </row>
    <row r="133" spans="10:13" x14ac:dyDescent="0.3">
      <c r="J133" s="54"/>
      <c r="K133" s="54"/>
      <c r="L133" s="54"/>
      <c r="M133" s="54"/>
    </row>
    <row r="134" spans="10:13" x14ac:dyDescent="0.3">
      <c r="J134" s="54"/>
      <c r="K134" s="54"/>
      <c r="L134" s="54"/>
      <c r="M134" s="54"/>
    </row>
    <row r="135" spans="10:13" x14ac:dyDescent="0.3">
      <c r="J135" s="54"/>
      <c r="K135" s="54"/>
      <c r="L135" s="54"/>
      <c r="M135" s="54"/>
    </row>
    <row r="136" spans="10:13" x14ac:dyDescent="0.3">
      <c r="J136" s="54"/>
      <c r="K136" s="54"/>
      <c r="L136" s="54"/>
      <c r="M136" s="54"/>
    </row>
    <row r="137" spans="10:13" x14ac:dyDescent="0.3">
      <c r="J137" s="54"/>
      <c r="K137" s="54"/>
      <c r="L137" s="54"/>
      <c r="M137" s="54"/>
    </row>
    <row r="138" spans="10:13" x14ac:dyDescent="0.3">
      <c r="J138" s="54"/>
      <c r="K138" s="54"/>
      <c r="L138" s="54"/>
      <c r="M138" s="54"/>
    </row>
    <row r="139" spans="10:13" x14ac:dyDescent="0.3">
      <c r="J139" s="54"/>
      <c r="K139" s="54"/>
      <c r="L139" s="54"/>
      <c r="M139" s="54"/>
    </row>
    <row r="140" spans="10:13" x14ac:dyDescent="0.3">
      <c r="J140" s="54"/>
      <c r="K140" s="54"/>
      <c r="L140" s="54"/>
      <c r="M140" s="54"/>
    </row>
    <row r="141" spans="10:13" x14ac:dyDescent="0.3">
      <c r="J141" s="54"/>
      <c r="K141" s="54"/>
      <c r="L141" s="54"/>
      <c r="M141" s="54"/>
    </row>
    <row r="142" spans="10:13" x14ac:dyDescent="0.3">
      <c r="J142" s="54"/>
      <c r="K142" s="54"/>
      <c r="L142" s="54"/>
      <c r="M142" s="54"/>
    </row>
    <row r="143" spans="10:13" x14ac:dyDescent="0.3">
      <c r="J143" s="54"/>
      <c r="K143" s="54"/>
      <c r="L143" s="54"/>
      <c r="M143" s="54"/>
    </row>
    <row r="144" spans="10:13" x14ac:dyDescent="0.3">
      <c r="J144" s="54"/>
      <c r="K144" s="54"/>
      <c r="L144" s="54"/>
      <c r="M144" s="54"/>
    </row>
    <row r="145" spans="10:13" x14ac:dyDescent="0.3">
      <c r="J145" s="54"/>
      <c r="K145" s="54"/>
      <c r="L145" s="54"/>
      <c r="M145" s="54"/>
    </row>
    <row r="146" spans="10:13" x14ac:dyDescent="0.3">
      <c r="J146" s="54"/>
      <c r="K146" s="54"/>
      <c r="L146" s="54"/>
      <c r="M146" s="54"/>
    </row>
    <row r="147" spans="10:13" x14ac:dyDescent="0.3">
      <c r="J147" s="54"/>
      <c r="K147" s="54"/>
      <c r="L147" s="54"/>
      <c r="M147" s="54"/>
    </row>
    <row r="148" spans="10:13" x14ac:dyDescent="0.3">
      <c r="J148" s="54"/>
      <c r="K148" s="54"/>
      <c r="L148" s="54"/>
      <c r="M148" s="54"/>
    </row>
    <row r="149" spans="10:13" x14ac:dyDescent="0.3">
      <c r="J149" s="54"/>
      <c r="K149" s="54"/>
      <c r="L149" s="54"/>
      <c r="M149" s="54"/>
    </row>
    <row r="150" spans="10:13" x14ac:dyDescent="0.3">
      <c r="J150" s="54"/>
      <c r="K150" s="54"/>
      <c r="L150" s="54"/>
      <c r="M150" s="54"/>
    </row>
    <row r="151" spans="10:13" x14ac:dyDescent="0.3">
      <c r="J151" s="54"/>
      <c r="K151" s="54"/>
      <c r="L151" s="54"/>
      <c r="M151" s="54"/>
    </row>
    <row r="152" spans="10:13" x14ac:dyDescent="0.3">
      <c r="J152" s="54"/>
      <c r="K152" s="54"/>
      <c r="L152" s="54"/>
      <c r="M152" s="54"/>
    </row>
    <row r="153" spans="10:13" x14ac:dyDescent="0.3">
      <c r="J153" s="54"/>
      <c r="K153" s="54"/>
      <c r="L153" s="54"/>
      <c r="M153" s="54"/>
    </row>
    <row r="154" spans="10:13" x14ac:dyDescent="0.3">
      <c r="J154" s="54"/>
      <c r="K154" s="54"/>
      <c r="L154" s="54"/>
      <c r="M154" s="54"/>
    </row>
    <row r="155" spans="10:13" x14ac:dyDescent="0.3">
      <c r="J155" s="54"/>
      <c r="K155" s="54"/>
      <c r="L155" s="54"/>
      <c r="M155" s="54"/>
    </row>
    <row r="156" spans="10:13" x14ac:dyDescent="0.3">
      <c r="J156" s="54"/>
      <c r="K156" s="54"/>
      <c r="L156" s="54"/>
      <c r="M156" s="54"/>
    </row>
    <row r="157" spans="10:13" x14ac:dyDescent="0.3">
      <c r="J157" s="54"/>
      <c r="K157" s="54"/>
      <c r="L157" s="54"/>
      <c r="M157" s="54"/>
    </row>
    <row r="158" spans="10:13" x14ac:dyDescent="0.3">
      <c r="J158" s="54"/>
      <c r="K158" s="54"/>
      <c r="L158" s="54"/>
      <c r="M158" s="54"/>
    </row>
    <row r="159" spans="10:13" x14ac:dyDescent="0.3">
      <c r="J159" s="54"/>
      <c r="K159" s="54"/>
      <c r="L159" s="54"/>
      <c r="M159" s="54"/>
    </row>
    <row r="160" spans="10:13" x14ac:dyDescent="0.3">
      <c r="J160" s="54"/>
      <c r="K160" s="54"/>
      <c r="L160" s="54"/>
      <c r="M160" s="54"/>
    </row>
    <row r="161" spans="10:13" x14ac:dyDescent="0.3">
      <c r="J161" s="54"/>
      <c r="K161" s="54"/>
      <c r="L161" s="54"/>
      <c r="M161" s="54"/>
    </row>
    <row r="162" spans="10:13" x14ac:dyDescent="0.3">
      <c r="J162" s="54"/>
      <c r="K162" s="54"/>
      <c r="L162" s="54"/>
      <c r="M162" s="54"/>
    </row>
    <row r="163" spans="10:13" x14ac:dyDescent="0.3">
      <c r="J163" s="54"/>
      <c r="K163" s="54"/>
      <c r="L163" s="54"/>
      <c r="M163" s="54"/>
    </row>
    <row r="164" spans="10:13" x14ac:dyDescent="0.3">
      <c r="J164" s="54"/>
      <c r="K164" s="54"/>
      <c r="L164" s="54"/>
      <c r="M164" s="54"/>
    </row>
    <row r="165" spans="10:13" x14ac:dyDescent="0.3">
      <c r="J165" s="54"/>
      <c r="K165" s="54"/>
      <c r="L165" s="54"/>
      <c r="M165" s="54"/>
    </row>
    <row r="166" spans="10:13" x14ac:dyDescent="0.3">
      <c r="J166" s="54"/>
      <c r="K166" s="54"/>
      <c r="L166" s="54"/>
      <c r="M166" s="54"/>
    </row>
    <row r="167" spans="10:13" x14ac:dyDescent="0.3">
      <c r="J167" s="54"/>
      <c r="K167" s="54"/>
      <c r="L167" s="54"/>
      <c r="M167" s="54"/>
    </row>
    <row r="168" spans="10:13" x14ac:dyDescent="0.3">
      <c r="J168" s="54"/>
      <c r="K168" s="54"/>
      <c r="L168" s="54"/>
      <c r="M168" s="54"/>
    </row>
    <row r="169" spans="10:13" x14ac:dyDescent="0.3">
      <c r="J169" s="54"/>
      <c r="K169" s="54"/>
      <c r="L169" s="54"/>
      <c r="M169" s="54"/>
    </row>
    <row r="170" spans="10:13" x14ac:dyDescent="0.3">
      <c r="J170" s="54"/>
      <c r="K170" s="54"/>
      <c r="L170" s="54"/>
      <c r="M170" s="54"/>
    </row>
    <row r="171" spans="10:13" x14ac:dyDescent="0.3">
      <c r="J171" s="54"/>
      <c r="K171" s="54"/>
      <c r="L171" s="54"/>
      <c r="M171" s="54"/>
    </row>
    <row r="172" spans="10:13" x14ac:dyDescent="0.3">
      <c r="J172" s="54"/>
      <c r="K172" s="54"/>
      <c r="L172" s="54"/>
      <c r="M172" s="54"/>
    </row>
    <row r="173" spans="10:13" x14ac:dyDescent="0.3">
      <c r="J173" s="54"/>
      <c r="K173" s="54"/>
      <c r="L173" s="54"/>
      <c r="M173" s="54"/>
    </row>
    <row r="174" spans="10:13" x14ac:dyDescent="0.3">
      <c r="J174" s="54"/>
      <c r="K174" s="54"/>
      <c r="L174" s="54"/>
      <c r="M174" s="54"/>
    </row>
    <row r="175" spans="10:13" x14ac:dyDescent="0.3">
      <c r="J175" s="54"/>
      <c r="K175" s="54"/>
      <c r="L175" s="54"/>
      <c r="M175" s="54"/>
    </row>
    <row r="176" spans="10:13" x14ac:dyDescent="0.3">
      <c r="J176" s="54"/>
      <c r="K176" s="54"/>
      <c r="L176" s="54"/>
      <c r="M176" s="54"/>
    </row>
    <row r="177" spans="10:13" x14ac:dyDescent="0.3">
      <c r="J177" s="54"/>
      <c r="K177" s="54"/>
      <c r="L177" s="54"/>
      <c r="M177" s="54"/>
    </row>
    <row r="178" spans="10:13" x14ac:dyDescent="0.3">
      <c r="J178" s="54"/>
      <c r="K178" s="54"/>
      <c r="L178" s="54"/>
      <c r="M178" s="54"/>
    </row>
    <row r="179" spans="10:13" x14ac:dyDescent="0.3">
      <c r="J179" s="54"/>
      <c r="K179" s="54"/>
      <c r="L179" s="54"/>
      <c r="M179" s="54"/>
    </row>
    <row r="180" spans="10:13" x14ac:dyDescent="0.3">
      <c r="J180" s="54"/>
      <c r="K180" s="54"/>
      <c r="L180" s="54"/>
      <c r="M180" s="54"/>
    </row>
    <row r="181" spans="10:13" x14ac:dyDescent="0.3">
      <c r="J181" s="54"/>
      <c r="K181" s="54"/>
      <c r="L181" s="54"/>
      <c r="M181" s="54"/>
    </row>
    <row r="182" spans="10:13" x14ac:dyDescent="0.3">
      <c r="J182" s="54"/>
      <c r="K182" s="54"/>
      <c r="L182" s="54"/>
      <c r="M182" s="54"/>
    </row>
    <row r="183" spans="10:13" x14ac:dyDescent="0.3">
      <c r="J183" s="54"/>
      <c r="K183" s="54"/>
      <c r="L183" s="54"/>
      <c r="M183" s="54"/>
    </row>
    <row r="184" spans="10:13" x14ac:dyDescent="0.3">
      <c r="J184" s="54"/>
      <c r="K184" s="54"/>
      <c r="L184" s="54"/>
      <c r="M184" s="54"/>
    </row>
    <row r="185" spans="10:13" x14ac:dyDescent="0.3">
      <c r="J185" s="54"/>
      <c r="K185" s="54"/>
      <c r="L185" s="54"/>
      <c r="M185" s="54"/>
    </row>
    <row r="186" spans="10:13" x14ac:dyDescent="0.3">
      <c r="J186" s="54"/>
      <c r="K186" s="54"/>
      <c r="L186" s="54"/>
      <c r="M186" s="54"/>
    </row>
    <row r="187" spans="10:13" x14ac:dyDescent="0.3">
      <c r="J187" s="54"/>
      <c r="K187" s="54"/>
      <c r="L187" s="54"/>
      <c r="M187" s="54"/>
    </row>
    <row r="188" spans="10:13" x14ac:dyDescent="0.3">
      <c r="J188" s="54"/>
      <c r="K188" s="54"/>
      <c r="L188" s="54"/>
      <c r="M188" s="54"/>
    </row>
    <row r="189" spans="10:13" x14ac:dyDescent="0.3">
      <c r="J189" s="54"/>
      <c r="K189" s="54"/>
      <c r="L189" s="54"/>
      <c r="M189" s="54"/>
    </row>
    <row r="190" spans="10:13" x14ac:dyDescent="0.3">
      <c r="J190" s="54"/>
      <c r="K190" s="54"/>
      <c r="L190" s="54"/>
      <c r="M190" s="54"/>
    </row>
    <row r="191" spans="10:13" x14ac:dyDescent="0.3">
      <c r="J191" s="54"/>
      <c r="K191" s="54"/>
      <c r="L191" s="54"/>
      <c r="M191" s="54"/>
    </row>
    <row r="192" spans="10:13" x14ac:dyDescent="0.3">
      <c r="J192" s="54"/>
      <c r="K192" s="54"/>
      <c r="L192" s="54"/>
      <c r="M192" s="54"/>
    </row>
    <row r="193" spans="10:13" x14ac:dyDescent="0.3">
      <c r="J193" s="54"/>
      <c r="K193" s="54"/>
      <c r="L193" s="54"/>
      <c r="M193" s="54"/>
    </row>
    <row r="194" spans="10:13" x14ac:dyDescent="0.3">
      <c r="J194" s="54"/>
      <c r="K194" s="54"/>
      <c r="L194" s="54"/>
      <c r="M194" s="54"/>
    </row>
    <row r="195" spans="10:13" x14ac:dyDescent="0.3">
      <c r="J195" s="54"/>
      <c r="K195" s="54"/>
      <c r="L195" s="54"/>
      <c r="M195" s="54"/>
    </row>
    <row r="196" spans="10:13" x14ac:dyDescent="0.3">
      <c r="J196" s="54"/>
      <c r="K196" s="54"/>
      <c r="L196" s="54"/>
      <c r="M196" s="54"/>
    </row>
    <row r="197" spans="10:13" x14ac:dyDescent="0.3">
      <c r="J197" s="54"/>
      <c r="K197" s="54"/>
      <c r="L197" s="54"/>
      <c r="M197" s="54"/>
    </row>
    <row r="198" spans="10:13" x14ac:dyDescent="0.3">
      <c r="J198" s="54"/>
      <c r="K198" s="54"/>
      <c r="L198" s="54"/>
      <c r="M198" s="54"/>
    </row>
    <row r="199" spans="10:13" x14ac:dyDescent="0.3">
      <c r="J199" s="54"/>
      <c r="K199" s="54"/>
      <c r="L199" s="54"/>
      <c r="M199" s="54"/>
    </row>
    <row r="200" spans="10:13" x14ac:dyDescent="0.3">
      <c r="J200" s="54"/>
      <c r="K200" s="54"/>
      <c r="L200" s="54"/>
      <c r="M200" s="54"/>
    </row>
    <row r="201" spans="10:13" x14ac:dyDescent="0.3">
      <c r="J201" s="54"/>
      <c r="K201" s="54"/>
      <c r="L201" s="54"/>
      <c r="M201" s="54"/>
    </row>
    <row r="202" spans="10:13" x14ac:dyDescent="0.3">
      <c r="J202" s="54"/>
      <c r="K202" s="54"/>
      <c r="L202" s="54"/>
      <c r="M202" s="54"/>
    </row>
    <row r="203" spans="10:13" x14ac:dyDescent="0.3">
      <c r="J203" s="54"/>
      <c r="K203" s="54"/>
      <c r="L203" s="54"/>
      <c r="M203" s="54"/>
    </row>
    <row r="204" spans="10:13" x14ac:dyDescent="0.3">
      <c r="J204" s="54"/>
      <c r="K204" s="54"/>
      <c r="L204" s="54"/>
      <c r="M204" s="54"/>
    </row>
    <row r="205" spans="10:13" x14ac:dyDescent="0.3">
      <c r="J205" s="54"/>
      <c r="K205" s="54"/>
      <c r="L205" s="54"/>
      <c r="M205" s="54"/>
    </row>
    <row r="206" spans="10:13" x14ac:dyDescent="0.3">
      <c r="J206" s="54"/>
      <c r="K206" s="54"/>
      <c r="L206" s="54"/>
      <c r="M206" s="54"/>
    </row>
    <row r="207" spans="10:13" x14ac:dyDescent="0.3">
      <c r="J207" s="54"/>
      <c r="K207" s="54"/>
      <c r="L207" s="54"/>
      <c r="M207" s="54"/>
    </row>
    <row r="208" spans="10:13" x14ac:dyDescent="0.3">
      <c r="J208" s="54"/>
      <c r="K208" s="54"/>
      <c r="L208" s="54"/>
      <c r="M208" s="54"/>
    </row>
    <row r="209" spans="10:13" x14ac:dyDescent="0.3">
      <c r="J209" s="54"/>
      <c r="K209" s="54"/>
      <c r="L209" s="54"/>
      <c r="M209" s="54"/>
    </row>
    <row r="210" spans="10:13" x14ac:dyDescent="0.3">
      <c r="J210" s="54"/>
      <c r="K210" s="54"/>
      <c r="L210" s="54"/>
      <c r="M210" s="54"/>
    </row>
    <row r="211" spans="10:13" x14ac:dyDescent="0.3">
      <c r="J211" s="54"/>
      <c r="K211" s="54"/>
      <c r="L211" s="54"/>
      <c r="M211" s="54"/>
    </row>
    <row r="212" spans="10:13" x14ac:dyDescent="0.3">
      <c r="J212" s="54"/>
      <c r="K212" s="54"/>
      <c r="L212" s="54"/>
      <c r="M212" s="54"/>
    </row>
    <row r="213" spans="10:13" x14ac:dyDescent="0.3">
      <c r="J213" s="54"/>
      <c r="K213" s="54"/>
      <c r="L213" s="54"/>
      <c r="M213" s="54"/>
    </row>
    <row r="214" spans="10:13" x14ac:dyDescent="0.3">
      <c r="J214" s="54"/>
      <c r="K214" s="54"/>
      <c r="L214" s="54"/>
      <c r="M214" s="54"/>
    </row>
    <row r="215" spans="10:13" x14ac:dyDescent="0.3">
      <c r="J215" s="54"/>
      <c r="K215" s="54"/>
      <c r="L215" s="54"/>
      <c r="M215" s="54"/>
    </row>
    <row r="216" spans="10:13" x14ac:dyDescent="0.3">
      <c r="J216" s="54"/>
      <c r="K216" s="54"/>
      <c r="L216" s="54"/>
      <c r="M216" s="54"/>
    </row>
    <row r="217" spans="10:13" x14ac:dyDescent="0.3">
      <c r="J217" s="54"/>
      <c r="K217" s="54"/>
      <c r="L217" s="54"/>
      <c r="M217" s="54"/>
    </row>
    <row r="218" spans="10:13" x14ac:dyDescent="0.3">
      <c r="J218" s="54"/>
      <c r="K218" s="54"/>
      <c r="L218" s="54"/>
      <c r="M218" s="54"/>
    </row>
    <row r="219" spans="10:13" x14ac:dyDescent="0.3">
      <c r="J219" s="54"/>
      <c r="K219" s="54"/>
      <c r="L219" s="54"/>
      <c r="M219" s="54"/>
    </row>
    <row r="220" spans="10:13" x14ac:dyDescent="0.3">
      <c r="J220" s="54"/>
      <c r="K220" s="54"/>
      <c r="L220" s="54"/>
      <c r="M220" s="54"/>
    </row>
    <row r="221" spans="10:13" x14ac:dyDescent="0.3">
      <c r="J221" s="54"/>
      <c r="K221" s="54"/>
      <c r="L221" s="54"/>
      <c r="M221" s="54"/>
    </row>
    <row r="222" spans="10:13" x14ac:dyDescent="0.3">
      <c r="J222" s="54"/>
      <c r="K222" s="54"/>
      <c r="L222" s="54"/>
      <c r="M222" s="54"/>
    </row>
    <row r="223" spans="10:13" x14ac:dyDescent="0.3">
      <c r="J223" s="54"/>
      <c r="K223" s="54"/>
      <c r="L223" s="54"/>
      <c r="M223" s="54"/>
    </row>
    <row r="224" spans="10:13" x14ac:dyDescent="0.3">
      <c r="J224" s="54"/>
      <c r="K224" s="54"/>
      <c r="L224" s="54"/>
      <c r="M224" s="54"/>
    </row>
    <row r="225" spans="10:13" x14ac:dyDescent="0.3">
      <c r="J225" s="54"/>
      <c r="K225" s="54"/>
      <c r="L225" s="54"/>
      <c r="M225" s="54"/>
    </row>
    <row r="226" spans="10:13" x14ac:dyDescent="0.3">
      <c r="J226" s="54"/>
      <c r="K226" s="54"/>
      <c r="L226" s="54"/>
      <c r="M226" s="54"/>
    </row>
    <row r="227" spans="10:13" x14ac:dyDescent="0.3">
      <c r="J227" s="54"/>
      <c r="K227" s="54"/>
      <c r="L227" s="54"/>
      <c r="M227" s="54"/>
    </row>
    <row r="228" spans="10:13" x14ac:dyDescent="0.3">
      <c r="J228" s="54"/>
      <c r="K228" s="54"/>
      <c r="L228" s="54"/>
      <c r="M228" s="54"/>
    </row>
    <row r="229" spans="10:13" x14ac:dyDescent="0.3">
      <c r="J229" s="54"/>
      <c r="K229" s="54"/>
      <c r="L229" s="54"/>
      <c r="M229" s="54"/>
    </row>
    <row r="230" spans="10:13" x14ac:dyDescent="0.3">
      <c r="J230" s="54"/>
      <c r="K230" s="54"/>
      <c r="L230" s="54"/>
      <c r="M230" s="54"/>
    </row>
    <row r="231" spans="10:13" x14ac:dyDescent="0.3">
      <c r="J231" s="54"/>
      <c r="K231" s="54"/>
      <c r="L231" s="54"/>
      <c r="M231" s="54"/>
    </row>
    <row r="232" spans="10:13" x14ac:dyDescent="0.3">
      <c r="J232" s="54"/>
      <c r="K232" s="54"/>
      <c r="L232" s="54"/>
      <c r="M232" s="54"/>
    </row>
    <row r="233" spans="10:13" x14ac:dyDescent="0.3">
      <c r="J233" s="54"/>
      <c r="K233" s="54"/>
      <c r="L233" s="54"/>
      <c r="M233" s="54"/>
    </row>
    <row r="234" spans="10:13" x14ac:dyDescent="0.3">
      <c r="J234" s="54"/>
      <c r="K234" s="54"/>
      <c r="L234" s="54"/>
      <c r="M234" s="54"/>
    </row>
    <row r="235" spans="10:13" x14ac:dyDescent="0.3">
      <c r="J235" s="54"/>
      <c r="K235" s="54"/>
      <c r="L235" s="54"/>
      <c r="M235" s="54"/>
    </row>
    <row r="236" spans="10:13" x14ac:dyDescent="0.3">
      <c r="J236" s="54"/>
      <c r="K236" s="54"/>
      <c r="L236" s="54"/>
      <c r="M236" s="54"/>
    </row>
    <row r="237" spans="10:13" x14ac:dyDescent="0.3">
      <c r="J237" s="54"/>
      <c r="K237" s="54"/>
      <c r="L237" s="54"/>
      <c r="M237" s="54"/>
    </row>
    <row r="238" spans="10:13" x14ac:dyDescent="0.3">
      <c r="J238" s="54"/>
      <c r="K238" s="54"/>
      <c r="L238" s="54"/>
      <c r="M238" s="54"/>
    </row>
    <row r="239" spans="10:13" x14ac:dyDescent="0.3">
      <c r="J239" s="54"/>
      <c r="K239" s="54"/>
      <c r="L239" s="54"/>
      <c r="M239" s="54"/>
    </row>
    <row r="240" spans="10:13" x14ac:dyDescent="0.3">
      <c r="J240" s="54"/>
      <c r="K240" s="54"/>
      <c r="L240" s="54"/>
      <c r="M240" s="54"/>
    </row>
    <row r="241" spans="10:13" x14ac:dyDescent="0.3">
      <c r="J241" s="54"/>
      <c r="K241" s="54"/>
      <c r="L241" s="54"/>
      <c r="M241" s="54"/>
    </row>
    <row r="242" spans="10:13" x14ac:dyDescent="0.3">
      <c r="J242" s="54"/>
      <c r="K242" s="54"/>
      <c r="L242" s="54"/>
      <c r="M242" s="54"/>
    </row>
    <row r="243" spans="10:13" x14ac:dyDescent="0.3">
      <c r="J243" s="54"/>
      <c r="K243" s="54"/>
      <c r="L243" s="54"/>
      <c r="M243" s="54"/>
    </row>
    <row r="244" spans="10:13" x14ac:dyDescent="0.3">
      <c r="J244" s="54"/>
      <c r="K244" s="54"/>
      <c r="L244" s="54"/>
      <c r="M244" s="54"/>
    </row>
    <row r="245" spans="10:13" x14ac:dyDescent="0.3">
      <c r="J245" s="54"/>
      <c r="K245" s="54"/>
      <c r="L245" s="54"/>
      <c r="M245" s="54"/>
    </row>
    <row r="246" spans="10:13" x14ac:dyDescent="0.3">
      <c r="J246" s="54"/>
      <c r="K246" s="54"/>
      <c r="L246" s="54"/>
      <c r="M246" s="54"/>
    </row>
    <row r="247" spans="10:13" x14ac:dyDescent="0.3">
      <c r="J247" s="54"/>
      <c r="K247" s="54"/>
      <c r="L247" s="54"/>
      <c r="M247" s="54"/>
    </row>
    <row r="248" spans="10:13" x14ac:dyDescent="0.3">
      <c r="J248" s="54"/>
      <c r="K248" s="54"/>
      <c r="L248" s="54"/>
      <c r="M248" s="54"/>
    </row>
    <row r="249" spans="10:13" x14ac:dyDescent="0.3">
      <c r="J249" s="54"/>
      <c r="K249" s="54"/>
      <c r="L249" s="54"/>
      <c r="M249" s="54"/>
    </row>
    <row r="250" spans="10:13" x14ac:dyDescent="0.3">
      <c r="J250" s="54"/>
      <c r="K250" s="54"/>
      <c r="L250" s="54"/>
      <c r="M250" s="54"/>
    </row>
    <row r="251" spans="10:13" x14ac:dyDescent="0.3">
      <c r="J251" s="54"/>
      <c r="K251" s="54"/>
      <c r="L251" s="54"/>
      <c r="M251" s="54"/>
    </row>
    <row r="252" spans="10:13" x14ac:dyDescent="0.3">
      <c r="J252" s="54"/>
      <c r="K252" s="54"/>
      <c r="L252" s="54"/>
      <c r="M252" s="54"/>
    </row>
    <row r="253" spans="10:13" x14ac:dyDescent="0.3">
      <c r="J253" s="27"/>
      <c r="K253" s="27"/>
      <c r="L253" s="27"/>
      <c r="M253" s="27"/>
    </row>
    <row r="254" spans="10:13" x14ac:dyDescent="0.3">
      <c r="J254" s="27"/>
      <c r="K254" s="27"/>
      <c r="L254" s="27"/>
      <c r="M254" s="27"/>
    </row>
    <row r="255" spans="10:13" x14ac:dyDescent="0.3">
      <c r="J255" s="27"/>
      <c r="K255" s="27"/>
      <c r="L255" s="27"/>
      <c r="M255" s="27"/>
    </row>
    <row r="256" spans="10:13" x14ac:dyDescent="0.3">
      <c r="J256" s="27"/>
      <c r="K256" s="27"/>
      <c r="L256" s="27"/>
      <c r="M256" s="27"/>
    </row>
    <row r="257" spans="10:13" x14ac:dyDescent="0.3">
      <c r="J257" s="27"/>
      <c r="K257" s="27"/>
      <c r="L257" s="27"/>
      <c r="M257" s="27"/>
    </row>
    <row r="258" spans="10:13" x14ac:dyDescent="0.3">
      <c r="J258" s="27"/>
      <c r="K258" s="27"/>
      <c r="L258" s="27"/>
      <c r="M258" s="27"/>
    </row>
    <row r="259" spans="10:13" x14ac:dyDescent="0.3">
      <c r="J259" s="27"/>
      <c r="K259" s="27"/>
      <c r="L259" s="27"/>
      <c r="M259" s="27"/>
    </row>
    <row r="260" spans="10:13" x14ac:dyDescent="0.3">
      <c r="J260" s="27"/>
      <c r="K260" s="27"/>
      <c r="L260" s="27"/>
      <c r="M260" s="27"/>
    </row>
    <row r="261" spans="10:13" x14ac:dyDescent="0.3">
      <c r="J261" s="27"/>
      <c r="K261" s="27"/>
      <c r="L261" s="27"/>
      <c r="M261" s="27"/>
    </row>
    <row r="262" spans="10:13" x14ac:dyDescent="0.3">
      <c r="J262" s="27"/>
      <c r="K262" s="27"/>
      <c r="L262" s="27"/>
      <c r="M262" s="27"/>
    </row>
    <row r="263" spans="10:13" x14ac:dyDescent="0.3">
      <c r="J263" s="27"/>
      <c r="K263" s="27"/>
      <c r="L263" s="27"/>
      <c r="M263" s="27"/>
    </row>
    <row r="264" spans="10:13" x14ac:dyDescent="0.3">
      <c r="J264" s="27"/>
      <c r="K264" s="27"/>
      <c r="L264" s="27"/>
      <c r="M264" s="27"/>
    </row>
    <row r="265" spans="10:13" x14ac:dyDescent="0.3">
      <c r="J265" s="27"/>
      <c r="K265" s="27"/>
      <c r="L265" s="27"/>
      <c r="M265" s="27"/>
    </row>
    <row r="266" spans="10:13" x14ac:dyDescent="0.3">
      <c r="J266" s="27"/>
      <c r="K266" s="27"/>
      <c r="L266" s="27"/>
      <c r="M266" s="27"/>
    </row>
    <row r="267" spans="10:13" x14ac:dyDescent="0.3">
      <c r="J267" s="27"/>
      <c r="K267" s="27"/>
      <c r="L267" s="27"/>
      <c r="M267" s="27"/>
    </row>
    <row r="268" spans="10:13" x14ac:dyDescent="0.3">
      <c r="J268" s="27"/>
      <c r="K268" s="27"/>
      <c r="L268" s="27"/>
      <c r="M268" s="27"/>
    </row>
    <row r="269" spans="10:13" x14ac:dyDescent="0.3">
      <c r="J269" s="27"/>
      <c r="K269" s="27"/>
      <c r="L269" s="27"/>
      <c r="M269" s="27"/>
    </row>
    <row r="270" spans="10:13" x14ac:dyDescent="0.3">
      <c r="J270" s="27"/>
      <c r="K270" s="27"/>
      <c r="L270" s="27"/>
      <c r="M270" s="27"/>
    </row>
    <row r="271" spans="10:13" x14ac:dyDescent="0.3">
      <c r="J271" s="27"/>
      <c r="K271" s="27"/>
      <c r="L271" s="27"/>
      <c r="M271" s="27"/>
    </row>
    <row r="272" spans="10:13" x14ac:dyDescent="0.3">
      <c r="J272" s="27"/>
      <c r="K272" s="27"/>
      <c r="L272" s="27"/>
      <c r="M272" s="27"/>
    </row>
    <row r="273" spans="10:13" x14ac:dyDescent="0.3">
      <c r="J273" s="27"/>
      <c r="K273" s="27"/>
      <c r="L273" s="27"/>
      <c r="M273" s="27"/>
    </row>
    <row r="274" spans="10:13" x14ac:dyDescent="0.3">
      <c r="J274" s="27"/>
      <c r="K274" s="27"/>
      <c r="L274" s="27"/>
      <c r="M274" s="27"/>
    </row>
    <row r="275" spans="10:13" x14ac:dyDescent="0.3">
      <c r="J275" s="27"/>
      <c r="K275" s="27"/>
      <c r="L275" s="27"/>
      <c r="M275" s="27"/>
    </row>
    <row r="276" spans="10:13" x14ac:dyDescent="0.3">
      <c r="J276" s="27"/>
      <c r="K276" s="27"/>
      <c r="L276" s="27"/>
      <c r="M276" s="27"/>
    </row>
    <row r="277" spans="10:13" x14ac:dyDescent="0.3">
      <c r="J277" s="27"/>
      <c r="K277" s="27"/>
      <c r="L277" s="27"/>
      <c r="M277" s="27"/>
    </row>
    <row r="278" spans="10:13" x14ac:dyDescent="0.3">
      <c r="J278" s="27"/>
      <c r="K278" s="27"/>
      <c r="L278" s="27"/>
      <c r="M278" s="27"/>
    </row>
    <row r="279" spans="10:13" x14ac:dyDescent="0.3">
      <c r="J279" s="27"/>
      <c r="K279" s="27"/>
      <c r="L279" s="27"/>
      <c r="M279" s="27"/>
    </row>
    <row r="280" spans="10:13" x14ac:dyDescent="0.3">
      <c r="J280" s="27"/>
      <c r="K280" s="27"/>
      <c r="L280" s="27"/>
      <c r="M280" s="27"/>
    </row>
    <row r="281" spans="10:13" x14ac:dyDescent="0.3">
      <c r="J281" s="27"/>
      <c r="K281" s="27"/>
      <c r="L281" s="27"/>
      <c r="M281" s="27"/>
    </row>
    <row r="282" spans="10:13" x14ac:dyDescent="0.3">
      <c r="J282" s="27"/>
      <c r="K282" s="27"/>
      <c r="L282" s="27"/>
      <c r="M282" s="27"/>
    </row>
    <row r="283" spans="10:13" x14ac:dyDescent="0.3">
      <c r="J283" s="27"/>
      <c r="K283" s="27"/>
      <c r="L283" s="27"/>
      <c r="M283" s="27"/>
    </row>
    <row r="284" spans="10:13" x14ac:dyDescent="0.3">
      <c r="J284" s="27"/>
      <c r="K284" s="27"/>
      <c r="L284" s="27"/>
      <c r="M284" s="27"/>
    </row>
    <row r="285" spans="10:13" x14ac:dyDescent="0.3">
      <c r="J285" s="27"/>
      <c r="K285" s="27"/>
      <c r="L285" s="27"/>
      <c r="M285" s="27"/>
    </row>
    <row r="286" spans="10:13" x14ac:dyDescent="0.3">
      <c r="J286" s="27"/>
      <c r="K286" s="27"/>
      <c r="L286" s="27"/>
      <c r="M286" s="27"/>
    </row>
    <row r="287" spans="10:13" x14ac:dyDescent="0.3">
      <c r="J287" s="27"/>
      <c r="K287" s="27"/>
      <c r="L287" s="27"/>
      <c r="M287" s="27"/>
    </row>
    <row r="288" spans="10:13" x14ac:dyDescent="0.3">
      <c r="J288" s="27"/>
      <c r="K288" s="27"/>
      <c r="L288" s="27"/>
      <c r="M288" s="27"/>
    </row>
    <row r="289" spans="10:13" x14ac:dyDescent="0.3">
      <c r="J289" s="27"/>
      <c r="K289" s="27"/>
      <c r="L289" s="27"/>
      <c r="M289" s="27"/>
    </row>
    <row r="290" spans="10:13" x14ac:dyDescent="0.3">
      <c r="J290" s="27"/>
      <c r="K290" s="27"/>
      <c r="L290" s="27"/>
      <c r="M290" s="27"/>
    </row>
    <row r="291" spans="10:13" x14ac:dyDescent="0.3">
      <c r="J291" s="27"/>
      <c r="K291" s="27"/>
      <c r="L291" s="27"/>
      <c r="M291" s="27"/>
    </row>
    <row r="292" spans="10:13" x14ac:dyDescent="0.3">
      <c r="J292" s="27"/>
      <c r="K292" s="27"/>
      <c r="L292" s="27"/>
      <c r="M292" s="27"/>
    </row>
    <row r="293" spans="10:13" x14ac:dyDescent="0.3">
      <c r="J293" s="27"/>
      <c r="K293" s="27"/>
      <c r="L293" s="27"/>
      <c r="M293" s="27"/>
    </row>
    <row r="294" spans="10:13" x14ac:dyDescent="0.3">
      <c r="J294" s="27"/>
      <c r="K294" s="27"/>
      <c r="L294" s="27"/>
      <c r="M294" s="27"/>
    </row>
    <row r="295" spans="10:13" x14ac:dyDescent="0.3">
      <c r="J295" s="27"/>
      <c r="K295" s="27"/>
      <c r="L295" s="27"/>
      <c r="M295" s="27"/>
    </row>
    <row r="296" spans="10:13" x14ac:dyDescent="0.3">
      <c r="J296" s="27"/>
      <c r="K296" s="27"/>
      <c r="L296" s="27"/>
      <c r="M296" s="27"/>
    </row>
    <row r="297" spans="10:13" x14ac:dyDescent="0.3">
      <c r="J297" s="27"/>
      <c r="K297" s="27"/>
      <c r="L297" s="27"/>
      <c r="M297" s="27"/>
    </row>
    <row r="298" spans="10:13" x14ac:dyDescent="0.3">
      <c r="J298" s="27"/>
      <c r="K298" s="27"/>
      <c r="L298" s="27"/>
      <c r="M298" s="27"/>
    </row>
    <row r="299" spans="10:13" x14ac:dyDescent="0.3">
      <c r="J299" s="27"/>
      <c r="K299" s="27"/>
      <c r="L299" s="27"/>
      <c r="M299" s="27"/>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292F56-1854-4FE6-98FC-B064FFDBAE21}">
  <sheetPr codeName="Planilha36">
    <tabColor theme="9" tint="0.59999389629810485"/>
  </sheetPr>
  <dimension ref="A1:AB298"/>
  <sheetViews>
    <sheetView showGridLines="0" workbookViewId="0">
      <selection activeCell="T6" sqref="T6"/>
    </sheetView>
  </sheetViews>
  <sheetFormatPr defaultColWidth="8.85546875" defaultRowHeight="18.75" x14ac:dyDescent="0.3"/>
  <cols>
    <col min="1" max="1" width="19.28515625" style="17" bestFit="1" customWidth="1"/>
    <col min="2" max="2" width="31.85546875" customWidth="1"/>
    <col min="4" max="4" width="44.28515625" bestFit="1" customWidth="1"/>
    <col min="5" max="5" width="4.5703125" customWidth="1"/>
    <col min="6" max="6" width="7.140625" bestFit="1" customWidth="1"/>
    <col min="7" max="7" width="9" bestFit="1" customWidth="1"/>
    <col min="8" max="8" width="10.140625" bestFit="1" customWidth="1"/>
    <col min="9" max="9" width="10.7109375" bestFit="1" customWidth="1"/>
    <col min="10" max="10" width="10.140625" customWidth="1"/>
    <col min="11" max="11" width="12.140625" bestFit="1" customWidth="1"/>
    <col min="12" max="12" width="10.42578125" customWidth="1"/>
    <col min="13" max="13" width="10.28515625" style="15" bestFit="1" customWidth="1"/>
    <col min="14" max="14" width="9" style="15" customWidth="1"/>
    <col min="15" max="16" width="13.28515625" style="15" customWidth="1"/>
    <col min="17" max="28" width="8.85546875" style="15"/>
  </cols>
  <sheetData>
    <row r="1" spans="1:28" x14ac:dyDescent="0.3">
      <c r="A1" s="16" t="s">
        <v>219</v>
      </c>
      <c r="M1" s="14"/>
      <c r="N1" s="14"/>
      <c r="O1" s="14"/>
      <c r="P1" s="14"/>
      <c r="Q1" s="14"/>
      <c r="R1" s="14"/>
      <c r="S1" s="14"/>
      <c r="T1" s="14"/>
      <c r="U1" s="14"/>
      <c r="V1" s="14"/>
      <c r="W1" s="14"/>
      <c r="X1" s="14"/>
      <c r="Y1" s="14"/>
      <c r="Z1" s="14"/>
      <c r="AA1" s="14"/>
      <c r="AB1" s="14"/>
    </row>
    <row r="2" spans="1:28" x14ac:dyDescent="0.3">
      <c r="A2" s="17" t="s">
        <v>220</v>
      </c>
      <c r="M2" s="14"/>
      <c r="N2" s="14"/>
      <c r="O2" s="14"/>
      <c r="P2" s="14"/>
      <c r="Q2" s="14"/>
      <c r="R2" s="14"/>
      <c r="S2" s="14"/>
      <c r="T2" s="14"/>
      <c r="U2" s="14"/>
      <c r="V2" s="14"/>
      <c r="W2" s="14"/>
      <c r="X2" s="14"/>
      <c r="Y2" s="14"/>
      <c r="Z2" s="14"/>
      <c r="AA2" s="14"/>
      <c r="AB2" s="14"/>
    </row>
    <row r="4" spans="1:28" ht="15.75" x14ac:dyDescent="0.25">
      <c r="A4" s="2" t="s">
        <v>15</v>
      </c>
      <c r="B4" s="2" t="s">
        <v>16</v>
      </c>
    </row>
    <row r="5" spans="1:28" ht="15.75" x14ac:dyDescent="0.25">
      <c r="A5" s="23" t="s">
        <v>221</v>
      </c>
      <c r="B5" s="24" t="s">
        <v>240</v>
      </c>
    </row>
    <row r="6" spans="1:28" ht="15.75" x14ac:dyDescent="0.25">
      <c r="A6" s="23" t="s">
        <v>222</v>
      </c>
      <c r="B6" s="24" t="s">
        <v>241</v>
      </c>
    </row>
    <row r="7" spans="1:28" ht="15.75" x14ac:dyDescent="0.25">
      <c r="A7" s="23" t="s">
        <v>223</v>
      </c>
      <c r="B7" s="24" t="s">
        <v>242</v>
      </c>
      <c r="Q7" s="61"/>
    </row>
    <row r="8" spans="1:28" ht="47.25" x14ac:dyDescent="0.25">
      <c r="A8" s="23" t="s">
        <v>247</v>
      </c>
      <c r="B8" s="24" t="s">
        <v>268</v>
      </c>
      <c r="Q8" s="61" t="s">
        <v>238</v>
      </c>
    </row>
    <row r="9" spans="1:28" x14ac:dyDescent="0.3">
      <c r="D9" s="1" t="s">
        <v>17</v>
      </c>
      <c r="F9" t="s">
        <v>233</v>
      </c>
      <c r="G9" s="13" t="s">
        <v>234</v>
      </c>
      <c r="H9" s="13" t="s">
        <v>237</v>
      </c>
      <c r="I9" s="13" t="s">
        <v>239</v>
      </c>
      <c r="J9" s="13" t="s">
        <v>223</v>
      </c>
      <c r="K9" s="13" t="s">
        <v>246</v>
      </c>
      <c r="M9" s="61" t="s">
        <v>253</v>
      </c>
      <c r="O9" s="61" t="s">
        <v>236</v>
      </c>
      <c r="P9" s="61" t="s">
        <v>235</v>
      </c>
      <c r="Q9" s="15">
        <v>1</v>
      </c>
      <c r="R9" s="15">
        <v>2</v>
      </c>
      <c r="S9" s="15">
        <v>3</v>
      </c>
      <c r="T9" s="15">
        <v>4</v>
      </c>
      <c r="U9" s="15">
        <v>5</v>
      </c>
      <c r="V9" s="15">
        <v>6</v>
      </c>
      <c r="W9" s="15">
        <v>7</v>
      </c>
      <c r="X9" s="15">
        <v>8</v>
      </c>
      <c r="Y9" s="15">
        <v>9</v>
      </c>
      <c r="Z9" s="15">
        <v>10</v>
      </c>
      <c r="AA9" s="15">
        <v>11</v>
      </c>
      <c r="AB9" s="15">
        <v>12</v>
      </c>
    </row>
    <row r="10" spans="1:28" x14ac:dyDescent="0.3">
      <c r="D10" t="s">
        <v>197</v>
      </c>
      <c r="F10" s="50">
        <v>37622</v>
      </c>
      <c r="G10" s="53" t="e">
        <v>#N/A</v>
      </c>
      <c r="H10" s="53">
        <v>0.12547051442910201</v>
      </c>
      <c r="I10" s="53">
        <v>0.27312454479242276</v>
      </c>
      <c r="J10" s="55">
        <v>1</v>
      </c>
      <c r="K10" s="55" t="b">
        <v>1</v>
      </c>
      <c r="M10" s="59" cm="1">
        <f t="array" ref="M10">_xlfn.LAMBDA(_xlpm.predicted,_xlpm.predictors,_xlpm.nLags,_xlop.returnPValue,
_xlfn.LET(
_xlpm.returnPValue, IF( _xlfn.ISOMITTED(_xlpm.returnPValue), TRUE, FALSE),
_xlpm.dataRestrictedBeforeCleaning, HORZCAT(_xlpm.predicted, ADDCONST( LAG(_xlpm.predicted, _xlpm.nLags, TRUE, TRUE) ) ),
_xlpm.dataUnrestrictedBeforeCleaning, HORZCAT( _xlpm.dataRestrictedBeforeCleaning, LAG(_xlpm.predictors, _xlpm.nLags, TRUE, TRUE) ),
_xlpm.dataUnrestricted, RMMISSING(_xlpm.dataUnrestrictedBeforeCleaning, 1),
_xlpm.dataRestricted, SLICE( _xlpm.dataUnrestricted, 0, 0, 1, 2 + _xlpm.nLags ),
_xlpm.sumSquaredResidRes, SUM(OLS_RESIDUALS( SLICE(_xlpm.dataRestricted, 0, 0, 1, 1), SLICE(_xlpm.dataRestricted, 0, 0, 2, -1) )^2),
_xlpm.sumSquaredResidUnr, SUM(OLS_RESIDUALS( SLICE(_xlpm.dataUnrestricted, 0, 0, 1, 1), SLICE(_xlpm.dataUnrestricted, 0, 0, 2, -1) )^2),
_xlpm.m, _xlpm.nLags,
_xlpm.n, DIM(_xlpm.dataUnrestricted,1),
_xlpm.k, 1 + 2* _xlpm.nLags,
_xlpm.Fstat, ( (_xlpm.sumSquaredResidRes - _xlpm.sumSquaredResidUnr)/ _xlpm.m) / (_xlpm.sumSquaredResidUnr / (_xlpm.n-_xlpm.k) ),
_xlpm.pValue, FDIST(_xlpm.Fstat, _xlpm.m, _xlpm.n-_xlpm.k),
IF(_xlpm.returnPValue, _xlpm.pValue, _xlpm.Fstat)
))($G$10:$G$239,$H$10:$H$239,$J$10)</f>
        <v>0.54972593627806643</v>
      </c>
      <c r="N10" s="54"/>
      <c r="O10" s="15" t="s">
        <v>237</v>
      </c>
      <c r="P10" s="15" t="s">
        <v>234</v>
      </c>
      <c r="Q10" s="91" cm="1">
        <f t="array" ref="Q10">GRANGER($G$10:$G$239,$H$10:$H$239,Q$9)</f>
        <v>0.54972593627806643</v>
      </c>
      <c r="R10" s="91" cm="1">
        <f t="array" ref="R10">GRANGER($G$10:$G$239,$H$10:$H$239,R$9)</f>
        <v>0.8447783042115059</v>
      </c>
      <c r="S10" s="91" cm="1">
        <f t="array" ref="S10">GRANGER($G$10:$G$239,$H$10:$H$239,S$9)</f>
        <v>0.98130859628104705</v>
      </c>
      <c r="T10" s="91" cm="1">
        <f t="array" ref="T10">GRANGER($G$10:$G$239,$H$10:$H$239,T$9)</f>
        <v>0.90126632039850296</v>
      </c>
      <c r="U10" s="91" cm="1">
        <f t="array" ref="U10">GRANGER($G$10:$G$239,$H$10:$H$239,U$9)</f>
        <v>0.9399037507584449</v>
      </c>
      <c r="V10" s="91" cm="1">
        <f t="array" ref="V10">GRANGER($G$10:$G$239,$H$10:$H$239,V$9)</f>
        <v>0.97779949501639618</v>
      </c>
      <c r="W10" s="91" cm="1">
        <f t="array" ref="W10">GRANGER($G$10:$G$239,$H$10:$H$239,W$9)</f>
        <v>0.96437622893054997</v>
      </c>
      <c r="X10" s="91" cm="1">
        <f t="array" ref="X10">GRANGER($G$10:$G$239,$H$10:$H$239,X$9)</f>
        <v>0.95807741913894262</v>
      </c>
      <c r="Y10" s="91" cm="1">
        <f t="array" ref="Y10">GRANGER($G$10:$G$239,$H$10:$H$239,Y$9)</f>
        <v>0.9696377950950581</v>
      </c>
      <c r="Z10" s="91" cm="1">
        <f t="array" ref="Z10">GRANGER($G$10:$G$239,$H$10:$H$239,Z$9)</f>
        <v>0.99148848315318561</v>
      </c>
      <c r="AA10" s="91" cm="1">
        <f t="array" ref="AA10">GRANGER($G$10:$G$239,$H$10:$H$239,AA$9)</f>
        <v>0.98230198386909184</v>
      </c>
      <c r="AB10" s="91" cm="1">
        <f t="array" ref="AB10">GRANGER($G$10:$G$239,$H$10:$H$239,AB$9)</f>
        <v>0.96787985029768087</v>
      </c>
    </row>
    <row r="11" spans="1:28" x14ac:dyDescent="0.3">
      <c r="D11" t="s">
        <v>224</v>
      </c>
      <c r="F11" s="50">
        <v>37653</v>
      </c>
      <c r="G11" s="53">
        <v>1.4932802389248383</v>
      </c>
      <c r="H11" s="53">
        <v>-0.37593984962405663</v>
      </c>
      <c r="I11" s="53">
        <v>1.0532050118031564</v>
      </c>
      <c r="M11" s="60"/>
      <c r="N11" s="54"/>
      <c r="O11" s="15" t="s">
        <v>234</v>
      </c>
      <c r="P11" s="15" t="s">
        <v>237</v>
      </c>
      <c r="Q11" s="91" cm="1">
        <f t="array" ref="Q11">GRANGER($H$10:$H$239,$G$10:$G$239,Q$9)</f>
        <v>5.1624531291754091E-3</v>
      </c>
      <c r="R11" s="91" cm="1">
        <f t="array" ref="R11">GRANGER($H$10:$H$239,$G$10:$G$239,R$9)</f>
        <v>1.7880490902237867E-3</v>
      </c>
      <c r="S11" s="91" cm="1">
        <f t="array" ref="S11">GRANGER($H$10:$H$239,$G$10:$G$239,S$9)</f>
        <v>5.4608254747030866E-3</v>
      </c>
      <c r="T11" s="91" cm="1">
        <f t="array" ref="T11">GRANGER($H$10:$H$239,$G$10:$G$239,T$9)</f>
        <v>1.4004145833793256E-2</v>
      </c>
      <c r="U11" s="91" cm="1">
        <f t="array" ref="U11">GRANGER($H$10:$H$239,$G$10:$G$239,U$9)</f>
        <v>1.1783917941776665E-2</v>
      </c>
      <c r="V11" s="91" cm="1">
        <f t="array" ref="V11">GRANGER($H$10:$H$239,$G$10:$G$239,V$9)</f>
        <v>2.7650894764679954E-2</v>
      </c>
      <c r="W11" s="91" cm="1">
        <f t="array" ref="W11">GRANGER($H$10:$H$239,$G$10:$G$239,W$9)</f>
        <v>1.4923116402252032E-2</v>
      </c>
      <c r="X11" s="91" cm="1">
        <f t="array" ref="X11">GRANGER($H$10:$H$239,$G$10:$G$239,X$9)</f>
        <v>2.7593939492914367E-2</v>
      </c>
      <c r="Y11" s="91" cm="1">
        <f t="array" ref="Y11">GRANGER($H$10:$H$239,$G$10:$G$239,Y$9)</f>
        <v>4.1693926962677992E-2</v>
      </c>
      <c r="Z11" s="91" cm="1">
        <f t="array" ref="Z11">GRANGER($H$10:$H$239,$G$10:$G$239,Z$9)</f>
        <v>6.3601004833073946E-2</v>
      </c>
      <c r="AA11" s="91" cm="1">
        <f t="array" ref="AA11">GRANGER($H$10:$H$239,$G$10:$G$239,AA$9)</f>
        <v>9.3078763656952418E-2</v>
      </c>
      <c r="AB11" s="91" cm="1">
        <f t="array" ref="AB11">GRANGER($H$10:$H$239,$G$10:$G$239,AB$9)</f>
        <v>0.12534292685708717</v>
      </c>
    </row>
    <row r="12" spans="1:28" ht="18.75" customHeight="1" x14ac:dyDescent="0.3">
      <c r="F12" s="50">
        <v>37681</v>
      </c>
      <c r="G12" s="53">
        <v>7.8469838155957122E-2</v>
      </c>
      <c r="H12" s="53">
        <v>-0.12578616352200545</v>
      </c>
      <c r="I12" s="53">
        <v>-2.3539982030547981</v>
      </c>
      <c r="M12" s="60"/>
      <c r="N12" s="54"/>
      <c r="O12" s="15" t="s">
        <v>239</v>
      </c>
      <c r="P12" s="15" t="s">
        <v>234</v>
      </c>
      <c r="Q12" s="91" cm="1">
        <f t="array" ref="Q12">GRANGER($G$10:$G$239,$I$10:$I$239,Q$9)</f>
        <v>5.6171151429618262E-3</v>
      </c>
      <c r="R12" s="91" cm="1">
        <f t="array" ref="R12">GRANGER($G$10:$G$239,$I$10:$I$239,R$9)</f>
        <v>2.0351794072524076E-2</v>
      </c>
      <c r="S12" s="91" cm="1">
        <f t="array" ref="S12">GRANGER($G$10:$G$239,$I$10:$I$239,S$9)</f>
        <v>4.1668250806052489E-3</v>
      </c>
      <c r="T12" s="91" cm="1">
        <f t="array" ref="T12">GRANGER($G$10:$G$239,$I$10:$I$239,T$9)</f>
        <v>2.9426065456621205E-3</v>
      </c>
      <c r="U12" s="91" cm="1">
        <f t="array" ref="U12">GRANGER($G$10:$G$239,$I$10:$I$239,U$9)</f>
        <v>1.6296202681381133E-3</v>
      </c>
      <c r="V12" s="91" cm="1">
        <f t="array" ref="V12">GRANGER($G$10:$G$239,$I$10:$I$239,V$9)</f>
        <v>2.9527508885524231E-3</v>
      </c>
      <c r="W12" s="91" cm="1">
        <f t="array" ref="W12">GRANGER($G$10:$G$239,$I$10:$I$239,W$9)</f>
        <v>3.1120239795264272E-3</v>
      </c>
      <c r="X12" s="91" cm="1">
        <f t="array" ref="X12">GRANGER($G$10:$G$239,$I$10:$I$239,X$9)</f>
        <v>3.100482389548949E-3</v>
      </c>
      <c r="Y12" s="91" cm="1">
        <f t="array" ref="Y12">GRANGER($G$10:$G$239,$I$10:$I$239,Y$9)</f>
        <v>2.9780759033151863E-3</v>
      </c>
      <c r="Z12" s="91" cm="1">
        <f t="array" ref="Z12">GRANGER($G$10:$G$239,$I$10:$I$239,Z$9)</f>
        <v>5.2741820348499542E-3</v>
      </c>
      <c r="AA12" s="91" cm="1">
        <f t="array" ref="AA12">GRANGER($G$10:$G$239,$I$10:$I$239,AA$9)</f>
        <v>6.0528608153609127E-3</v>
      </c>
      <c r="AB12" s="91" cm="1">
        <f t="array" ref="AB12">GRANGER($G$10:$G$239,$I$10:$I$239,AB$9)</f>
        <v>6.2005901482876805E-3</v>
      </c>
    </row>
    <row r="13" spans="1:28" x14ac:dyDescent="0.3">
      <c r="D13" t="s">
        <v>225</v>
      </c>
      <c r="F13" s="50">
        <v>37712</v>
      </c>
      <c r="G13" s="53">
        <v>-1.087915319023816</v>
      </c>
      <c r="H13" s="53">
        <v>-0.12594458438288228</v>
      </c>
      <c r="I13" s="53">
        <v>9.2013249907981515E-2</v>
      </c>
      <c r="M13" s="60"/>
      <c r="N13" s="54"/>
      <c r="O13" s="15" t="s">
        <v>234</v>
      </c>
      <c r="P13" s="15" t="s">
        <v>239</v>
      </c>
      <c r="Q13" s="91" cm="1">
        <f t="array" ref="Q13">GRANGER($I$10:$I$239,$G$10:$G$239,Q$9)</f>
        <v>0.44967248124221926</v>
      </c>
      <c r="R13" s="91" cm="1">
        <f t="array" ref="R13">GRANGER($I$10:$I$239,$G$10:$G$239,R$9)</f>
        <v>0.5355671050004609</v>
      </c>
      <c r="S13" s="91" cm="1">
        <f t="array" ref="S13">GRANGER($I$10:$I$239,$G$10:$G$239,S$9)</f>
        <v>0.61945757076882435</v>
      </c>
      <c r="T13" s="91" cm="1">
        <f t="array" ref="T13">GRANGER($I$10:$I$239,$G$10:$G$239,T$9)</f>
        <v>0.78165284339635444</v>
      </c>
      <c r="U13" s="91" cm="1">
        <f t="array" ref="U13">GRANGER($I$10:$I$239,$G$10:$G$239,U$9)</f>
        <v>0.60791523062395658</v>
      </c>
      <c r="V13" s="91" cm="1">
        <f t="array" ref="V13">GRANGER($I$10:$I$239,$G$10:$G$239,V$9)</f>
        <v>0.60535042989626064</v>
      </c>
      <c r="W13" s="91" cm="1">
        <f t="array" ref="W13">GRANGER($I$10:$I$239,$G$10:$G$239,W$9)</f>
        <v>0.4728104235403745</v>
      </c>
      <c r="X13" s="91" cm="1">
        <f t="array" ref="X13">GRANGER($I$10:$I$239,$G$10:$G$239,X$9)</f>
        <v>0.58231219130519762</v>
      </c>
      <c r="Y13" s="91" cm="1">
        <f t="array" ref="Y13">GRANGER($I$10:$I$239,$G$10:$G$239,Y$9)</f>
        <v>0.48700402086727057</v>
      </c>
      <c r="Z13" s="91" cm="1">
        <f t="array" ref="Z13">GRANGER($I$10:$I$239,$G$10:$G$239,Z$9)</f>
        <v>0.51522548810169722</v>
      </c>
      <c r="AA13" s="91" cm="1">
        <f t="array" ref="AA13">GRANGER($I$10:$I$239,$G$10:$G$239,AA$9)</f>
        <v>0.51170055071507481</v>
      </c>
      <c r="AB13" s="91" cm="1">
        <f t="array" ref="AB13">GRANGER($I$10:$I$239,$G$10:$G$239,AB$9)</f>
        <v>0.62912533599316478</v>
      </c>
    </row>
    <row r="14" spans="1:28" x14ac:dyDescent="0.3">
      <c r="D14" t="s">
        <v>226</v>
      </c>
      <c r="F14" s="50">
        <v>37742</v>
      </c>
      <c r="G14" s="53">
        <v>-1.0206103844629422</v>
      </c>
      <c r="H14" s="53">
        <v>-1.5132408575031562</v>
      </c>
      <c r="I14" s="53">
        <v>0.29417172274314501</v>
      </c>
      <c r="M14" s="60"/>
      <c r="N14" s="54"/>
      <c r="O14" s="15" t="s">
        <v>239</v>
      </c>
      <c r="P14" s="15" t="s">
        <v>237</v>
      </c>
      <c r="Q14" s="91" cm="1">
        <f t="array" ref="Q14">GRANGER($H$10:$H$239,$I$10:$I$239,Q$9)</f>
        <v>1.7521755869695454E-3</v>
      </c>
      <c r="R14" s="91" cm="1">
        <f t="array" ref="R14">GRANGER($H$10:$H$239,$I$10:$I$239,R$9)</f>
        <v>9.6364513233900828E-3</v>
      </c>
      <c r="S14" s="91" cm="1">
        <f t="array" ref="S14">GRANGER($H$10:$H$239,$I$10:$I$239,S$9)</f>
        <v>8.9740739617251066E-3</v>
      </c>
      <c r="T14" s="91" cm="1">
        <f t="array" ref="T14">GRANGER($H$10:$H$239,$I$10:$I$239,T$9)</f>
        <v>1.288142955377294E-2</v>
      </c>
      <c r="U14" s="91" cm="1">
        <f t="array" ref="U14">GRANGER($H$10:$H$239,$I$10:$I$239,U$9)</f>
        <v>5.4972486938780363E-3</v>
      </c>
      <c r="V14" s="91" cm="1">
        <f t="array" ref="V14">GRANGER($H$10:$H$239,$I$10:$I$239,V$9)</f>
        <v>5.3247215777824132E-3</v>
      </c>
      <c r="W14" s="91" cm="1">
        <f t="array" ref="W14">GRANGER($H$10:$H$239,$I$10:$I$239,W$9)</f>
        <v>6.0437973057326502E-3</v>
      </c>
      <c r="X14" s="91" cm="1">
        <f t="array" ref="X14">GRANGER($H$10:$H$239,$I$10:$I$239,X$9)</f>
        <v>1.186732195186435E-2</v>
      </c>
      <c r="Y14" s="91" cm="1">
        <f t="array" ref="Y14">GRANGER($H$10:$H$239,$I$10:$I$239,Y$9)</f>
        <v>6.4235245510123563E-3</v>
      </c>
      <c r="Z14" s="91" cm="1">
        <f t="array" ref="Z14">GRANGER($H$10:$H$239,$I$10:$I$239,Z$9)</f>
        <v>1.0490742103907616E-2</v>
      </c>
      <c r="AA14" s="91" cm="1">
        <f t="array" ref="AA14">GRANGER($H$10:$H$239,$I$10:$I$239,AA$9)</f>
        <v>1.5218099365060604E-2</v>
      </c>
      <c r="AB14" s="91" cm="1">
        <f t="array" ref="AB14">GRANGER($H$10:$H$239,$I$10:$I$239,AB$9)</f>
        <v>1.910761018669567E-2</v>
      </c>
    </row>
    <row r="15" spans="1:28" x14ac:dyDescent="0.3">
      <c r="F15" s="50">
        <v>37773</v>
      </c>
      <c r="G15" s="53">
        <v>0.39042947241966219</v>
      </c>
      <c r="H15" s="53">
        <v>0.38412291933420156</v>
      </c>
      <c r="I15" s="53">
        <v>-0.87992667277726289</v>
      </c>
      <c r="M15" s="54"/>
      <c r="N15" s="54"/>
      <c r="O15" s="15" t="s">
        <v>237</v>
      </c>
      <c r="P15" s="15" t="s">
        <v>239</v>
      </c>
      <c r="Q15" s="91" cm="1">
        <f t="array" ref="Q15">GRANGER($I$10:$I$239,$H$10:$H$239,Q$9)</f>
        <v>0.11473926714435931</v>
      </c>
      <c r="R15" s="91" cm="1">
        <f t="array" ref="R15">GRANGER($I$10:$I$239,$H$10:$H$239,R$9)</f>
        <v>0.47176345232158412</v>
      </c>
      <c r="S15" s="91" cm="1">
        <f t="array" ref="S15">GRANGER($I$10:$I$239,$H$10:$H$239,S$9)</f>
        <v>0.42249335032676982</v>
      </c>
      <c r="T15" s="91" cm="1">
        <f t="array" ref="T15">GRANGER($I$10:$I$239,$H$10:$H$239,T$9)</f>
        <v>0.67136594273787764</v>
      </c>
      <c r="U15" s="91" cm="1">
        <f t="array" ref="U15">GRANGER($I$10:$I$239,$H$10:$H$239,U$9)</f>
        <v>0.55856320794355108</v>
      </c>
      <c r="V15" s="91" cm="1">
        <f t="array" ref="V15">GRANGER($I$10:$I$239,$H$10:$H$239,V$9)</f>
        <v>0.47359059971690576</v>
      </c>
      <c r="W15" s="91" cm="1">
        <f t="array" ref="W15">GRANGER($I$10:$I$239,$H$10:$H$239,W$9)</f>
        <v>0.37499341227756849</v>
      </c>
      <c r="X15" s="91" cm="1">
        <f t="array" ref="X15">GRANGER($I$10:$I$239,$H$10:$H$239,X$9)</f>
        <v>0.43796198777644724</v>
      </c>
      <c r="Y15" s="91" cm="1">
        <f t="array" ref="Y15">GRANGER($I$10:$I$239,$H$10:$H$239,Y$9)</f>
        <v>0.49250486944345895</v>
      </c>
      <c r="Z15" s="91" cm="1">
        <f t="array" ref="Z15">GRANGER($I$10:$I$239,$H$10:$H$239,Z$9)</f>
        <v>0.56395517453235788</v>
      </c>
      <c r="AA15" s="91" cm="1">
        <f t="array" ref="AA15">GRANGER($I$10:$I$239,$H$10:$H$239,AA$9)</f>
        <v>0.58183083678717018</v>
      </c>
      <c r="AB15" s="91" cm="1">
        <f t="array" ref="AB15">GRANGER($I$10:$I$239,$H$10:$H$239,AB$9)</f>
        <v>0.67777278101991523</v>
      </c>
    </row>
    <row r="16" spans="1:28" x14ac:dyDescent="0.3">
      <c r="D16" t="s">
        <v>227</v>
      </c>
      <c r="F16" s="50">
        <v>37803</v>
      </c>
      <c r="G16" s="53">
        <v>-1.2066214599122538</v>
      </c>
      <c r="H16" s="53">
        <v>-0.89285714285714646</v>
      </c>
      <c r="I16" s="53">
        <v>0.42537451451821134</v>
      </c>
      <c r="M16" s="54"/>
      <c r="N16" s="54"/>
      <c r="P16" s="54"/>
    </row>
    <row r="17" spans="4:16" x14ac:dyDescent="0.3">
      <c r="D17" t="s">
        <v>228</v>
      </c>
      <c r="F17" s="50">
        <v>37834</v>
      </c>
      <c r="G17" s="53">
        <v>0.66619561925912074</v>
      </c>
      <c r="H17" s="53">
        <v>1.544401544401548</v>
      </c>
      <c r="I17" s="53">
        <v>0.88397790055249359</v>
      </c>
      <c r="M17" s="54"/>
      <c r="N17" s="54"/>
      <c r="P17" s="54"/>
    </row>
    <row r="18" spans="4:16" x14ac:dyDescent="0.3">
      <c r="F18" s="50">
        <v>37865</v>
      </c>
      <c r="G18" s="53">
        <v>1.9853604732778398</v>
      </c>
      <c r="H18" s="53">
        <v>2.9150823827629875</v>
      </c>
      <c r="I18" s="53">
        <v>-0.18254837531946225</v>
      </c>
      <c r="M18" s="54"/>
      <c r="N18" s="54"/>
      <c r="P18" s="54"/>
    </row>
    <row r="19" spans="4:16" x14ac:dyDescent="0.3">
      <c r="F19" s="50">
        <v>37895</v>
      </c>
      <c r="G19" s="53">
        <v>0.16714187395536498</v>
      </c>
      <c r="H19" s="53">
        <v>0.2463054187192153</v>
      </c>
      <c r="I19" s="53">
        <v>0</v>
      </c>
      <c r="M19" s="54"/>
      <c r="N19" s="54"/>
      <c r="P19" s="54"/>
    </row>
    <row r="20" spans="4:16" x14ac:dyDescent="0.3">
      <c r="F20" s="50">
        <v>37926</v>
      </c>
      <c r="G20" s="53">
        <v>8.8339222614844337E-2</v>
      </c>
      <c r="H20" s="53">
        <v>1.3513513513513442</v>
      </c>
      <c r="I20" s="53">
        <v>1.1521580102414093</v>
      </c>
      <c r="M20" s="54"/>
      <c r="N20" s="54"/>
      <c r="P20" s="54"/>
    </row>
    <row r="21" spans="4:16" x14ac:dyDescent="0.3">
      <c r="F21" s="50">
        <v>37956</v>
      </c>
      <c r="G21" s="53">
        <v>-0.38246543100912089</v>
      </c>
      <c r="H21" s="53">
        <v>-1.5757575757575724</v>
      </c>
      <c r="I21" s="53">
        <v>0.6327969625745693</v>
      </c>
      <c r="M21" s="54"/>
      <c r="N21" s="54"/>
      <c r="P21" s="54"/>
    </row>
    <row r="22" spans="4:16" x14ac:dyDescent="0.3">
      <c r="F22" s="50">
        <v>37987</v>
      </c>
      <c r="G22" s="53">
        <v>1.9590470565071814</v>
      </c>
      <c r="H22" s="53">
        <v>1.8472906403940885</v>
      </c>
      <c r="I22" s="53">
        <v>0.233560905497669</v>
      </c>
      <c r="M22" s="54"/>
      <c r="N22" s="54"/>
      <c r="P22" s="54"/>
    </row>
    <row r="23" spans="4:16" x14ac:dyDescent="0.3">
      <c r="F23" s="50">
        <v>38018</v>
      </c>
      <c r="G23" s="53">
        <v>0.88828811431881993</v>
      </c>
      <c r="H23" s="53">
        <v>1.5719467956469131</v>
      </c>
      <c r="I23" s="53">
        <v>1.7565872020075355</v>
      </c>
      <c r="M23" s="54"/>
      <c r="N23" s="54"/>
      <c r="P23" s="54"/>
    </row>
    <row r="24" spans="4:16" x14ac:dyDescent="0.3">
      <c r="F24" s="50">
        <v>38047</v>
      </c>
      <c r="G24" s="53">
        <v>1.4259737773949748</v>
      </c>
      <c r="H24" s="53">
        <v>0.47619047619048299</v>
      </c>
      <c r="I24" s="53">
        <v>1.144970935353177</v>
      </c>
      <c r="M24" s="54"/>
      <c r="N24" s="54"/>
      <c r="P24" s="54"/>
    </row>
    <row r="25" spans="4:16" x14ac:dyDescent="0.3">
      <c r="F25" s="50">
        <v>38078</v>
      </c>
      <c r="G25" s="53">
        <v>0.40573693149650175</v>
      </c>
      <c r="H25" s="53">
        <v>0.82938388625591075</v>
      </c>
      <c r="I25" s="53">
        <v>0.62695924764890187</v>
      </c>
      <c r="M25" s="54"/>
      <c r="N25" s="54"/>
      <c r="P25" s="54"/>
    </row>
    <row r="26" spans="4:16" x14ac:dyDescent="0.3">
      <c r="F26" s="50">
        <v>38108</v>
      </c>
      <c r="G26" s="53">
        <v>2.8192839018890269E-2</v>
      </c>
      <c r="H26" s="53">
        <v>1.0575793184488904</v>
      </c>
      <c r="I26" s="53">
        <v>0.65766701280719186</v>
      </c>
      <c r="M26" s="54"/>
      <c r="N26" s="54"/>
      <c r="P26" s="54"/>
    </row>
    <row r="27" spans="4:16" x14ac:dyDescent="0.3">
      <c r="F27" s="50">
        <v>38139</v>
      </c>
      <c r="G27" s="53">
        <v>0.73280721533258286</v>
      </c>
      <c r="H27" s="53">
        <v>0.23255813953488702</v>
      </c>
      <c r="I27" s="53">
        <v>0.75653370013755994</v>
      </c>
      <c r="M27" s="54"/>
      <c r="N27" s="54"/>
      <c r="P27" s="54"/>
    </row>
    <row r="28" spans="4:16" x14ac:dyDescent="0.3">
      <c r="F28" s="50">
        <v>38169</v>
      </c>
      <c r="G28" s="53">
        <v>0.55959709009512615</v>
      </c>
      <c r="H28" s="53">
        <v>0.69605568445474975</v>
      </c>
      <c r="I28" s="53">
        <v>0.40955631399317743</v>
      </c>
      <c r="M28" s="54"/>
      <c r="N28" s="54"/>
      <c r="P28" s="54"/>
    </row>
    <row r="29" spans="4:16" x14ac:dyDescent="0.3">
      <c r="F29" s="50">
        <v>38200</v>
      </c>
      <c r="G29" s="53">
        <v>0.34316453348173304</v>
      </c>
      <c r="H29" s="53">
        <v>1.0368663594470111</v>
      </c>
      <c r="I29" s="53">
        <v>3.3990482664847076E-2</v>
      </c>
      <c r="M29" s="54"/>
      <c r="N29" s="54"/>
      <c r="P29" s="54"/>
    </row>
    <row r="30" spans="4:16" x14ac:dyDescent="0.3">
      <c r="F30" s="50">
        <v>38231</v>
      </c>
      <c r="G30" s="53">
        <v>1.1738608004436604</v>
      </c>
      <c r="H30" s="53">
        <v>0.5701254275940707</v>
      </c>
      <c r="I30" s="53">
        <v>0.50968399592252323</v>
      </c>
      <c r="M30" s="54"/>
      <c r="N30" s="54"/>
      <c r="P30" s="54"/>
    </row>
    <row r="31" spans="4:16" x14ac:dyDescent="0.3">
      <c r="F31" s="50">
        <v>38261</v>
      </c>
      <c r="G31" s="53">
        <v>-0.66691028686277165</v>
      </c>
      <c r="H31" s="53">
        <v>-0.68027210884354705</v>
      </c>
      <c r="I31" s="53">
        <v>1.622718052738338</v>
      </c>
      <c r="M31" s="54"/>
      <c r="N31" s="54"/>
      <c r="P31" s="54"/>
    </row>
    <row r="32" spans="4:16" x14ac:dyDescent="0.3">
      <c r="F32" s="50">
        <v>38292</v>
      </c>
      <c r="G32" s="53">
        <v>0.81854134093626474</v>
      </c>
      <c r="H32" s="53">
        <v>0</v>
      </c>
      <c r="I32" s="53">
        <v>0.58216899534265043</v>
      </c>
      <c r="M32" s="54"/>
      <c r="N32" s="54"/>
      <c r="P32" s="54"/>
    </row>
    <row r="33" spans="6:16" x14ac:dyDescent="0.3">
      <c r="F33" s="50">
        <v>38322</v>
      </c>
      <c r="G33" s="53">
        <v>-0.75716110198868658</v>
      </c>
      <c r="H33" s="53">
        <v>0.57077625570776258</v>
      </c>
      <c r="I33" s="53">
        <v>2.3317347445014116</v>
      </c>
      <c r="M33" s="54"/>
      <c r="N33" s="54"/>
      <c r="P33" s="54"/>
    </row>
    <row r="34" spans="6:16" x14ac:dyDescent="0.3">
      <c r="F34" s="50">
        <v>38353</v>
      </c>
      <c r="G34" s="53">
        <v>0.76293777001562491</v>
      </c>
      <c r="H34" s="53">
        <v>0.56753688989784346</v>
      </c>
      <c r="I34" s="53">
        <v>-2.4886877828054281</v>
      </c>
      <c r="M34" s="54"/>
      <c r="N34" s="54"/>
      <c r="P34" s="54"/>
    </row>
    <row r="35" spans="6:16" x14ac:dyDescent="0.3">
      <c r="F35" s="50">
        <v>38384</v>
      </c>
      <c r="G35" s="53">
        <v>0.47436599160736725</v>
      </c>
      <c r="H35" s="53">
        <v>-1.3544018058690619</v>
      </c>
      <c r="I35" s="53">
        <v>-3.9111700364600703</v>
      </c>
      <c r="M35" s="54"/>
      <c r="N35" s="54"/>
      <c r="P35" s="54"/>
    </row>
    <row r="36" spans="6:16" x14ac:dyDescent="0.3">
      <c r="F36" s="50">
        <v>38412</v>
      </c>
      <c r="G36" s="53">
        <v>0.26330125295079559</v>
      </c>
      <c r="H36" s="53">
        <v>0.91533180778031709</v>
      </c>
      <c r="I36" s="53">
        <v>1.586754053121769</v>
      </c>
      <c r="M36" s="54"/>
      <c r="N36" s="54"/>
      <c r="P36" s="54"/>
    </row>
    <row r="37" spans="6:16" x14ac:dyDescent="0.3">
      <c r="F37" s="50">
        <v>38443</v>
      </c>
      <c r="G37" s="53">
        <v>0.47088653445621304</v>
      </c>
      <c r="H37" s="53">
        <v>0.11337868480724977</v>
      </c>
      <c r="I37" s="53">
        <v>-0.33955857385398258</v>
      </c>
      <c r="M37" s="54"/>
      <c r="N37" s="54"/>
      <c r="P37" s="54"/>
    </row>
    <row r="38" spans="6:16" x14ac:dyDescent="0.3">
      <c r="F38" s="50">
        <v>38473</v>
      </c>
      <c r="G38" s="53">
        <v>3.6052275799902694E-2</v>
      </c>
      <c r="H38" s="53">
        <v>3.171007927519816</v>
      </c>
      <c r="I38" s="53">
        <v>1.5332197614991459</v>
      </c>
      <c r="M38" s="54"/>
      <c r="N38" s="54"/>
      <c r="P38" s="54"/>
    </row>
    <row r="39" spans="6:16" x14ac:dyDescent="0.3">
      <c r="F39" s="50">
        <v>38504</v>
      </c>
      <c r="G39" s="53">
        <v>-0.32435354536444677</v>
      </c>
      <c r="H39" s="53">
        <v>-1.7563117453347907</v>
      </c>
      <c r="I39" s="53">
        <v>0.13422818791946023</v>
      </c>
      <c r="M39" s="54"/>
      <c r="N39" s="54"/>
      <c r="P39" s="54"/>
    </row>
    <row r="40" spans="6:16" x14ac:dyDescent="0.3">
      <c r="F40" s="50">
        <v>38534</v>
      </c>
      <c r="G40" s="53">
        <v>0</v>
      </c>
      <c r="H40" s="53">
        <v>-0.6703910614525076</v>
      </c>
      <c r="I40" s="53">
        <v>1.508042895442357</v>
      </c>
      <c r="M40" s="54"/>
      <c r="N40" s="54"/>
      <c r="P40" s="54"/>
    </row>
    <row r="41" spans="6:16" x14ac:dyDescent="0.3">
      <c r="F41" s="50">
        <v>38565</v>
      </c>
      <c r="G41" s="53">
        <v>0.59658320527886721</v>
      </c>
      <c r="H41" s="53">
        <v>0.11248593925758639</v>
      </c>
      <c r="I41" s="53">
        <v>8.2535490260819189E-2</v>
      </c>
      <c r="M41" s="54"/>
      <c r="N41" s="54"/>
      <c r="P41" s="54"/>
    </row>
    <row r="42" spans="6:16" x14ac:dyDescent="0.3">
      <c r="F42" s="50">
        <v>38596</v>
      </c>
      <c r="G42" s="53">
        <v>-0.38637793153024241</v>
      </c>
      <c r="H42" s="53">
        <v>-0.5617977528089888</v>
      </c>
      <c r="I42" s="53">
        <v>-0.19792182088075957</v>
      </c>
      <c r="M42" s="54"/>
      <c r="N42" s="54"/>
      <c r="P42" s="54"/>
    </row>
    <row r="43" spans="6:16" x14ac:dyDescent="0.3">
      <c r="F43" s="50">
        <v>38626</v>
      </c>
      <c r="G43" s="53">
        <v>0.17138733537795212</v>
      </c>
      <c r="H43" s="53">
        <v>-0.67796610169490878</v>
      </c>
      <c r="I43" s="53">
        <v>0.77673111882333312</v>
      </c>
      <c r="M43" s="54"/>
      <c r="N43" s="54"/>
      <c r="P43" s="54"/>
    </row>
    <row r="44" spans="6:16" x14ac:dyDescent="0.3">
      <c r="F44" s="50">
        <v>38657</v>
      </c>
      <c r="G44" s="53">
        <v>0.68437640702386771</v>
      </c>
      <c r="H44" s="53">
        <v>1.0238907849829255</v>
      </c>
      <c r="I44" s="53">
        <v>-0.11479173499508082</v>
      </c>
      <c r="M44" s="54"/>
      <c r="N44" s="54"/>
      <c r="P44" s="54"/>
    </row>
    <row r="45" spans="6:16" x14ac:dyDescent="0.3">
      <c r="F45" s="50">
        <v>38687</v>
      </c>
      <c r="G45" s="53">
        <v>0.4561309364099731</v>
      </c>
      <c r="H45" s="53">
        <v>1.6891891891891893</v>
      </c>
      <c r="I45" s="53">
        <v>1.0343129207026802</v>
      </c>
      <c r="M45" s="54"/>
      <c r="N45" s="54"/>
      <c r="P45" s="54"/>
    </row>
    <row r="46" spans="6:16" x14ac:dyDescent="0.3">
      <c r="F46" s="50">
        <v>38718</v>
      </c>
      <c r="G46" s="53">
        <v>0.94373219373219586</v>
      </c>
      <c r="H46" s="53">
        <v>0.33222591362125931</v>
      </c>
      <c r="I46" s="53">
        <v>3.8836529086772842</v>
      </c>
      <c r="M46" s="54"/>
      <c r="N46" s="54"/>
      <c r="P46" s="54"/>
    </row>
    <row r="47" spans="6:16" x14ac:dyDescent="0.3">
      <c r="F47" s="50">
        <v>38749</v>
      </c>
      <c r="G47" s="53">
        <v>0.20285764685130003</v>
      </c>
      <c r="H47" s="53">
        <v>0.88300220750553138</v>
      </c>
      <c r="I47" s="53">
        <v>-2.3776005005474787</v>
      </c>
      <c r="M47" s="54"/>
      <c r="N47" s="54"/>
      <c r="P47" s="54"/>
    </row>
    <row r="48" spans="6:16" x14ac:dyDescent="0.3">
      <c r="F48" s="50">
        <v>38777</v>
      </c>
      <c r="G48" s="53">
        <v>-5.281225244256868E-2</v>
      </c>
      <c r="H48" s="53">
        <v>-0.65645514223195678</v>
      </c>
      <c r="I48" s="53">
        <v>0.94536132030123932</v>
      </c>
      <c r="M48" s="54"/>
      <c r="N48" s="54"/>
      <c r="P48" s="54"/>
    </row>
    <row r="49" spans="6:16" x14ac:dyDescent="0.3">
      <c r="F49" s="50">
        <v>38808</v>
      </c>
      <c r="G49" s="53">
        <v>0.59885512989872902</v>
      </c>
      <c r="H49" s="53">
        <v>0.55066079295154191</v>
      </c>
      <c r="I49" s="53">
        <v>1.6507936507936607</v>
      </c>
      <c r="M49" s="54"/>
      <c r="N49" s="54"/>
      <c r="P49" s="54"/>
    </row>
    <row r="50" spans="6:16" x14ac:dyDescent="0.3">
      <c r="F50" s="50">
        <v>38838</v>
      </c>
      <c r="G50" s="53">
        <v>1.2518602818874136</v>
      </c>
      <c r="H50" s="53">
        <v>0.65717415115006417</v>
      </c>
      <c r="I50" s="53">
        <v>-0.46845721424110592</v>
      </c>
      <c r="M50" s="54"/>
      <c r="N50" s="54"/>
      <c r="P50" s="54"/>
    </row>
    <row r="51" spans="6:16" x14ac:dyDescent="0.3">
      <c r="F51" s="50">
        <v>38869</v>
      </c>
      <c r="G51" s="53">
        <v>-0.81272695832612629</v>
      </c>
      <c r="H51" s="53">
        <v>-1.4145810663765084</v>
      </c>
      <c r="I51" s="53">
        <v>1.7100721681832385</v>
      </c>
      <c r="M51" s="54"/>
      <c r="N51" s="54"/>
      <c r="P51" s="54"/>
    </row>
    <row r="52" spans="6:16" x14ac:dyDescent="0.3">
      <c r="F52" s="50">
        <v>38899</v>
      </c>
      <c r="G52" s="53">
        <v>1.9351464435146435</v>
      </c>
      <c r="H52" s="53">
        <v>0.88300220750553138</v>
      </c>
      <c r="I52" s="53">
        <v>-0.38562393953416629</v>
      </c>
      <c r="M52" s="54"/>
      <c r="N52" s="54"/>
      <c r="P52" s="54"/>
    </row>
    <row r="53" spans="6:16" x14ac:dyDescent="0.3">
      <c r="F53" s="50">
        <v>38930</v>
      </c>
      <c r="G53" s="53">
        <v>-0.27364460407045765</v>
      </c>
      <c r="H53" s="53">
        <v>-0.10940919037200057</v>
      </c>
      <c r="I53" s="53">
        <v>0.68132548776710711</v>
      </c>
      <c r="M53" s="54"/>
      <c r="N53" s="54"/>
      <c r="P53" s="54"/>
    </row>
    <row r="54" spans="6:16" x14ac:dyDescent="0.3">
      <c r="F54" s="50">
        <v>38961</v>
      </c>
      <c r="G54" s="53">
        <v>0.17149717029668035</v>
      </c>
      <c r="H54" s="53">
        <v>-0.76670317634173368</v>
      </c>
      <c r="I54" s="53">
        <v>1.8455859735466054</v>
      </c>
      <c r="M54" s="54"/>
      <c r="N54" s="54"/>
      <c r="P54" s="54"/>
    </row>
    <row r="55" spans="6:16" x14ac:dyDescent="0.3">
      <c r="F55" s="50">
        <v>38991</v>
      </c>
      <c r="G55" s="53">
        <v>1.0700222564629345</v>
      </c>
      <c r="H55" s="53">
        <v>0.44150110375276569</v>
      </c>
      <c r="I55" s="53">
        <v>0.39263062518877245</v>
      </c>
      <c r="M55" s="54"/>
      <c r="N55" s="54"/>
      <c r="P55" s="54"/>
    </row>
    <row r="56" spans="6:16" x14ac:dyDescent="0.3">
      <c r="F56" s="50">
        <v>39022</v>
      </c>
      <c r="G56" s="53">
        <v>0.67756415685611193</v>
      </c>
      <c r="H56" s="53">
        <v>1.3186813186813218</v>
      </c>
      <c r="I56" s="53">
        <v>0.10529482551142175</v>
      </c>
      <c r="M56" s="54"/>
      <c r="N56" s="54"/>
      <c r="P56" s="54"/>
    </row>
    <row r="57" spans="6:16" x14ac:dyDescent="0.3">
      <c r="F57" s="50">
        <v>39052</v>
      </c>
      <c r="G57" s="53">
        <v>0.84125515268781026</v>
      </c>
      <c r="H57" s="53">
        <v>0.86767895878524637</v>
      </c>
      <c r="I57" s="53">
        <v>-0.16528925619834625</v>
      </c>
      <c r="M57" s="54"/>
      <c r="N57" s="54"/>
      <c r="P57" s="54"/>
    </row>
    <row r="58" spans="6:16" x14ac:dyDescent="0.3">
      <c r="F58" s="50">
        <v>39083</v>
      </c>
      <c r="G58" s="53">
        <v>-0.17518978893802281</v>
      </c>
      <c r="H58" s="53">
        <v>-0.32258064516128726</v>
      </c>
      <c r="I58" s="53">
        <v>0.49668874172185173</v>
      </c>
      <c r="M58" s="54"/>
      <c r="N58" s="54"/>
      <c r="P58" s="54"/>
    </row>
    <row r="59" spans="6:16" x14ac:dyDescent="0.3">
      <c r="F59" s="50">
        <v>39114</v>
      </c>
      <c r="G59" s="53">
        <v>0.42620758816647591</v>
      </c>
      <c r="H59" s="53">
        <v>1.2944983818770257</v>
      </c>
      <c r="I59" s="53">
        <v>1.3628875243372935</v>
      </c>
      <c r="M59" s="54"/>
      <c r="N59" s="54"/>
      <c r="P59" s="54"/>
    </row>
    <row r="60" spans="6:16" x14ac:dyDescent="0.3">
      <c r="F60" s="50">
        <v>39142</v>
      </c>
      <c r="G60" s="53">
        <v>-0.64075892485645003</v>
      </c>
      <c r="H60" s="53">
        <v>1.2779552715654829</v>
      </c>
      <c r="I60" s="53">
        <v>1.0933806146572027</v>
      </c>
      <c r="M60" s="54"/>
      <c r="N60" s="54"/>
      <c r="P60" s="54"/>
    </row>
    <row r="61" spans="6:16" x14ac:dyDescent="0.3">
      <c r="F61" s="50">
        <v>39173</v>
      </c>
      <c r="G61" s="53">
        <v>1.490787269681743</v>
      </c>
      <c r="H61" s="53">
        <v>0.94637223974764018</v>
      </c>
      <c r="I61" s="53">
        <v>0.70154925460392281</v>
      </c>
      <c r="M61" s="54"/>
      <c r="N61" s="54"/>
      <c r="P61" s="54"/>
    </row>
    <row r="62" spans="6:16" x14ac:dyDescent="0.3">
      <c r="F62" s="50">
        <v>39203</v>
      </c>
      <c r="G62" s="53">
        <v>0.99026241954116889</v>
      </c>
      <c r="H62" s="53">
        <v>0.312499999999997</v>
      </c>
      <c r="I62" s="53">
        <v>-0.13062409288824878</v>
      </c>
      <c r="M62" s="54"/>
      <c r="N62" s="54"/>
      <c r="P62" s="54"/>
    </row>
    <row r="63" spans="6:16" x14ac:dyDescent="0.3">
      <c r="F63" s="50">
        <v>39234</v>
      </c>
      <c r="G63" s="53">
        <v>0.84164079097891908</v>
      </c>
      <c r="H63" s="53">
        <v>0.62305295950156647</v>
      </c>
      <c r="I63" s="53">
        <v>0.49411422758320506</v>
      </c>
      <c r="M63" s="54"/>
      <c r="N63" s="54"/>
      <c r="P63" s="54"/>
    </row>
    <row r="64" spans="6:16" x14ac:dyDescent="0.3">
      <c r="F64" s="50">
        <v>39264</v>
      </c>
      <c r="G64" s="53">
        <v>0.66445182724253093</v>
      </c>
      <c r="H64" s="53">
        <v>-0.41279669762642485</v>
      </c>
      <c r="I64" s="53">
        <v>0.49168474331162565</v>
      </c>
      <c r="M64" s="54"/>
      <c r="N64" s="54"/>
      <c r="P64" s="54"/>
    </row>
    <row r="65" spans="6:16" x14ac:dyDescent="0.3">
      <c r="F65" s="50">
        <v>39295</v>
      </c>
      <c r="G65" s="53">
        <v>8.854543990984419E-2</v>
      </c>
      <c r="H65" s="53">
        <v>1.3471502590673545</v>
      </c>
      <c r="I65" s="53">
        <v>-1.3671031803136979</v>
      </c>
      <c r="M65" s="54"/>
      <c r="N65" s="54"/>
      <c r="P65" s="54"/>
    </row>
    <row r="66" spans="6:16" x14ac:dyDescent="0.3">
      <c r="F66" s="50">
        <v>39326</v>
      </c>
      <c r="G66" s="53">
        <v>0.81228888531445309</v>
      </c>
      <c r="H66" s="53">
        <v>-0.5112474437627812</v>
      </c>
      <c r="I66" s="53">
        <v>3.7058651882112512</v>
      </c>
      <c r="M66" s="54"/>
      <c r="N66" s="54"/>
      <c r="P66" s="54"/>
    </row>
    <row r="67" spans="6:16" x14ac:dyDescent="0.3">
      <c r="F67" s="50">
        <v>39356</v>
      </c>
      <c r="G67" s="53">
        <v>0.77383326685281129</v>
      </c>
      <c r="H67" s="53">
        <v>2.2610483042137748</v>
      </c>
      <c r="I67" s="53">
        <v>-1.9555430500844129</v>
      </c>
      <c r="M67" s="54"/>
      <c r="N67" s="54"/>
      <c r="P67" s="54"/>
    </row>
    <row r="68" spans="6:16" x14ac:dyDescent="0.3">
      <c r="F68" s="50">
        <v>39387</v>
      </c>
      <c r="G68" s="53">
        <v>-0.11874604179859997</v>
      </c>
      <c r="H68" s="53">
        <v>-0.90452261306533233</v>
      </c>
      <c r="I68" s="53">
        <v>1.3918783182666077</v>
      </c>
      <c r="M68" s="54"/>
      <c r="N68" s="54"/>
      <c r="P68" s="54"/>
    </row>
    <row r="69" spans="6:16" x14ac:dyDescent="0.3">
      <c r="F69" s="50">
        <v>39417</v>
      </c>
      <c r="G69" s="53">
        <v>0.62613933581674885</v>
      </c>
      <c r="H69" s="53">
        <v>0.30425963488844965</v>
      </c>
      <c r="I69" s="53">
        <v>1.1746391168978183</v>
      </c>
      <c r="M69" s="54"/>
      <c r="N69" s="54"/>
      <c r="P69" s="54"/>
    </row>
    <row r="70" spans="6:16" x14ac:dyDescent="0.3">
      <c r="F70" s="50">
        <v>39448</v>
      </c>
      <c r="G70" s="53">
        <v>0.20478890989288367</v>
      </c>
      <c r="H70" s="53">
        <v>1.6177957532861418</v>
      </c>
      <c r="I70" s="53">
        <v>0.71338648762065349</v>
      </c>
      <c r="M70" s="54"/>
      <c r="N70" s="54"/>
      <c r="P70" s="54"/>
    </row>
    <row r="71" spans="6:16" x14ac:dyDescent="0.3">
      <c r="F71" s="50">
        <v>39479</v>
      </c>
      <c r="G71" s="53">
        <v>-0.30655557302311004</v>
      </c>
      <c r="H71" s="53">
        <v>-0.29850746268656436</v>
      </c>
      <c r="I71" s="53">
        <v>-2.0694444444444371</v>
      </c>
      <c r="M71" s="54"/>
      <c r="N71" s="54"/>
      <c r="P71" s="54"/>
    </row>
    <row r="72" spans="6:16" x14ac:dyDescent="0.3">
      <c r="F72" s="50">
        <v>39508</v>
      </c>
      <c r="G72" s="53">
        <v>-0.30749822597177368</v>
      </c>
      <c r="H72" s="53">
        <v>0.39920159680637868</v>
      </c>
      <c r="I72" s="53">
        <v>1.3615090058147692</v>
      </c>
      <c r="M72" s="54"/>
      <c r="N72" s="54"/>
      <c r="P72" s="54"/>
    </row>
    <row r="73" spans="6:16" x14ac:dyDescent="0.3">
      <c r="F73" s="50">
        <v>39539</v>
      </c>
      <c r="G73" s="53">
        <v>0.99652008857956753</v>
      </c>
      <c r="H73" s="53">
        <v>0</v>
      </c>
      <c r="I73" s="53">
        <v>0.5176997341541969</v>
      </c>
      <c r="M73" s="54"/>
      <c r="N73" s="54"/>
      <c r="P73" s="54"/>
    </row>
    <row r="74" spans="6:16" x14ac:dyDescent="0.3">
      <c r="F74" s="50">
        <v>39569</v>
      </c>
      <c r="G74" s="53">
        <v>1.3312451057165253</v>
      </c>
      <c r="H74" s="53">
        <v>0.59642147117297073</v>
      </c>
      <c r="I74" s="53">
        <v>1.1275055679287336</v>
      </c>
      <c r="M74" s="54"/>
      <c r="N74" s="54"/>
      <c r="P74" s="54"/>
    </row>
    <row r="75" spans="6:16" x14ac:dyDescent="0.3">
      <c r="F75" s="50">
        <v>39600</v>
      </c>
      <c r="G75" s="53">
        <v>1.3833075734157589</v>
      </c>
      <c r="H75" s="53">
        <v>1.5810276679841841</v>
      </c>
      <c r="I75" s="53">
        <v>-0.5092911218169367</v>
      </c>
      <c r="M75" s="54"/>
      <c r="N75" s="54"/>
      <c r="P75" s="54"/>
    </row>
    <row r="76" spans="6:16" x14ac:dyDescent="0.3">
      <c r="F76" s="50">
        <v>39630</v>
      </c>
      <c r="G76" s="53">
        <v>-0.1981858373351558</v>
      </c>
      <c r="H76" s="53">
        <v>0.29182879377431631</v>
      </c>
      <c r="I76" s="53">
        <v>-0.12451577199779111</v>
      </c>
      <c r="M76" s="54"/>
      <c r="N76" s="54"/>
      <c r="P76" s="54"/>
    </row>
    <row r="77" spans="6:16" x14ac:dyDescent="0.3">
      <c r="F77" s="50">
        <v>39661</v>
      </c>
      <c r="G77" s="53">
        <v>4.5826013900559286E-2</v>
      </c>
      <c r="H77" s="53">
        <v>-1.0669253152279286</v>
      </c>
      <c r="I77" s="53">
        <v>0.81728771297964187</v>
      </c>
      <c r="M77" s="54"/>
      <c r="N77" s="54"/>
      <c r="P77" s="54"/>
    </row>
    <row r="78" spans="6:16" x14ac:dyDescent="0.3">
      <c r="F78" s="50">
        <v>39692</v>
      </c>
      <c r="G78" s="53">
        <v>-4.5805023284221903E-2</v>
      </c>
      <c r="H78" s="53">
        <v>1.2745098039215659</v>
      </c>
      <c r="I78" s="53">
        <v>0.83814234679857025</v>
      </c>
      <c r="M78" s="54"/>
      <c r="N78" s="54"/>
      <c r="P78" s="54"/>
    </row>
    <row r="79" spans="6:16" x14ac:dyDescent="0.3">
      <c r="F79" s="50">
        <v>39722</v>
      </c>
      <c r="G79" s="53">
        <v>-2.0927213014588015</v>
      </c>
      <c r="H79" s="53">
        <v>-3.0977734753146207</v>
      </c>
      <c r="I79" s="53">
        <v>0.21801335331788607</v>
      </c>
      <c r="M79" s="54"/>
      <c r="N79" s="54"/>
      <c r="P79" s="54"/>
    </row>
    <row r="80" spans="6:16" x14ac:dyDescent="0.3">
      <c r="F80" s="50">
        <v>39753</v>
      </c>
      <c r="G80" s="53">
        <v>-2.5274982447928815</v>
      </c>
      <c r="H80" s="53">
        <v>-5.6943056943056831</v>
      </c>
      <c r="I80" s="53">
        <v>0.67980965329707677</v>
      </c>
      <c r="M80" s="54"/>
      <c r="N80" s="54"/>
      <c r="P80" s="54"/>
    </row>
    <row r="81" spans="6:16" x14ac:dyDescent="0.3">
      <c r="F81" s="50">
        <v>39783</v>
      </c>
      <c r="G81" s="53">
        <v>-3.2172869147659031</v>
      </c>
      <c r="H81" s="53">
        <v>-11.228813559322044</v>
      </c>
      <c r="I81" s="53">
        <v>1.5124915597569273</v>
      </c>
      <c r="M81" s="54"/>
      <c r="N81" s="54"/>
      <c r="P81" s="54"/>
    </row>
    <row r="82" spans="6:16" x14ac:dyDescent="0.3">
      <c r="F82" s="50">
        <v>39814</v>
      </c>
      <c r="G82" s="53">
        <v>-9.0961713387921639E-2</v>
      </c>
      <c r="H82" s="53">
        <v>2.0286396181384285</v>
      </c>
      <c r="I82" s="53">
        <v>-0.30597312757749634</v>
      </c>
      <c r="M82" s="54"/>
      <c r="N82" s="54"/>
      <c r="P82" s="54"/>
    </row>
    <row r="83" spans="6:16" x14ac:dyDescent="0.3">
      <c r="F83" s="50">
        <v>39845</v>
      </c>
      <c r="G83" s="53">
        <v>1.1339182254593647</v>
      </c>
      <c r="H83" s="53">
        <v>2.4561403508771864</v>
      </c>
      <c r="I83" s="53">
        <v>2.8823058446757361</v>
      </c>
      <c r="M83" s="54"/>
      <c r="N83" s="54"/>
      <c r="P83" s="54"/>
    </row>
    <row r="84" spans="6:16" x14ac:dyDescent="0.3">
      <c r="F84" s="50">
        <v>39873</v>
      </c>
      <c r="G84" s="53">
        <v>0.63835011048367385</v>
      </c>
      <c r="H84" s="53">
        <v>0.45662100456621652</v>
      </c>
      <c r="I84" s="53">
        <v>-0.79118028534370877</v>
      </c>
      <c r="M84" s="54"/>
      <c r="N84" s="54"/>
      <c r="P84" s="54"/>
    </row>
    <row r="85" spans="6:16" x14ac:dyDescent="0.3">
      <c r="F85" s="50">
        <v>39904</v>
      </c>
      <c r="G85" s="53">
        <v>0.5448483369927638</v>
      </c>
      <c r="H85" s="53">
        <v>1.2499999999999936</v>
      </c>
      <c r="I85" s="53">
        <v>1.0458883514185011</v>
      </c>
      <c r="M85" s="54"/>
      <c r="N85" s="54"/>
      <c r="P85" s="54"/>
    </row>
    <row r="86" spans="6:16" x14ac:dyDescent="0.3">
      <c r="F86" s="50">
        <v>39934</v>
      </c>
      <c r="G86" s="53">
        <v>0.9948236816564251</v>
      </c>
      <c r="H86" s="53">
        <v>1.4590347923681386</v>
      </c>
      <c r="I86" s="53">
        <v>0.75042049424246116</v>
      </c>
      <c r="M86" s="54"/>
      <c r="N86" s="54"/>
      <c r="P86" s="54"/>
    </row>
    <row r="87" spans="6:16" x14ac:dyDescent="0.3">
      <c r="F87" s="50">
        <v>39965</v>
      </c>
      <c r="G87" s="53">
        <v>0.84888283815167964</v>
      </c>
      <c r="H87" s="53">
        <v>1.1061946902654867</v>
      </c>
      <c r="I87" s="53">
        <v>0.34673173237446514</v>
      </c>
      <c r="M87" s="54"/>
      <c r="N87" s="54"/>
      <c r="P87" s="54"/>
    </row>
    <row r="88" spans="6:16" x14ac:dyDescent="0.3">
      <c r="F88" s="50">
        <v>39995</v>
      </c>
      <c r="G88" s="53">
        <v>0.28587310410545491</v>
      </c>
      <c r="H88" s="53">
        <v>1.3129102844638825</v>
      </c>
      <c r="I88" s="53">
        <v>0.78065011517788507</v>
      </c>
      <c r="M88" s="54"/>
      <c r="N88" s="54"/>
      <c r="P88" s="54"/>
    </row>
    <row r="89" spans="6:16" x14ac:dyDescent="0.3">
      <c r="F89" s="50">
        <v>40026</v>
      </c>
      <c r="G89" s="53">
        <v>1.4252909969118672</v>
      </c>
      <c r="H89" s="53">
        <v>1.6198704103671708</v>
      </c>
      <c r="I89" s="53">
        <v>1.0920634920634913</v>
      </c>
      <c r="M89" s="54"/>
      <c r="N89" s="54"/>
      <c r="P89" s="54"/>
    </row>
    <row r="90" spans="6:16" x14ac:dyDescent="0.3">
      <c r="F90" s="50">
        <v>40057</v>
      </c>
      <c r="G90" s="53">
        <v>0.80412210164728015</v>
      </c>
      <c r="H90" s="53">
        <v>1.5940488841657812</v>
      </c>
      <c r="I90" s="53">
        <v>2.5122472051244845E-2</v>
      </c>
      <c r="M90" s="54"/>
      <c r="N90" s="54"/>
      <c r="P90" s="54"/>
    </row>
    <row r="91" spans="6:16" x14ac:dyDescent="0.3">
      <c r="F91" s="50">
        <v>40087</v>
      </c>
      <c r="G91" s="53">
        <v>0.51889714993803238</v>
      </c>
      <c r="H91" s="53">
        <v>1.8828451882845307</v>
      </c>
      <c r="I91" s="53">
        <v>1.8962702499058208</v>
      </c>
      <c r="M91" s="54"/>
      <c r="N91" s="54"/>
      <c r="P91" s="54"/>
    </row>
    <row r="92" spans="6:16" x14ac:dyDescent="0.3">
      <c r="F92" s="50">
        <v>40118</v>
      </c>
      <c r="G92" s="53">
        <v>0.17720933816165976</v>
      </c>
      <c r="H92" s="53">
        <v>1.4373716632443443</v>
      </c>
      <c r="I92" s="53">
        <v>0.69016514666009643</v>
      </c>
      <c r="M92" s="54"/>
      <c r="N92" s="54"/>
      <c r="P92" s="54"/>
    </row>
    <row r="93" spans="6:16" x14ac:dyDescent="0.3">
      <c r="F93" s="50">
        <v>40148</v>
      </c>
      <c r="G93" s="53">
        <v>0.98446392862636589</v>
      </c>
      <c r="H93" s="53">
        <v>0.30364372469635342</v>
      </c>
      <c r="I93" s="53">
        <v>0.30599755201958384</v>
      </c>
      <c r="M93" s="54"/>
      <c r="N93" s="54"/>
      <c r="P93" s="54"/>
    </row>
    <row r="94" spans="6:16" x14ac:dyDescent="0.3">
      <c r="F94" s="50">
        <v>40179</v>
      </c>
      <c r="G94" s="53">
        <v>1.6527037319116429</v>
      </c>
      <c r="H94" s="53">
        <v>1.6145307769929451</v>
      </c>
      <c r="I94" s="53">
        <v>0.79316656497863502</v>
      </c>
      <c r="M94" s="54"/>
      <c r="N94" s="54"/>
      <c r="P94" s="54"/>
    </row>
    <row r="95" spans="6:16" x14ac:dyDescent="0.3">
      <c r="F95" s="50">
        <v>40210</v>
      </c>
      <c r="G95" s="53">
        <v>1.2736944631752369</v>
      </c>
      <c r="H95" s="53">
        <v>-0.19860973187686479</v>
      </c>
      <c r="I95" s="53">
        <v>3.4866828087167194</v>
      </c>
      <c r="M95" s="54"/>
      <c r="N95" s="54"/>
      <c r="P95" s="54"/>
    </row>
    <row r="96" spans="6:16" x14ac:dyDescent="0.3">
      <c r="F96" s="50">
        <v>40238</v>
      </c>
      <c r="G96" s="53">
        <v>1.0505289635274218</v>
      </c>
      <c r="H96" s="53">
        <v>2.1890547263681621</v>
      </c>
      <c r="I96" s="53">
        <v>-1.1581656527842876</v>
      </c>
      <c r="M96" s="54"/>
      <c r="N96" s="54"/>
      <c r="P96" s="54"/>
    </row>
    <row r="97" spans="6:16" x14ac:dyDescent="0.3">
      <c r="F97" s="50">
        <v>40269</v>
      </c>
      <c r="G97" s="53">
        <v>0.33677428801523385</v>
      </c>
      <c r="H97" s="53">
        <v>0.38948393378772295</v>
      </c>
      <c r="I97" s="53">
        <v>-0.28405728488577925</v>
      </c>
      <c r="M97" s="54"/>
      <c r="N97" s="54"/>
      <c r="P97" s="54"/>
    </row>
    <row r="98" spans="6:16" x14ac:dyDescent="0.3">
      <c r="F98" s="50">
        <v>40299</v>
      </c>
      <c r="G98" s="53">
        <v>-0.40860999635169809</v>
      </c>
      <c r="H98" s="53">
        <v>-0.19398642095052246</v>
      </c>
      <c r="I98" s="53">
        <v>0.99703264094955901</v>
      </c>
      <c r="M98" s="54"/>
      <c r="N98" s="54"/>
      <c r="P98" s="54"/>
    </row>
    <row r="99" spans="6:16" x14ac:dyDescent="0.3">
      <c r="F99" s="50">
        <v>40330</v>
      </c>
      <c r="G99" s="53">
        <v>-0.19049014579824111</v>
      </c>
      <c r="H99" s="53">
        <v>-0.48590864917395532</v>
      </c>
      <c r="I99" s="53">
        <v>1.7393348219532139</v>
      </c>
      <c r="M99" s="54"/>
      <c r="N99" s="54"/>
      <c r="P99" s="54"/>
    </row>
    <row r="100" spans="6:16" x14ac:dyDescent="0.3">
      <c r="F100" s="50">
        <v>40360</v>
      </c>
      <c r="G100" s="53">
        <v>0.51383689348896511</v>
      </c>
      <c r="H100" s="53">
        <v>-0.58593750000000833</v>
      </c>
      <c r="I100" s="53">
        <v>-1.1435832274459916</v>
      </c>
      <c r="M100" s="54"/>
      <c r="N100" s="54"/>
      <c r="P100" s="54"/>
    </row>
    <row r="101" spans="6:16" x14ac:dyDescent="0.3">
      <c r="F101" s="50">
        <v>40391</v>
      </c>
      <c r="G101" s="53">
        <v>0.54042211348862979</v>
      </c>
      <c r="H101" s="53">
        <v>-0.29469548133595008</v>
      </c>
      <c r="I101" s="53">
        <v>1.4723066136947944</v>
      </c>
      <c r="M101" s="54"/>
      <c r="N101" s="54"/>
      <c r="P101" s="54"/>
    </row>
    <row r="102" spans="6:16" x14ac:dyDescent="0.3">
      <c r="F102" s="50">
        <v>40422</v>
      </c>
      <c r="G102" s="53">
        <v>1.2638919154499959</v>
      </c>
      <c r="H102" s="53">
        <v>0.19704433497537227</v>
      </c>
      <c r="I102" s="53">
        <v>-0.19576232151082645</v>
      </c>
      <c r="M102" s="54"/>
      <c r="N102" s="54"/>
      <c r="P102" s="54"/>
    </row>
    <row r="103" spans="6:16" x14ac:dyDescent="0.3">
      <c r="F103" s="50">
        <v>40452</v>
      </c>
      <c r="G103" s="53">
        <v>-0.49494297396169407</v>
      </c>
      <c r="H103" s="53">
        <v>-0.1966568338249782</v>
      </c>
      <c r="I103" s="53">
        <v>5.7690088842733536E-2</v>
      </c>
      <c r="M103" s="54"/>
      <c r="N103" s="54"/>
      <c r="P103" s="54"/>
    </row>
    <row r="104" spans="6:16" x14ac:dyDescent="0.3">
      <c r="F104" s="50">
        <v>40483</v>
      </c>
      <c r="G104" s="53">
        <v>0.98760092272203326</v>
      </c>
      <c r="H104" s="53">
        <v>0.59113300492610277</v>
      </c>
      <c r="I104" s="53">
        <v>-0.96863468634686734</v>
      </c>
      <c r="M104" s="54"/>
      <c r="N104" s="54"/>
      <c r="P104" s="54"/>
    </row>
    <row r="105" spans="6:16" x14ac:dyDescent="0.3">
      <c r="F105" s="50">
        <v>40513</v>
      </c>
      <c r="G105" s="53">
        <v>-1.2848882861017996</v>
      </c>
      <c r="H105" s="53">
        <v>0.48971596474045059</v>
      </c>
      <c r="I105" s="53">
        <v>0.62878435025617874</v>
      </c>
      <c r="M105" s="54"/>
      <c r="N105" s="54"/>
      <c r="P105" s="54"/>
    </row>
    <row r="106" spans="6:16" x14ac:dyDescent="0.3">
      <c r="F106" s="50">
        <v>40544</v>
      </c>
      <c r="G106" s="53">
        <v>1.3377684575891202</v>
      </c>
      <c r="H106" s="53">
        <v>0.38986354775829019</v>
      </c>
      <c r="I106" s="53">
        <v>0.24299930571626216</v>
      </c>
      <c r="M106" s="54"/>
      <c r="N106" s="54"/>
      <c r="P106" s="54"/>
    </row>
    <row r="107" spans="6:16" x14ac:dyDescent="0.3">
      <c r="F107" s="50">
        <v>40575</v>
      </c>
      <c r="G107" s="53">
        <v>0.41387184244328001</v>
      </c>
      <c r="H107" s="53">
        <v>1.0679611650485381</v>
      </c>
      <c r="I107" s="53">
        <v>0.99272769248528159</v>
      </c>
      <c r="M107" s="54"/>
      <c r="N107" s="54"/>
      <c r="P107" s="54"/>
    </row>
    <row r="108" spans="6:16" x14ac:dyDescent="0.3">
      <c r="F108" s="50">
        <v>40603</v>
      </c>
      <c r="G108" s="53">
        <v>0.27003979533825717</v>
      </c>
      <c r="H108" s="53">
        <v>0.48030739673390976</v>
      </c>
      <c r="I108" s="53">
        <v>0.76580180592067859</v>
      </c>
      <c r="M108" s="54"/>
      <c r="N108" s="54"/>
      <c r="P108" s="54"/>
    </row>
    <row r="109" spans="6:16" x14ac:dyDescent="0.3">
      <c r="F109" s="50">
        <v>40634</v>
      </c>
      <c r="G109" s="53">
        <v>-0.18426647767540105</v>
      </c>
      <c r="H109" s="53">
        <v>-2.4856596558317348</v>
      </c>
      <c r="I109" s="53">
        <v>0.60117967332123545</v>
      </c>
      <c r="M109" s="54"/>
      <c r="N109" s="54"/>
      <c r="P109" s="54"/>
    </row>
    <row r="110" spans="6:16" x14ac:dyDescent="0.3">
      <c r="F110" s="50">
        <v>40664</v>
      </c>
      <c r="G110" s="53">
        <v>0.30531099119568789</v>
      </c>
      <c r="H110" s="53">
        <v>2.9411764705882351</v>
      </c>
      <c r="I110" s="53">
        <v>0.24805502311421676</v>
      </c>
      <c r="M110" s="54"/>
      <c r="N110" s="54"/>
      <c r="P110" s="54"/>
    </row>
    <row r="111" spans="6:16" x14ac:dyDescent="0.3">
      <c r="F111" s="50">
        <v>40695</v>
      </c>
      <c r="G111" s="53">
        <v>0.67247115452678463</v>
      </c>
      <c r="H111" s="53">
        <v>-1.9047619047619049</v>
      </c>
      <c r="I111" s="53">
        <v>-0.4836351366550361</v>
      </c>
      <c r="M111" s="54"/>
      <c r="N111" s="54"/>
      <c r="P111" s="54"/>
    </row>
    <row r="112" spans="6:16" x14ac:dyDescent="0.3">
      <c r="F112" s="50">
        <v>40725</v>
      </c>
      <c r="G112" s="53">
        <v>2.1094079594994472E-2</v>
      </c>
      <c r="H112" s="53">
        <v>0</v>
      </c>
      <c r="I112" s="53">
        <v>1.548372513562376</v>
      </c>
      <c r="M112" s="54"/>
      <c r="N112" s="54"/>
      <c r="P112" s="54"/>
    </row>
    <row r="113" spans="6:16" x14ac:dyDescent="0.3">
      <c r="F113" s="50">
        <v>40756</v>
      </c>
      <c r="G113" s="53">
        <v>-0.20386643233742852</v>
      </c>
      <c r="H113" s="53">
        <v>-1.0679611650485381</v>
      </c>
      <c r="I113" s="53">
        <v>-0.11129660545352733</v>
      </c>
      <c r="M113" s="54"/>
      <c r="N113" s="54"/>
      <c r="P113" s="54"/>
    </row>
    <row r="114" spans="6:16" x14ac:dyDescent="0.3">
      <c r="F114" s="50">
        <v>40787</v>
      </c>
      <c r="G114" s="53">
        <v>-0.11975204282897711</v>
      </c>
      <c r="H114" s="53">
        <v>-1.4720314033366044</v>
      </c>
      <c r="I114" s="53">
        <v>-0.40111420612813303</v>
      </c>
      <c r="M114" s="54"/>
      <c r="N114" s="54"/>
      <c r="P114" s="54"/>
    </row>
    <row r="115" spans="6:16" x14ac:dyDescent="0.3">
      <c r="F115" s="50">
        <v>40817</v>
      </c>
      <c r="G115" s="53">
        <v>-0.14810635446786061</v>
      </c>
      <c r="H115" s="53">
        <v>-0.99601593625498008</v>
      </c>
      <c r="I115" s="53">
        <v>0.14543013759927895</v>
      </c>
      <c r="M115" s="54"/>
      <c r="N115" s="54"/>
      <c r="P115" s="54"/>
    </row>
    <row r="116" spans="6:16" x14ac:dyDescent="0.3">
      <c r="F116" s="50">
        <v>40848</v>
      </c>
      <c r="G116" s="53">
        <v>0.47323068229975102</v>
      </c>
      <c r="H116" s="53">
        <v>0.50301810865191143</v>
      </c>
      <c r="I116" s="53">
        <v>1.016532618409306</v>
      </c>
      <c r="M116" s="54"/>
      <c r="N116" s="54"/>
      <c r="P116" s="54"/>
    </row>
    <row r="117" spans="6:16" x14ac:dyDescent="0.3">
      <c r="F117" s="50">
        <v>40878</v>
      </c>
      <c r="G117" s="53">
        <v>-1.2653778558875299</v>
      </c>
      <c r="H117" s="53">
        <v>2.5025025025025025</v>
      </c>
      <c r="I117" s="53">
        <v>-1.4154594714143547</v>
      </c>
      <c r="M117" s="54"/>
      <c r="N117" s="54"/>
      <c r="P117" s="54"/>
    </row>
    <row r="118" spans="6:16" x14ac:dyDescent="0.3">
      <c r="F118" s="50">
        <v>40909</v>
      </c>
      <c r="G118" s="53">
        <v>-1.1249555001779881</v>
      </c>
      <c r="H118" s="53">
        <v>-4.1992187500000107</v>
      </c>
      <c r="I118" s="53">
        <v>7.874369040942228</v>
      </c>
      <c r="M118" s="54"/>
      <c r="N118" s="54"/>
      <c r="P118" s="54"/>
    </row>
    <row r="119" spans="6:16" x14ac:dyDescent="0.3">
      <c r="F119" s="50">
        <v>40940</v>
      </c>
      <c r="G119" s="53">
        <v>1.1665586519766722</v>
      </c>
      <c r="H119" s="53">
        <v>0.81549439347605657</v>
      </c>
      <c r="I119" s="53">
        <v>-0.35354060517833358</v>
      </c>
      <c r="M119" s="54"/>
      <c r="N119" s="54"/>
      <c r="P119" s="54"/>
    </row>
    <row r="120" spans="6:16" x14ac:dyDescent="0.3">
      <c r="F120" s="50">
        <v>40969</v>
      </c>
      <c r="G120" s="53">
        <v>-0.30607160652004184</v>
      </c>
      <c r="H120" s="53">
        <v>-0.60667340748231402</v>
      </c>
      <c r="I120" s="53">
        <v>1.0539497025983566</v>
      </c>
      <c r="M120" s="54"/>
      <c r="N120" s="54"/>
      <c r="P120" s="54"/>
    </row>
    <row r="121" spans="6:16" x14ac:dyDescent="0.3">
      <c r="F121" s="50">
        <v>41000</v>
      </c>
      <c r="G121" s="53">
        <v>0.69970012851634289</v>
      </c>
      <c r="H121" s="53">
        <v>0.10172939979654987</v>
      </c>
      <c r="I121" s="53">
        <v>-1.0532837670384245</v>
      </c>
      <c r="M121" s="54"/>
      <c r="N121" s="54"/>
      <c r="P121" s="54"/>
    </row>
    <row r="122" spans="6:16" x14ac:dyDescent="0.3">
      <c r="F122" s="50">
        <v>41030</v>
      </c>
      <c r="G122" s="53">
        <v>1.1557005104934739</v>
      </c>
      <c r="H122" s="53">
        <v>0.50813008130081294</v>
      </c>
      <c r="I122" s="53">
        <v>0.24003339595074516</v>
      </c>
      <c r="M122" s="54"/>
      <c r="N122" s="54"/>
      <c r="P122" s="54"/>
    </row>
    <row r="123" spans="6:16" x14ac:dyDescent="0.3">
      <c r="F123" s="50">
        <v>41061</v>
      </c>
      <c r="G123" s="53">
        <v>0.62381720053270828</v>
      </c>
      <c r="H123" s="53">
        <v>0.20222446916075693</v>
      </c>
      <c r="I123" s="53">
        <v>1.0619469026548631</v>
      </c>
      <c r="M123" s="54"/>
      <c r="N123" s="54"/>
      <c r="P123" s="54"/>
    </row>
    <row r="124" spans="6:16" x14ac:dyDescent="0.3">
      <c r="F124" s="50">
        <v>41091</v>
      </c>
      <c r="G124" s="53">
        <v>0.32738924491501731</v>
      </c>
      <c r="H124" s="53">
        <v>1.3118062563067725</v>
      </c>
      <c r="I124" s="53">
        <v>0.64901617389513722</v>
      </c>
      <c r="M124" s="54"/>
      <c r="N124" s="54"/>
      <c r="P124" s="54"/>
    </row>
    <row r="125" spans="6:16" x14ac:dyDescent="0.3">
      <c r="F125" s="50">
        <v>41122</v>
      </c>
      <c r="G125" s="53">
        <v>0.22217593556897397</v>
      </c>
      <c r="H125" s="53">
        <v>1.8924302788844536</v>
      </c>
      <c r="I125" s="53">
        <v>-1.2998976458546529</v>
      </c>
      <c r="M125" s="54"/>
      <c r="N125" s="54"/>
      <c r="P125" s="54"/>
    </row>
    <row r="126" spans="6:16" x14ac:dyDescent="0.3">
      <c r="F126" s="50">
        <v>41153</v>
      </c>
      <c r="G126" s="53">
        <v>-0.44336681676479833</v>
      </c>
      <c r="H126" s="53">
        <v>-1.5640273704789778</v>
      </c>
      <c r="I126" s="53">
        <v>1.6177538110546386</v>
      </c>
      <c r="M126" s="54"/>
      <c r="N126" s="54"/>
      <c r="P126" s="54"/>
    </row>
    <row r="127" spans="6:16" x14ac:dyDescent="0.3">
      <c r="F127" s="50">
        <v>41183</v>
      </c>
      <c r="G127" s="53">
        <v>0.80022267065618657</v>
      </c>
      <c r="H127" s="53">
        <v>1.2909632571995999</v>
      </c>
      <c r="I127" s="53">
        <v>-0.80620471476680489</v>
      </c>
      <c r="M127" s="54"/>
      <c r="N127" s="54"/>
      <c r="P127" s="54"/>
    </row>
    <row r="128" spans="6:16" x14ac:dyDescent="0.3">
      <c r="F128" s="50">
        <v>41214</v>
      </c>
      <c r="G128" s="53">
        <v>-0.19329007317409991</v>
      </c>
      <c r="H128" s="53">
        <v>-1.3725490196078487</v>
      </c>
      <c r="I128" s="53">
        <v>4.1152263374477409E-2</v>
      </c>
      <c r="M128" s="54"/>
      <c r="N128" s="54"/>
      <c r="P128" s="54"/>
    </row>
    <row r="129" spans="6:16" x14ac:dyDescent="0.3">
      <c r="F129" s="50">
        <v>41244</v>
      </c>
      <c r="G129" s="53">
        <v>-0.29049661087288414</v>
      </c>
      <c r="H129" s="53">
        <v>0.69582504970179215</v>
      </c>
      <c r="I129" s="53">
        <v>9.2554504319213707E-2</v>
      </c>
      <c r="M129" s="54"/>
      <c r="N129" s="54"/>
      <c r="P129" s="54"/>
    </row>
    <row r="130" spans="6:16" x14ac:dyDescent="0.3">
      <c r="F130" s="50">
        <v>41275</v>
      </c>
      <c r="G130" s="53">
        <v>0.57574916759157369</v>
      </c>
      <c r="H130" s="53">
        <v>0.98716683119447179</v>
      </c>
      <c r="I130" s="53">
        <v>0.10274324463167422</v>
      </c>
      <c r="M130" s="54"/>
      <c r="N130" s="54"/>
      <c r="P130" s="54"/>
    </row>
    <row r="131" spans="6:16" x14ac:dyDescent="0.3">
      <c r="F131" s="50">
        <v>41306</v>
      </c>
      <c r="G131" s="53">
        <v>-0.84143734050624097</v>
      </c>
      <c r="H131" s="53">
        <v>-2.737047898338218</v>
      </c>
      <c r="I131" s="53">
        <v>-0.6363543056553469</v>
      </c>
      <c r="M131" s="54"/>
      <c r="N131" s="54"/>
      <c r="P131" s="54"/>
    </row>
    <row r="132" spans="6:16" x14ac:dyDescent="0.3">
      <c r="F132" s="50">
        <v>41334</v>
      </c>
      <c r="G132" s="53">
        <v>0.82075537316545744</v>
      </c>
      <c r="H132" s="53">
        <v>1.9095477386934729</v>
      </c>
      <c r="I132" s="53">
        <v>0.36153289949384809</v>
      </c>
      <c r="M132" s="54"/>
      <c r="N132" s="54"/>
      <c r="P132" s="54"/>
    </row>
    <row r="133" spans="6:16" x14ac:dyDescent="0.3">
      <c r="F133" s="50">
        <v>41365</v>
      </c>
      <c r="G133" s="53">
        <v>0.88996205588135258</v>
      </c>
      <c r="H133" s="53">
        <v>1.5779092702169568</v>
      </c>
      <c r="I133" s="53">
        <v>-2.1099217785096722</v>
      </c>
      <c r="M133" s="54"/>
      <c r="N133" s="54"/>
      <c r="P133" s="54"/>
    </row>
    <row r="134" spans="6:16" x14ac:dyDescent="0.3">
      <c r="F134" s="50">
        <v>41395</v>
      </c>
      <c r="G134" s="53">
        <v>0.40344638949672007</v>
      </c>
      <c r="H134" s="53">
        <v>-0.2912621359223273</v>
      </c>
      <c r="I134" s="53">
        <v>3.3960677110713955</v>
      </c>
      <c r="M134" s="54"/>
      <c r="N134" s="54"/>
      <c r="P134" s="54"/>
    </row>
    <row r="135" spans="6:16" x14ac:dyDescent="0.3">
      <c r="F135" s="50">
        <v>41426</v>
      </c>
      <c r="G135" s="53">
        <v>-0.32690866989036171</v>
      </c>
      <c r="H135" s="53">
        <v>0.5842259006815913</v>
      </c>
      <c r="I135" s="53">
        <v>-0.9558673988204166</v>
      </c>
      <c r="M135" s="54"/>
      <c r="N135" s="54"/>
      <c r="P135" s="54"/>
    </row>
    <row r="136" spans="6:16" x14ac:dyDescent="0.3">
      <c r="F136" s="50">
        <v>41456</v>
      </c>
      <c r="G136" s="53">
        <v>0.57396651861974957</v>
      </c>
      <c r="H136" s="53">
        <v>-0.67763794772507535</v>
      </c>
      <c r="I136" s="53">
        <v>2.5770020533880809</v>
      </c>
      <c r="M136" s="54"/>
      <c r="N136" s="54"/>
      <c r="P136" s="54"/>
    </row>
    <row r="137" spans="6:16" x14ac:dyDescent="0.3">
      <c r="F137" s="50">
        <v>41487</v>
      </c>
      <c r="G137" s="53">
        <v>-5.4351518445535763E-2</v>
      </c>
      <c r="H137" s="53">
        <v>9.7465886939579471E-2</v>
      </c>
      <c r="I137" s="53">
        <v>0.52046842157943174</v>
      </c>
      <c r="M137" s="54"/>
      <c r="N137" s="54"/>
      <c r="P137" s="54"/>
    </row>
    <row r="138" spans="6:16" x14ac:dyDescent="0.3">
      <c r="F138" s="50">
        <v>41518</v>
      </c>
      <c r="G138" s="53">
        <v>0.70015634559171547</v>
      </c>
      <c r="H138" s="53">
        <v>0.5842259006815913</v>
      </c>
      <c r="I138" s="53">
        <v>0.58747386239170485</v>
      </c>
      <c r="M138" s="54"/>
      <c r="N138" s="54"/>
      <c r="P138" s="54"/>
    </row>
    <row r="139" spans="6:16" x14ac:dyDescent="0.3">
      <c r="F139" s="50">
        <v>41548</v>
      </c>
      <c r="G139" s="53">
        <v>-0.10125556905628277</v>
      </c>
      <c r="H139" s="53">
        <v>-1.0648596321393942</v>
      </c>
      <c r="I139" s="53">
        <v>-1.5343496337358911</v>
      </c>
      <c r="M139" s="54"/>
      <c r="N139" s="54"/>
      <c r="P139" s="54"/>
    </row>
    <row r="140" spans="6:16" x14ac:dyDescent="0.3">
      <c r="F140" s="50">
        <v>41579</v>
      </c>
      <c r="G140" s="53">
        <v>0.23650246638285988</v>
      </c>
      <c r="H140" s="53">
        <v>0.58708414872797876</v>
      </c>
      <c r="I140" s="53">
        <v>1.0555946516537622</v>
      </c>
      <c r="M140" s="54"/>
      <c r="N140" s="54"/>
      <c r="P140" s="54"/>
    </row>
    <row r="141" spans="6:16" x14ac:dyDescent="0.3">
      <c r="F141" s="50">
        <v>41609</v>
      </c>
      <c r="G141" s="53">
        <v>0.1820142914925241</v>
      </c>
      <c r="H141" s="53">
        <v>-3.5992217898832717</v>
      </c>
      <c r="I141" s="53">
        <v>1.1042578591325105</v>
      </c>
      <c r="M141" s="54"/>
      <c r="N141" s="54"/>
      <c r="P141" s="54"/>
    </row>
    <row r="142" spans="6:16" x14ac:dyDescent="0.3">
      <c r="F142" s="50">
        <v>41640</v>
      </c>
      <c r="G142" s="53">
        <v>-0.22878675728416889</v>
      </c>
      <c r="H142" s="53">
        <v>1.7154389505549978</v>
      </c>
      <c r="I142" s="53">
        <v>0.10823575715831885</v>
      </c>
      <c r="M142" s="54"/>
      <c r="N142" s="54"/>
      <c r="P142" s="54"/>
    </row>
    <row r="143" spans="6:16" x14ac:dyDescent="0.3">
      <c r="F143" s="50">
        <v>41671</v>
      </c>
      <c r="G143" s="53">
        <v>-0.28326701288191536</v>
      </c>
      <c r="H143" s="53">
        <v>0.49603174603174599</v>
      </c>
      <c r="I143" s="53">
        <v>-0.16709258895223286</v>
      </c>
      <c r="M143" s="54"/>
      <c r="N143" s="54"/>
      <c r="P143" s="54"/>
    </row>
    <row r="144" spans="6:16" x14ac:dyDescent="0.3">
      <c r="F144" s="50">
        <v>41699</v>
      </c>
      <c r="G144" s="53">
        <v>2.7054447074732528E-2</v>
      </c>
      <c r="H144" s="53">
        <v>-0.29615004935833872</v>
      </c>
      <c r="I144" s="53">
        <v>-0.25598109678053649</v>
      </c>
      <c r="M144" s="54"/>
      <c r="N144" s="54"/>
      <c r="P144" s="54"/>
    </row>
    <row r="145" spans="6:16" x14ac:dyDescent="0.3">
      <c r="F145" s="50">
        <v>41730</v>
      </c>
      <c r="G145" s="53">
        <v>-0.68294002299005407</v>
      </c>
      <c r="H145" s="53">
        <v>-0.79207920792078934</v>
      </c>
      <c r="I145" s="53">
        <v>-2.8328891521073976</v>
      </c>
      <c r="M145" s="54"/>
      <c r="N145" s="54"/>
      <c r="P145" s="54"/>
    </row>
    <row r="146" spans="6:16" x14ac:dyDescent="0.3">
      <c r="F146" s="50">
        <v>41760</v>
      </c>
      <c r="G146" s="53">
        <v>-0.39488017429192818</v>
      </c>
      <c r="H146" s="53">
        <v>-1.0978043912175734</v>
      </c>
      <c r="I146" s="53">
        <v>1.1072734660707064</v>
      </c>
      <c r="M146" s="54"/>
      <c r="N146" s="54"/>
      <c r="P146" s="54"/>
    </row>
    <row r="147" spans="6:16" x14ac:dyDescent="0.3">
      <c r="F147" s="50">
        <v>41791</v>
      </c>
      <c r="G147" s="53">
        <v>-1.8386876281613107</v>
      </c>
      <c r="H147" s="53">
        <v>-2.9263370332996885</v>
      </c>
      <c r="I147" s="53">
        <v>0.7635888676780922</v>
      </c>
      <c r="M147" s="54"/>
      <c r="N147" s="54"/>
      <c r="P147" s="54"/>
    </row>
    <row r="148" spans="6:16" x14ac:dyDescent="0.3">
      <c r="F148" s="50">
        <v>41821</v>
      </c>
      <c r="G148" s="53">
        <v>0.83559640693544224</v>
      </c>
      <c r="H148" s="53">
        <v>2.5987525987525983</v>
      </c>
      <c r="I148" s="53">
        <v>-0.81762887625885672</v>
      </c>
      <c r="M148" s="54"/>
      <c r="N148" s="54"/>
      <c r="P148" s="54"/>
    </row>
    <row r="149" spans="6:16" x14ac:dyDescent="0.3">
      <c r="F149" s="50">
        <v>41852</v>
      </c>
      <c r="G149" s="53">
        <v>0.53173123403080602</v>
      </c>
      <c r="H149" s="53">
        <v>0.40526849037486473</v>
      </c>
      <c r="I149" s="53">
        <v>-0.38202473107469131</v>
      </c>
      <c r="M149" s="54"/>
      <c r="N149" s="54"/>
      <c r="P149" s="54"/>
    </row>
    <row r="150" spans="6:16" x14ac:dyDescent="0.3">
      <c r="F150" s="50">
        <v>41883</v>
      </c>
      <c r="G150" s="53">
        <v>0.45335897788157475</v>
      </c>
      <c r="H150" s="53">
        <v>0.10090817356206713</v>
      </c>
      <c r="I150" s="53">
        <v>-7.0642849934410529E-2</v>
      </c>
      <c r="M150" s="54"/>
      <c r="N150" s="54"/>
      <c r="P150" s="54"/>
    </row>
    <row r="151" spans="6:16" x14ac:dyDescent="0.3">
      <c r="F151" s="50">
        <v>41913</v>
      </c>
      <c r="G151" s="53">
        <v>-0.56072210065646988</v>
      </c>
      <c r="H151" s="53">
        <v>0.1008064516128975</v>
      </c>
      <c r="I151" s="53">
        <v>1.4138557867097614</v>
      </c>
      <c r="M151" s="54"/>
      <c r="N151" s="54"/>
      <c r="P151" s="54"/>
    </row>
    <row r="152" spans="6:16" x14ac:dyDescent="0.3">
      <c r="F152" s="50">
        <v>41944</v>
      </c>
      <c r="G152" s="53">
        <v>9.6272864805401454E-2</v>
      </c>
      <c r="H152" s="53">
        <v>-0.80563947633433763</v>
      </c>
      <c r="I152" s="53">
        <v>-0.64728141804422001</v>
      </c>
      <c r="M152" s="54"/>
      <c r="N152" s="54"/>
      <c r="P152" s="54"/>
    </row>
    <row r="153" spans="6:16" x14ac:dyDescent="0.3">
      <c r="F153" s="50">
        <v>41974</v>
      </c>
      <c r="G153" s="53">
        <v>0.44655125034350485</v>
      </c>
      <c r="H153" s="53">
        <v>-2.9441624365482291</v>
      </c>
      <c r="I153" s="53">
        <v>0.63145234038289033</v>
      </c>
      <c r="M153" s="54"/>
      <c r="N153" s="54"/>
      <c r="P153" s="54"/>
    </row>
    <row r="154" spans="6:16" x14ac:dyDescent="0.3">
      <c r="F154" s="50">
        <v>42005</v>
      </c>
      <c r="G154" s="53">
        <v>-0.85493468299021946</v>
      </c>
      <c r="H154" s="53">
        <v>0.62761506276151524</v>
      </c>
      <c r="I154" s="53">
        <v>-0.12948207171315701</v>
      </c>
      <c r="M154" s="54"/>
      <c r="N154" s="54"/>
      <c r="P154" s="54"/>
    </row>
    <row r="155" spans="6:16" x14ac:dyDescent="0.3">
      <c r="F155" s="50">
        <v>42036</v>
      </c>
      <c r="G155" s="53">
        <v>-0.6760485651214253</v>
      </c>
      <c r="H155" s="53">
        <v>-0.72765072765073058</v>
      </c>
      <c r="I155" s="53">
        <v>-0.45876134437019422</v>
      </c>
      <c r="M155" s="54"/>
      <c r="N155" s="54"/>
      <c r="P155" s="54"/>
    </row>
    <row r="156" spans="6:16" x14ac:dyDescent="0.3">
      <c r="F156" s="50">
        <v>42064</v>
      </c>
      <c r="G156" s="53">
        <v>-0.17363522711487708</v>
      </c>
      <c r="H156" s="53">
        <v>-0.62827225130889452</v>
      </c>
      <c r="I156" s="53">
        <v>-0.99188458070334551</v>
      </c>
      <c r="M156" s="54"/>
      <c r="N156" s="54"/>
      <c r="P156" s="54"/>
    </row>
    <row r="157" spans="6:16" x14ac:dyDescent="0.3">
      <c r="F157" s="50">
        <v>42095</v>
      </c>
      <c r="G157" s="53">
        <v>-0.93926111458985206</v>
      </c>
      <c r="H157" s="53">
        <v>-1.8967334035827306</v>
      </c>
      <c r="I157" s="53">
        <v>-0.25298522566282128</v>
      </c>
      <c r="M157" s="54"/>
      <c r="N157" s="54"/>
      <c r="P157" s="54"/>
    </row>
    <row r="158" spans="6:16" x14ac:dyDescent="0.3">
      <c r="F158" s="50">
        <v>42125</v>
      </c>
      <c r="G158" s="53">
        <v>-0.91304958561594529</v>
      </c>
      <c r="H158" s="53">
        <v>-0.96670247046185998</v>
      </c>
      <c r="I158" s="53">
        <v>-0.89276656183422487</v>
      </c>
      <c r="M158" s="54"/>
      <c r="N158" s="54"/>
      <c r="P158" s="54"/>
    </row>
    <row r="159" spans="6:16" x14ac:dyDescent="0.3">
      <c r="F159" s="50">
        <v>42156</v>
      </c>
      <c r="G159" s="53">
        <v>-1.0632265381343917</v>
      </c>
      <c r="H159" s="53">
        <v>-0.97613882863341173</v>
      </c>
      <c r="I159" s="53">
        <v>6.1418773671821345E-2</v>
      </c>
      <c r="M159" s="54"/>
      <c r="N159" s="54"/>
      <c r="P159" s="54"/>
    </row>
    <row r="160" spans="6:16" x14ac:dyDescent="0.3">
      <c r="F160" s="50">
        <v>42186</v>
      </c>
      <c r="G160" s="53">
        <v>-0.65195586760282631</v>
      </c>
      <c r="H160" s="53">
        <v>-1.7524644030668064</v>
      </c>
      <c r="I160" s="53">
        <v>-1.4526854219948866</v>
      </c>
      <c r="M160" s="54"/>
      <c r="N160" s="54"/>
      <c r="P160" s="54"/>
    </row>
    <row r="161" spans="6:16" x14ac:dyDescent="0.3">
      <c r="F161" s="50">
        <v>42217</v>
      </c>
      <c r="G161" s="53">
        <v>0.18749549289681933</v>
      </c>
      <c r="H161" s="53">
        <v>0.55741360089186176</v>
      </c>
      <c r="I161" s="53">
        <v>-1.3910515934807468</v>
      </c>
      <c r="M161" s="54"/>
      <c r="N161" s="54"/>
      <c r="P161" s="54"/>
    </row>
    <row r="162" spans="6:16" x14ac:dyDescent="0.3">
      <c r="F162" s="50">
        <v>42248</v>
      </c>
      <c r="G162" s="53">
        <v>-0.97891024256820969</v>
      </c>
      <c r="H162" s="53">
        <v>-2.3281596452328253</v>
      </c>
      <c r="I162" s="53">
        <v>1.5264764712074985</v>
      </c>
      <c r="M162" s="54"/>
      <c r="N162" s="54"/>
      <c r="P162" s="54"/>
    </row>
    <row r="163" spans="6:16" x14ac:dyDescent="0.3">
      <c r="F163" s="50">
        <v>42278</v>
      </c>
      <c r="G163" s="53">
        <v>0.68328850766882154</v>
      </c>
      <c r="H163" s="53">
        <v>-0.22701475595912446</v>
      </c>
      <c r="I163" s="53">
        <v>1.9805060141020288</v>
      </c>
      <c r="M163" s="54"/>
      <c r="N163" s="54"/>
      <c r="P163" s="54"/>
    </row>
    <row r="164" spans="6:16" x14ac:dyDescent="0.3">
      <c r="F164" s="50">
        <v>42309</v>
      </c>
      <c r="G164" s="53">
        <v>-1.3212042451808419</v>
      </c>
      <c r="H164" s="53">
        <v>-1.7064846416382253</v>
      </c>
      <c r="I164" s="53">
        <v>-2.6537874936451442</v>
      </c>
      <c r="M164" s="54"/>
      <c r="N164" s="54"/>
      <c r="P164" s="54"/>
    </row>
    <row r="165" spans="6:16" x14ac:dyDescent="0.3">
      <c r="F165" s="50">
        <v>42339</v>
      </c>
      <c r="G165" s="53">
        <v>-0.27070529704419416</v>
      </c>
      <c r="H165" s="53">
        <v>-1.5046296296296426</v>
      </c>
      <c r="I165" s="53">
        <v>0.31334865260080569</v>
      </c>
      <c r="M165" s="54"/>
      <c r="N165" s="54"/>
      <c r="P165" s="54"/>
    </row>
    <row r="166" spans="6:16" x14ac:dyDescent="0.3">
      <c r="F166" s="50">
        <v>42370</v>
      </c>
      <c r="G166" s="53">
        <v>-0.57956129410901036</v>
      </c>
      <c r="H166" s="53">
        <v>1.0575793184488904</v>
      </c>
      <c r="I166" s="53">
        <v>-1.1349437734277419</v>
      </c>
      <c r="M166" s="54"/>
      <c r="N166" s="54"/>
      <c r="P166" s="54"/>
    </row>
    <row r="167" spans="6:16" x14ac:dyDescent="0.3">
      <c r="F167" s="50">
        <v>42401</v>
      </c>
      <c r="G167" s="53">
        <v>-7.3789846517261851E-3</v>
      </c>
      <c r="H167" s="53">
        <v>-1.2790697674418539</v>
      </c>
      <c r="I167" s="53">
        <v>0.62137967351237855</v>
      </c>
      <c r="M167" s="54"/>
      <c r="N167" s="54"/>
      <c r="P167" s="54"/>
    </row>
    <row r="168" spans="6:16" x14ac:dyDescent="0.3">
      <c r="F168" s="50">
        <v>42430</v>
      </c>
      <c r="G168" s="53">
        <v>-0.66415762674339707</v>
      </c>
      <c r="H168" s="53">
        <v>0.58892815076560656</v>
      </c>
      <c r="I168" s="53">
        <v>-1.1304165794431782</v>
      </c>
      <c r="M168" s="54"/>
      <c r="N168" s="54"/>
      <c r="P168" s="54"/>
    </row>
    <row r="169" spans="6:16" x14ac:dyDescent="0.3">
      <c r="F169" s="50">
        <v>42461</v>
      </c>
      <c r="G169" s="53">
        <v>8.9146422999759389E-2</v>
      </c>
      <c r="H169" s="53">
        <v>0.11709601873535634</v>
      </c>
      <c r="I169" s="53">
        <v>0.39170019055685429</v>
      </c>
      <c r="M169" s="54"/>
      <c r="N169" s="54"/>
      <c r="P169" s="54"/>
    </row>
    <row r="170" spans="6:16" x14ac:dyDescent="0.3">
      <c r="F170" s="50">
        <v>42491</v>
      </c>
      <c r="G170" s="53">
        <v>-0.32657908409411252</v>
      </c>
      <c r="H170" s="53">
        <v>0.23391812865497411</v>
      </c>
      <c r="I170" s="53">
        <v>0.37962670041126167</v>
      </c>
      <c r="M170" s="54"/>
      <c r="N170" s="54"/>
      <c r="P170" s="54"/>
    </row>
    <row r="171" spans="6:16" x14ac:dyDescent="0.3">
      <c r="F171" s="50">
        <v>42522</v>
      </c>
      <c r="G171" s="53">
        <v>0.40956139697670069</v>
      </c>
      <c r="H171" s="53">
        <v>-1.1668611435239207</v>
      </c>
      <c r="I171" s="53">
        <v>-1.2081100955982682</v>
      </c>
      <c r="M171" s="54"/>
      <c r="N171" s="54"/>
      <c r="P171" s="54"/>
    </row>
    <row r="172" spans="6:16" x14ac:dyDescent="0.3">
      <c r="F172" s="50">
        <v>42552</v>
      </c>
      <c r="G172" s="53">
        <v>-0.1705725304064</v>
      </c>
      <c r="H172" s="53">
        <v>0.70838252656433798</v>
      </c>
      <c r="I172" s="53">
        <v>0.85070182900892932</v>
      </c>
      <c r="M172" s="54"/>
      <c r="N172" s="54"/>
      <c r="P172" s="54"/>
    </row>
    <row r="173" spans="6:16" x14ac:dyDescent="0.3">
      <c r="F173" s="50">
        <v>42583</v>
      </c>
      <c r="G173" s="53">
        <v>-0.45316098358221046</v>
      </c>
      <c r="H173" s="53">
        <v>-1.9929660023446694</v>
      </c>
      <c r="I173" s="53">
        <v>-0.20033741037536662</v>
      </c>
      <c r="M173" s="54"/>
      <c r="N173" s="54"/>
      <c r="P173" s="54"/>
    </row>
    <row r="174" spans="6:16" x14ac:dyDescent="0.3">
      <c r="F174" s="50">
        <v>42614</v>
      </c>
      <c r="G174" s="53">
        <v>-0.18656716417910446</v>
      </c>
      <c r="H174" s="53">
        <v>1.0765550239234518</v>
      </c>
      <c r="I174" s="53">
        <v>-1.1727416798732164</v>
      </c>
      <c r="M174" s="54"/>
      <c r="N174" s="54"/>
      <c r="P174" s="54"/>
    </row>
    <row r="175" spans="6:16" x14ac:dyDescent="0.3">
      <c r="F175" s="50">
        <v>42644</v>
      </c>
      <c r="G175" s="53">
        <v>-0.33644859813083261</v>
      </c>
      <c r="H175" s="53">
        <v>-1.3017751479289872</v>
      </c>
      <c r="I175" s="53">
        <v>1.0690613641213282E-2</v>
      </c>
      <c r="M175" s="54"/>
      <c r="N175" s="54"/>
      <c r="P175" s="54"/>
    </row>
    <row r="176" spans="6:16" x14ac:dyDescent="0.3">
      <c r="F176" s="50">
        <v>42675</v>
      </c>
      <c r="G176" s="53">
        <v>-0.21005251312828291</v>
      </c>
      <c r="H176" s="53">
        <v>0.95923261390886938</v>
      </c>
      <c r="I176" s="53">
        <v>-0.67343666488508336</v>
      </c>
      <c r="M176" s="54"/>
      <c r="N176" s="54"/>
      <c r="P176" s="54"/>
    </row>
    <row r="177" spans="6:16" x14ac:dyDescent="0.3">
      <c r="F177" s="50">
        <v>42705</v>
      </c>
      <c r="G177" s="53">
        <v>-0.49616599007667755</v>
      </c>
      <c r="H177" s="53">
        <v>1.543942992874106</v>
      </c>
      <c r="I177" s="53">
        <v>-2.0017219113215661</v>
      </c>
      <c r="M177" s="54"/>
      <c r="N177" s="54"/>
      <c r="P177" s="54"/>
    </row>
    <row r="178" spans="6:16" x14ac:dyDescent="0.3">
      <c r="F178" s="50">
        <v>42736</v>
      </c>
      <c r="G178" s="53">
        <v>0.76307041402235631</v>
      </c>
      <c r="H178" s="53">
        <v>0.81871345029240106</v>
      </c>
      <c r="I178" s="53">
        <v>8.8732703711838319</v>
      </c>
      <c r="M178" s="54"/>
      <c r="N178" s="54"/>
      <c r="P178" s="54"/>
    </row>
    <row r="179" spans="6:16" x14ac:dyDescent="0.3">
      <c r="F179" s="50">
        <v>42767</v>
      </c>
      <c r="G179" s="53">
        <v>1.5220814276074088</v>
      </c>
      <c r="H179" s="53">
        <v>1.3921113689095159</v>
      </c>
      <c r="I179" s="53">
        <v>-1.1902360298567751</v>
      </c>
      <c r="M179" s="54"/>
      <c r="N179" s="54"/>
      <c r="P179" s="54"/>
    </row>
    <row r="180" spans="6:16" x14ac:dyDescent="0.3">
      <c r="F180" s="50">
        <v>42795</v>
      </c>
      <c r="G180" s="53">
        <v>0.18463810930576069</v>
      </c>
      <c r="H180" s="53">
        <v>-1.9450800915331838</v>
      </c>
      <c r="I180" s="53">
        <v>-6.5843201306655663</v>
      </c>
      <c r="M180" s="54"/>
      <c r="N180" s="54"/>
      <c r="P180" s="54"/>
    </row>
    <row r="181" spans="6:16" x14ac:dyDescent="0.3">
      <c r="F181" s="50">
        <v>42826</v>
      </c>
      <c r="G181" s="53">
        <v>8.8462956137120935E-2</v>
      </c>
      <c r="H181" s="53">
        <v>0.23337222870478744</v>
      </c>
      <c r="I181" s="53">
        <v>2.1418424215932612</v>
      </c>
      <c r="M181" s="54"/>
      <c r="N181" s="54"/>
      <c r="P181" s="54"/>
    </row>
    <row r="182" spans="6:16" x14ac:dyDescent="0.3">
      <c r="F182" s="50">
        <v>42856</v>
      </c>
      <c r="G182" s="53">
        <v>-0.44192384179128136</v>
      </c>
      <c r="H182" s="53">
        <v>0.23282887077996348</v>
      </c>
      <c r="I182" s="53">
        <v>0.97357440890124802</v>
      </c>
      <c r="M182" s="54"/>
      <c r="N182" s="54"/>
      <c r="P182" s="54"/>
    </row>
    <row r="183" spans="6:16" x14ac:dyDescent="0.3">
      <c r="F183" s="50">
        <v>42887</v>
      </c>
      <c r="G183" s="53">
        <v>0.6436339424428531</v>
      </c>
      <c r="H183" s="53">
        <v>0.81300813008130424</v>
      </c>
      <c r="I183" s="53">
        <v>1.3668150031786463</v>
      </c>
      <c r="M183" s="54"/>
      <c r="N183" s="54"/>
      <c r="P183" s="54"/>
    </row>
    <row r="184" spans="6:16" x14ac:dyDescent="0.3">
      <c r="F184" s="50">
        <v>42917</v>
      </c>
      <c r="G184" s="53">
        <v>0.33078506321671353</v>
      </c>
      <c r="H184" s="53">
        <v>0.34562211981566493</v>
      </c>
      <c r="I184" s="53">
        <v>0.20905194940943123</v>
      </c>
      <c r="M184" s="54"/>
      <c r="N184" s="54"/>
      <c r="P184" s="54"/>
    </row>
    <row r="185" spans="6:16" x14ac:dyDescent="0.3">
      <c r="F185" s="50">
        <v>42948</v>
      </c>
      <c r="G185" s="53">
        <v>-0.49820499670306012</v>
      </c>
      <c r="H185" s="53">
        <v>0</v>
      </c>
      <c r="I185" s="53">
        <v>-0.76144779388756023</v>
      </c>
      <c r="M185" s="54"/>
      <c r="N185" s="54"/>
      <c r="P185" s="54"/>
    </row>
    <row r="186" spans="6:16" x14ac:dyDescent="0.3">
      <c r="F186" s="50">
        <v>42979</v>
      </c>
      <c r="G186" s="53">
        <v>-0.23562329725351092</v>
      </c>
      <c r="H186" s="53">
        <v>0.45924225028703292</v>
      </c>
      <c r="I186" s="53">
        <v>2.5331091023754433</v>
      </c>
      <c r="M186" s="54"/>
      <c r="N186" s="54"/>
      <c r="P186" s="54"/>
    </row>
    <row r="187" spans="6:16" x14ac:dyDescent="0.3">
      <c r="F187" s="50">
        <v>43009</v>
      </c>
      <c r="G187" s="53">
        <v>0.20665731788323946</v>
      </c>
      <c r="H187" s="53">
        <v>0.80000000000000326</v>
      </c>
      <c r="I187" s="53">
        <v>0.24602767811379711</v>
      </c>
      <c r="M187" s="54"/>
      <c r="N187" s="54"/>
      <c r="P187" s="54"/>
    </row>
    <row r="188" spans="6:16" x14ac:dyDescent="0.3">
      <c r="F188" s="50">
        <v>43040</v>
      </c>
      <c r="G188" s="53">
        <v>-0.14730794726376742</v>
      </c>
      <c r="H188" s="53">
        <v>0.45351473922901525</v>
      </c>
      <c r="I188" s="53">
        <v>0.48062174046425893</v>
      </c>
      <c r="M188" s="54"/>
      <c r="N188" s="54"/>
      <c r="P188" s="54"/>
    </row>
    <row r="189" spans="6:16" x14ac:dyDescent="0.3">
      <c r="F189" s="50">
        <v>43070</v>
      </c>
      <c r="G189" s="53">
        <v>1.3719849524231127</v>
      </c>
      <c r="H189" s="53">
        <v>2.934537246049671</v>
      </c>
      <c r="I189" s="53">
        <v>0.42743741095054111</v>
      </c>
      <c r="M189" s="54"/>
      <c r="N189" s="54"/>
      <c r="P189" s="54"/>
    </row>
    <row r="190" spans="6:16" x14ac:dyDescent="0.3">
      <c r="F190" s="50">
        <v>43101</v>
      </c>
      <c r="G190" s="53">
        <v>-0.42203303499964523</v>
      </c>
      <c r="H190" s="53">
        <v>-2.5219298245614001</v>
      </c>
      <c r="I190" s="53">
        <v>3.5974868261045776</v>
      </c>
      <c r="M190" s="54"/>
      <c r="N190" s="54"/>
      <c r="P190" s="54"/>
    </row>
    <row r="191" spans="6:16" x14ac:dyDescent="0.3">
      <c r="F191" s="50">
        <v>43132</v>
      </c>
      <c r="G191" s="53">
        <v>-0.15345268542200072</v>
      </c>
      <c r="H191" s="53">
        <v>-0.33745781777279116</v>
      </c>
      <c r="I191" s="53">
        <v>-2.2009194952557953</v>
      </c>
      <c r="M191" s="54"/>
      <c r="N191" s="54"/>
      <c r="P191" s="54"/>
    </row>
    <row r="192" spans="6:16" x14ac:dyDescent="0.3">
      <c r="F192" s="50">
        <v>43160</v>
      </c>
      <c r="G192" s="53">
        <v>0.45374707259953501</v>
      </c>
      <c r="H192" s="53">
        <v>1.241534988713328</v>
      </c>
      <c r="I192" s="53">
        <v>-0.54010802160432714</v>
      </c>
      <c r="M192" s="54"/>
      <c r="N192" s="54"/>
      <c r="P192" s="54"/>
    </row>
    <row r="193" spans="6:16" x14ac:dyDescent="0.3">
      <c r="F193" s="50">
        <v>43191</v>
      </c>
      <c r="G193" s="53">
        <v>0.80139880518725248</v>
      </c>
      <c r="H193" s="53">
        <v>0.33444816053511389</v>
      </c>
      <c r="I193" s="53">
        <v>1.5486725663716878</v>
      </c>
      <c r="M193" s="54"/>
      <c r="N193" s="54"/>
      <c r="P193" s="54"/>
    </row>
    <row r="194" spans="6:16" x14ac:dyDescent="0.3">
      <c r="F194" s="50">
        <v>43221</v>
      </c>
      <c r="G194" s="53">
        <v>-3.592078635443789</v>
      </c>
      <c r="H194" s="53">
        <v>-10.888888888888886</v>
      </c>
      <c r="I194" s="53">
        <v>0.35650623885917943</v>
      </c>
      <c r="M194" s="54"/>
      <c r="N194" s="54"/>
      <c r="P194" s="54"/>
    </row>
    <row r="195" spans="6:16" x14ac:dyDescent="0.3">
      <c r="F195" s="50">
        <v>43252</v>
      </c>
      <c r="G195" s="53">
        <v>3.0362096109153698</v>
      </c>
      <c r="H195" s="53">
        <v>12.344139650872807</v>
      </c>
      <c r="I195" s="53">
        <v>-3.4635879218472518</v>
      </c>
      <c r="M195" s="54"/>
      <c r="N195" s="54"/>
      <c r="P195" s="54"/>
    </row>
    <row r="196" spans="6:16" x14ac:dyDescent="0.3">
      <c r="F196" s="50">
        <v>43282</v>
      </c>
      <c r="G196" s="53">
        <v>0.43655413271245225</v>
      </c>
      <c r="H196" s="53">
        <v>-0.22197558268589193</v>
      </c>
      <c r="I196" s="53">
        <v>1.1346212818153936</v>
      </c>
      <c r="M196" s="54"/>
      <c r="N196" s="54"/>
      <c r="P196" s="54"/>
    </row>
    <row r="197" spans="6:16" x14ac:dyDescent="0.3">
      <c r="F197" s="50">
        <v>43313</v>
      </c>
      <c r="G197" s="53">
        <v>0.92726745870762195</v>
      </c>
      <c r="H197" s="53">
        <v>-1.0011123470522865</v>
      </c>
      <c r="I197" s="53">
        <v>1.0915706488781063</v>
      </c>
      <c r="M197" s="54"/>
      <c r="N197" s="54"/>
      <c r="P197" s="54"/>
    </row>
    <row r="198" spans="6:16" x14ac:dyDescent="0.3">
      <c r="F198" s="50">
        <v>43344</v>
      </c>
      <c r="G198" s="53">
        <v>-0.95463680734997425</v>
      </c>
      <c r="H198" s="53">
        <v>-2.6966292134831522</v>
      </c>
      <c r="I198" s="53">
        <v>-0.91981603679264323</v>
      </c>
      <c r="M198" s="54"/>
      <c r="N198" s="54"/>
      <c r="P198" s="54"/>
    </row>
    <row r="199" spans="6:16" x14ac:dyDescent="0.3">
      <c r="F199" s="50">
        <v>43374</v>
      </c>
      <c r="G199" s="53">
        <v>5.0728313645911426E-2</v>
      </c>
      <c r="H199" s="53">
        <v>1.1547344110854503</v>
      </c>
      <c r="I199" s="53">
        <v>0.21190716448033095</v>
      </c>
      <c r="M199" s="54"/>
      <c r="N199" s="54"/>
      <c r="P199" s="54"/>
    </row>
    <row r="200" spans="6:16" x14ac:dyDescent="0.3">
      <c r="F200" s="50">
        <v>43405</v>
      </c>
      <c r="G200" s="53">
        <v>-0.14486455164420442</v>
      </c>
      <c r="H200" s="53">
        <v>-0.11415525114154602</v>
      </c>
      <c r="I200" s="53">
        <v>1.963548484543352</v>
      </c>
      <c r="M200" s="54"/>
      <c r="N200" s="54"/>
      <c r="P200" s="54"/>
    </row>
    <row r="201" spans="6:16" x14ac:dyDescent="0.3">
      <c r="F201" s="50">
        <v>43435</v>
      </c>
      <c r="G201" s="53">
        <v>0.48600029014941781</v>
      </c>
      <c r="H201" s="53">
        <v>0.22857142857143184</v>
      </c>
      <c r="I201" s="53">
        <v>0.64191190993481273</v>
      </c>
      <c r="M201" s="54"/>
      <c r="N201" s="54"/>
      <c r="P201" s="54"/>
    </row>
    <row r="202" spans="6:16" x14ac:dyDescent="0.3">
      <c r="F202" s="50">
        <v>43466</v>
      </c>
      <c r="G202" s="53">
        <v>-3.6093264996759813E-2</v>
      </c>
      <c r="H202" s="53">
        <v>-0.68415051311289454</v>
      </c>
      <c r="I202" s="53">
        <v>3.0222745559807658</v>
      </c>
      <c r="M202" s="54"/>
      <c r="N202" s="54"/>
      <c r="P202" s="54"/>
    </row>
    <row r="203" spans="6:16" x14ac:dyDescent="0.3">
      <c r="F203" s="50">
        <v>43497</v>
      </c>
      <c r="G203" s="53">
        <v>-0.79433853264008847</v>
      </c>
      <c r="H203" s="53">
        <v>0.22962112514351646</v>
      </c>
      <c r="I203" s="53">
        <v>-2.7240689589484708</v>
      </c>
      <c r="M203" s="54"/>
      <c r="N203" s="54"/>
      <c r="P203" s="54"/>
    </row>
    <row r="204" spans="6:16" x14ac:dyDescent="0.3">
      <c r="F204" s="50">
        <v>43525</v>
      </c>
      <c r="G204" s="53">
        <v>0.75702431212694132</v>
      </c>
      <c r="H204" s="53">
        <v>-0.22909507445590246</v>
      </c>
      <c r="I204" s="53">
        <v>-2.0855772055223691</v>
      </c>
      <c r="M204" s="54"/>
      <c r="N204" s="54"/>
      <c r="P204" s="54"/>
    </row>
    <row r="205" spans="6:16" x14ac:dyDescent="0.3">
      <c r="F205" s="50">
        <v>43556</v>
      </c>
      <c r="G205" s="53">
        <v>-0.23840485478975876</v>
      </c>
      <c r="H205" s="53">
        <v>0.34443168771528287</v>
      </c>
      <c r="I205" s="53">
        <v>-2.3700000000000045</v>
      </c>
      <c r="M205" s="54"/>
      <c r="N205" s="54"/>
      <c r="P205" s="54"/>
    </row>
    <row r="206" spans="6:16" x14ac:dyDescent="0.3">
      <c r="F206" s="50">
        <v>43586</v>
      </c>
      <c r="G206" s="53">
        <v>0.63002389745818277</v>
      </c>
      <c r="H206" s="53">
        <v>0</v>
      </c>
      <c r="I206" s="53">
        <v>1.7207825463484656</v>
      </c>
      <c r="M206" s="54"/>
      <c r="N206" s="54"/>
      <c r="P206" s="54"/>
    </row>
    <row r="207" spans="6:16" x14ac:dyDescent="0.3">
      <c r="F207" s="50">
        <v>43617</v>
      </c>
      <c r="G207" s="53">
        <v>2.1588946459413599E-2</v>
      </c>
      <c r="H207" s="53">
        <v>-0.91533180778033341</v>
      </c>
      <c r="I207" s="53">
        <v>-0.16111167052663034</v>
      </c>
      <c r="M207" s="54"/>
      <c r="N207" s="54"/>
      <c r="P207" s="54"/>
    </row>
    <row r="208" spans="6:16" x14ac:dyDescent="0.3">
      <c r="F208" s="50">
        <v>43647</v>
      </c>
      <c r="G208" s="53">
        <v>-0.30937477516368572</v>
      </c>
      <c r="H208" s="53">
        <v>-0.57736720554272514</v>
      </c>
      <c r="I208" s="53">
        <v>0.67574382249116238</v>
      </c>
      <c r="M208" s="54"/>
      <c r="N208" s="54"/>
      <c r="P208" s="54"/>
    </row>
    <row r="209" spans="6:16" x14ac:dyDescent="0.3">
      <c r="F209" s="50">
        <v>43678</v>
      </c>
      <c r="G209" s="53">
        <v>2.1651270207853013E-2</v>
      </c>
      <c r="H209" s="53">
        <v>0.92915214866435702</v>
      </c>
      <c r="I209" s="53">
        <v>1.3424163494289756</v>
      </c>
      <c r="M209" s="54"/>
      <c r="N209" s="54"/>
      <c r="P209" s="54"/>
    </row>
    <row r="210" spans="6:16" x14ac:dyDescent="0.3">
      <c r="F210" s="50">
        <v>43709</v>
      </c>
      <c r="G210" s="53">
        <v>0.36077639079298651</v>
      </c>
      <c r="H210" s="53">
        <v>-0.11507479861911221</v>
      </c>
      <c r="I210" s="53">
        <v>0.84025306445236114</v>
      </c>
      <c r="M210" s="54"/>
      <c r="N210" s="54"/>
      <c r="P210" s="54"/>
    </row>
    <row r="211" spans="6:16" x14ac:dyDescent="0.3">
      <c r="F211" s="50">
        <v>43739</v>
      </c>
      <c r="G211" s="53">
        <v>0.6254942842763711</v>
      </c>
      <c r="H211" s="53">
        <v>2.1889400921659052</v>
      </c>
      <c r="I211" s="53">
        <v>-0.5587687481619521</v>
      </c>
      <c r="M211" s="54"/>
      <c r="N211" s="54"/>
      <c r="P211" s="54"/>
    </row>
    <row r="212" spans="6:16" x14ac:dyDescent="0.3">
      <c r="F212" s="50">
        <v>43770</v>
      </c>
      <c r="G212" s="53">
        <v>-0.83595312946557288</v>
      </c>
      <c r="H212" s="53">
        <v>-2.254791431792559</v>
      </c>
      <c r="I212" s="53">
        <v>0.53233438485805029</v>
      </c>
      <c r="M212" s="54"/>
      <c r="N212" s="54"/>
      <c r="P212" s="54"/>
    </row>
    <row r="213" spans="6:16" x14ac:dyDescent="0.3">
      <c r="F213" s="50">
        <v>43800</v>
      </c>
      <c r="G213" s="53">
        <v>-0.50435910368181325</v>
      </c>
      <c r="H213" s="53">
        <v>-0.80738177623991092</v>
      </c>
      <c r="I213" s="53">
        <v>-0.7942733869386176</v>
      </c>
      <c r="M213" s="54"/>
      <c r="N213" s="54"/>
      <c r="P213" s="54"/>
    </row>
    <row r="214" spans="6:16" x14ac:dyDescent="0.3">
      <c r="F214" s="50">
        <v>43831</v>
      </c>
      <c r="G214" s="53">
        <v>0.53588239553914774</v>
      </c>
      <c r="H214" s="53">
        <v>0.93023255813953154</v>
      </c>
      <c r="I214" s="53">
        <v>0.45468024117820866</v>
      </c>
      <c r="M214" s="54"/>
      <c r="N214" s="54"/>
      <c r="P214" s="54"/>
    </row>
    <row r="215" spans="6:16" x14ac:dyDescent="0.3">
      <c r="F215" s="50">
        <v>43862</v>
      </c>
      <c r="G215" s="53">
        <v>0.38176186703162218</v>
      </c>
      <c r="H215" s="53">
        <v>0.69124423963134629</v>
      </c>
      <c r="I215" s="53">
        <v>-0.34438650004919252</v>
      </c>
      <c r="M215" s="54"/>
      <c r="N215" s="54"/>
      <c r="P215" s="54"/>
    </row>
    <row r="216" spans="6:16" x14ac:dyDescent="0.3">
      <c r="F216" s="50">
        <v>43891</v>
      </c>
      <c r="G216" s="53">
        <v>-5.1880022962112635</v>
      </c>
      <c r="H216" s="53">
        <v>-7.8947368421052699</v>
      </c>
      <c r="I216" s="53">
        <v>13.892180094786724</v>
      </c>
      <c r="M216" s="54"/>
      <c r="N216" s="54"/>
      <c r="P216" s="54"/>
    </row>
    <row r="217" spans="6:16" x14ac:dyDescent="0.3">
      <c r="F217" s="50">
        <v>43922</v>
      </c>
      <c r="G217" s="53">
        <v>-9.9523196851585496</v>
      </c>
      <c r="H217" s="53">
        <v>-19.378881987577632</v>
      </c>
      <c r="I217" s="53">
        <v>-11.382748157780664</v>
      </c>
      <c r="M217" s="54"/>
      <c r="N217" s="54"/>
      <c r="P217" s="54"/>
    </row>
    <row r="218" spans="6:16" x14ac:dyDescent="0.3">
      <c r="F218" s="50">
        <v>43952</v>
      </c>
      <c r="G218" s="53">
        <v>2.0927887039838584</v>
      </c>
      <c r="H218" s="53">
        <v>8.0123266563944355</v>
      </c>
      <c r="I218" s="53">
        <v>6.4370964586186643</v>
      </c>
      <c r="M218" s="54"/>
      <c r="N218" s="54"/>
      <c r="P218" s="54"/>
    </row>
    <row r="219" spans="6:16" x14ac:dyDescent="0.3">
      <c r="F219" s="50">
        <v>43983</v>
      </c>
      <c r="G219" s="53">
        <v>5.0629785132131433</v>
      </c>
      <c r="H219" s="53">
        <v>9.5577746077032852</v>
      </c>
      <c r="I219" s="53">
        <v>0.5974264705882405</v>
      </c>
      <c r="M219" s="54"/>
      <c r="N219" s="54"/>
      <c r="P219" s="54"/>
    </row>
    <row r="220" spans="6:16" x14ac:dyDescent="0.3">
      <c r="F220" s="50">
        <v>44013</v>
      </c>
      <c r="G220" s="53">
        <v>3.2440056417489318</v>
      </c>
      <c r="H220" s="53">
        <v>9.2447916666666785</v>
      </c>
      <c r="I220" s="53">
        <v>-0.19186843307447049</v>
      </c>
      <c r="M220" s="54"/>
      <c r="N220" s="54"/>
      <c r="P220" s="54"/>
    </row>
    <row r="221" spans="6:16" x14ac:dyDescent="0.3">
      <c r="F221" s="50">
        <v>44044</v>
      </c>
      <c r="G221" s="53">
        <v>2.0795385549483982</v>
      </c>
      <c r="H221" s="53">
        <v>2.7413587604290788</v>
      </c>
      <c r="I221" s="53">
        <v>-2.0322226290735985</v>
      </c>
      <c r="M221" s="54"/>
      <c r="N221" s="54"/>
      <c r="P221" s="54"/>
    </row>
    <row r="222" spans="6:16" x14ac:dyDescent="0.3">
      <c r="F222" s="50">
        <v>44075</v>
      </c>
      <c r="G222" s="53">
        <v>1.442379182156132</v>
      </c>
      <c r="H222" s="53">
        <v>2.668213457076563</v>
      </c>
      <c r="I222" s="53">
        <v>-0.10278452625677391</v>
      </c>
      <c r="M222" s="54"/>
      <c r="N222" s="54"/>
      <c r="P222" s="54"/>
    </row>
    <row r="223" spans="6:16" x14ac:dyDescent="0.3">
      <c r="F223" s="50">
        <v>44105</v>
      </c>
      <c r="G223" s="53">
        <v>1.4072119613016827</v>
      </c>
      <c r="H223" s="53">
        <v>1.3559322033898338</v>
      </c>
      <c r="I223" s="53">
        <v>1.0663174632868775</v>
      </c>
      <c r="M223" s="54"/>
      <c r="N223" s="54"/>
      <c r="P223" s="54"/>
    </row>
    <row r="224" spans="6:16" x14ac:dyDescent="0.3">
      <c r="F224" s="50">
        <v>44136</v>
      </c>
      <c r="G224" s="53">
        <v>-0.33246603064470071</v>
      </c>
      <c r="H224" s="53">
        <v>0.44593088071347986</v>
      </c>
      <c r="I224" s="53">
        <v>-2.9986117538176726</v>
      </c>
      <c r="M224" s="54"/>
      <c r="N224" s="54"/>
      <c r="P224" s="54"/>
    </row>
    <row r="225" spans="6:16" x14ac:dyDescent="0.3">
      <c r="F225" s="50">
        <v>44166</v>
      </c>
      <c r="G225" s="53">
        <v>0.21029731689629588</v>
      </c>
      <c r="H225" s="53">
        <v>0.22197558268590772</v>
      </c>
      <c r="I225" s="53">
        <v>6.6787520274776427E-2</v>
      </c>
      <c r="M225" s="54"/>
      <c r="N225" s="54"/>
      <c r="P225" s="54"/>
    </row>
    <row r="226" spans="6:16" x14ac:dyDescent="0.3">
      <c r="F226" s="50">
        <v>44197</v>
      </c>
      <c r="G226" s="53">
        <v>0.59338591793906448</v>
      </c>
      <c r="H226" s="53">
        <v>0.55370985603543743</v>
      </c>
      <c r="I226" s="53">
        <v>-1.2490465293668978</v>
      </c>
      <c r="M226" s="54"/>
      <c r="N226" s="54"/>
      <c r="P226" s="54"/>
    </row>
    <row r="227" spans="6:16" x14ac:dyDescent="0.3">
      <c r="F227" s="50">
        <v>44228</v>
      </c>
      <c r="G227" s="53">
        <v>1.5034889576289501</v>
      </c>
      <c r="H227" s="53">
        <v>-1.5418502202643078</v>
      </c>
      <c r="I227" s="53">
        <v>-0.28965916771265537</v>
      </c>
      <c r="M227" s="54"/>
      <c r="N227" s="54"/>
      <c r="P227" s="54"/>
    </row>
    <row r="228" spans="6:16" x14ac:dyDescent="0.3">
      <c r="F228" s="50">
        <v>44256</v>
      </c>
      <c r="G228" s="53">
        <v>-1.5946137491141037</v>
      </c>
      <c r="H228" s="53">
        <v>-2.2371364653243844</v>
      </c>
      <c r="I228" s="53">
        <v>3.4085407185049004</v>
      </c>
      <c r="M228" s="54"/>
      <c r="N228" s="54"/>
      <c r="P228" s="54"/>
    </row>
    <row r="229" spans="6:16" x14ac:dyDescent="0.3">
      <c r="F229" s="50">
        <v>44287</v>
      </c>
      <c r="G229" s="53">
        <v>0.27367662945624449</v>
      </c>
      <c r="H229" s="53">
        <v>-1.4874141876430336</v>
      </c>
      <c r="I229" s="53">
        <v>-2.5657833130443009</v>
      </c>
      <c r="M229" s="54"/>
      <c r="N229" s="54"/>
      <c r="P229" s="54"/>
    </row>
    <row r="230" spans="6:16" x14ac:dyDescent="0.3">
      <c r="F230" s="50">
        <v>44317</v>
      </c>
      <c r="G230" s="53">
        <v>3.5911800617691135E-2</v>
      </c>
      <c r="H230" s="53">
        <v>1.2775842044134826</v>
      </c>
      <c r="I230" s="53">
        <v>0.92263334935128105</v>
      </c>
      <c r="M230" s="54"/>
      <c r="N230" s="54"/>
      <c r="P230" s="54"/>
    </row>
    <row r="231" spans="6:16" x14ac:dyDescent="0.3">
      <c r="F231" s="50">
        <v>44348</v>
      </c>
      <c r="G231" s="53">
        <v>0.17949454336588169</v>
      </c>
      <c r="H231" s="53">
        <v>-0.57339449541284393</v>
      </c>
      <c r="I231" s="53">
        <v>3.8091610322818818E-2</v>
      </c>
      <c r="M231" s="54"/>
      <c r="N231" s="54"/>
      <c r="P231" s="54"/>
    </row>
    <row r="232" spans="6:16" x14ac:dyDescent="0.3">
      <c r="F232" s="50">
        <v>44378</v>
      </c>
      <c r="G232" s="53">
        <v>-0.12183759764924208</v>
      </c>
      <c r="H232" s="53">
        <v>-1.3840830449827022</v>
      </c>
      <c r="I232" s="53">
        <v>0.11423131841980443</v>
      </c>
      <c r="M232" s="54"/>
      <c r="N232" s="54"/>
      <c r="P232" s="54"/>
    </row>
    <row r="233" spans="6:16" x14ac:dyDescent="0.3">
      <c r="F233" s="50">
        <v>44409</v>
      </c>
      <c r="G233" s="53">
        <v>0.10045924225027722</v>
      </c>
      <c r="H233" s="53">
        <v>-0.58479532163742687</v>
      </c>
      <c r="I233" s="53">
        <v>-0.94133307977559644</v>
      </c>
      <c r="M233" s="54"/>
      <c r="N233" s="54"/>
      <c r="P233" s="54"/>
    </row>
    <row r="234" spans="6:16" x14ac:dyDescent="0.3">
      <c r="F234" s="50">
        <v>44440</v>
      </c>
      <c r="G234" s="53">
        <v>-0.57347670250896876</v>
      </c>
      <c r="H234" s="53">
        <v>-0.47058823529412436</v>
      </c>
      <c r="I234" s="53">
        <v>-0.86388942215396969</v>
      </c>
      <c r="M234" s="54"/>
      <c r="N234" s="54"/>
      <c r="P234" s="54"/>
    </row>
    <row r="235" spans="6:16" x14ac:dyDescent="0.3">
      <c r="F235" s="50">
        <v>44470</v>
      </c>
      <c r="G235" s="53">
        <v>5.0468637346807219E-2</v>
      </c>
      <c r="H235" s="53">
        <v>-0.59101654846335705</v>
      </c>
      <c r="I235" s="53">
        <v>2.9047250193649433E-2</v>
      </c>
      <c r="M235" s="54"/>
      <c r="N235" s="54"/>
      <c r="P235" s="54"/>
    </row>
    <row r="236" spans="6:16" x14ac:dyDescent="0.3">
      <c r="F236" s="50">
        <v>44501</v>
      </c>
      <c r="G236" s="53">
        <v>0.45398861425379794</v>
      </c>
      <c r="H236" s="53">
        <v>0.11890606420928482</v>
      </c>
      <c r="I236" s="53">
        <v>0.75500919562481961</v>
      </c>
      <c r="M236" s="54"/>
      <c r="N236" s="54"/>
      <c r="P236" s="54"/>
    </row>
    <row r="237" spans="6:16" x14ac:dyDescent="0.3">
      <c r="F237" s="50">
        <v>44531</v>
      </c>
      <c r="G237" s="53">
        <v>0.32281205164992011</v>
      </c>
      <c r="H237" s="53">
        <v>2.6128266033254191</v>
      </c>
      <c r="I237" s="53">
        <v>-0.45153232779325475</v>
      </c>
      <c r="M237" s="54"/>
      <c r="N237" s="54"/>
      <c r="P237" s="54"/>
    </row>
    <row r="238" spans="6:16" x14ac:dyDescent="0.3">
      <c r="F238" s="50">
        <v>44562</v>
      </c>
      <c r="G238" s="53">
        <v>-0.72935287808364813</v>
      </c>
      <c r="H238" s="53">
        <v>-2.1990740740740802</v>
      </c>
      <c r="I238" s="53">
        <v>0.19301293186642407</v>
      </c>
      <c r="M238" s="54"/>
      <c r="N238" s="54"/>
      <c r="P238" s="54"/>
    </row>
    <row r="239" spans="6:16" x14ac:dyDescent="0.3">
      <c r="F239" s="50">
        <v>44593</v>
      </c>
      <c r="G239" s="53">
        <v>0.33854354246200308</v>
      </c>
      <c r="H239" s="53">
        <v>0.71005917159762644</v>
      </c>
      <c r="I239" s="53">
        <v>1.1365825467154758</v>
      </c>
      <c r="M239" s="54"/>
      <c r="N239" s="54"/>
      <c r="P239" s="54"/>
    </row>
    <row r="240" spans="6:16" x14ac:dyDescent="0.3">
      <c r="M240" s="54"/>
      <c r="N240" s="54"/>
      <c r="P240" s="54"/>
    </row>
    <row r="241" spans="13:16" x14ac:dyDescent="0.3">
      <c r="M241" s="54"/>
      <c r="N241" s="54"/>
      <c r="P241" s="54"/>
    </row>
    <row r="242" spans="13:16" x14ac:dyDescent="0.3">
      <c r="M242" s="54"/>
      <c r="N242" s="54"/>
      <c r="P242" s="54"/>
    </row>
    <row r="243" spans="13:16" x14ac:dyDescent="0.3">
      <c r="M243" s="54"/>
      <c r="N243" s="54"/>
      <c r="P243" s="54"/>
    </row>
    <row r="244" spans="13:16" x14ac:dyDescent="0.3">
      <c r="M244" s="54"/>
      <c r="N244" s="54"/>
      <c r="P244" s="54"/>
    </row>
    <row r="245" spans="13:16" x14ac:dyDescent="0.3">
      <c r="M245" s="54"/>
      <c r="N245" s="54"/>
      <c r="P245" s="54"/>
    </row>
    <row r="246" spans="13:16" x14ac:dyDescent="0.3">
      <c r="M246" s="54"/>
      <c r="N246" s="54"/>
      <c r="P246" s="54"/>
    </row>
    <row r="247" spans="13:16" x14ac:dyDescent="0.3">
      <c r="M247" s="54"/>
      <c r="N247" s="54"/>
      <c r="P247" s="54"/>
    </row>
    <row r="248" spans="13:16" x14ac:dyDescent="0.3">
      <c r="M248" s="54"/>
      <c r="N248" s="54"/>
      <c r="P248" s="54"/>
    </row>
    <row r="249" spans="13:16" x14ac:dyDescent="0.3">
      <c r="M249" s="27"/>
      <c r="N249" s="27"/>
      <c r="P249" s="27"/>
    </row>
    <row r="250" spans="13:16" x14ac:dyDescent="0.3">
      <c r="M250" s="27"/>
      <c r="N250" s="27"/>
      <c r="P250" s="27"/>
    </row>
    <row r="251" spans="13:16" x14ac:dyDescent="0.3">
      <c r="M251" s="27"/>
      <c r="N251" s="27"/>
      <c r="P251" s="27"/>
    </row>
    <row r="252" spans="13:16" x14ac:dyDescent="0.3">
      <c r="M252" s="27"/>
      <c r="N252" s="27"/>
      <c r="P252" s="27"/>
    </row>
    <row r="253" spans="13:16" x14ac:dyDescent="0.3">
      <c r="M253" s="27"/>
      <c r="N253" s="27"/>
      <c r="P253" s="27"/>
    </row>
    <row r="254" spans="13:16" x14ac:dyDescent="0.3">
      <c r="M254" s="27"/>
      <c r="N254" s="27"/>
      <c r="P254" s="27"/>
    </row>
    <row r="255" spans="13:16" x14ac:dyDescent="0.3">
      <c r="M255" s="27"/>
      <c r="N255" s="27"/>
      <c r="P255" s="27"/>
    </row>
    <row r="256" spans="13:16" x14ac:dyDescent="0.3">
      <c r="M256" s="27"/>
      <c r="N256" s="27"/>
      <c r="P256" s="27"/>
    </row>
    <row r="257" spans="13:16" x14ac:dyDescent="0.3">
      <c r="M257" s="27"/>
      <c r="N257" s="27"/>
      <c r="P257" s="27"/>
    </row>
    <row r="258" spans="13:16" x14ac:dyDescent="0.3">
      <c r="M258" s="27"/>
      <c r="N258" s="27"/>
      <c r="P258" s="27"/>
    </row>
    <row r="259" spans="13:16" x14ac:dyDescent="0.3">
      <c r="M259" s="27"/>
      <c r="N259" s="27"/>
      <c r="P259" s="27"/>
    </row>
    <row r="260" spans="13:16" x14ac:dyDescent="0.3">
      <c r="M260" s="27"/>
      <c r="N260" s="27"/>
      <c r="P260" s="27"/>
    </row>
    <row r="261" spans="13:16" x14ac:dyDescent="0.3">
      <c r="M261" s="27"/>
      <c r="N261" s="27"/>
      <c r="P261" s="27"/>
    </row>
    <row r="262" spans="13:16" x14ac:dyDescent="0.3">
      <c r="M262" s="27"/>
      <c r="N262" s="27"/>
      <c r="P262" s="27"/>
    </row>
    <row r="263" spans="13:16" x14ac:dyDescent="0.3">
      <c r="M263" s="27"/>
      <c r="N263" s="27"/>
      <c r="P263" s="27"/>
    </row>
    <row r="264" spans="13:16" x14ac:dyDescent="0.3">
      <c r="M264" s="27"/>
      <c r="N264" s="27"/>
      <c r="P264" s="27"/>
    </row>
    <row r="265" spans="13:16" x14ac:dyDescent="0.3">
      <c r="M265" s="27"/>
      <c r="N265" s="27"/>
      <c r="P265" s="27"/>
    </row>
    <row r="266" spans="13:16" x14ac:dyDescent="0.3">
      <c r="M266" s="27"/>
      <c r="N266" s="27"/>
      <c r="P266" s="27"/>
    </row>
    <row r="267" spans="13:16" x14ac:dyDescent="0.3">
      <c r="M267" s="27"/>
      <c r="N267" s="27"/>
      <c r="P267" s="27"/>
    </row>
    <row r="268" spans="13:16" x14ac:dyDescent="0.3">
      <c r="M268" s="27"/>
      <c r="N268" s="27"/>
      <c r="P268" s="27"/>
    </row>
    <row r="269" spans="13:16" x14ac:dyDescent="0.3">
      <c r="M269" s="27"/>
      <c r="N269" s="27"/>
      <c r="P269" s="27"/>
    </row>
    <row r="270" spans="13:16" x14ac:dyDescent="0.3">
      <c r="M270" s="27"/>
      <c r="N270" s="27"/>
      <c r="P270" s="27"/>
    </row>
    <row r="271" spans="13:16" x14ac:dyDescent="0.3">
      <c r="M271" s="27"/>
      <c r="N271" s="27"/>
      <c r="P271" s="27"/>
    </row>
    <row r="272" spans="13:16" x14ac:dyDescent="0.3">
      <c r="M272" s="27"/>
      <c r="N272" s="27"/>
      <c r="P272" s="27"/>
    </row>
    <row r="273" spans="13:16" x14ac:dyDescent="0.3">
      <c r="M273" s="27"/>
      <c r="N273" s="27"/>
      <c r="P273" s="27"/>
    </row>
    <row r="274" spans="13:16" x14ac:dyDescent="0.3">
      <c r="M274" s="27"/>
      <c r="N274" s="27"/>
      <c r="P274" s="27"/>
    </row>
    <row r="275" spans="13:16" x14ac:dyDescent="0.3">
      <c r="M275" s="27"/>
      <c r="N275" s="27"/>
      <c r="P275" s="27"/>
    </row>
    <row r="276" spans="13:16" x14ac:dyDescent="0.3">
      <c r="M276" s="27"/>
      <c r="N276" s="27"/>
      <c r="P276" s="27"/>
    </row>
    <row r="277" spans="13:16" x14ac:dyDescent="0.3">
      <c r="M277" s="27"/>
      <c r="N277" s="27"/>
      <c r="P277" s="27"/>
    </row>
    <row r="278" spans="13:16" x14ac:dyDescent="0.3">
      <c r="M278" s="27"/>
      <c r="N278" s="27"/>
      <c r="P278" s="27"/>
    </row>
    <row r="279" spans="13:16" x14ac:dyDescent="0.3">
      <c r="M279" s="27"/>
      <c r="N279" s="27"/>
      <c r="P279" s="27"/>
    </row>
    <row r="280" spans="13:16" x14ac:dyDescent="0.3">
      <c r="M280" s="27"/>
      <c r="N280" s="27"/>
      <c r="P280" s="27"/>
    </row>
    <row r="281" spans="13:16" x14ac:dyDescent="0.3">
      <c r="M281" s="27"/>
      <c r="N281" s="27"/>
      <c r="P281" s="27"/>
    </row>
    <row r="282" spans="13:16" x14ac:dyDescent="0.3">
      <c r="M282" s="27"/>
      <c r="N282" s="27"/>
      <c r="P282" s="27"/>
    </row>
    <row r="283" spans="13:16" x14ac:dyDescent="0.3">
      <c r="M283" s="27"/>
      <c r="N283" s="27"/>
      <c r="P283" s="27"/>
    </row>
    <row r="284" spans="13:16" x14ac:dyDescent="0.3">
      <c r="M284" s="27"/>
      <c r="N284" s="27"/>
      <c r="P284" s="27"/>
    </row>
    <row r="285" spans="13:16" x14ac:dyDescent="0.3">
      <c r="M285" s="27"/>
      <c r="N285" s="27"/>
      <c r="P285" s="27"/>
    </row>
    <row r="286" spans="13:16" x14ac:dyDescent="0.3">
      <c r="M286" s="27"/>
      <c r="N286" s="27"/>
      <c r="P286" s="27"/>
    </row>
    <row r="287" spans="13:16" x14ac:dyDescent="0.3">
      <c r="M287" s="27"/>
      <c r="N287" s="27"/>
      <c r="P287" s="27"/>
    </row>
    <row r="288" spans="13:16" x14ac:dyDescent="0.3">
      <c r="M288" s="27"/>
      <c r="N288" s="27"/>
      <c r="P288" s="27"/>
    </row>
    <row r="289" spans="13:16" x14ac:dyDescent="0.3">
      <c r="M289" s="27"/>
      <c r="N289" s="27"/>
      <c r="P289" s="27"/>
    </row>
    <row r="290" spans="13:16" x14ac:dyDescent="0.3">
      <c r="M290" s="27"/>
      <c r="N290" s="27"/>
      <c r="P290" s="27"/>
    </row>
    <row r="291" spans="13:16" x14ac:dyDescent="0.3">
      <c r="M291" s="27"/>
      <c r="N291" s="27"/>
      <c r="P291" s="27"/>
    </row>
    <row r="292" spans="13:16" x14ac:dyDescent="0.3">
      <c r="M292" s="27"/>
      <c r="N292" s="27"/>
      <c r="P292" s="27"/>
    </row>
    <row r="293" spans="13:16" x14ac:dyDescent="0.3">
      <c r="M293" s="27"/>
      <c r="N293" s="27"/>
      <c r="P293" s="27"/>
    </row>
    <row r="294" spans="13:16" x14ac:dyDescent="0.3">
      <c r="M294" s="27"/>
      <c r="N294" s="27"/>
      <c r="P294" s="27"/>
    </row>
    <row r="295" spans="13:16" x14ac:dyDescent="0.3">
      <c r="M295" s="27"/>
      <c r="N295" s="27"/>
      <c r="P295" s="27"/>
    </row>
    <row r="296" spans="13:16" x14ac:dyDescent="0.3">
      <c r="M296" s="27"/>
      <c r="N296" s="27"/>
      <c r="P296" s="27"/>
    </row>
    <row r="297" spans="13:16" x14ac:dyDescent="0.3">
      <c r="M297" s="27"/>
      <c r="N297" s="27"/>
      <c r="P297" s="27"/>
    </row>
    <row r="298" spans="13:16" x14ac:dyDescent="0.3">
      <c r="M298" s="27"/>
      <c r="N298" s="27"/>
      <c r="P298" s="27"/>
    </row>
  </sheetData>
  <conditionalFormatting sqref="Q10:AB15">
    <cfRule type="cellIs" dxfId="0" priority="3" operator="lessThanOrEqual">
      <formula>0.05</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0AD2E-64D3-469C-912B-7709DB31BF5D}">
  <sheetPr codeName="Planilha37">
    <tabColor theme="9" tint="0.59999389629810485"/>
  </sheetPr>
  <dimension ref="A1:AC297"/>
  <sheetViews>
    <sheetView showGridLines="0" workbookViewId="0">
      <selection activeCell="L8" sqref="L8"/>
    </sheetView>
  </sheetViews>
  <sheetFormatPr defaultColWidth="8.85546875" defaultRowHeight="18.75" x14ac:dyDescent="0.3"/>
  <cols>
    <col min="1" max="1" width="14" style="17" customWidth="1"/>
    <col min="2" max="2" width="33.7109375" customWidth="1"/>
    <col min="4" max="4" width="8.140625" bestFit="1" customWidth="1"/>
    <col min="5" max="5" width="4.5703125" customWidth="1"/>
    <col min="6" max="6" width="4.5703125" bestFit="1" customWidth="1"/>
    <col min="7" max="10" width="4.42578125" bestFit="1" customWidth="1"/>
    <col min="12" max="12" width="16.28515625" style="15" customWidth="1"/>
    <col min="13" max="14" width="9" style="15" customWidth="1"/>
    <col min="15" max="20" width="8.85546875" style="15"/>
    <col min="21" max="21" width="16.28515625" style="15" customWidth="1"/>
    <col min="22" max="23" width="9" style="15" customWidth="1"/>
    <col min="24" max="29" width="8.85546875" style="15"/>
  </cols>
  <sheetData>
    <row r="1" spans="1:29" s="57" customFormat="1" x14ac:dyDescent="0.3">
      <c r="A1" s="84" t="s">
        <v>206</v>
      </c>
      <c r="L1" s="58"/>
      <c r="M1" s="58"/>
      <c r="N1" s="58"/>
      <c r="O1" s="58"/>
      <c r="P1" s="58"/>
      <c r="Q1" s="58"/>
      <c r="R1" s="58"/>
      <c r="S1" s="58"/>
      <c r="T1" s="58"/>
      <c r="U1" s="58"/>
      <c r="V1" s="58"/>
      <c r="W1" s="58"/>
      <c r="X1" s="58"/>
      <c r="Y1" s="58"/>
      <c r="Z1" s="58"/>
      <c r="AA1" s="58"/>
      <c r="AB1" s="58"/>
      <c r="AC1" s="58"/>
    </row>
    <row r="2" spans="1:29" s="57" customFormat="1" x14ac:dyDescent="0.3">
      <c r="A2" s="85" t="s">
        <v>264</v>
      </c>
      <c r="L2" s="58"/>
      <c r="M2" s="58"/>
      <c r="N2" s="58"/>
      <c r="O2" s="58"/>
      <c r="P2" s="58"/>
      <c r="Q2" s="58"/>
      <c r="R2" s="58"/>
      <c r="S2" s="58"/>
      <c r="T2" s="58"/>
      <c r="U2" s="58"/>
      <c r="V2" s="58"/>
      <c r="W2" s="58"/>
      <c r="X2" s="58"/>
      <c r="Y2" s="58"/>
      <c r="Z2" s="58"/>
      <c r="AA2" s="58"/>
      <c r="AB2" s="58"/>
      <c r="AC2" s="58"/>
    </row>
    <row r="4" spans="1:29" ht="15.75" x14ac:dyDescent="0.25">
      <c r="A4" s="2" t="s">
        <v>15</v>
      </c>
      <c r="B4" s="2" t="s">
        <v>16</v>
      </c>
    </row>
    <row r="5" spans="1:29" ht="15.75" x14ac:dyDescent="0.25">
      <c r="A5" s="23" t="s">
        <v>255</v>
      </c>
      <c r="B5" s="24" t="s">
        <v>258</v>
      </c>
    </row>
    <row r="6" spans="1:29" ht="31.5" x14ac:dyDescent="0.25">
      <c r="A6" s="23" t="s">
        <v>256</v>
      </c>
      <c r="B6" s="24" t="s">
        <v>259</v>
      </c>
    </row>
    <row r="7" spans="1:29" ht="31.5" x14ac:dyDescent="0.25">
      <c r="A7" s="23" t="s">
        <v>257</v>
      </c>
      <c r="B7" s="24" t="s">
        <v>260</v>
      </c>
      <c r="L7" s="61" t="s">
        <v>253</v>
      </c>
      <c r="U7" s="61" t="s">
        <v>254</v>
      </c>
    </row>
    <row r="8" spans="1:29" ht="19.5" thickBot="1" x14ac:dyDescent="0.35">
      <c r="E8" s="83" t="s">
        <v>255</v>
      </c>
      <c r="F8" s="80" t="s">
        <v>248</v>
      </c>
      <c r="G8" s="80" t="s">
        <v>249</v>
      </c>
      <c r="H8" s="80" t="s">
        <v>250</v>
      </c>
      <c r="I8" s="80" t="s">
        <v>251</v>
      </c>
      <c r="J8" s="80" t="s">
        <v>252</v>
      </c>
      <c r="L8" s="11" t="str" cm="1">
        <f t="array" ref="L8:R21">_xlfn.LAMBDA(_xlpm.groupNames,_xlpm.groupVectors,_xlop.significance,
_xlfn.LET(
_xlpm.significance, IF(_xlfn.ISOMITTED(_xlpm.significance), 0.05, _xlpm.significance),
_xlpm.nGroups,LENGTH(_xlpm.groupNames),
_xlpm.nObs, _xlfn.BYCOL(_xlpm.groupVectors,_xlfn.LAMBDA(_xlpm.col, COUNTA(_xlpm.col))),
_xlpm.groupSum, _xlfn.BYCOL(_xlpm.groupVectors,_xlfn.LAMBDA(_xlpm.col, SUM(_xlpm.col))),
_xlpm.groupAverage, _xlfn.BYCOL(_xlpm.groupVectors,_xlfn.LAMBDA(_xlpm.col, AVERAGE(_xlpm.col))),
_xlpm.groupSumSqr, _xlfn.BYCOL(_xlpm.groupVectors,_xlfn.LAMBDA(_xlpm.col, DEVSQ(_xlpm.col))),
_xlpm.groupVar, _xlfn.BYCOL(_xlpm.groupVectors,_xlfn.LAMBDA(_xlpm.col, _xlfn.VAR.S(_xlpm.col))),
_xlpm.SSbetween, SUM( ( _xlpm.groupAverage-AVERAGE(_xlpm.groupAverage) )^2 * _xlpm.nObs ),
_xlpm.SSwithin, SUM( _xlpm.groupSumSqr ),
_xlpm.SStotal, _xlpm.SSbetween + _xlpm.SSwithin,
_xlpm.DFbetween, _xlpm.nGroups - 1,
_xlpm.DFwithin, SUM(_xlpm.nObs) - _xlpm.DFbetween - 1,
_xlpm.DFtotal, _xlpm.DFbetween + _xlpm.DFwithin,
_xlpm.F, ( _xlpm.SSbetween/_xlpm.DFbetween ) / (_xlpm.SSwithin / _xlpm.DFwithin ),
_xlpm.pValue, _xlfn.F.DIST.RT( _xlpm.F, _xlpm.DFbetween, _xlpm.DFwithin ),
_xlpm.Fcrit, _xlfn.F.INV.RT( _xlpm.significance, _xlpm.DFbetween, _xlpm.DFwithin ),
_xlpm.lineANOVA1, {"SUMMARY","","","","","",""},
_xlpm.lineANOVA1lab, {"Groups","Count","Sum","Average","Variance","",""},
_xlpm.lineANOVA1res, HORZCAT( HORZCAT( HORZCAT( HORZCAT( HORZCAT( VEC(_xlpm.groupNames), VEC(_xlpm.nObs) ), VEC(_xlpm.groupSum) ), VEC(_xlpm.groupAverage) ), VEC(_xlpm.groupVar)), REPMAT("",_xlpm.nGroups,2) ),
_xlpm.lineANOVA2, {"","","","","","","";"ANOVA","","","","","","";"Source of variation","SS","df","MS","F","P-value","F-crit"},
_xlpm.lineANOVA2SS, VERTCAT( VERTCAT( VERTCAT(_xlpm.SSbetween, _xlpm.SSwithin), ""), _xlpm.SStotal),
_xlpm.lineANOVA2DF, VERTCAT( VERTCAT( VERTCAT(_xlpm.DFbetween, _xlpm.DFwithin), ""), _xlpm.DFtotal),
_xlpm.lineANOVA2MS, VERTCAT( VERTCAT( VERTCAT(_xlpm.SSbetween / _xlpm.DFbetween, _xlpm.SSwithin / _xlpm.DFwithin), ""), "" ),
_xlpm.lineANOVA2F, VERTCAT( VERTCAT( VERTCAT(_xlpm.F, "" ), ""), "" ),
_xlpm.lineANOVA2p, VERTCAT( VERTCAT( VERTCAT(_xlpm.pValue, "" ), ""), "" ),
_xlpm.lineANOVA2Fcrit, VERTCAT( VERTCAT( VERTCAT(_xlpm.Fcrit, "" ), ""), "" ),
VERTCAT( VERTCAT( VERTCAT( VERTCAT( _xlpm.lineANOVA1, _xlpm.lineANOVA1lab), _xlpm.lineANOVA1res), _xlpm.lineANOVA2 ),
HORZCAT( HORZCAT( HORZCAT( HORZCAT( HORZCAT( HORZCAT( {"Between groups";"Within groups";"";"Total"}, _xlpm.lineANOVA2SS ), _xlpm.lineANOVA2DF), _xlpm.lineANOVA2MS), _xlpm.lineANOVA2F ), _xlpm.lineANOVA2p ), _xlpm.lineANOVA2Fcrit ) )
))($F$8:$J8,$F$10:$J$13,$F$15)</f>
        <v>SUMMARY</v>
      </c>
      <c r="M8" s="11" t="str">
        <v/>
      </c>
      <c r="N8" s="10" t="str">
        <v/>
      </c>
      <c r="O8" s="10" t="str">
        <v/>
      </c>
      <c r="P8" s="15" t="str">
        <v/>
      </c>
      <c r="Q8" s="15" t="str">
        <v/>
      </c>
      <c r="R8" s="15" t="str">
        <v/>
      </c>
      <c r="T8" s="54"/>
      <c r="U8" s="11" t="str" cm="1">
        <f t="array" ref="U8:AA21">ANOVA($F$8:$J8,$F$10:$J$13,$F$15)</f>
        <v>SUMMARY</v>
      </c>
      <c r="V8" s="11" t="str">
        <v/>
      </c>
      <c r="W8" s="10" t="str">
        <v/>
      </c>
      <c r="X8" s="10" t="str">
        <v/>
      </c>
      <c r="Y8" s="15" t="str">
        <v/>
      </c>
      <c r="Z8" s="15" t="str">
        <v/>
      </c>
      <c r="AA8" s="15" t="str">
        <v/>
      </c>
    </row>
    <row r="9" spans="1:29" x14ac:dyDescent="0.3">
      <c r="L9" s="73" t="str">
        <v>Groups</v>
      </c>
      <c r="M9" s="74" t="str">
        <v>Count</v>
      </c>
      <c r="N9" s="73" t="str">
        <v>Sum</v>
      </c>
      <c r="O9" s="75" t="str">
        <v>Average</v>
      </c>
      <c r="P9" s="76" t="str">
        <v>Variance</v>
      </c>
      <c r="Q9" s="15" t="str">
        <v/>
      </c>
      <c r="R9" s="15" t="str">
        <v/>
      </c>
      <c r="U9" s="73" t="str">
        <v>Groups</v>
      </c>
      <c r="V9" s="74" t="str">
        <v>Count</v>
      </c>
      <c r="W9" s="73" t="str">
        <v>Sum</v>
      </c>
      <c r="X9" s="75" t="str">
        <v>Average</v>
      </c>
      <c r="Y9" s="76" t="str">
        <v>Variance</v>
      </c>
      <c r="Z9" s="15" t="str">
        <v/>
      </c>
      <c r="AA9" s="15" t="str">
        <v/>
      </c>
    </row>
    <row r="10" spans="1:29" x14ac:dyDescent="0.3">
      <c r="E10" s="83" t="s">
        <v>256</v>
      </c>
      <c r="F10" s="81">
        <v>11.8</v>
      </c>
      <c r="G10" s="81">
        <v>12.2</v>
      </c>
      <c r="H10" s="81">
        <v>12.7</v>
      </c>
      <c r="I10" s="81">
        <v>11.8</v>
      </c>
      <c r="J10" s="81">
        <v>12.1</v>
      </c>
      <c r="L10" s="11" t="str">
        <v>A</v>
      </c>
      <c r="M10" s="65">
        <v>4</v>
      </c>
      <c r="N10" s="11">
        <v>47.600000000000009</v>
      </c>
      <c r="O10" s="64">
        <v>11.900000000000002</v>
      </c>
      <c r="P10" s="87">
        <v>0.28000000000000025</v>
      </c>
      <c r="Q10" s="15" t="str">
        <v/>
      </c>
      <c r="R10" s="15" t="str">
        <v/>
      </c>
      <c r="U10" s="11" t="str">
        <v>A</v>
      </c>
      <c r="V10" s="65">
        <v>4</v>
      </c>
      <c r="W10" s="11">
        <v>47.600000000000009</v>
      </c>
      <c r="X10" s="64">
        <v>11.900000000000002</v>
      </c>
      <c r="Y10" s="87">
        <v>0.28000000000000025</v>
      </c>
      <c r="Z10" s="15" t="str">
        <v/>
      </c>
      <c r="AA10" s="15" t="str">
        <v/>
      </c>
    </row>
    <row r="11" spans="1:29" ht="18.75" customHeight="1" x14ac:dyDescent="0.3">
      <c r="F11" s="81">
        <v>12.4</v>
      </c>
      <c r="G11" s="81">
        <v>12.7</v>
      </c>
      <c r="H11" s="81">
        <v>11.9</v>
      </c>
      <c r="I11" s="81">
        <v>11</v>
      </c>
      <c r="J11" s="81">
        <v>12.8</v>
      </c>
      <c r="L11" s="11" t="str">
        <v>B</v>
      </c>
      <c r="M11" s="65">
        <v>4</v>
      </c>
      <c r="N11" s="11">
        <v>50.5</v>
      </c>
      <c r="O11" s="64">
        <v>12.625</v>
      </c>
      <c r="P11" s="87">
        <v>0.18916666666666648</v>
      </c>
      <c r="Q11" s="15" t="str">
        <v/>
      </c>
      <c r="R11" s="15" t="str">
        <v/>
      </c>
      <c r="U11" s="11" t="str">
        <v>B</v>
      </c>
      <c r="V11" s="65">
        <v>4</v>
      </c>
      <c r="W11" s="11">
        <v>50.5</v>
      </c>
      <c r="X11" s="64">
        <v>12.625</v>
      </c>
      <c r="Y11" s="87">
        <v>0.18916666666666648</v>
      </c>
      <c r="Z11" s="15" t="str">
        <v/>
      </c>
      <c r="AA11" s="15" t="str">
        <v/>
      </c>
    </row>
    <row r="12" spans="1:29" x14ac:dyDescent="0.3">
      <c r="D12" s="56"/>
      <c r="F12" s="81">
        <v>11.2</v>
      </c>
      <c r="G12" s="81">
        <v>12.4</v>
      </c>
      <c r="H12" s="81">
        <v>11.7</v>
      </c>
      <c r="I12" s="81">
        <v>11.5</v>
      </c>
      <c r="J12" s="81">
        <v>13.2</v>
      </c>
      <c r="K12" s="62"/>
      <c r="L12" s="11" t="str">
        <v>C</v>
      </c>
      <c r="M12" s="65">
        <v>4</v>
      </c>
      <c r="N12" s="10">
        <v>48.8</v>
      </c>
      <c r="O12" s="64">
        <v>12.2</v>
      </c>
      <c r="P12" s="87">
        <v>0.2266666666666666</v>
      </c>
      <c r="Q12" s="15" t="str">
        <v/>
      </c>
      <c r="R12" s="15" t="str">
        <v/>
      </c>
      <c r="U12" s="11" t="str">
        <v>C</v>
      </c>
      <c r="V12" s="65">
        <v>4</v>
      </c>
      <c r="W12" s="10">
        <v>48.8</v>
      </c>
      <c r="X12" s="64">
        <v>12.2</v>
      </c>
      <c r="Y12" s="87">
        <v>0.2266666666666666</v>
      </c>
      <c r="Z12" s="15" t="str">
        <v/>
      </c>
      <c r="AA12" s="15" t="str">
        <v/>
      </c>
    </row>
    <row r="13" spans="1:29" x14ac:dyDescent="0.3">
      <c r="D13" s="56"/>
      <c r="F13" s="81">
        <v>12.2</v>
      </c>
      <c r="G13" s="81">
        <v>13.2</v>
      </c>
      <c r="H13" s="81">
        <v>12.5</v>
      </c>
      <c r="I13" s="81">
        <v>11.1</v>
      </c>
      <c r="J13" s="81">
        <v>12.3</v>
      </c>
      <c r="K13" s="62"/>
      <c r="L13" s="11" t="str">
        <v>D</v>
      </c>
      <c r="M13" s="65">
        <v>4</v>
      </c>
      <c r="N13" s="10">
        <v>45.4</v>
      </c>
      <c r="O13" s="64">
        <v>11.35</v>
      </c>
      <c r="P13" s="87">
        <v>0.13666666666666696</v>
      </c>
      <c r="Q13" s="15" t="str">
        <v/>
      </c>
      <c r="R13" s="15" t="str">
        <v/>
      </c>
      <c r="U13" s="11" t="str">
        <v>D</v>
      </c>
      <c r="V13" s="65">
        <v>4</v>
      </c>
      <c r="W13" s="10">
        <v>45.4</v>
      </c>
      <c r="X13" s="64">
        <v>11.35</v>
      </c>
      <c r="Y13" s="87">
        <v>0.13666666666666696</v>
      </c>
      <c r="Z13" s="15" t="str">
        <v/>
      </c>
      <c r="AA13" s="15" t="str">
        <v/>
      </c>
    </row>
    <row r="14" spans="1:29" ht="19.5" thickBot="1" x14ac:dyDescent="0.35">
      <c r="K14" s="62"/>
      <c r="L14" s="66" t="str">
        <v>E</v>
      </c>
      <c r="M14" s="79">
        <v>4</v>
      </c>
      <c r="N14" s="67">
        <v>50.399999999999991</v>
      </c>
      <c r="O14" s="89">
        <v>12.599999999999998</v>
      </c>
      <c r="P14" s="88">
        <v>0.24666666666666645</v>
      </c>
      <c r="Q14" s="15" t="str">
        <v/>
      </c>
      <c r="R14" s="15" t="str">
        <v/>
      </c>
      <c r="U14" s="66" t="str">
        <v>E</v>
      </c>
      <c r="V14" s="79">
        <v>4</v>
      </c>
      <c r="W14" s="67">
        <v>50.399999999999991</v>
      </c>
      <c r="X14" s="89">
        <v>12.599999999999998</v>
      </c>
      <c r="Y14" s="88">
        <v>0.24666666666666645</v>
      </c>
      <c r="Z14" s="15" t="str">
        <v/>
      </c>
      <c r="AA14" s="15" t="str">
        <v/>
      </c>
    </row>
    <row r="15" spans="1:29" x14ac:dyDescent="0.3">
      <c r="E15" s="83" t="s">
        <v>261</v>
      </c>
      <c r="F15" s="82">
        <v>0.05</v>
      </c>
      <c r="K15" s="62"/>
      <c r="L15" s="11" t="str">
        <v/>
      </c>
      <c r="M15" s="11" t="str">
        <v/>
      </c>
      <c r="N15" s="10" t="str">
        <v/>
      </c>
      <c r="O15" s="10" t="str">
        <v/>
      </c>
      <c r="P15" s="15" t="str">
        <v/>
      </c>
      <c r="Q15" s="15" t="str">
        <v/>
      </c>
      <c r="R15" s="15" t="str">
        <v/>
      </c>
      <c r="U15" s="11" t="str">
        <v/>
      </c>
      <c r="V15" s="11" t="str">
        <v/>
      </c>
      <c r="W15" s="10" t="str">
        <v/>
      </c>
      <c r="X15" s="10" t="str">
        <v/>
      </c>
      <c r="Y15" s="15" t="str">
        <v/>
      </c>
      <c r="Z15" s="15" t="str">
        <v/>
      </c>
      <c r="AA15" s="15" t="str">
        <v/>
      </c>
    </row>
    <row r="16" spans="1:29" ht="19.5" thickBot="1" x14ac:dyDescent="0.35">
      <c r="K16" s="62"/>
      <c r="L16" s="66" t="str">
        <v>ANOVA</v>
      </c>
      <c r="M16" s="66" t="str">
        <v/>
      </c>
      <c r="N16" s="67" t="str">
        <v/>
      </c>
      <c r="O16" s="67" t="str">
        <v/>
      </c>
      <c r="P16" s="68" t="str">
        <v/>
      </c>
      <c r="Q16" s="68" t="str">
        <v/>
      </c>
      <c r="R16" s="68" t="str">
        <v/>
      </c>
      <c r="U16" s="66" t="str">
        <v>ANOVA</v>
      </c>
      <c r="V16" s="66" t="str">
        <v/>
      </c>
      <c r="W16" s="67" t="str">
        <v/>
      </c>
      <c r="X16" s="67" t="str">
        <v/>
      </c>
      <c r="Y16" s="68" t="str">
        <v/>
      </c>
      <c r="Z16" s="68" t="str">
        <v/>
      </c>
      <c r="AA16" s="68" t="str">
        <v/>
      </c>
    </row>
    <row r="17" spans="1:27" ht="15" x14ac:dyDescent="0.25">
      <c r="A17" t="s">
        <v>265</v>
      </c>
      <c r="K17" s="62"/>
      <c r="L17" s="70" t="str">
        <v>Source of variation</v>
      </c>
      <c r="M17" s="71" t="str">
        <v>SS</v>
      </c>
      <c r="N17" s="72" t="str">
        <v>df</v>
      </c>
      <c r="O17" s="72" t="str">
        <v>MS</v>
      </c>
      <c r="P17" s="71" t="str">
        <v>F</v>
      </c>
      <c r="Q17" s="71" t="str">
        <v>P-value</v>
      </c>
      <c r="R17" s="71" t="str">
        <v>F-crit</v>
      </c>
      <c r="U17" s="70" t="str">
        <v>Source of variation</v>
      </c>
      <c r="V17" s="71" t="str">
        <v>SS</v>
      </c>
      <c r="W17" s="72" t="str">
        <v>df</v>
      </c>
      <c r="X17" s="72" t="str">
        <v>MS</v>
      </c>
      <c r="Y17" s="71" t="str">
        <v>F</v>
      </c>
      <c r="Z17" s="71" t="str">
        <v>P-value</v>
      </c>
      <c r="AA17" s="71" t="str">
        <v>F-crit</v>
      </c>
    </row>
    <row r="18" spans="1:27" ht="15" x14ac:dyDescent="0.25">
      <c r="A18" s="86" t="s">
        <v>266</v>
      </c>
      <c r="K18" s="62"/>
      <c r="L18" s="77" t="str">
        <v>Between groups</v>
      </c>
      <c r="M18" s="63">
        <v>4.5279999999999898</v>
      </c>
      <c r="N18" s="15">
        <v>4</v>
      </c>
      <c r="O18" s="15">
        <v>1.1319999999999975</v>
      </c>
      <c r="P18" s="63">
        <v>5.2447876447876327</v>
      </c>
      <c r="Q18" s="63">
        <v>7.5951223343263662E-3</v>
      </c>
      <c r="R18" s="63">
        <v>3.055568275906595</v>
      </c>
      <c r="U18" s="77" t="str">
        <v>Between groups</v>
      </c>
      <c r="V18" s="63">
        <v>4.5279999999999898</v>
      </c>
      <c r="W18" s="15">
        <v>4</v>
      </c>
      <c r="X18" s="15">
        <v>1.1319999999999975</v>
      </c>
      <c r="Y18" s="63">
        <v>5.2447876447876327</v>
      </c>
      <c r="Z18" s="63">
        <v>7.5951223343263662E-3</v>
      </c>
      <c r="AA18" s="63">
        <v>3.055568275906595</v>
      </c>
    </row>
    <row r="19" spans="1:27" x14ac:dyDescent="0.3">
      <c r="K19" s="62"/>
      <c r="L19" s="77" t="str">
        <v>Within groups</v>
      </c>
      <c r="M19" s="63">
        <v>3.2375000000000003</v>
      </c>
      <c r="N19" s="15">
        <v>15</v>
      </c>
      <c r="O19" s="63">
        <v>0.21583333333333335</v>
      </c>
      <c r="P19" s="15" t="str">
        <v/>
      </c>
      <c r="Q19" s="15" t="str">
        <v/>
      </c>
      <c r="R19" s="15" t="str">
        <v/>
      </c>
      <c r="U19" s="77" t="str">
        <v>Within groups</v>
      </c>
      <c r="V19" s="63">
        <v>3.2375000000000003</v>
      </c>
      <c r="W19" s="15">
        <v>15</v>
      </c>
      <c r="X19" s="63">
        <v>0.21583333333333335</v>
      </c>
      <c r="Y19" s="15" t="str">
        <v/>
      </c>
      <c r="Z19" s="15" t="str">
        <v/>
      </c>
      <c r="AA19" s="15" t="str">
        <v/>
      </c>
    </row>
    <row r="20" spans="1:27" x14ac:dyDescent="0.3">
      <c r="K20" s="62"/>
      <c r="L20" s="77" t="str">
        <v/>
      </c>
      <c r="M20" s="63" t="str">
        <v/>
      </c>
      <c r="N20" s="15" t="str">
        <v/>
      </c>
      <c r="O20" s="15" t="str">
        <v/>
      </c>
      <c r="P20" s="15" t="str">
        <v/>
      </c>
      <c r="Q20" s="15" t="str">
        <v/>
      </c>
      <c r="R20" s="15" t="str">
        <v/>
      </c>
      <c r="U20" s="77" t="str">
        <v/>
      </c>
      <c r="V20" s="63" t="str">
        <v/>
      </c>
      <c r="W20" s="15" t="str">
        <v/>
      </c>
      <c r="X20" s="15" t="str">
        <v/>
      </c>
      <c r="Y20" s="15" t="str">
        <v/>
      </c>
      <c r="Z20" s="15" t="str">
        <v/>
      </c>
      <c r="AA20" s="15" t="str">
        <v/>
      </c>
    </row>
    <row r="21" spans="1:27" ht="19.5" thickBot="1" x14ac:dyDescent="0.35">
      <c r="K21" s="62"/>
      <c r="L21" s="78" t="str">
        <v>Total</v>
      </c>
      <c r="M21" s="69">
        <v>7.7654999999999905</v>
      </c>
      <c r="N21" s="68">
        <v>19</v>
      </c>
      <c r="O21" s="68" t="str">
        <v/>
      </c>
      <c r="P21" s="68" t="str">
        <v/>
      </c>
      <c r="Q21" s="68" t="str">
        <v/>
      </c>
      <c r="R21" s="68" t="str">
        <v/>
      </c>
      <c r="U21" s="78" t="str">
        <v>Total</v>
      </c>
      <c r="V21" s="69">
        <v>7.7654999999999905</v>
      </c>
      <c r="W21" s="68">
        <v>19</v>
      </c>
      <c r="X21" s="68" t="str">
        <v/>
      </c>
      <c r="Y21" s="68" t="str">
        <v/>
      </c>
      <c r="Z21" s="68" t="str">
        <v/>
      </c>
      <c r="AA21" s="68" t="str">
        <v/>
      </c>
    </row>
    <row r="22" spans="1:27" x14ac:dyDescent="0.3">
      <c r="K22" s="62"/>
      <c r="L22" s="54"/>
      <c r="M22" s="54"/>
    </row>
    <row r="23" spans="1:27" x14ac:dyDescent="0.3">
      <c r="K23" s="62"/>
      <c r="L23" s="54"/>
      <c r="M23" s="54"/>
    </row>
    <row r="24" spans="1:27" x14ac:dyDescent="0.3">
      <c r="K24" s="62"/>
      <c r="L24" s="54"/>
      <c r="M24" s="54"/>
    </row>
    <row r="25" spans="1:27" x14ac:dyDescent="0.3">
      <c r="K25" s="62"/>
      <c r="L25" s="54"/>
      <c r="M25" s="54"/>
    </row>
    <row r="26" spans="1:27" x14ac:dyDescent="0.3">
      <c r="K26" s="62"/>
      <c r="L26" s="54"/>
      <c r="M26" s="54"/>
    </row>
    <row r="27" spans="1:27" x14ac:dyDescent="0.3">
      <c r="K27" s="62"/>
      <c r="L27" s="54"/>
      <c r="M27" s="54"/>
    </row>
    <row r="28" spans="1:27" x14ac:dyDescent="0.3">
      <c r="K28" s="62"/>
      <c r="L28" s="54"/>
      <c r="M28" s="54"/>
    </row>
    <row r="29" spans="1:27" x14ac:dyDescent="0.3">
      <c r="K29" s="62"/>
      <c r="L29" s="54"/>
      <c r="M29" s="54"/>
    </row>
    <row r="30" spans="1:27" x14ac:dyDescent="0.3">
      <c r="K30" s="62"/>
      <c r="L30" s="54"/>
      <c r="M30" s="54"/>
    </row>
    <row r="31" spans="1:27" x14ac:dyDescent="0.3">
      <c r="K31" s="62"/>
      <c r="L31" s="54"/>
      <c r="M31" s="54"/>
    </row>
    <row r="32" spans="1:27" x14ac:dyDescent="0.3">
      <c r="K32" s="62"/>
      <c r="L32" s="54"/>
      <c r="M32" s="54"/>
    </row>
    <row r="33" spans="11:13" x14ac:dyDescent="0.3">
      <c r="K33" s="62"/>
      <c r="L33" s="54"/>
      <c r="M33" s="54"/>
    </row>
    <row r="34" spans="11:13" x14ac:dyDescent="0.3">
      <c r="K34" s="62"/>
      <c r="L34" s="54"/>
      <c r="M34" s="54"/>
    </row>
    <row r="35" spans="11:13" x14ac:dyDescent="0.3">
      <c r="K35" s="62"/>
      <c r="L35" s="54"/>
      <c r="M35" s="54"/>
    </row>
    <row r="36" spans="11:13" x14ac:dyDescent="0.3">
      <c r="K36" s="62"/>
      <c r="L36" s="54"/>
      <c r="M36" s="54"/>
    </row>
    <row r="37" spans="11:13" x14ac:dyDescent="0.3">
      <c r="K37" s="62"/>
      <c r="L37" s="54"/>
      <c r="M37" s="54"/>
    </row>
    <row r="38" spans="11:13" x14ac:dyDescent="0.3">
      <c r="K38" s="62"/>
      <c r="L38" s="54"/>
      <c r="M38" s="54"/>
    </row>
    <row r="39" spans="11:13" x14ac:dyDescent="0.3">
      <c r="K39" s="62"/>
      <c r="L39" s="54"/>
      <c r="M39" s="54"/>
    </row>
    <row r="40" spans="11:13" x14ac:dyDescent="0.3">
      <c r="K40" s="62"/>
      <c r="L40" s="54"/>
      <c r="M40" s="54"/>
    </row>
    <row r="41" spans="11:13" x14ac:dyDescent="0.3">
      <c r="K41" s="62"/>
      <c r="L41" s="54"/>
      <c r="M41" s="54"/>
    </row>
    <row r="42" spans="11:13" x14ac:dyDescent="0.3">
      <c r="K42" s="62"/>
      <c r="L42" s="54"/>
      <c r="M42" s="54"/>
    </row>
    <row r="43" spans="11:13" x14ac:dyDescent="0.3">
      <c r="K43" s="62"/>
      <c r="L43" s="54"/>
      <c r="M43" s="54"/>
    </row>
    <row r="44" spans="11:13" x14ac:dyDescent="0.3">
      <c r="K44" s="62"/>
      <c r="L44" s="54"/>
      <c r="M44" s="54"/>
    </row>
    <row r="45" spans="11:13" x14ac:dyDescent="0.3">
      <c r="K45" s="62"/>
      <c r="L45" s="54"/>
      <c r="M45" s="54"/>
    </row>
    <row r="46" spans="11:13" x14ac:dyDescent="0.3">
      <c r="K46" s="62"/>
      <c r="L46" s="54"/>
      <c r="M46" s="54"/>
    </row>
    <row r="47" spans="11:13" x14ac:dyDescent="0.3">
      <c r="K47" s="62"/>
      <c r="L47" s="54"/>
      <c r="M47" s="54"/>
    </row>
    <row r="48" spans="11:13" x14ac:dyDescent="0.3">
      <c r="K48" s="62"/>
      <c r="L48" s="54"/>
      <c r="M48" s="54"/>
    </row>
    <row r="49" spans="11:13" x14ac:dyDescent="0.3">
      <c r="K49" s="62"/>
      <c r="L49" s="54"/>
      <c r="M49" s="54"/>
    </row>
    <row r="50" spans="11:13" x14ac:dyDescent="0.3">
      <c r="K50" s="62"/>
      <c r="L50" s="54"/>
      <c r="M50" s="54"/>
    </row>
    <row r="51" spans="11:13" x14ac:dyDescent="0.3">
      <c r="K51" s="62"/>
      <c r="L51" s="54"/>
      <c r="M51" s="54"/>
    </row>
    <row r="52" spans="11:13" x14ac:dyDescent="0.3">
      <c r="K52" s="62"/>
      <c r="L52" s="54"/>
      <c r="M52" s="54"/>
    </row>
    <row r="53" spans="11:13" x14ac:dyDescent="0.3">
      <c r="K53" s="62"/>
      <c r="L53" s="54"/>
      <c r="M53" s="54"/>
    </row>
    <row r="54" spans="11:13" x14ac:dyDescent="0.3">
      <c r="K54" s="62"/>
      <c r="L54" s="54"/>
      <c r="M54" s="54"/>
    </row>
    <row r="55" spans="11:13" x14ac:dyDescent="0.3">
      <c r="K55" s="62"/>
      <c r="L55" s="54"/>
      <c r="M55" s="54"/>
    </row>
    <row r="56" spans="11:13" x14ac:dyDescent="0.3">
      <c r="K56" s="62"/>
      <c r="L56" s="54"/>
      <c r="M56" s="54"/>
    </row>
    <row r="57" spans="11:13" x14ac:dyDescent="0.3">
      <c r="K57" s="62"/>
      <c r="L57" s="54"/>
      <c r="M57" s="54"/>
    </row>
    <row r="58" spans="11:13" x14ac:dyDescent="0.3">
      <c r="K58" s="62"/>
      <c r="L58" s="54"/>
      <c r="M58" s="54"/>
    </row>
    <row r="59" spans="11:13" x14ac:dyDescent="0.3">
      <c r="K59" s="62"/>
      <c r="L59" s="54"/>
      <c r="M59" s="54"/>
    </row>
    <row r="60" spans="11:13" x14ac:dyDescent="0.3">
      <c r="K60" s="62"/>
      <c r="L60" s="54"/>
      <c r="M60" s="54"/>
    </row>
    <row r="61" spans="11:13" x14ac:dyDescent="0.3">
      <c r="K61" s="62"/>
      <c r="L61" s="54"/>
      <c r="M61" s="54"/>
    </row>
    <row r="62" spans="11:13" x14ac:dyDescent="0.3">
      <c r="K62" s="62"/>
      <c r="L62" s="54"/>
      <c r="M62" s="54"/>
    </row>
    <row r="63" spans="11:13" x14ac:dyDescent="0.3">
      <c r="K63" s="62"/>
      <c r="L63" s="54"/>
      <c r="M63" s="54"/>
    </row>
    <row r="64" spans="11:13" x14ac:dyDescent="0.3">
      <c r="K64" s="62"/>
      <c r="L64" s="54"/>
      <c r="M64" s="54"/>
    </row>
    <row r="65" spans="11:13" x14ac:dyDescent="0.3">
      <c r="K65" s="62"/>
      <c r="L65" s="54"/>
      <c r="M65" s="54"/>
    </row>
    <row r="66" spans="11:13" x14ac:dyDescent="0.3">
      <c r="K66" s="62"/>
      <c r="L66" s="54"/>
      <c r="M66" s="54"/>
    </row>
    <row r="67" spans="11:13" x14ac:dyDescent="0.3">
      <c r="K67" s="62"/>
      <c r="L67" s="54"/>
      <c r="M67" s="54"/>
    </row>
    <row r="68" spans="11:13" x14ac:dyDescent="0.3">
      <c r="K68" s="62"/>
      <c r="L68" s="54"/>
      <c r="M68" s="54"/>
    </row>
    <row r="69" spans="11:13" x14ac:dyDescent="0.3">
      <c r="K69" s="62"/>
      <c r="L69" s="54"/>
      <c r="M69" s="54"/>
    </row>
    <row r="70" spans="11:13" x14ac:dyDescent="0.3">
      <c r="K70" s="62"/>
      <c r="L70" s="54"/>
      <c r="M70" s="54"/>
    </row>
    <row r="71" spans="11:13" x14ac:dyDescent="0.3">
      <c r="K71" s="62"/>
      <c r="L71" s="54"/>
      <c r="M71" s="54"/>
    </row>
    <row r="72" spans="11:13" x14ac:dyDescent="0.3">
      <c r="K72" s="62"/>
      <c r="L72" s="54"/>
      <c r="M72" s="54"/>
    </row>
    <row r="73" spans="11:13" x14ac:dyDescent="0.3">
      <c r="K73" s="62"/>
      <c r="L73" s="54"/>
      <c r="M73" s="54"/>
    </row>
    <row r="74" spans="11:13" x14ac:dyDescent="0.3">
      <c r="K74" s="62"/>
      <c r="L74" s="54"/>
      <c r="M74" s="54"/>
    </row>
    <row r="75" spans="11:13" x14ac:dyDescent="0.3">
      <c r="K75" s="62"/>
      <c r="L75" s="54"/>
      <c r="M75" s="54"/>
    </row>
    <row r="76" spans="11:13" x14ac:dyDescent="0.3">
      <c r="K76" s="62"/>
      <c r="L76" s="54"/>
      <c r="M76" s="54"/>
    </row>
    <row r="77" spans="11:13" x14ac:dyDescent="0.3">
      <c r="K77" s="62"/>
      <c r="L77" s="54"/>
      <c r="M77" s="54"/>
    </row>
    <row r="78" spans="11:13" x14ac:dyDescent="0.3">
      <c r="K78" s="62"/>
      <c r="L78" s="54"/>
      <c r="M78" s="54"/>
    </row>
    <row r="79" spans="11:13" x14ac:dyDescent="0.3">
      <c r="K79" s="62"/>
      <c r="L79" s="54"/>
      <c r="M79" s="54"/>
    </row>
    <row r="80" spans="11:13" x14ac:dyDescent="0.3">
      <c r="K80" s="62"/>
      <c r="L80" s="54"/>
      <c r="M80" s="54"/>
    </row>
    <row r="81" spans="11:13" x14ac:dyDescent="0.3">
      <c r="K81" s="62"/>
      <c r="L81" s="54"/>
      <c r="M81" s="54"/>
    </row>
    <row r="82" spans="11:13" x14ac:dyDescent="0.3">
      <c r="K82" s="62"/>
      <c r="L82" s="54"/>
      <c r="M82" s="54"/>
    </row>
    <row r="83" spans="11:13" x14ac:dyDescent="0.3">
      <c r="K83" s="62"/>
      <c r="L83" s="54"/>
      <c r="M83" s="54"/>
    </row>
    <row r="84" spans="11:13" x14ac:dyDescent="0.3">
      <c r="K84" s="62"/>
      <c r="L84" s="54"/>
      <c r="M84" s="54"/>
    </row>
    <row r="85" spans="11:13" x14ac:dyDescent="0.3">
      <c r="K85" s="62"/>
      <c r="L85" s="54"/>
      <c r="M85" s="54"/>
    </row>
    <row r="86" spans="11:13" x14ac:dyDescent="0.3">
      <c r="K86" s="62"/>
      <c r="L86" s="54"/>
      <c r="M86" s="54"/>
    </row>
    <row r="87" spans="11:13" x14ac:dyDescent="0.3">
      <c r="K87" s="62"/>
      <c r="L87" s="54"/>
      <c r="M87" s="54"/>
    </row>
    <row r="88" spans="11:13" x14ac:dyDescent="0.3">
      <c r="K88" s="62"/>
      <c r="L88" s="54"/>
      <c r="M88" s="54"/>
    </row>
    <row r="89" spans="11:13" x14ac:dyDescent="0.3">
      <c r="K89" s="62"/>
      <c r="L89" s="54"/>
      <c r="M89" s="54"/>
    </row>
    <row r="90" spans="11:13" x14ac:dyDescent="0.3">
      <c r="K90" s="62"/>
      <c r="L90" s="54"/>
      <c r="M90" s="54"/>
    </row>
    <row r="91" spans="11:13" x14ac:dyDescent="0.3">
      <c r="K91" s="62"/>
      <c r="L91" s="54"/>
      <c r="M91" s="54"/>
    </row>
    <row r="92" spans="11:13" x14ac:dyDescent="0.3">
      <c r="K92" s="62"/>
      <c r="L92" s="54"/>
      <c r="M92" s="54"/>
    </row>
    <row r="93" spans="11:13" x14ac:dyDescent="0.3">
      <c r="K93" s="62"/>
      <c r="L93" s="54"/>
      <c r="M93" s="54"/>
    </row>
    <row r="94" spans="11:13" x14ac:dyDescent="0.3">
      <c r="K94" s="62"/>
      <c r="L94" s="54"/>
      <c r="M94" s="54"/>
    </row>
    <row r="95" spans="11:13" x14ac:dyDescent="0.3">
      <c r="K95" s="62"/>
      <c r="L95" s="54"/>
      <c r="M95" s="54"/>
    </row>
    <row r="96" spans="11:13" x14ac:dyDescent="0.3">
      <c r="K96" s="62"/>
      <c r="L96" s="54"/>
      <c r="M96" s="54"/>
    </row>
    <row r="97" spans="11:13" x14ac:dyDescent="0.3">
      <c r="K97" s="62"/>
      <c r="L97" s="54"/>
      <c r="M97" s="54"/>
    </row>
    <row r="98" spans="11:13" x14ac:dyDescent="0.3">
      <c r="K98" s="62"/>
      <c r="L98" s="54"/>
      <c r="M98" s="54"/>
    </row>
    <row r="99" spans="11:13" x14ac:dyDescent="0.3">
      <c r="K99" s="62"/>
      <c r="L99" s="54"/>
      <c r="M99" s="54"/>
    </row>
    <row r="100" spans="11:13" x14ac:dyDescent="0.3">
      <c r="K100" s="62"/>
      <c r="L100" s="54"/>
      <c r="M100" s="54"/>
    </row>
    <row r="101" spans="11:13" x14ac:dyDescent="0.3">
      <c r="K101" s="62"/>
      <c r="L101" s="54"/>
      <c r="M101" s="54"/>
    </row>
    <row r="102" spans="11:13" x14ac:dyDescent="0.3">
      <c r="K102" s="62"/>
      <c r="L102" s="54"/>
      <c r="M102" s="54"/>
    </row>
    <row r="103" spans="11:13" x14ac:dyDescent="0.3">
      <c r="K103" s="62"/>
      <c r="L103" s="54"/>
      <c r="M103" s="54"/>
    </row>
    <row r="104" spans="11:13" x14ac:dyDescent="0.3">
      <c r="K104" s="62"/>
      <c r="L104" s="54"/>
      <c r="M104" s="54"/>
    </row>
    <row r="105" spans="11:13" x14ac:dyDescent="0.3">
      <c r="K105" s="62"/>
      <c r="L105" s="54"/>
      <c r="M105" s="54"/>
    </row>
    <row r="106" spans="11:13" x14ac:dyDescent="0.3">
      <c r="K106" s="62"/>
      <c r="L106" s="54"/>
      <c r="M106" s="54"/>
    </row>
    <row r="107" spans="11:13" x14ac:dyDescent="0.3">
      <c r="K107" s="62"/>
      <c r="L107" s="54"/>
      <c r="M107" s="54"/>
    </row>
    <row r="108" spans="11:13" x14ac:dyDescent="0.3">
      <c r="K108" s="62"/>
      <c r="L108" s="54"/>
      <c r="M108" s="54"/>
    </row>
    <row r="109" spans="11:13" x14ac:dyDescent="0.3">
      <c r="K109" s="62"/>
      <c r="L109" s="54"/>
      <c r="M109" s="54"/>
    </row>
    <row r="110" spans="11:13" x14ac:dyDescent="0.3">
      <c r="K110" s="62"/>
      <c r="L110" s="54"/>
      <c r="M110" s="54"/>
    </row>
    <row r="111" spans="11:13" x14ac:dyDescent="0.3">
      <c r="K111" s="62"/>
      <c r="L111" s="54"/>
      <c r="M111" s="54"/>
    </row>
    <row r="112" spans="11:13" x14ac:dyDescent="0.3">
      <c r="K112" s="62"/>
      <c r="L112" s="54"/>
      <c r="M112" s="54"/>
    </row>
    <row r="113" spans="11:13" x14ac:dyDescent="0.3">
      <c r="K113" s="62"/>
      <c r="L113" s="54"/>
      <c r="M113" s="54"/>
    </row>
    <row r="114" spans="11:13" x14ac:dyDescent="0.3">
      <c r="K114" s="62"/>
      <c r="L114" s="54"/>
      <c r="M114" s="54"/>
    </row>
    <row r="115" spans="11:13" x14ac:dyDescent="0.3">
      <c r="K115" s="62"/>
      <c r="L115" s="54"/>
      <c r="M115" s="54"/>
    </row>
    <row r="116" spans="11:13" x14ac:dyDescent="0.3">
      <c r="K116" s="62"/>
      <c r="L116" s="54"/>
      <c r="M116" s="54"/>
    </row>
    <row r="117" spans="11:13" x14ac:dyDescent="0.3">
      <c r="K117" s="62"/>
      <c r="L117" s="54"/>
      <c r="M117" s="54"/>
    </row>
    <row r="118" spans="11:13" x14ac:dyDescent="0.3">
      <c r="K118" s="62"/>
      <c r="L118" s="54"/>
      <c r="M118" s="54"/>
    </row>
    <row r="119" spans="11:13" x14ac:dyDescent="0.3">
      <c r="K119" s="62"/>
      <c r="L119" s="54"/>
      <c r="M119" s="54"/>
    </row>
    <row r="120" spans="11:13" x14ac:dyDescent="0.3">
      <c r="K120" s="62"/>
      <c r="L120" s="54"/>
      <c r="M120" s="54"/>
    </row>
    <row r="121" spans="11:13" x14ac:dyDescent="0.3">
      <c r="K121" s="62"/>
      <c r="L121" s="54"/>
      <c r="M121" s="54"/>
    </row>
    <row r="122" spans="11:13" x14ac:dyDescent="0.3">
      <c r="K122" s="62"/>
      <c r="L122" s="54"/>
      <c r="M122" s="54"/>
    </row>
    <row r="123" spans="11:13" x14ac:dyDescent="0.3">
      <c r="K123" s="62"/>
      <c r="L123" s="54"/>
      <c r="M123" s="54"/>
    </row>
    <row r="124" spans="11:13" x14ac:dyDescent="0.3">
      <c r="K124" s="62"/>
      <c r="L124" s="54"/>
      <c r="M124" s="54"/>
    </row>
    <row r="125" spans="11:13" x14ac:dyDescent="0.3">
      <c r="K125" s="62"/>
      <c r="L125" s="54"/>
      <c r="M125" s="54"/>
    </row>
    <row r="126" spans="11:13" x14ac:dyDescent="0.3">
      <c r="K126" s="62"/>
      <c r="L126" s="54"/>
      <c r="M126" s="54"/>
    </row>
    <row r="127" spans="11:13" x14ac:dyDescent="0.3">
      <c r="K127" s="62"/>
      <c r="L127" s="54"/>
      <c r="M127" s="54"/>
    </row>
    <row r="128" spans="11:13" x14ac:dyDescent="0.3">
      <c r="K128" s="62"/>
      <c r="L128" s="54"/>
      <c r="M128" s="54"/>
    </row>
    <row r="129" spans="11:13" x14ac:dyDescent="0.3">
      <c r="K129" s="62"/>
      <c r="L129" s="54"/>
      <c r="M129" s="54"/>
    </row>
    <row r="130" spans="11:13" x14ac:dyDescent="0.3">
      <c r="K130" s="62"/>
      <c r="L130" s="54"/>
      <c r="M130" s="54"/>
    </row>
    <row r="131" spans="11:13" x14ac:dyDescent="0.3">
      <c r="K131" s="62"/>
      <c r="L131" s="54"/>
      <c r="M131" s="54"/>
    </row>
    <row r="132" spans="11:13" x14ac:dyDescent="0.3">
      <c r="K132" s="62"/>
      <c r="L132" s="54"/>
      <c r="M132" s="54"/>
    </row>
    <row r="133" spans="11:13" x14ac:dyDescent="0.3">
      <c r="K133" s="62"/>
      <c r="L133" s="54"/>
      <c r="M133" s="54"/>
    </row>
    <row r="134" spans="11:13" x14ac:dyDescent="0.3">
      <c r="K134" s="62"/>
      <c r="L134" s="54"/>
      <c r="M134" s="54"/>
    </row>
    <row r="135" spans="11:13" x14ac:dyDescent="0.3">
      <c r="K135" s="62"/>
      <c r="L135" s="54"/>
      <c r="M135" s="54"/>
    </row>
    <row r="136" spans="11:13" x14ac:dyDescent="0.3">
      <c r="K136" s="62"/>
      <c r="L136" s="54"/>
      <c r="M136" s="54"/>
    </row>
    <row r="137" spans="11:13" x14ac:dyDescent="0.3">
      <c r="K137" s="62"/>
      <c r="L137" s="54"/>
      <c r="M137" s="54"/>
    </row>
    <row r="138" spans="11:13" x14ac:dyDescent="0.3">
      <c r="K138" s="62"/>
      <c r="L138" s="54"/>
      <c r="M138" s="54"/>
    </row>
    <row r="139" spans="11:13" x14ac:dyDescent="0.3">
      <c r="K139" s="62"/>
      <c r="L139" s="54"/>
      <c r="M139" s="54"/>
    </row>
    <row r="140" spans="11:13" x14ac:dyDescent="0.3">
      <c r="K140" s="62"/>
      <c r="L140" s="54"/>
      <c r="M140" s="54"/>
    </row>
    <row r="141" spans="11:13" x14ac:dyDescent="0.3">
      <c r="K141" s="62"/>
      <c r="L141" s="54"/>
      <c r="M141" s="54"/>
    </row>
    <row r="142" spans="11:13" x14ac:dyDescent="0.3">
      <c r="K142" s="62"/>
      <c r="L142" s="54"/>
      <c r="M142" s="54"/>
    </row>
    <row r="143" spans="11:13" x14ac:dyDescent="0.3">
      <c r="K143" s="62"/>
      <c r="L143" s="54"/>
      <c r="M143" s="54"/>
    </row>
    <row r="144" spans="11:13" x14ac:dyDescent="0.3">
      <c r="K144" s="62"/>
      <c r="L144" s="54"/>
      <c r="M144" s="54"/>
    </row>
    <row r="145" spans="11:13" x14ac:dyDescent="0.3">
      <c r="K145" s="62"/>
      <c r="L145" s="54"/>
      <c r="M145" s="54"/>
    </row>
    <row r="146" spans="11:13" x14ac:dyDescent="0.3">
      <c r="K146" s="62"/>
      <c r="L146" s="54"/>
      <c r="M146" s="54"/>
    </row>
    <row r="147" spans="11:13" x14ac:dyDescent="0.3">
      <c r="K147" s="62"/>
      <c r="L147" s="54"/>
      <c r="M147" s="54"/>
    </row>
    <row r="148" spans="11:13" x14ac:dyDescent="0.3">
      <c r="K148" s="62"/>
      <c r="L148" s="54"/>
      <c r="M148" s="54"/>
    </row>
    <row r="149" spans="11:13" x14ac:dyDescent="0.3">
      <c r="K149" s="62"/>
      <c r="L149" s="54"/>
      <c r="M149" s="54"/>
    </row>
    <row r="150" spans="11:13" x14ac:dyDescent="0.3">
      <c r="K150" s="62"/>
      <c r="L150" s="54"/>
      <c r="M150" s="54"/>
    </row>
    <row r="151" spans="11:13" x14ac:dyDescent="0.3">
      <c r="K151" s="62"/>
      <c r="L151" s="54"/>
      <c r="M151" s="54"/>
    </row>
    <row r="152" spans="11:13" x14ac:dyDescent="0.3">
      <c r="K152" s="62"/>
      <c r="L152" s="54"/>
      <c r="M152" s="54"/>
    </row>
    <row r="153" spans="11:13" x14ac:dyDescent="0.3">
      <c r="K153" s="62"/>
      <c r="L153" s="54"/>
      <c r="M153" s="54"/>
    </row>
    <row r="154" spans="11:13" x14ac:dyDescent="0.3">
      <c r="K154" s="62"/>
      <c r="L154" s="54"/>
      <c r="M154" s="54"/>
    </row>
    <row r="155" spans="11:13" x14ac:dyDescent="0.3">
      <c r="K155" s="62"/>
      <c r="L155" s="54"/>
      <c r="M155" s="54"/>
    </row>
    <row r="156" spans="11:13" x14ac:dyDescent="0.3">
      <c r="K156" s="62"/>
      <c r="L156" s="54"/>
      <c r="M156" s="54"/>
    </row>
    <row r="157" spans="11:13" x14ac:dyDescent="0.3">
      <c r="K157" s="62"/>
      <c r="L157" s="54"/>
      <c r="M157" s="54"/>
    </row>
    <row r="158" spans="11:13" x14ac:dyDescent="0.3">
      <c r="K158" s="62"/>
      <c r="L158" s="54"/>
      <c r="M158" s="54"/>
    </row>
    <row r="159" spans="11:13" x14ac:dyDescent="0.3">
      <c r="K159" s="62"/>
      <c r="L159" s="54"/>
      <c r="M159" s="54"/>
    </row>
    <row r="160" spans="11:13" x14ac:dyDescent="0.3">
      <c r="K160" s="62"/>
      <c r="L160" s="54"/>
      <c r="M160" s="54"/>
    </row>
    <row r="161" spans="11:13" x14ac:dyDescent="0.3">
      <c r="K161" s="62"/>
      <c r="L161" s="54"/>
      <c r="M161" s="54"/>
    </row>
    <row r="162" spans="11:13" x14ac:dyDescent="0.3">
      <c r="K162" s="62"/>
      <c r="L162" s="54"/>
      <c r="M162" s="54"/>
    </row>
    <row r="163" spans="11:13" x14ac:dyDescent="0.3">
      <c r="K163" s="62"/>
      <c r="L163" s="54"/>
      <c r="M163" s="54"/>
    </row>
    <row r="164" spans="11:13" x14ac:dyDescent="0.3">
      <c r="K164" s="62"/>
      <c r="L164" s="54"/>
      <c r="M164" s="54"/>
    </row>
    <row r="165" spans="11:13" x14ac:dyDescent="0.3">
      <c r="K165" s="62"/>
      <c r="L165" s="54"/>
      <c r="M165" s="54"/>
    </row>
    <row r="166" spans="11:13" x14ac:dyDescent="0.3">
      <c r="K166" s="62"/>
      <c r="L166" s="54"/>
      <c r="M166" s="54"/>
    </row>
    <row r="167" spans="11:13" x14ac:dyDescent="0.3">
      <c r="K167" s="62"/>
      <c r="L167" s="54"/>
      <c r="M167" s="54"/>
    </row>
    <row r="168" spans="11:13" x14ac:dyDescent="0.3">
      <c r="K168" s="62"/>
      <c r="L168" s="54"/>
      <c r="M168" s="54"/>
    </row>
    <row r="169" spans="11:13" x14ac:dyDescent="0.3">
      <c r="K169" s="62"/>
      <c r="L169" s="54"/>
      <c r="M169" s="54"/>
    </row>
    <row r="170" spans="11:13" x14ac:dyDescent="0.3">
      <c r="K170" s="62"/>
      <c r="L170" s="54"/>
      <c r="M170" s="54"/>
    </row>
    <row r="171" spans="11:13" x14ac:dyDescent="0.3">
      <c r="K171" s="62"/>
      <c r="L171" s="54"/>
      <c r="M171" s="54"/>
    </row>
    <row r="172" spans="11:13" x14ac:dyDescent="0.3">
      <c r="K172" s="62"/>
      <c r="L172" s="54"/>
      <c r="M172" s="54"/>
    </row>
    <row r="173" spans="11:13" x14ac:dyDescent="0.3">
      <c r="K173" s="62"/>
      <c r="L173" s="54"/>
      <c r="M173" s="54"/>
    </row>
    <row r="174" spans="11:13" x14ac:dyDescent="0.3">
      <c r="K174" s="62"/>
      <c r="L174" s="54"/>
      <c r="M174" s="54"/>
    </row>
    <row r="175" spans="11:13" x14ac:dyDescent="0.3">
      <c r="K175" s="62"/>
      <c r="L175" s="54"/>
      <c r="M175" s="54"/>
    </row>
    <row r="176" spans="11:13" x14ac:dyDescent="0.3">
      <c r="K176" s="62"/>
      <c r="L176" s="54"/>
      <c r="M176" s="54"/>
    </row>
    <row r="177" spans="11:13" x14ac:dyDescent="0.3">
      <c r="K177" s="62"/>
      <c r="L177" s="54"/>
      <c r="M177" s="54"/>
    </row>
    <row r="178" spans="11:13" x14ac:dyDescent="0.3">
      <c r="K178" s="62"/>
      <c r="L178" s="54"/>
      <c r="M178" s="54"/>
    </row>
    <row r="179" spans="11:13" x14ac:dyDescent="0.3">
      <c r="K179" s="62"/>
      <c r="L179" s="54"/>
      <c r="M179" s="54"/>
    </row>
    <row r="180" spans="11:13" x14ac:dyDescent="0.3">
      <c r="K180" s="62"/>
      <c r="L180" s="54"/>
      <c r="M180" s="54"/>
    </row>
    <row r="181" spans="11:13" x14ac:dyDescent="0.3">
      <c r="K181" s="62"/>
      <c r="L181" s="54"/>
      <c r="M181" s="54"/>
    </row>
    <row r="182" spans="11:13" x14ac:dyDescent="0.3">
      <c r="K182" s="62"/>
      <c r="L182" s="54"/>
      <c r="M182" s="54"/>
    </row>
    <row r="183" spans="11:13" x14ac:dyDescent="0.3">
      <c r="K183" s="62"/>
      <c r="L183" s="54"/>
      <c r="M183" s="54"/>
    </row>
    <row r="184" spans="11:13" x14ac:dyDescent="0.3">
      <c r="K184" s="62"/>
      <c r="L184" s="54"/>
      <c r="M184" s="54"/>
    </row>
    <row r="185" spans="11:13" x14ac:dyDescent="0.3">
      <c r="K185" s="62"/>
      <c r="L185" s="54"/>
      <c r="M185" s="54"/>
    </row>
    <row r="186" spans="11:13" x14ac:dyDescent="0.3">
      <c r="K186" s="62"/>
      <c r="L186" s="54"/>
      <c r="M186" s="54"/>
    </row>
    <row r="187" spans="11:13" x14ac:dyDescent="0.3">
      <c r="K187" s="62"/>
      <c r="L187" s="54"/>
      <c r="M187" s="54"/>
    </row>
    <row r="188" spans="11:13" x14ac:dyDescent="0.3">
      <c r="K188" s="62"/>
      <c r="L188" s="54"/>
      <c r="M188" s="54"/>
    </row>
    <row r="189" spans="11:13" x14ac:dyDescent="0.3">
      <c r="K189" s="62"/>
      <c r="L189" s="54"/>
      <c r="M189" s="54"/>
    </row>
    <row r="190" spans="11:13" x14ac:dyDescent="0.3">
      <c r="K190" s="62"/>
      <c r="L190" s="54"/>
      <c r="M190" s="54"/>
    </row>
    <row r="191" spans="11:13" x14ac:dyDescent="0.3">
      <c r="K191" s="62"/>
      <c r="L191" s="54"/>
      <c r="M191" s="54"/>
    </row>
    <row r="192" spans="11:13" x14ac:dyDescent="0.3">
      <c r="K192" s="62"/>
      <c r="L192" s="54"/>
      <c r="M192" s="54"/>
    </row>
    <row r="193" spans="11:13" x14ac:dyDescent="0.3">
      <c r="K193" s="62"/>
      <c r="L193" s="54"/>
      <c r="M193" s="54"/>
    </row>
    <row r="194" spans="11:13" x14ac:dyDescent="0.3">
      <c r="K194" s="62"/>
      <c r="L194" s="54"/>
      <c r="M194" s="54"/>
    </row>
    <row r="195" spans="11:13" x14ac:dyDescent="0.3">
      <c r="K195" s="62"/>
      <c r="L195" s="54"/>
      <c r="M195" s="54"/>
    </row>
    <row r="196" spans="11:13" x14ac:dyDescent="0.3">
      <c r="K196" s="62"/>
      <c r="L196" s="54"/>
      <c r="M196" s="54"/>
    </row>
    <row r="197" spans="11:13" x14ac:dyDescent="0.3">
      <c r="K197" s="62"/>
      <c r="L197" s="54"/>
      <c r="M197" s="54"/>
    </row>
    <row r="198" spans="11:13" x14ac:dyDescent="0.3">
      <c r="K198" s="62"/>
      <c r="L198" s="54"/>
      <c r="M198" s="54"/>
    </row>
    <row r="199" spans="11:13" x14ac:dyDescent="0.3">
      <c r="K199" s="62"/>
      <c r="L199" s="54"/>
      <c r="M199" s="54"/>
    </row>
    <row r="200" spans="11:13" x14ac:dyDescent="0.3">
      <c r="K200" s="62"/>
      <c r="L200" s="54"/>
      <c r="M200" s="54"/>
    </row>
    <row r="201" spans="11:13" x14ac:dyDescent="0.3">
      <c r="K201" s="62"/>
      <c r="L201" s="54"/>
      <c r="M201" s="54"/>
    </row>
    <row r="202" spans="11:13" x14ac:dyDescent="0.3">
      <c r="K202" s="62"/>
      <c r="L202" s="54"/>
      <c r="M202" s="54"/>
    </row>
    <row r="203" spans="11:13" x14ac:dyDescent="0.3">
      <c r="K203" s="62"/>
      <c r="L203" s="54"/>
      <c r="M203" s="54"/>
    </row>
    <row r="204" spans="11:13" x14ac:dyDescent="0.3">
      <c r="K204" s="62"/>
      <c r="L204" s="54"/>
      <c r="M204" s="54"/>
    </row>
    <row r="205" spans="11:13" x14ac:dyDescent="0.3">
      <c r="K205" s="62"/>
      <c r="L205" s="54"/>
      <c r="M205" s="54"/>
    </row>
    <row r="206" spans="11:13" x14ac:dyDescent="0.3">
      <c r="K206" s="62"/>
      <c r="L206" s="54"/>
      <c r="M206" s="54"/>
    </row>
    <row r="207" spans="11:13" x14ac:dyDescent="0.3">
      <c r="K207" s="62"/>
      <c r="L207" s="54"/>
      <c r="M207" s="54"/>
    </row>
    <row r="208" spans="11:13" x14ac:dyDescent="0.3">
      <c r="K208" s="62"/>
      <c r="L208" s="54"/>
      <c r="M208" s="54"/>
    </row>
    <row r="209" spans="11:13" x14ac:dyDescent="0.3">
      <c r="K209" s="62"/>
      <c r="L209" s="54"/>
      <c r="M209" s="54"/>
    </row>
    <row r="210" spans="11:13" x14ac:dyDescent="0.3">
      <c r="K210" s="62"/>
      <c r="L210" s="54"/>
      <c r="M210" s="54"/>
    </row>
    <row r="211" spans="11:13" x14ac:dyDescent="0.3">
      <c r="K211" s="62"/>
      <c r="L211" s="54"/>
      <c r="M211" s="54"/>
    </row>
    <row r="212" spans="11:13" x14ac:dyDescent="0.3">
      <c r="K212" s="62"/>
      <c r="L212" s="54"/>
      <c r="M212" s="54"/>
    </row>
    <row r="213" spans="11:13" x14ac:dyDescent="0.3">
      <c r="K213" s="62"/>
      <c r="L213" s="54"/>
      <c r="M213" s="54"/>
    </row>
    <row r="214" spans="11:13" x14ac:dyDescent="0.3">
      <c r="K214" s="62"/>
      <c r="L214" s="54"/>
      <c r="M214" s="54"/>
    </row>
    <row r="215" spans="11:13" x14ac:dyDescent="0.3">
      <c r="K215" s="62"/>
      <c r="L215" s="54"/>
      <c r="M215" s="54"/>
    </row>
    <row r="216" spans="11:13" x14ac:dyDescent="0.3">
      <c r="K216" s="62"/>
      <c r="L216" s="54"/>
      <c r="M216" s="54"/>
    </row>
    <row r="217" spans="11:13" x14ac:dyDescent="0.3">
      <c r="K217" s="62"/>
      <c r="L217" s="54"/>
      <c r="M217" s="54"/>
    </row>
    <row r="218" spans="11:13" x14ac:dyDescent="0.3">
      <c r="K218" s="62"/>
      <c r="L218" s="54"/>
      <c r="M218" s="54"/>
    </row>
    <row r="219" spans="11:13" x14ac:dyDescent="0.3">
      <c r="K219" s="62"/>
      <c r="L219" s="54"/>
      <c r="M219" s="54"/>
    </row>
    <row r="220" spans="11:13" x14ac:dyDescent="0.3">
      <c r="K220" s="62"/>
      <c r="L220" s="54"/>
      <c r="M220" s="54"/>
    </row>
    <row r="221" spans="11:13" x14ac:dyDescent="0.3">
      <c r="K221" s="62"/>
      <c r="L221" s="54"/>
      <c r="M221" s="54"/>
    </row>
    <row r="222" spans="11:13" x14ac:dyDescent="0.3">
      <c r="K222" s="62"/>
      <c r="L222" s="54"/>
      <c r="M222" s="54"/>
    </row>
    <row r="223" spans="11:13" x14ac:dyDescent="0.3">
      <c r="K223" s="62"/>
      <c r="L223" s="54"/>
      <c r="M223" s="54"/>
    </row>
    <row r="224" spans="11:13" x14ac:dyDescent="0.3">
      <c r="K224" s="62"/>
      <c r="L224" s="54"/>
      <c r="M224" s="54"/>
    </row>
    <row r="225" spans="11:14" x14ac:dyDescent="0.3">
      <c r="K225" s="62"/>
      <c r="L225" s="54"/>
      <c r="M225" s="54"/>
    </row>
    <row r="226" spans="11:14" x14ac:dyDescent="0.3">
      <c r="K226" s="62"/>
      <c r="L226" s="54"/>
      <c r="M226" s="54"/>
    </row>
    <row r="227" spans="11:14" x14ac:dyDescent="0.3">
      <c r="K227" s="62"/>
      <c r="L227" s="54"/>
      <c r="M227" s="54"/>
    </row>
    <row r="228" spans="11:14" x14ac:dyDescent="0.3">
      <c r="K228" s="62"/>
      <c r="L228" s="54"/>
      <c r="M228" s="54"/>
    </row>
    <row r="229" spans="11:14" x14ac:dyDescent="0.3">
      <c r="K229" s="62"/>
      <c r="L229" s="54"/>
      <c r="M229" s="54"/>
    </row>
    <row r="230" spans="11:14" x14ac:dyDescent="0.3">
      <c r="K230" s="62"/>
      <c r="L230" s="54"/>
      <c r="M230" s="54"/>
    </row>
    <row r="231" spans="11:14" x14ac:dyDescent="0.3">
      <c r="K231" s="62"/>
      <c r="L231" s="54"/>
      <c r="M231" s="54"/>
    </row>
    <row r="232" spans="11:14" x14ac:dyDescent="0.3">
      <c r="K232" s="62"/>
      <c r="L232" s="54"/>
      <c r="M232" s="54"/>
    </row>
    <row r="233" spans="11:14" x14ac:dyDescent="0.3">
      <c r="K233" s="62"/>
      <c r="L233" s="54"/>
      <c r="M233" s="54"/>
    </row>
    <row r="234" spans="11:14" x14ac:dyDescent="0.3">
      <c r="K234" s="62"/>
      <c r="L234" s="54"/>
      <c r="M234" s="54"/>
    </row>
    <row r="235" spans="11:14" x14ac:dyDescent="0.3">
      <c r="K235" s="62"/>
      <c r="L235" s="54"/>
      <c r="M235" s="54"/>
    </row>
    <row r="236" spans="11:14" x14ac:dyDescent="0.3">
      <c r="K236" s="62"/>
      <c r="L236" s="54"/>
      <c r="M236" s="54"/>
    </row>
    <row r="237" spans="11:14" x14ac:dyDescent="0.3">
      <c r="K237" s="62"/>
      <c r="L237" s="54"/>
      <c r="M237" s="54"/>
    </row>
    <row r="238" spans="11:14" x14ac:dyDescent="0.3">
      <c r="L238" s="54"/>
      <c r="M238" s="54"/>
      <c r="N238" s="54"/>
    </row>
    <row r="239" spans="11:14" x14ac:dyDescent="0.3">
      <c r="L239" s="54"/>
      <c r="M239" s="54"/>
      <c r="N239" s="54"/>
    </row>
    <row r="240" spans="11:14" x14ac:dyDescent="0.3">
      <c r="L240" s="54"/>
      <c r="M240" s="54"/>
      <c r="N240" s="54"/>
    </row>
    <row r="241" spans="12:14" x14ac:dyDescent="0.3">
      <c r="L241" s="54"/>
      <c r="M241" s="54"/>
      <c r="N241" s="54"/>
    </row>
    <row r="242" spans="12:14" x14ac:dyDescent="0.3">
      <c r="L242" s="54"/>
      <c r="M242" s="54"/>
      <c r="N242" s="54"/>
    </row>
    <row r="243" spans="12:14" x14ac:dyDescent="0.3">
      <c r="L243" s="54"/>
      <c r="M243" s="54"/>
      <c r="N243" s="54"/>
    </row>
    <row r="244" spans="12:14" x14ac:dyDescent="0.3">
      <c r="L244" s="54"/>
      <c r="M244" s="54"/>
      <c r="N244" s="54"/>
    </row>
    <row r="245" spans="12:14" x14ac:dyDescent="0.3">
      <c r="L245" s="54"/>
      <c r="M245" s="54"/>
      <c r="N245" s="54"/>
    </row>
    <row r="246" spans="12:14" x14ac:dyDescent="0.3">
      <c r="L246" s="54"/>
      <c r="M246" s="54"/>
      <c r="N246" s="54"/>
    </row>
    <row r="247" spans="12:14" x14ac:dyDescent="0.3">
      <c r="L247" s="54"/>
      <c r="M247" s="54"/>
      <c r="N247" s="54"/>
    </row>
    <row r="248" spans="12:14" x14ac:dyDescent="0.3">
      <c r="L248" s="27"/>
      <c r="M248" s="27"/>
      <c r="N248" s="27"/>
    </row>
    <row r="249" spans="12:14" x14ac:dyDescent="0.3">
      <c r="L249" s="27"/>
      <c r="M249" s="27"/>
      <c r="N249" s="27"/>
    </row>
    <row r="250" spans="12:14" x14ac:dyDescent="0.3">
      <c r="L250" s="27"/>
      <c r="M250" s="27"/>
      <c r="N250" s="27"/>
    </row>
    <row r="251" spans="12:14" x14ac:dyDescent="0.3">
      <c r="L251" s="27"/>
      <c r="M251" s="27"/>
      <c r="N251" s="27"/>
    </row>
    <row r="252" spans="12:14" x14ac:dyDescent="0.3">
      <c r="L252" s="27"/>
      <c r="M252" s="27"/>
      <c r="N252" s="27"/>
    </row>
    <row r="253" spans="12:14" x14ac:dyDescent="0.3">
      <c r="L253" s="27"/>
      <c r="M253" s="27"/>
      <c r="N253" s="27"/>
    </row>
    <row r="254" spans="12:14" x14ac:dyDescent="0.3">
      <c r="L254" s="27"/>
      <c r="M254" s="27"/>
      <c r="N254" s="27"/>
    </row>
    <row r="255" spans="12:14" x14ac:dyDescent="0.3">
      <c r="L255" s="27"/>
      <c r="M255" s="27"/>
      <c r="N255" s="27"/>
    </row>
    <row r="256" spans="12:14" x14ac:dyDescent="0.3">
      <c r="L256" s="27"/>
      <c r="M256" s="27"/>
      <c r="N256" s="27"/>
    </row>
    <row r="257" spans="12:14" x14ac:dyDescent="0.3">
      <c r="L257" s="27"/>
      <c r="M257" s="27"/>
      <c r="N257" s="27"/>
    </row>
    <row r="258" spans="12:14" x14ac:dyDescent="0.3">
      <c r="L258" s="27"/>
      <c r="M258" s="27"/>
      <c r="N258" s="27"/>
    </row>
    <row r="259" spans="12:14" x14ac:dyDescent="0.3">
      <c r="L259" s="27"/>
      <c r="M259" s="27"/>
      <c r="N259" s="27"/>
    </row>
    <row r="260" spans="12:14" x14ac:dyDescent="0.3">
      <c r="L260" s="27"/>
      <c r="M260" s="27"/>
      <c r="N260" s="27"/>
    </row>
    <row r="261" spans="12:14" x14ac:dyDescent="0.3">
      <c r="L261" s="27"/>
      <c r="M261" s="27"/>
      <c r="N261" s="27"/>
    </row>
    <row r="262" spans="12:14" x14ac:dyDescent="0.3">
      <c r="L262" s="27"/>
      <c r="M262" s="27"/>
      <c r="N262" s="27"/>
    </row>
    <row r="263" spans="12:14" x14ac:dyDescent="0.3">
      <c r="L263" s="27"/>
      <c r="M263" s="27"/>
      <c r="N263" s="27"/>
    </row>
    <row r="264" spans="12:14" x14ac:dyDescent="0.3">
      <c r="L264" s="27"/>
      <c r="M264" s="27"/>
      <c r="N264" s="27"/>
    </row>
    <row r="265" spans="12:14" x14ac:dyDescent="0.3">
      <c r="L265" s="27"/>
      <c r="M265" s="27"/>
      <c r="N265" s="27"/>
    </row>
    <row r="266" spans="12:14" x14ac:dyDescent="0.3">
      <c r="L266" s="27"/>
      <c r="M266" s="27"/>
      <c r="N266" s="27"/>
    </row>
    <row r="267" spans="12:14" x14ac:dyDescent="0.3">
      <c r="L267" s="27"/>
      <c r="M267" s="27"/>
      <c r="N267" s="27"/>
    </row>
    <row r="268" spans="12:14" x14ac:dyDescent="0.3">
      <c r="L268" s="27"/>
      <c r="M268" s="27"/>
      <c r="N268" s="27"/>
    </row>
    <row r="269" spans="12:14" x14ac:dyDescent="0.3">
      <c r="L269" s="27"/>
      <c r="M269" s="27"/>
      <c r="N269" s="27"/>
    </row>
    <row r="270" spans="12:14" x14ac:dyDescent="0.3">
      <c r="L270" s="27"/>
      <c r="M270" s="27"/>
      <c r="N270" s="27"/>
    </row>
    <row r="271" spans="12:14" x14ac:dyDescent="0.3">
      <c r="L271" s="27"/>
      <c r="M271" s="27"/>
      <c r="N271" s="27"/>
    </row>
    <row r="272" spans="12:14" x14ac:dyDescent="0.3">
      <c r="L272" s="27"/>
      <c r="M272" s="27"/>
      <c r="N272" s="27"/>
    </row>
    <row r="273" spans="12:14" x14ac:dyDescent="0.3">
      <c r="L273" s="27"/>
      <c r="M273" s="27"/>
      <c r="N273" s="27"/>
    </row>
    <row r="274" spans="12:14" x14ac:dyDescent="0.3">
      <c r="L274" s="27"/>
      <c r="M274" s="27"/>
      <c r="N274" s="27"/>
    </row>
    <row r="275" spans="12:14" x14ac:dyDescent="0.3">
      <c r="L275" s="27"/>
      <c r="M275" s="27"/>
      <c r="N275" s="27"/>
    </row>
    <row r="276" spans="12:14" x14ac:dyDescent="0.3">
      <c r="L276" s="27"/>
      <c r="M276" s="27"/>
      <c r="N276" s="27"/>
    </row>
    <row r="277" spans="12:14" x14ac:dyDescent="0.3">
      <c r="L277" s="27"/>
      <c r="M277" s="27"/>
      <c r="N277" s="27"/>
    </row>
    <row r="278" spans="12:14" x14ac:dyDescent="0.3">
      <c r="L278" s="27"/>
      <c r="M278" s="27"/>
      <c r="N278" s="27"/>
    </row>
    <row r="279" spans="12:14" x14ac:dyDescent="0.3">
      <c r="L279" s="27"/>
      <c r="M279" s="27"/>
      <c r="N279" s="27"/>
    </row>
    <row r="280" spans="12:14" x14ac:dyDescent="0.3">
      <c r="L280" s="27"/>
      <c r="M280" s="27"/>
      <c r="N280" s="27"/>
    </row>
    <row r="281" spans="12:14" x14ac:dyDescent="0.3">
      <c r="L281" s="27"/>
      <c r="M281" s="27"/>
      <c r="N281" s="27"/>
    </row>
    <row r="282" spans="12:14" x14ac:dyDescent="0.3">
      <c r="L282" s="27"/>
      <c r="M282" s="27"/>
      <c r="N282" s="27"/>
    </row>
    <row r="283" spans="12:14" x14ac:dyDescent="0.3">
      <c r="L283" s="27"/>
      <c r="M283" s="27"/>
      <c r="N283" s="27"/>
    </row>
    <row r="284" spans="12:14" x14ac:dyDescent="0.3">
      <c r="L284" s="27"/>
      <c r="M284" s="27"/>
      <c r="N284" s="27"/>
    </row>
    <row r="285" spans="12:14" x14ac:dyDescent="0.3">
      <c r="L285" s="27"/>
      <c r="M285" s="27"/>
      <c r="N285" s="27"/>
    </row>
    <row r="286" spans="12:14" x14ac:dyDescent="0.3">
      <c r="L286" s="27"/>
      <c r="M286" s="27"/>
      <c r="N286" s="27"/>
    </row>
    <row r="287" spans="12:14" x14ac:dyDescent="0.3">
      <c r="L287" s="27"/>
      <c r="M287" s="27"/>
      <c r="N287" s="27"/>
    </row>
    <row r="288" spans="12:14" x14ac:dyDescent="0.3">
      <c r="L288" s="27"/>
      <c r="M288" s="27"/>
      <c r="N288" s="27"/>
    </row>
    <row r="289" spans="12:14" x14ac:dyDescent="0.3">
      <c r="L289" s="27"/>
      <c r="M289" s="27"/>
      <c r="N289" s="27"/>
    </row>
    <row r="290" spans="12:14" x14ac:dyDescent="0.3">
      <c r="L290" s="27"/>
      <c r="M290" s="27"/>
      <c r="N290" s="27"/>
    </row>
    <row r="291" spans="12:14" x14ac:dyDescent="0.3">
      <c r="L291" s="27"/>
      <c r="M291" s="27"/>
      <c r="N291" s="27"/>
    </row>
    <row r="292" spans="12:14" x14ac:dyDescent="0.3">
      <c r="L292" s="27"/>
      <c r="M292" s="27"/>
      <c r="N292" s="27"/>
    </row>
    <row r="293" spans="12:14" x14ac:dyDescent="0.3">
      <c r="L293" s="27"/>
      <c r="M293" s="27"/>
      <c r="N293" s="27"/>
    </row>
    <row r="294" spans="12:14" x14ac:dyDescent="0.3">
      <c r="L294" s="27"/>
      <c r="M294" s="27"/>
      <c r="N294" s="27"/>
    </row>
    <row r="295" spans="12:14" x14ac:dyDescent="0.3">
      <c r="L295" s="27"/>
      <c r="M295" s="27"/>
      <c r="N295" s="27"/>
    </row>
    <row r="296" spans="12:14" x14ac:dyDescent="0.3">
      <c r="L296" s="27"/>
      <c r="M296" s="27"/>
      <c r="N296" s="27"/>
    </row>
    <row r="297" spans="12:14" x14ac:dyDescent="0.3">
      <c r="L297" s="27"/>
      <c r="M297" s="27"/>
      <c r="N297" s="27"/>
    </row>
  </sheetData>
  <hyperlinks>
    <hyperlink ref="A18" r:id="rId1" xr:uid="{C9BB9993-BD6D-4479-A548-F0F44F532229}"/>
  </hyperlinks>
  <pageMargins left="0.511811024" right="0.511811024" top="0.78740157499999996" bottom="0.78740157499999996" header="0.31496062000000002" footer="0.31496062000000002"/>
  <pageSetup paperSize="9"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22038B-07AD-4CB3-8A78-7C1768ECBA98}">
  <sheetPr codeName="Planilha38">
    <tabColor theme="9" tint="0.59999389629810485"/>
  </sheetPr>
  <dimension ref="A1:AC298"/>
  <sheetViews>
    <sheetView showGridLines="0" zoomScale="85" zoomScaleNormal="85" workbookViewId="0">
      <selection activeCell="B6" sqref="B6"/>
    </sheetView>
  </sheetViews>
  <sheetFormatPr defaultColWidth="8.85546875" defaultRowHeight="18.75" x14ac:dyDescent="0.3"/>
  <cols>
    <col min="1" max="1" width="18.85546875" style="17" customWidth="1"/>
    <col min="2" max="2" width="26.140625" customWidth="1"/>
    <col min="4" max="4" width="44.28515625" bestFit="1" customWidth="1"/>
    <col min="5" max="5" width="4.5703125" customWidth="1"/>
    <col min="6" max="7" width="7.140625" bestFit="1" customWidth="1"/>
    <col min="8" max="8" width="9.28515625" bestFit="1" customWidth="1"/>
    <col min="9" max="11" width="12.42578125" bestFit="1" customWidth="1"/>
    <col min="12" max="12" width="15.140625" bestFit="1" customWidth="1"/>
    <col min="13" max="13" width="15.140625" customWidth="1"/>
    <col min="15" max="20" width="9" style="15" customWidth="1"/>
    <col min="21" max="21" width="8.42578125" style="15" customWidth="1"/>
    <col min="22" max="29" width="8.85546875" style="15"/>
  </cols>
  <sheetData>
    <row r="1" spans="1:29" x14ac:dyDescent="0.3">
      <c r="A1" s="16" t="s">
        <v>207</v>
      </c>
      <c r="O1" s="14"/>
      <c r="P1" s="14"/>
      <c r="Q1" s="14"/>
      <c r="R1" s="14"/>
      <c r="S1" s="14"/>
      <c r="T1" s="14"/>
      <c r="U1" s="14"/>
      <c r="V1" s="14"/>
      <c r="W1" s="14"/>
      <c r="X1" s="14"/>
      <c r="Y1" s="14"/>
      <c r="Z1" s="14"/>
      <c r="AA1" s="14"/>
      <c r="AB1" s="14"/>
      <c r="AC1" s="14"/>
    </row>
    <row r="2" spans="1:29" x14ac:dyDescent="0.3">
      <c r="A2" s="17" t="s">
        <v>208</v>
      </c>
      <c r="O2" s="14"/>
      <c r="P2" s="14"/>
      <c r="Q2" s="14"/>
      <c r="R2" s="14"/>
      <c r="S2" s="14"/>
      <c r="T2" s="14"/>
      <c r="U2" s="14"/>
      <c r="V2" s="14"/>
      <c r="W2" s="14"/>
      <c r="X2" s="14"/>
      <c r="Y2" s="14"/>
      <c r="Z2" s="14"/>
      <c r="AA2" s="14"/>
      <c r="AB2" s="14"/>
      <c r="AC2" s="14"/>
    </row>
    <row r="4" spans="1:29" ht="15.75" x14ac:dyDescent="0.25">
      <c r="A4" s="2" t="s">
        <v>15</v>
      </c>
      <c r="B4" s="2" t="s">
        <v>16</v>
      </c>
    </row>
    <row r="5" spans="1:29" ht="15.75" x14ac:dyDescent="0.25">
      <c r="A5" s="23" t="s">
        <v>167</v>
      </c>
      <c r="B5" s="24" t="s">
        <v>881</v>
      </c>
    </row>
    <row r="6" spans="1:29" ht="31.5" x14ac:dyDescent="0.25">
      <c r="A6" s="23" t="s">
        <v>209</v>
      </c>
      <c r="B6" s="24" t="s">
        <v>210</v>
      </c>
    </row>
    <row r="7" spans="1:29" ht="15.75" x14ac:dyDescent="0.25">
      <c r="A7" s="23" t="s">
        <v>211</v>
      </c>
      <c r="B7" s="24" t="s">
        <v>212</v>
      </c>
    </row>
    <row r="8" spans="1:29" ht="47.25" x14ac:dyDescent="0.25">
      <c r="A8" s="23" t="s">
        <v>229</v>
      </c>
      <c r="B8" s="26" t="s">
        <v>243</v>
      </c>
    </row>
    <row r="9" spans="1:29" ht="31.5" x14ac:dyDescent="0.25">
      <c r="A9" s="23" t="s">
        <v>244</v>
      </c>
      <c r="B9" s="26" t="s">
        <v>267</v>
      </c>
    </row>
    <row r="10" spans="1:29" ht="94.5" x14ac:dyDescent="0.25">
      <c r="A10" s="23" t="s">
        <v>386</v>
      </c>
      <c r="B10" s="26" t="s">
        <v>387</v>
      </c>
    </row>
    <row r="11" spans="1:29" x14ac:dyDescent="0.3">
      <c r="D11" s="1" t="s">
        <v>17</v>
      </c>
      <c r="G11" s="13" t="s">
        <v>167</v>
      </c>
      <c r="H11" s="13" t="s">
        <v>213</v>
      </c>
      <c r="I11" s="13" t="s">
        <v>214</v>
      </c>
      <c r="J11" s="13" t="s">
        <v>230</v>
      </c>
      <c r="K11" s="13" t="s">
        <v>245</v>
      </c>
      <c r="L11" s="13" t="s">
        <v>388</v>
      </c>
      <c r="O11" s="61" t="s">
        <v>253</v>
      </c>
      <c r="T11" s="90" t="s">
        <v>254</v>
      </c>
    </row>
    <row r="12" spans="1:29" ht="18.75" customHeight="1" x14ac:dyDescent="0.3">
      <c r="D12" t="s">
        <v>178</v>
      </c>
      <c r="F12" s="50">
        <v>37257</v>
      </c>
      <c r="G12" s="53">
        <v>72.400000000000006</v>
      </c>
      <c r="H12" s="55">
        <v>3</v>
      </c>
      <c r="I12" s="55" t="b">
        <v>1</v>
      </c>
      <c r="J12" s="55" t="b">
        <v>1</v>
      </c>
      <c r="K12" s="55" t="b">
        <v>0</v>
      </c>
      <c r="L12" s="55" t="b">
        <v>0</v>
      </c>
      <c r="O12" s="54" t="e" cm="1">
        <f t="array" ref="O12:Q29">_xlfn.LAMBDA(_xlpm.values,_xlop.nLags,_xlop.fillWithNA,_xlop.allLags,_xlop.descending,_xlop.headerFirstRow,
_xlfn.LET(
_xlpm.nLags, IF(_xlfn.ISOMITTED(_xlpm.nLags), 1, _xlpm.nLags),
_xlpm.fillWithNA, IF(_xlfn.ISOMITTED(_xlpm.fillWithNA), TRUE, _xlpm.fillWithNA ),
_xlpm.allLags, IF(_xlfn.ISOMITTED(_xlpm.allLags), FALSE,_xlpm.allLags),
_xlpm.descending, IF(_xlfn.ISOMITTED(_xlpm.descending), FALSE, _xlpm.descending),
_xlpm.headerFirstRow, IF(_xlfn.ISOMITTED(_xlpm.headerFirstRow), FALSE, _xlpm.headerFirstRow),
_xlpm.nCols, COLUMNS(_xlpm.values),
_xlpm.headers,IF(_xlpm.headerFirstRow, REPMAT(SLICE(_xlpm.values,1,1) &amp; "_LAG", 1, _xlpm.nLags * LARGE(1*_xlpm.allLags, 1)) &amp; FLIPLR(REPMAT(_xlfn.SEQUENCE(1,_xlpm.nLags * LARGE(1*_xlpm.allLags, 1)),1,_xlpm.nCols, TRUE), _xlpm.nCols), FALSE),
_xlpm.values,IF(_xlpm.headerFirstRow,SLICE(_xlpm.values,2,-1),_xlpm.values),
_xlpm.resultMatrix,
IF( OR( _xlpm.allLags = FALSE, _xlpm.nLags = 1),
IF(_xlpm.fillWithNA,
VERTCAT( NA()*ONES(_xlpm.nLags,_xlpm.nCols), SLICE(_xlpm.values,1,-_xlpm.nLags-1) ),
SLICE(_xlpm.values,1,-_xlpm.nLags-1)
),
IF(_xlpm.fillWithNA,
HORZCAT( VERTCAT( NA()*ONES(_xlpm.nLags,_xlpm.nCols), SLICE(_xlpm.values,1,-_xlpm.nLags-1) ), LAG(_xlpm.values,_xlpm.nLags-1,_xlpm.fillWithNA,_xlpm.allLags,TRUE) ),
HORZCAT(SLICE(_xlpm.values,1,-_xlpm.nLags-1), LAG(_xlpm.values,_xlpm.nLags-1,_xlpm.fillWithNA,_xlpm.allLags,TRUE) )
)),
_xlpm.resultMatrixHeaders, IF(_xlpm.headerFirstRow,VERTCAT(_xlpm.headers, _xlpm.resultMatrix), _xlpm.resultMatrix),
IF(_xlpm.descending,_xlpm.resultMatrixHeaders,FLIPLR(_xlpm.resultMatrixHeaders, _xlpm.nCols))
))($G$12:$G$29,$H$12,$I$12,$J$12,$K$12,$L$12)</f>
        <v>#N/A</v>
      </c>
      <c r="P12" s="54" t="e">
        <v>#N/A</v>
      </c>
      <c r="Q12" s="54" t="e">
        <v>#N/A</v>
      </c>
      <c r="R12" s="54"/>
      <c r="S12" s="54"/>
      <c r="T12" s="54" t="e" cm="1">
        <f t="array" ref="T12:V29">LAG($G$12:$G$29,$H$12,$I$12,$J$12)</f>
        <v>#N/A</v>
      </c>
      <c r="U12" s="15" t="e">
        <v>#N/A</v>
      </c>
      <c r="V12" s="15" t="e">
        <v>#N/A</v>
      </c>
    </row>
    <row r="13" spans="1:29" x14ac:dyDescent="0.3">
      <c r="D13" t="s">
        <v>179</v>
      </c>
      <c r="F13" s="50">
        <v>37288</v>
      </c>
      <c r="G13" s="53">
        <v>69.7</v>
      </c>
      <c r="O13" s="54">
        <v>72.400000000000006</v>
      </c>
      <c r="P13" s="54" t="e">
        <v>#N/A</v>
      </c>
      <c r="Q13" s="54" t="e">
        <v>#N/A</v>
      </c>
      <c r="R13" s="54"/>
      <c r="S13" s="54"/>
      <c r="T13" s="54">
        <v>72.400000000000006</v>
      </c>
      <c r="U13" s="15" t="e">
        <v>#N/A</v>
      </c>
      <c r="V13" s="15" t="e">
        <v>#N/A</v>
      </c>
    </row>
    <row r="14" spans="1:29" x14ac:dyDescent="0.3">
      <c r="D14" t="s">
        <v>157</v>
      </c>
      <c r="F14" s="50">
        <v>37316</v>
      </c>
      <c r="G14" s="53">
        <v>77.400000000000006</v>
      </c>
      <c r="O14" s="54">
        <v>69.7</v>
      </c>
      <c r="P14" s="54">
        <v>72.400000000000006</v>
      </c>
      <c r="Q14" s="54" t="e">
        <v>#N/A</v>
      </c>
      <c r="R14" s="54"/>
      <c r="S14" s="54"/>
      <c r="T14" s="54">
        <v>69.7</v>
      </c>
      <c r="U14" s="15">
        <v>72.400000000000006</v>
      </c>
      <c r="V14" s="15" t="e">
        <v>#N/A</v>
      </c>
    </row>
    <row r="15" spans="1:29" x14ac:dyDescent="0.3">
      <c r="D15" s="56"/>
      <c r="F15" s="50">
        <v>37347</v>
      </c>
      <c r="G15" s="53">
        <v>79.599999999999994</v>
      </c>
      <c r="O15" s="54">
        <v>77.400000000000006</v>
      </c>
      <c r="P15" s="54">
        <v>69.7</v>
      </c>
      <c r="Q15" s="54">
        <v>72.400000000000006</v>
      </c>
      <c r="R15" s="54"/>
      <c r="S15" s="54"/>
      <c r="T15" s="54">
        <v>77.400000000000006</v>
      </c>
      <c r="U15" s="15">
        <v>69.7</v>
      </c>
      <c r="V15" s="15">
        <v>72.400000000000006</v>
      </c>
    </row>
    <row r="16" spans="1:29" x14ac:dyDescent="0.3">
      <c r="D16" s="56"/>
      <c r="F16" s="50">
        <v>37377</v>
      </c>
      <c r="G16" s="53">
        <v>80.400000000000006</v>
      </c>
      <c r="O16" s="54">
        <v>79.599999999999994</v>
      </c>
      <c r="P16" s="54">
        <v>77.400000000000006</v>
      </c>
      <c r="Q16" s="54">
        <v>69.7</v>
      </c>
      <c r="R16" s="54"/>
      <c r="S16" s="54"/>
      <c r="T16" s="54">
        <v>79.599999999999994</v>
      </c>
      <c r="U16" s="15">
        <v>77.400000000000006</v>
      </c>
      <c r="V16" s="15">
        <v>69.7</v>
      </c>
    </row>
    <row r="17" spans="4:22" x14ac:dyDescent="0.3">
      <c r="D17" s="47"/>
      <c r="F17" s="50">
        <v>37408</v>
      </c>
      <c r="G17" s="53">
        <v>77.5</v>
      </c>
      <c r="O17" s="54">
        <v>80.400000000000006</v>
      </c>
      <c r="P17" s="54">
        <v>79.599999999999994</v>
      </c>
      <c r="Q17" s="54">
        <v>77.400000000000006</v>
      </c>
      <c r="R17" s="54"/>
      <c r="S17" s="54"/>
      <c r="T17" s="54">
        <v>80.400000000000006</v>
      </c>
      <c r="U17" s="15">
        <v>79.599999999999994</v>
      </c>
      <c r="V17" s="15">
        <v>77.400000000000006</v>
      </c>
    </row>
    <row r="18" spans="4:22" x14ac:dyDescent="0.3">
      <c r="F18" s="50">
        <v>37438</v>
      </c>
      <c r="G18" s="53">
        <v>83.3</v>
      </c>
      <c r="O18" s="54">
        <v>77.5</v>
      </c>
      <c r="P18" s="54">
        <v>80.400000000000006</v>
      </c>
      <c r="Q18" s="54">
        <v>79.599999999999994</v>
      </c>
      <c r="R18" s="54"/>
      <c r="S18" s="54"/>
      <c r="T18" s="54">
        <v>77.5</v>
      </c>
      <c r="U18" s="15">
        <v>80.400000000000006</v>
      </c>
      <c r="V18" s="15">
        <v>79.599999999999994</v>
      </c>
    </row>
    <row r="19" spans="4:22" x14ac:dyDescent="0.3">
      <c r="F19" s="50">
        <v>37469</v>
      </c>
      <c r="G19" s="53">
        <v>83.6</v>
      </c>
      <c r="O19" s="54">
        <v>83.3</v>
      </c>
      <c r="P19" s="54">
        <v>77.5</v>
      </c>
      <c r="Q19" s="54">
        <v>80.400000000000006</v>
      </c>
      <c r="R19" s="54"/>
      <c r="S19" s="54"/>
      <c r="T19" s="54">
        <v>83.3</v>
      </c>
      <c r="U19" s="15">
        <v>77.5</v>
      </c>
      <c r="V19" s="15">
        <v>80.400000000000006</v>
      </c>
    </row>
    <row r="20" spans="4:22" x14ac:dyDescent="0.3">
      <c r="F20" s="50">
        <v>37500</v>
      </c>
      <c r="G20" s="53">
        <v>82.1</v>
      </c>
      <c r="O20" s="54">
        <v>83.6</v>
      </c>
      <c r="P20" s="54">
        <v>83.3</v>
      </c>
      <c r="Q20" s="54">
        <v>77.5</v>
      </c>
      <c r="R20" s="54"/>
      <c r="S20" s="54"/>
      <c r="T20" s="54">
        <v>83.6</v>
      </c>
      <c r="U20" s="15">
        <v>83.3</v>
      </c>
      <c r="V20" s="15">
        <v>77.5</v>
      </c>
    </row>
    <row r="21" spans="4:22" x14ac:dyDescent="0.3">
      <c r="F21" s="50">
        <v>37530</v>
      </c>
      <c r="G21" s="53">
        <v>89.2</v>
      </c>
      <c r="O21" s="54">
        <v>82.1</v>
      </c>
      <c r="P21" s="54">
        <v>83.6</v>
      </c>
      <c r="Q21" s="54">
        <v>83.3</v>
      </c>
      <c r="R21" s="54"/>
      <c r="S21" s="54"/>
      <c r="T21" s="54">
        <v>82.1</v>
      </c>
      <c r="U21" s="15">
        <v>83.6</v>
      </c>
      <c r="V21" s="15">
        <v>83.3</v>
      </c>
    </row>
    <row r="22" spans="4:22" x14ac:dyDescent="0.3">
      <c r="F22" s="50">
        <v>37561</v>
      </c>
      <c r="G22" s="53">
        <v>83.9</v>
      </c>
      <c r="O22" s="54">
        <v>89.2</v>
      </c>
      <c r="P22" s="54">
        <v>82.1</v>
      </c>
      <c r="Q22" s="54">
        <v>83.6</v>
      </c>
      <c r="R22" s="54"/>
      <c r="S22" s="54"/>
      <c r="T22" s="54">
        <v>89.2</v>
      </c>
      <c r="U22" s="15">
        <v>82.1</v>
      </c>
      <c r="V22" s="15">
        <v>83.6</v>
      </c>
    </row>
    <row r="23" spans="4:22" x14ac:dyDescent="0.3">
      <c r="F23" s="50">
        <v>37591</v>
      </c>
      <c r="G23" s="53">
        <v>74.599999999999994</v>
      </c>
      <c r="O23" s="54">
        <v>83.9</v>
      </c>
      <c r="P23" s="54">
        <v>89.2</v>
      </c>
      <c r="Q23" s="54">
        <v>82.1</v>
      </c>
      <c r="R23" s="54"/>
      <c r="S23" s="54"/>
      <c r="T23" s="54">
        <v>83.9</v>
      </c>
      <c r="U23" s="15">
        <v>89.2</v>
      </c>
      <c r="V23" s="15">
        <v>82.1</v>
      </c>
    </row>
    <row r="24" spans="4:22" x14ac:dyDescent="0.3">
      <c r="F24" s="50">
        <v>37622</v>
      </c>
      <c r="G24" s="53">
        <v>74</v>
      </c>
      <c r="O24" s="54">
        <v>74.599999999999994</v>
      </c>
      <c r="P24" s="54">
        <v>83.9</v>
      </c>
      <c r="Q24" s="54">
        <v>89.2</v>
      </c>
      <c r="R24" s="54"/>
      <c r="S24" s="54"/>
      <c r="T24" s="54">
        <v>74.599999999999994</v>
      </c>
      <c r="U24" s="15">
        <v>83.9</v>
      </c>
      <c r="V24" s="15">
        <v>89.2</v>
      </c>
    </row>
    <row r="25" spans="4:22" x14ac:dyDescent="0.3">
      <c r="F25" s="50">
        <v>37653</v>
      </c>
      <c r="G25" s="53">
        <v>71.8</v>
      </c>
      <c r="O25" s="54">
        <v>74</v>
      </c>
      <c r="P25" s="54">
        <v>74.599999999999994</v>
      </c>
      <c r="Q25" s="54">
        <v>83.9</v>
      </c>
      <c r="R25" s="54"/>
      <c r="S25" s="54"/>
      <c r="T25" s="54">
        <v>74</v>
      </c>
      <c r="U25" s="15">
        <v>74.599999999999994</v>
      </c>
      <c r="V25" s="15">
        <v>83.9</v>
      </c>
    </row>
    <row r="26" spans="4:22" x14ac:dyDescent="0.3">
      <c r="F26" s="50">
        <v>37681</v>
      </c>
      <c r="G26" s="53">
        <v>77.400000000000006</v>
      </c>
      <c r="O26" s="54">
        <v>71.8</v>
      </c>
      <c r="P26" s="54">
        <v>74</v>
      </c>
      <c r="Q26" s="54">
        <v>74.599999999999994</v>
      </c>
      <c r="R26" s="54"/>
      <c r="S26" s="54"/>
      <c r="T26" s="54">
        <v>71.8</v>
      </c>
      <c r="U26" s="15">
        <v>74</v>
      </c>
      <c r="V26" s="15">
        <v>74.599999999999994</v>
      </c>
    </row>
    <row r="27" spans="4:22" x14ac:dyDescent="0.3">
      <c r="F27" s="50">
        <v>37712</v>
      </c>
      <c r="G27" s="53">
        <v>76.5</v>
      </c>
      <c r="O27" s="54">
        <v>77.400000000000006</v>
      </c>
      <c r="P27" s="54">
        <v>71.8</v>
      </c>
      <c r="Q27" s="54">
        <v>74</v>
      </c>
      <c r="R27" s="54"/>
      <c r="S27" s="54"/>
      <c r="T27" s="54">
        <v>77.400000000000006</v>
      </c>
      <c r="U27" s="15">
        <v>71.8</v>
      </c>
      <c r="V27" s="15">
        <v>74</v>
      </c>
    </row>
    <row r="28" spans="4:22" x14ac:dyDescent="0.3">
      <c r="F28" s="50">
        <v>37742</v>
      </c>
      <c r="G28" s="53">
        <v>79.7</v>
      </c>
      <c r="O28" s="54">
        <v>76.5</v>
      </c>
      <c r="P28" s="54">
        <v>77.400000000000006</v>
      </c>
      <c r="Q28" s="54">
        <v>71.8</v>
      </c>
      <c r="R28" s="54"/>
      <c r="S28" s="54"/>
      <c r="T28" s="54">
        <v>76.5</v>
      </c>
      <c r="U28" s="15">
        <v>77.400000000000006</v>
      </c>
      <c r="V28" s="15">
        <v>71.8</v>
      </c>
    </row>
    <row r="29" spans="4:22" x14ac:dyDescent="0.3">
      <c r="F29" s="50">
        <v>37773</v>
      </c>
      <c r="G29" s="53">
        <v>76.3</v>
      </c>
      <c r="O29" s="54">
        <v>79.7</v>
      </c>
      <c r="P29" s="54">
        <v>76.5</v>
      </c>
      <c r="Q29" s="54">
        <v>77.400000000000006</v>
      </c>
      <c r="R29" s="54"/>
      <c r="S29" s="54"/>
      <c r="T29" s="54">
        <v>79.7</v>
      </c>
      <c r="U29" s="15">
        <v>76.5</v>
      </c>
      <c r="V29" s="15">
        <v>77.400000000000006</v>
      </c>
    </row>
    <row r="30" spans="4:22" x14ac:dyDescent="0.3">
      <c r="O30" s="54"/>
      <c r="P30" s="54"/>
      <c r="Q30" s="54"/>
      <c r="R30" s="54"/>
      <c r="S30" s="54"/>
      <c r="T30" s="54"/>
    </row>
    <row r="31" spans="4:22" x14ac:dyDescent="0.3">
      <c r="O31" s="54"/>
      <c r="P31" s="54"/>
      <c r="Q31" s="54"/>
      <c r="R31" s="54"/>
      <c r="S31" s="54"/>
      <c r="T31" s="54"/>
    </row>
    <row r="32" spans="4:22" x14ac:dyDescent="0.3">
      <c r="G32" s="13" t="s">
        <v>167</v>
      </c>
      <c r="H32" s="13" t="s">
        <v>213</v>
      </c>
      <c r="I32" s="13" t="s">
        <v>214</v>
      </c>
      <c r="J32" s="13" t="s">
        <v>230</v>
      </c>
      <c r="K32" s="13" t="s">
        <v>245</v>
      </c>
      <c r="L32" s="13" t="s">
        <v>388</v>
      </c>
      <c r="O32" s="90" t="s">
        <v>254</v>
      </c>
      <c r="T32" s="54"/>
    </row>
    <row r="33" spans="6:20" x14ac:dyDescent="0.3">
      <c r="G33" s="48" t="s">
        <v>389</v>
      </c>
      <c r="H33" s="55">
        <v>3</v>
      </c>
      <c r="I33" s="55" t="b">
        <v>1</v>
      </c>
      <c r="J33" s="55" t="b">
        <v>1</v>
      </c>
      <c r="K33" s="55" t="b">
        <v>0</v>
      </c>
      <c r="L33" s="55" t="b">
        <v>1</v>
      </c>
      <c r="O33" s="54" t="str" cm="1">
        <f t="array" ref="O33:Q51">LAG($G$33:$G$51,$H$33,$I$33,$J$33,$K$33,$L$33)</f>
        <v>IP_LAG1</v>
      </c>
      <c r="P33" s="15" t="str">
        <v>IP_LAG2</v>
      </c>
      <c r="Q33" s="15" t="str">
        <v>IP_LAG3</v>
      </c>
      <c r="R33" s="54"/>
      <c r="S33" s="54"/>
      <c r="T33" s="54"/>
    </row>
    <row r="34" spans="6:20" x14ac:dyDescent="0.3">
      <c r="F34" s="50">
        <v>37257</v>
      </c>
      <c r="G34" s="53">
        <v>72.400000000000006</v>
      </c>
      <c r="O34" s="54" t="e">
        <v>#N/A</v>
      </c>
      <c r="P34" s="15" t="e">
        <v>#N/A</v>
      </c>
      <c r="Q34" s="15" t="e">
        <v>#N/A</v>
      </c>
      <c r="R34" s="54"/>
      <c r="S34" s="54"/>
      <c r="T34" s="54"/>
    </row>
    <row r="35" spans="6:20" x14ac:dyDescent="0.3">
      <c r="F35" s="50">
        <v>37288</v>
      </c>
      <c r="G35" s="53">
        <v>69.7</v>
      </c>
      <c r="O35" s="54">
        <v>72.400000000000006</v>
      </c>
      <c r="P35" s="15" t="e">
        <v>#N/A</v>
      </c>
      <c r="Q35" s="15" t="e">
        <v>#N/A</v>
      </c>
      <c r="R35" s="54"/>
      <c r="S35" s="54"/>
      <c r="T35" s="54"/>
    </row>
    <row r="36" spans="6:20" x14ac:dyDescent="0.3">
      <c r="F36" s="50">
        <v>37316</v>
      </c>
      <c r="G36" s="53">
        <v>77.400000000000006</v>
      </c>
      <c r="O36" s="54">
        <v>69.7</v>
      </c>
      <c r="P36" s="15">
        <v>72.400000000000006</v>
      </c>
      <c r="Q36" s="15" t="e">
        <v>#N/A</v>
      </c>
      <c r="R36" s="54"/>
      <c r="S36" s="54"/>
      <c r="T36" s="54"/>
    </row>
    <row r="37" spans="6:20" x14ac:dyDescent="0.3">
      <c r="F37" s="50">
        <v>37347</v>
      </c>
      <c r="G37" s="53">
        <v>79.599999999999994</v>
      </c>
      <c r="O37" s="54">
        <v>77.400000000000006</v>
      </c>
      <c r="P37" s="15">
        <v>69.7</v>
      </c>
      <c r="Q37" s="15">
        <v>72.400000000000006</v>
      </c>
      <c r="R37" s="54"/>
      <c r="S37" s="54"/>
      <c r="T37" s="54"/>
    </row>
    <row r="38" spans="6:20" x14ac:dyDescent="0.3">
      <c r="F38" s="50">
        <v>37377</v>
      </c>
      <c r="G38" s="53">
        <v>80.400000000000006</v>
      </c>
      <c r="O38" s="54">
        <v>79.599999999999994</v>
      </c>
      <c r="P38" s="15">
        <v>77.400000000000006</v>
      </c>
      <c r="Q38" s="15">
        <v>69.7</v>
      </c>
      <c r="R38" s="54"/>
      <c r="S38" s="54"/>
      <c r="T38" s="54"/>
    </row>
    <row r="39" spans="6:20" x14ac:dyDescent="0.3">
      <c r="F39" s="50">
        <v>37408</v>
      </c>
      <c r="G39" s="53">
        <v>77.5</v>
      </c>
      <c r="O39" s="54">
        <v>80.400000000000006</v>
      </c>
      <c r="P39" s="15">
        <v>79.599999999999994</v>
      </c>
      <c r="Q39" s="15">
        <v>77.400000000000006</v>
      </c>
      <c r="R39" s="54"/>
      <c r="S39" s="54"/>
      <c r="T39" s="54"/>
    </row>
    <row r="40" spans="6:20" x14ac:dyDescent="0.3">
      <c r="F40" s="50">
        <v>37438</v>
      </c>
      <c r="G40" s="53">
        <v>83.3</v>
      </c>
      <c r="O40" s="54">
        <v>77.5</v>
      </c>
      <c r="P40" s="15">
        <v>80.400000000000006</v>
      </c>
      <c r="Q40" s="15">
        <v>79.599999999999994</v>
      </c>
      <c r="R40" s="54"/>
      <c r="S40" s="54"/>
      <c r="T40" s="54"/>
    </row>
    <row r="41" spans="6:20" x14ac:dyDescent="0.3">
      <c r="F41" s="50">
        <v>37469</v>
      </c>
      <c r="G41" s="53">
        <v>83.6</v>
      </c>
      <c r="O41" s="54">
        <v>83.3</v>
      </c>
      <c r="P41" s="15">
        <v>77.5</v>
      </c>
      <c r="Q41" s="15">
        <v>80.400000000000006</v>
      </c>
      <c r="R41" s="54"/>
      <c r="S41" s="54"/>
      <c r="T41" s="54"/>
    </row>
    <row r="42" spans="6:20" x14ac:dyDescent="0.3">
      <c r="F42" s="50">
        <v>37500</v>
      </c>
      <c r="G42" s="53">
        <v>82.1</v>
      </c>
      <c r="O42" s="54">
        <v>83.6</v>
      </c>
      <c r="P42" s="15">
        <v>83.3</v>
      </c>
      <c r="Q42" s="15">
        <v>77.5</v>
      </c>
      <c r="R42" s="54"/>
      <c r="S42" s="54"/>
      <c r="T42" s="54"/>
    </row>
    <row r="43" spans="6:20" x14ac:dyDescent="0.3">
      <c r="F43" s="50">
        <v>37530</v>
      </c>
      <c r="G43" s="53">
        <v>89.2</v>
      </c>
      <c r="O43" s="54">
        <v>82.1</v>
      </c>
      <c r="P43" s="15">
        <v>83.6</v>
      </c>
      <c r="Q43" s="15">
        <v>83.3</v>
      </c>
      <c r="R43" s="54"/>
      <c r="S43" s="54"/>
      <c r="T43" s="54"/>
    </row>
    <row r="44" spans="6:20" x14ac:dyDescent="0.3">
      <c r="F44" s="50">
        <v>37561</v>
      </c>
      <c r="G44" s="53">
        <v>83.9</v>
      </c>
      <c r="O44" s="54">
        <v>89.2</v>
      </c>
      <c r="P44" s="15">
        <v>82.1</v>
      </c>
      <c r="Q44" s="15">
        <v>83.6</v>
      </c>
      <c r="R44" s="54"/>
      <c r="S44" s="54"/>
      <c r="T44" s="54"/>
    </row>
    <row r="45" spans="6:20" x14ac:dyDescent="0.3">
      <c r="F45" s="50">
        <v>37591</v>
      </c>
      <c r="G45" s="53">
        <v>74.599999999999994</v>
      </c>
      <c r="O45" s="54">
        <v>83.9</v>
      </c>
      <c r="P45" s="15">
        <v>89.2</v>
      </c>
      <c r="Q45" s="15">
        <v>82.1</v>
      </c>
      <c r="R45" s="54"/>
      <c r="S45" s="54"/>
      <c r="T45" s="54"/>
    </row>
    <row r="46" spans="6:20" x14ac:dyDescent="0.3">
      <c r="F46" s="50">
        <v>37622</v>
      </c>
      <c r="G46" s="53">
        <v>74</v>
      </c>
      <c r="O46" s="54">
        <v>74.599999999999994</v>
      </c>
      <c r="P46" s="15">
        <v>83.9</v>
      </c>
      <c r="Q46" s="15">
        <v>89.2</v>
      </c>
      <c r="R46" s="54"/>
      <c r="S46" s="54"/>
      <c r="T46" s="54"/>
    </row>
    <row r="47" spans="6:20" x14ac:dyDescent="0.3">
      <c r="F47" s="50">
        <v>37653</v>
      </c>
      <c r="G47" s="53">
        <v>71.8</v>
      </c>
      <c r="O47" s="54">
        <v>74</v>
      </c>
      <c r="P47" s="15">
        <v>74.599999999999994</v>
      </c>
      <c r="Q47" s="15">
        <v>83.9</v>
      </c>
      <c r="R47" s="54"/>
      <c r="S47" s="54"/>
      <c r="T47" s="54"/>
    </row>
    <row r="48" spans="6:20" x14ac:dyDescent="0.3">
      <c r="F48" s="50">
        <v>37681</v>
      </c>
      <c r="G48" s="53">
        <v>77.400000000000006</v>
      </c>
      <c r="O48" s="54">
        <v>71.8</v>
      </c>
      <c r="P48" s="15">
        <v>74</v>
      </c>
      <c r="Q48" s="15">
        <v>74.599999999999994</v>
      </c>
      <c r="R48" s="54"/>
      <c r="S48" s="54"/>
      <c r="T48" s="54"/>
    </row>
    <row r="49" spans="6:20" x14ac:dyDescent="0.3">
      <c r="F49" s="50">
        <v>37712</v>
      </c>
      <c r="G49" s="53">
        <v>76.5</v>
      </c>
      <c r="O49" s="54">
        <v>77.400000000000006</v>
      </c>
      <c r="P49" s="15">
        <v>71.8</v>
      </c>
      <c r="Q49" s="15">
        <v>74</v>
      </c>
      <c r="R49" s="54"/>
      <c r="S49" s="54"/>
      <c r="T49" s="54"/>
    </row>
    <row r="50" spans="6:20" x14ac:dyDescent="0.3">
      <c r="F50" s="50">
        <v>37742</v>
      </c>
      <c r="G50" s="53">
        <v>79.7</v>
      </c>
      <c r="O50" s="54">
        <v>76.5</v>
      </c>
      <c r="P50" s="15">
        <v>77.400000000000006</v>
      </c>
      <c r="Q50" s="15">
        <v>71.8</v>
      </c>
      <c r="R50" s="54"/>
      <c r="S50" s="54"/>
      <c r="T50" s="54"/>
    </row>
    <row r="51" spans="6:20" x14ac:dyDescent="0.3">
      <c r="F51" s="50">
        <v>37773</v>
      </c>
      <c r="G51" s="53">
        <v>76.3</v>
      </c>
      <c r="O51" s="54">
        <v>79.7</v>
      </c>
      <c r="P51" s="15">
        <v>76.5</v>
      </c>
      <c r="Q51" s="15">
        <v>77.400000000000006</v>
      </c>
      <c r="R51" s="54"/>
      <c r="S51" s="54"/>
      <c r="T51" s="54"/>
    </row>
    <row r="52" spans="6:20" x14ac:dyDescent="0.3">
      <c r="O52" s="54"/>
      <c r="P52" s="54"/>
      <c r="Q52" s="54"/>
      <c r="R52" s="54"/>
      <c r="S52" s="54"/>
      <c r="T52" s="54"/>
    </row>
    <row r="53" spans="6:20" x14ac:dyDescent="0.3">
      <c r="O53" s="54"/>
      <c r="P53" s="54"/>
      <c r="Q53" s="54"/>
      <c r="R53" s="54"/>
      <c r="S53" s="54"/>
      <c r="T53" s="54"/>
    </row>
    <row r="54" spans="6:20" x14ac:dyDescent="0.3">
      <c r="G54" s="132" t="s">
        <v>167</v>
      </c>
      <c r="H54" s="133"/>
      <c r="I54" s="13" t="s">
        <v>213</v>
      </c>
      <c r="J54" s="13" t="s">
        <v>214</v>
      </c>
      <c r="K54" s="13" t="s">
        <v>230</v>
      </c>
      <c r="L54" s="13" t="s">
        <v>245</v>
      </c>
      <c r="M54" s="13" t="s">
        <v>388</v>
      </c>
      <c r="O54" s="90" t="s">
        <v>254</v>
      </c>
    </row>
    <row r="55" spans="6:20" x14ac:dyDescent="0.3">
      <c r="F55" s="50">
        <v>37257</v>
      </c>
      <c r="G55" s="53">
        <v>72.400000000000006</v>
      </c>
      <c r="H55" s="53">
        <v>53</v>
      </c>
      <c r="I55" s="55">
        <v>3</v>
      </c>
      <c r="J55" s="55" t="b">
        <v>1</v>
      </c>
      <c r="K55" s="55" t="b">
        <v>1</v>
      </c>
      <c r="L55" s="55" t="b">
        <v>0</v>
      </c>
      <c r="M55" s="55" t="b">
        <v>0</v>
      </c>
      <c r="O55" s="54" t="e" cm="1">
        <f t="array" ref="O55:T72">LAG($G$55:$H$72,$I$55,$J$55,$K$55,$L$55,$M$55)</f>
        <v>#N/A</v>
      </c>
      <c r="P55" s="54" t="e">
        <v>#N/A</v>
      </c>
      <c r="Q55" s="54" t="e">
        <v>#N/A</v>
      </c>
      <c r="R55" s="54" t="e">
        <v>#N/A</v>
      </c>
      <c r="S55" s="54" t="e">
        <v>#N/A</v>
      </c>
      <c r="T55" s="15" t="e">
        <v>#N/A</v>
      </c>
    </row>
    <row r="56" spans="6:20" x14ac:dyDescent="0.3">
      <c r="F56" s="50">
        <v>37288</v>
      </c>
      <c r="G56" s="53">
        <v>69.7</v>
      </c>
      <c r="H56" s="53">
        <v>34.299999999999997</v>
      </c>
      <c r="O56" s="54">
        <v>72.400000000000006</v>
      </c>
      <c r="P56" s="54">
        <v>53</v>
      </c>
      <c r="Q56" s="54" t="e">
        <v>#N/A</v>
      </c>
      <c r="R56" s="54" t="e">
        <v>#N/A</v>
      </c>
      <c r="S56" s="54" t="e">
        <v>#N/A</v>
      </c>
      <c r="T56" s="15" t="e">
        <v>#N/A</v>
      </c>
    </row>
    <row r="57" spans="6:20" x14ac:dyDescent="0.3">
      <c r="F57" s="50">
        <v>37316</v>
      </c>
      <c r="G57" s="53">
        <v>77.400000000000006</v>
      </c>
      <c r="H57" s="53">
        <v>42.3</v>
      </c>
      <c r="O57" s="54">
        <v>69.7</v>
      </c>
      <c r="P57" s="54">
        <v>34.299999999999997</v>
      </c>
      <c r="Q57" s="54">
        <v>72.400000000000006</v>
      </c>
      <c r="R57" s="54">
        <v>53</v>
      </c>
      <c r="S57" s="54" t="e">
        <v>#N/A</v>
      </c>
      <c r="T57" s="15" t="e">
        <v>#N/A</v>
      </c>
    </row>
    <row r="58" spans="6:20" x14ac:dyDescent="0.3">
      <c r="F58" s="50">
        <v>37347</v>
      </c>
      <c r="G58" s="53">
        <v>79.599999999999994</v>
      </c>
      <c r="H58" s="53">
        <v>54.3</v>
      </c>
      <c r="O58" s="54">
        <v>77.400000000000006</v>
      </c>
      <c r="P58" s="54">
        <v>42.3</v>
      </c>
      <c r="Q58" s="54">
        <v>69.7</v>
      </c>
      <c r="R58" s="54">
        <v>34.299999999999997</v>
      </c>
      <c r="S58" s="54">
        <v>72.400000000000006</v>
      </c>
      <c r="T58" s="15">
        <v>53</v>
      </c>
    </row>
    <row r="59" spans="6:20" x14ac:dyDescent="0.3">
      <c r="F59" s="50">
        <v>37377</v>
      </c>
      <c r="G59" s="53">
        <v>80.400000000000006</v>
      </c>
      <c r="H59" s="53">
        <v>54.9</v>
      </c>
      <c r="O59" s="54">
        <v>79.599999999999994</v>
      </c>
      <c r="P59" s="54">
        <v>54.3</v>
      </c>
      <c r="Q59" s="54">
        <v>77.400000000000006</v>
      </c>
      <c r="R59" s="54">
        <v>42.3</v>
      </c>
      <c r="S59" s="54">
        <v>69.7</v>
      </c>
      <c r="T59" s="15">
        <v>34.299999999999997</v>
      </c>
    </row>
    <row r="60" spans="6:20" x14ac:dyDescent="0.3">
      <c r="F60" s="50">
        <v>37408</v>
      </c>
      <c r="G60" s="53">
        <v>77.5</v>
      </c>
      <c r="H60" s="53">
        <v>43</v>
      </c>
      <c r="O60" s="54">
        <v>80.400000000000006</v>
      </c>
      <c r="P60" s="54">
        <v>54.9</v>
      </c>
      <c r="Q60" s="54">
        <v>79.599999999999994</v>
      </c>
      <c r="R60" s="54">
        <v>54.3</v>
      </c>
      <c r="S60" s="54">
        <v>77.400000000000006</v>
      </c>
      <c r="T60" s="15">
        <v>42.3</v>
      </c>
    </row>
    <row r="61" spans="6:20" x14ac:dyDescent="0.3">
      <c r="F61" s="50">
        <v>37438</v>
      </c>
      <c r="G61" s="53">
        <v>83.3</v>
      </c>
      <c r="H61" s="53">
        <v>43.7</v>
      </c>
      <c r="O61" s="54">
        <v>77.5</v>
      </c>
      <c r="P61" s="54">
        <v>43</v>
      </c>
      <c r="Q61" s="54">
        <v>80.400000000000006</v>
      </c>
      <c r="R61" s="54">
        <v>54.9</v>
      </c>
      <c r="S61" s="54">
        <v>79.599999999999994</v>
      </c>
      <c r="T61" s="15">
        <v>54.3</v>
      </c>
    </row>
    <row r="62" spans="6:20" x14ac:dyDescent="0.3">
      <c r="F62" s="50">
        <v>37469</v>
      </c>
      <c r="G62" s="53">
        <v>83.6</v>
      </c>
      <c r="H62" s="53">
        <v>26.9</v>
      </c>
      <c r="O62" s="54">
        <v>83.3</v>
      </c>
      <c r="P62" s="54">
        <v>43.7</v>
      </c>
      <c r="Q62" s="54">
        <v>77.5</v>
      </c>
      <c r="R62" s="54">
        <v>43</v>
      </c>
      <c r="S62" s="54">
        <v>80.400000000000006</v>
      </c>
      <c r="T62" s="15">
        <v>54.9</v>
      </c>
    </row>
    <row r="63" spans="6:20" x14ac:dyDescent="0.3">
      <c r="F63" s="50">
        <v>37500</v>
      </c>
      <c r="G63" s="53">
        <v>82.1</v>
      </c>
      <c r="H63" s="53">
        <v>35.700000000000003</v>
      </c>
      <c r="O63" s="54">
        <v>83.6</v>
      </c>
      <c r="P63" s="54">
        <v>26.9</v>
      </c>
      <c r="Q63" s="54">
        <v>83.3</v>
      </c>
      <c r="R63" s="54">
        <v>43.7</v>
      </c>
      <c r="S63" s="54">
        <v>77.5</v>
      </c>
      <c r="T63" s="15">
        <v>43</v>
      </c>
    </row>
    <row r="64" spans="6:20" x14ac:dyDescent="0.3">
      <c r="F64" s="50">
        <v>37530</v>
      </c>
      <c r="G64" s="53">
        <v>89.2</v>
      </c>
      <c r="H64" s="53">
        <v>25.8</v>
      </c>
      <c r="O64" s="54">
        <v>82.1</v>
      </c>
      <c r="P64" s="54">
        <v>35.700000000000003</v>
      </c>
      <c r="Q64" s="54">
        <v>83.6</v>
      </c>
      <c r="R64" s="54">
        <v>26.9</v>
      </c>
      <c r="S64" s="54">
        <v>83.3</v>
      </c>
      <c r="T64" s="15">
        <v>43.7</v>
      </c>
    </row>
    <row r="65" spans="6:20" x14ac:dyDescent="0.3">
      <c r="F65" s="50">
        <v>37561</v>
      </c>
      <c r="G65" s="53">
        <v>83.9</v>
      </c>
      <c r="H65" s="53">
        <v>74</v>
      </c>
      <c r="O65" s="54">
        <v>89.2</v>
      </c>
      <c r="P65" s="54">
        <v>25.8</v>
      </c>
      <c r="Q65" s="54">
        <v>82.1</v>
      </c>
      <c r="R65" s="54">
        <v>35.700000000000003</v>
      </c>
      <c r="S65" s="54">
        <v>83.6</v>
      </c>
      <c r="T65" s="15">
        <v>26.9</v>
      </c>
    </row>
    <row r="66" spans="6:20" x14ac:dyDescent="0.3">
      <c r="F66" s="50">
        <v>37591</v>
      </c>
      <c r="G66" s="53">
        <v>74.599999999999994</v>
      </c>
      <c r="H66" s="53">
        <v>36.6</v>
      </c>
      <c r="O66" s="54">
        <v>83.9</v>
      </c>
      <c r="P66" s="54">
        <v>74</v>
      </c>
      <c r="Q66" s="54">
        <v>89.2</v>
      </c>
      <c r="R66" s="54">
        <v>25.8</v>
      </c>
      <c r="S66" s="54">
        <v>82.1</v>
      </c>
      <c r="T66" s="15">
        <v>35.700000000000003</v>
      </c>
    </row>
    <row r="67" spans="6:20" x14ac:dyDescent="0.3">
      <c r="F67" s="50">
        <v>37622</v>
      </c>
      <c r="G67" s="53">
        <v>74</v>
      </c>
      <c r="H67" s="53">
        <v>64.7</v>
      </c>
      <c r="O67" s="54">
        <v>74.599999999999994</v>
      </c>
      <c r="P67" s="54">
        <v>36.6</v>
      </c>
      <c r="Q67" s="54">
        <v>83.9</v>
      </c>
      <c r="R67" s="54">
        <v>74</v>
      </c>
      <c r="S67" s="54">
        <v>89.2</v>
      </c>
      <c r="T67" s="15">
        <v>25.8</v>
      </c>
    </row>
    <row r="68" spans="6:20" x14ac:dyDescent="0.3">
      <c r="F68" s="50">
        <v>37653</v>
      </c>
      <c r="G68" s="53">
        <v>71.8</v>
      </c>
      <c r="H68" s="53">
        <v>35.6</v>
      </c>
      <c r="O68" s="54">
        <v>74</v>
      </c>
      <c r="P68" s="54">
        <v>64.7</v>
      </c>
      <c r="Q68" s="54">
        <v>74.599999999999994</v>
      </c>
      <c r="R68" s="54">
        <v>36.6</v>
      </c>
      <c r="S68" s="54">
        <v>83.9</v>
      </c>
      <c r="T68" s="15">
        <v>74</v>
      </c>
    </row>
    <row r="69" spans="6:20" x14ac:dyDescent="0.3">
      <c r="F69" s="50">
        <v>37681</v>
      </c>
      <c r="G69" s="53">
        <v>77.400000000000006</v>
      </c>
      <c r="H69" s="53">
        <v>35.4</v>
      </c>
      <c r="O69" s="54">
        <v>71.8</v>
      </c>
      <c r="P69" s="54">
        <v>35.6</v>
      </c>
      <c r="Q69" s="54">
        <v>74</v>
      </c>
      <c r="R69" s="54">
        <v>64.7</v>
      </c>
      <c r="S69" s="54">
        <v>74.599999999999994</v>
      </c>
      <c r="T69" s="15">
        <v>36.6</v>
      </c>
    </row>
    <row r="70" spans="6:20" x14ac:dyDescent="0.3">
      <c r="F70" s="50">
        <v>37712</v>
      </c>
      <c r="G70" s="53">
        <v>76.5</v>
      </c>
      <c r="H70" s="53">
        <v>87.9</v>
      </c>
      <c r="O70" s="54">
        <v>77.400000000000006</v>
      </c>
      <c r="P70" s="54">
        <v>35.4</v>
      </c>
      <c r="Q70" s="54">
        <v>71.8</v>
      </c>
      <c r="R70" s="54">
        <v>35.6</v>
      </c>
      <c r="S70" s="54">
        <v>74</v>
      </c>
      <c r="T70" s="15">
        <v>64.7</v>
      </c>
    </row>
    <row r="71" spans="6:20" x14ac:dyDescent="0.3">
      <c r="F71" s="50">
        <v>37742</v>
      </c>
      <c r="G71" s="53">
        <v>79.7</v>
      </c>
      <c r="H71" s="53">
        <v>43.6</v>
      </c>
      <c r="O71" s="54">
        <v>76.5</v>
      </c>
      <c r="P71" s="54">
        <v>87.9</v>
      </c>
      <c r="Q71" s="54">
        <v>77.400000000000006</v>
      </c>
      <c r="R71" s="54">
        <v>35.4</v>
      </c>
      <c r="S71" s="54">
        <v>71.8</v>
      </c>
      <c r="T71" s="15">
        <v>35.6</v>
      </c>
    </row>
    <row r="72" spans="6:20" x14ac:dyDescent="0.3">
      <c r="F72" s="50">
        <v>37773</v>
      </c>
      <c r="G72" s="53">
        <v>76.3</v>
      </c>
      <c r="H72" s="53">
        <v>34.5</v>
      </c>
      <c r="O72" s="54">
        <v>79.7</v>
      </c>
      <c r="P72" s="54">
        <v>43.6</v>
      </c>
      <c r="Q72" s="54">
        <v>76.5</v>
      </c>
      <c r="R72" s="54">
        <v>87.9</v>
      </c>
      <c r="S72" s="54">
        <v>77.400000000000006</v>
      </c>
      <c r="T72" s="15">
        <v>35.4</v>
      </c>
    </row>
    <row r="73" spans="6:20" x14ac:dyDescent="0.3">
      <c r="O73" s="54"/>
      <c r="P73" s="54"/>
      <c r="Q73" s="54"/>
      <c r="R73" s="54"/>
      <c r="S73" s="54"/>
      <c r="T73" s="54"/>
    </row>
    <row r="74" spans="6:20" x14ac:dyDescent="0.3">
      <c r="O74" s="54"/>
      <c r="P74" s="54"/>
      <c r="Q74" s="54"/>
      <c r="R74" s="54"/>
      <c r="S74" s="54"/>
      <c r="T74" s="54"/>
    </row>
    <row r="75" spans="6:20" x14ac:dyDescent="0.3">
      <c r="G75" s="132" t="s">
        <v>167</v>
      </c>
      <c r="H75" s="133"/>
      <c r="I75" s="13" t="s">
        <v>213</v>
      </c>
      <c r="J75" s="13" t="s">
        <v>214</v>
      </c>
      <c r="K75" s="13" t="s">
        <v>230</v>
      </c>
      <c r="L75" s="13" t="s">
        <v>245</v>
      </c>
      <c r="M75" s="13" t="s">
        <v>388</v>
      </c>
      <c r="O75" s="90" t="s">
        <v>254</v>
      </c>
    </row>
    <row r="76" spans="6:20" x14ac:dyDescent="0.3">
      <c r="F76" s="50"/>
      <c r="G76" s="53" t="s">
        <v>896</v>
      </c>
      <c r="H76" s="53" t="s">
        <v>897</v>
      </c>
      <c r="I76" s="55">
        <v>2</v>
      </c>
      <c r="J76" s="55" t="b">
        <v>1</v>
      </c>
      <c r="K76" s="55" t="b">
        <v>1</v>
      </c>
      <c r="L76" s="55" t="b">
        <v>0</v>
      </c>
      <c r="M76" s="55" t="b">
        <v>1</v>
      </c>
      <c r="O76" s="54" t="str" cm="1">
        <f t="array" ref="O76:R94">LAG($G$76:$H$94,$I$76,$J$76,$K$76,$L$76,$M$76)</f>
        <v>colA_LAG1</v>
      </c>
      <c r="P76" s="54" t="str">
        <v>colB_LAG1</v>
      </c>
      <c r="Q76" s="54" t="str">
        <v>colA_LAG2</v>
      </c>
      <c r="R76" s="54" t="str">
        <v>colB_LAG2</v>
      </c>
      <c r="S76" s="54"/>
    </row>
    <row r="77" spans="6:20" x14ac:dyDescent="0.3">
      <c r="F77" s="50">
        <v>37257</v>
      </c>
      <c r="G77" s="53">
        <v>72.400000000000006</v>
      </c>
      <c r="H77" s="53">
        <v>53</v>
      </c>
      <c r="O77" s="54" t="e">
        <v>#N/A</v>
      </c>
      <c r="P77" s="54" t="e">
        <v>#N/A</v>
      </c>
      <c r="Q77" s="54" t="e">
        <v>#N/A</v>
      </c>
      <c r="R77" s="54" t="e">
        <v>#N/A</v>
      </c>
      <c r="S77" s="54"/>
    </row>
    <row r="78" spans="6:20" x14ac:dyDescent="0.3">
      <c r="F78" s="50">
        <v>37288</v>
      </c>
      <c r="G78" s="53">
        <v>69.7</v>
      </c>
      <c r="H78" s="53">
        <v>34.299999999999997</v>
      </c>
      <c r="O78" s="54">
        <v>72.400000000000006</v>
      </c>
      <c r="P78" s="54">
        <v>53</v>
      </c>
      <c r="Q78" s="54" t="e">
        <v>#N/A</v>
      </c>
      <c r="R78" s="54" t="e">
        <v>#N/A</v>
      </c>
      <c r="S78" s="54"/>
    </row>
    <row r="79" spans="6:20" x14ac:dyDescent="0.3">
      <c r="F79" s="50">
        <v>37316</v>
      </c>
      <c r="G79" s="53">
        <v>77.400000000000006</v>
      </c>
      <c r="H79" s="53">
        <v>42.3</v>
      </c>
      <c r="O79" s="54">
        <v>69.7</v>
      </c>
      <c r="P79" s="54">
        <v>34.299999999999997</v>
      </c>
      <c r="Q79" s="54">
        <v>72.400000000000006</v>
      </c>
      <c r="R79" s="54">
        <v>53</v>
      </c>
      <c r="S79" s="54"/>
    </row>
    <row r="80" spans="6:20" x14ac:dyDescent="0.3">
      <c r="F80" s="50">
        <v>37347</v>
      </c>
      <c r="G80" s="53">
        <v>79.599999999999994</v>
      </c>
      <c r="H80" s="53">
        <v>54.3</v>
      </c>
      <c r="O80" s="54">
        <v>77.400000000000006</v>
      </c>
      <c r="P80" s="54">
        <v>42.3</v>
      </c>
      <c r="Q80" s="54">
        <v>69.7</v>
      </c>
      <c r="R80" s="54">
        <v>34.299999999999997</v>
      </c>
      <c r="S80" s="54"/>
    </row>
    <row r="81" spans="6:20" x14ac:dyDescent="0.3">
      <c r="F81" s="50">
        <v>37377</v>
      </c>
      <c r="G81" s="53">
        <v>80.400000000000006</v>
      </c>
      <c r="H81" s="53">
        <v>54.9</v>
      </c>
      <c r="O81" s="54">
        <v>79.599999999999994</v>
      </c>
      <c r="P81" s="54">
        <v>54.3</v>
      </c>
      <c r="Q81" s="54">
        <v>77.400000000000006</v>
      </c>
      <c r="R81" s="54">
        <v>42.3</v>
      </c>
      <c r="S81" s="54"/>
    </row>
    <row r="82" spans="6:20" x14ac:dyDescent="0.3">
      <c r="F82" s="50">
        <v>37408</v>
      </c>
      <c r="G82" s="53">
        <v>77.5</v>
      </c>
      <c r="H82" s="53">
        <v>43</v>
      </c>
      <c r="O82" s="54">
        <v>80.400000000000006</v>
      </c>
      <c r="P82" s="54">
        <v>54.9</v>
      </c>
      <c r="Q82" s="54">
        <v>79.599999999999994</v>
      </c>
      <c r="R82" s="54">
        <v>54.3</v>
      </c>
      <c r="S82" s="54"/>
    </row>
    <row r="83" spans="6:20" x14ac:dyDescent="0.3">
      <c r="F83" s="50">
        <v>37438</v>
      </c>
      <c r="G83" s="53">
        <v>83.3</v>
      </c>
      <c r="H83" s="53">
        <v>43.7</v>
      </c>
      <c r="O83" s="54">
        <v>77.5</v>
      </c>
      <c r="P83" s="54">
        <v>43</v>
      </c>
      <c r="Q83" s="54">
        <v>80.400000000000006</v>
      </c>
      <c r="R83" s="54">
        <v>54.9</v>
      </c>
      <c r="S83" s="54"/>
    </row>
    <row r="84" spans="6:20" x14ac:dyDescent="0.3">
      <c r="F84" s="50">
        <v>37469</v>
      </c>
      <c r="G84" s="53">
        <v>83.6</v>
      </c>
      <c r="H84" s="53">
        <v>26.9</v>
      </c>
      <c r="O84" s="54">
        <v>83.3</v>
      </c>
      <c r="P84" s="54">
        <v>43.7</v>
      </c>
      <c r="Q84" s="54">
        <v>77.5</v>
      </c>
      <c r="R84" s="54">
        <v>43</v>
      </c>
      <c r="S84" s="54"/>
    </row>
    <row r="85" spans="6:20" x14ac:dyDescent="0.3">
      <c r="F85" s="50">
        <v>37500</v>
      </c>
      <c r="G85" s="53">
        <v>82.1</v>
      </c>
      <c r="H85" s="53">
        <v>35.700000000000003</v>
      </c>
      <c r="O85" s="54">
        <v>83.6</v>
      </c>
      <c r="P85" s="54">
        <v>26.9</v>
      </c>
      <c r="Q85" s="54">
        <v>83.3</v>
      </c>
      <c r="R85" s="54">
        <v>43.7</v>
      </c>
      <c r="S85" s="54"/>
    </row>
    <row r="86" spans="6:20" x14ac:dyDescent="0.3">
      <c r="F86" s="50">
        <v>37530</v>
      </c>
      <c r="G86" s="53">
        <v>89.2</v>
      </c>
      <c r="H86" s="53">
        <v>25.8</v>
      </c>
      <c r="O86" s="54">
        <v>82.1</v>
      </c>
      <c r="P86" s="54">
        <v>35.700000000000003</v>
      </c>
      <c r="Q86" s="54">
        <v>83.6</v>
      </c>
      <c r="R86" s="54">
        <v>26.9</v>
      </c>
      <c r="S86" s="54"/>
    </row>
    <row r="87" spans="6:20" x14ac:dyDescent="0.3">
      <c r="F87" s="50">
        <v>37561</v>
      </c>
      <c r="G87" s="53">
        <v>83.9</v>
      </c>
      <c r="H87" s="53">
        <v>74</v>
      </c>
      <c r="O87" s="54">
        <v>89.2</v>
      </c>
      <c r="P87" s="54">
        <v>25.8</v>
      </c>
      <c r="Q87" s="54">
        <v>82.1</v>
      </c>
      <c r="R87" s="54">
        <v>35.700000000000003</v>
      </c>
      <c r="S87" s="54"/>
    </row>
    <row r="88" spans="6:20" x14ac:dyDescent="0.3">
      <c r="F88" s="50">
        <v>37591</v>
      </c>
      <c r="G88" s="53">
        <v>74.599999999999994</v>
      </c>
      <c r="H88" s="53">
        <v>36.6</v>
      </c>
      <c r="O88" s="54">
        <v>83.9</v>
      </c>
      <c r="P88" s="54">
        <v>74</v>
      </c>
      <c r="Q88" s="54">
        <v>89.2</v>
      </c>
      <c r="R88" s="54">
        <v>25.8</v>
      </c>
      <c r="S88" s="54"/>
    </row>
    <row r="89" spans="6:20" x14ac:dyDescent="0.3">
      <c r="F89" s="50">
        <v>37622</v>
      </c>
      <c r="G89" s="53">
        <v>74</v>
      </c>
      <c r="H89" s="53">
        <v>64.7</v>
      </c>
      <c r="O89" s="54">
        <v>74.599999999999994</v>
      </c>
      <c r="P89" s="54">
        <v>36.6</v>
      </c>
      <c r="Q89" s="54">
        <v>83.9</v>
      </c>
      <c r="R89" s="54">
        <v>74</v>
      </c>
      <c r="S89" s="54"/>
    </row>
    <row r="90" spans="6:20" x14ac:dyDescent="0.3">
      <c r="F90" s="50">
        <v>37653</v>
      </c>
      <c r="G90" s="53">
        <v>71.8</v>
      </c>
      <c r="H90" s="53">
        <v>35.6</v>
      </c>
      <c r="O90" s="54">
        <v>74</v>
      </c>
      <c r="P90" s="54">
        <v>64.7</v>
      </c>
      <c r="Q90" s="54">
        <v>74.599999999999994</v>
      </c>
      <c r="R90" s="54">
        <v>36.6</v>
      </c>
      <c r="S90" s="54"/>
    </row>
    <row r="91" spans="6:20" x14ac:dyDescent="0.3">
      <c r="F91" s="50">
        <v>37681</v>
      </c>
      <c r="G91" s="53">
        <v>77.400000000000006</v>
      </c>
      <c r="H91" s="53">
        <v>35.4</v>
      </c>
      <c r="O91" s="54">
        <v>71.8</v>
      </c>
      <c r="P91" s="54">
        <v>35.6</v>
      </c>
      <c r="Q91" s="54">
        <v>74</v>
      </c>
      <c r="R91" s="54">
        <v>64.7</v>
      </c>
      <c r="S91" s="54"/>
    </row>
    <row r="92" spans="6:20" x14ac:dyDescent="0.3">
      <c r="F92" s="50">
        <v>37712</v>
      </c>
      <c r="G92" s="53">
        <v>76.5</v>
      </c>
      <c r="H92" s="53">
        <v>87.9</v>
      </c>
      <c r="O92" s="54">
        <v>77.400000000000006</v>
      </c>
      <c r="P92" s="54">
        <v>35.4</v>
      </c>
      <c r="Q92" s="54">
        <v>71.8</v>
      </c>
      <c r="R92" s="54">
        <v>35.6</v>
      </c>
      <c r="S92" s="54"/>
    </row>
    <row r="93" spans="6:20" x14ac:dyDescent="0.3">
      <c r="F93" s="50">
        <v>37742</v>
      </c>
      <c r="G93" s="53">
        <v>79.7</v>
      </c>
      <c r="H93" s="53">
        <v>43.6</v>
      </c>
      <c r="O93" s="54">
        <v>76.5</v>
      </c>
      <c r="P93" s="54">
        <v>87.9</v>
      </c>
      <c r="Q93" s="54">
        <v>77.400000000000006</v>
      </c>
      <c r="R93" s="54">
        <v>35.4</v>
      </c>
      <c r="S93" s="54"/>
    </row>
    <row r="94" spans="6:20" x14ac:dyDescent="0.3">
      <c r="F94" s="50">
        <v>37773</v>
      </c>
      <c r="G94" s="53">
        <v>76.3</v>
      </c>
      <c r="H94" s="53">
        <v>34.5</v>
      </c>
      <c r="O94" s="54">
        <v>79.7</v>
      </c>
      <c r="P94" s="54">
        <v>43.6</v>
      </c>
      <c r="Q94" s="54">
        <v>76.5</v>
      </c>
      <c r="R94" s="54">
        <v>87.9</v>
      </c>
      <c r="S94" s="54"/>
      <c r="T94" s="54"/>
    </row>
    <row r="95" spans="6:20" x14ac:dyDescent="0.3">
      <c r="O95" s="54"/>
      <c r="P95" s="54"/>
      <c r="Q95" s="54"/>
      <c r="R95" s="54"/>
      <c r="S95" s="54"/>
      <c r="T95" s="54"/>
    </row>
    <row r="96" spans="6:20" x14ac:dyDescent="0.3">
      <c r="O96" s="54"/>
      <c r="P96" s="54"/>
      <c r="Q96" s="54"/>
      <c r="R96" s="54"/>
      <c r="S96" s="54"/>
      <c r="T96" s="54"/>
    </row>
    <row r="97" spans="15:20" x14ac:dyDescent="0.3">
      <c r="O97" s="54"/>
      <c r="P97" s="54"/>
      <c r="Q97" s="54"/>
      <c r="R97" s="54"/>
      <c r="S97" s="54"/>
      <c r="T97" s="54"/>
    </row>
    <row r="98" spans="15:20" x14ac:dyDescent="0.3">
      <c r="O98" s="54"/>
      <c r="P98" s="54"/>
      <c r="Q98" s="54"/>
      <c r="R98" s="54"/>
      <c r="S98" s="54"/>
      <c r="T98" s="54"/>
    </row>
    <row r="99" spans="15:20" x14ac:dyDescent="0.3">
      <c r="O99" s="54"/>
      <c r="P99" s="54"/>
      <c r="Q99" s="54"/>
      <c r="R99" s="54"/>
      <c r="S99" s="54"/>
      <c r="T99" s="54"/>
    </row>
    <row r="100" spans="15:20" x14ac:dyDescent="0.3">
      <c r="O100" s="54"/>
      <c r="P100" s="54"/>
      <c r="Q100" s="54"/>
      <c r="R100" s="54"/>
      <c r="S100" s="54"/>
      <c r="T100" s="54"/>
    </row>
    <row r="101" spans="15:20" x14ac:dyDescent="0.3">
      <c r="O101" s="54"/>
      <c r="P101" s="54"/>
      <c r="Q101" s="54"/>
      <c r="R101" s="54"/>
      <c r="S101" s="54"/>
      <c r="T101" s="54"/>
    </row>
    <row r="102" spans="15:20" x14ac:dyDescent="0.3">
      <c r="O102" s="54"/>
      <c r="P102" s="54"/>
      <c r="Q102" s="54"/>
      <c r="R102" s="54"/>
      <c r="S102" s="54"/>
      <c r="T102" s="54"/>
    </row>
    <row r="103" spans="15:20" x14ac:dyDescent="0.3">
      <c r="O103" s="54"/>
      <c r="P103" s="54"/>
      <c r="Q103" s="54"/>
      <c r="R103" s="54"/>
      <c r="S103" s="54"/>
      <c r="T103" s="54"/>
    </row>
    <row r="104" spans="15:20" x14ac:dyDescent="0.3">
      <c r="O104" s="54"/>
      <c r="P104" s="54"/>
      <c r="Q104" s="54"/>
      <c r="R104" s="54"/>
      <c r="S104" s="54"/>
      <c r="T104" s="54"/>
    </row>
    <row r="105" spans="15:20" x14ac:dyDescent="0.3">
      <c r="O105" s="54"/>
      <c r="P105" s="54"/>
      <c r="Q105" s="54"/>
      <c r="R105" s="54"/>
      <c r="S105" s="54"/>
      <c r="T105" s="54"/>
    </row>
    <row r="106" spans="15:20" x14ac:dyDescent="0.3">
      <c r="O106" s="54"/>
      <c r="P106" s="54"/>
      <c r="Q106" s="54"/>
      <c r="R106" s="54"/>
      <c r="S106" s="54"/>
      <c r="T106" s="54"/>
    </row>
    <row r="107" spans="15:20" x14ac:dyDescent="0.3">
      <c r="O107" s="54"/>
      <c r="P107" s="54"/>
      <c r="Q107" s="54"/>
      <c r="R107" s="54"/>
      <c r="S107" s="54"/>
      <c r="T107" s="54"/>
    </row>
    <row r="108" spans="15:20" x14ac:dyDescent="0.3">
      <c r="O108" s="54"/>
      <c r="P108" s="54"/>
      <c r="Q108" s="54"/>
      <c r="R108" s="54"/>
      <c r="S108" s="54"/>
      <c r="T108" s="54"/>
    </row>
    <row r="109" spans="15:20" x14ac:dyDescent="0.3">
      <c r="O109" s="54"/>
      <c r="P109" s="54"/>
      <c r="Q109" s="54"/>
      <c r="R109" s="54"/>
      <c r="S109" s="54"/>
      <c r="T109" s="54"/>
    </row>
    <row r="110" spans="15:20" x14ac:dyDescent="0.3">
      <c r="O110" s="54"/>
      <c r="P110" s="54"/>
      <c r="Q110" s="54"/>
      <c r="R110" s="54"/>
      <c r="S110" s="54"/>
      <c r="T110" s="54"/>
    </row>
    <row r="111" spans="15:20" x14ac:dyDescent="0.3">
      <c r="O111" s="54"/>
      <c r="P111" s="54"/>
      <c r="Q111" s="54"/>
      <c r="R111" s="54"/>
      <c r="S111" s="54"/>
      <c r="T111" s="54"/>
    </row>
    <row r="112" spans="15:20" x14ac:dyDescent="0.3">
      <c r="O112" s="54"/>
      <c r="P112" s="54"/>
      <c r="Q112" s="54"/>
      <c r="R112" s="54"/>
      <c r="S112" s="54"/>
      <c r="T112" s="54"/>
    </row>
    <row r="113" spans="15:20" x14ac:dyDescent="0.3">
      <c r="O113" s="54"/>
      <c r="P113" s="54"/>
      <c r="Q113" s="54"/>
      <c r="R113" s="54"/>
      <c r="S113" s="54"/>
      <c r="T113" s="54"/>
    </row>
    <row r="114" spans="15:20" x14ac:dyDescent="0.3">
      <c r="O114" s="54"/>
      <c r="P114" s="54"/>
      <c r="Q114" s="54"/>
      <c r="R114" s="54"/>
      <c r="S114" s="54"/>
      <c r="T114" s="54"/>
    </row>
    <row r="115" spans="15:20" x14ac:dyDescent="0.3">
      <c r="O115" s="54"/>
      <c r="P115" s="54"/>
      <c r="Q115" s="54"/>
      <c r="R115" s="54"/>
      <c r="S115" s="54"/>
      <c r="T115" s="54"/>
    </row>
    <row r="116" spans="15:20" x14ac:dyDescent="0.3">
      <c r="O116" s="54"/>
      <c r="P116" s="54"/>
      <c r="Q116" s="54"/>
      <c r="R116" s="54"/>
      <c r="S116" s="54"/>
      <c r="T116" s="54"/>
    </row>
    <row r="117" spans="15:20" x14ac:dyDescent="0.3">
      <c r="O117" s="54"/>
      <c r="P117" s="54"/>
      <c r="Q117" s="54"/>
      <c r="R117" s="54"/>
      <c r="S117" s="54"/>
      <c r="T117" s="54"/>
    </row>
    <row r="118" spans="15:20" x14ac:dyDescent="0.3">
      <c r="O118" s="54"/>
      <c r="P118" s="54"/>
      <c r="Q118" s="54"/>
      <c r="R118" s="54"/>
      <c r="S118" s="54"/>
      <c r="T118" s="54"/>
    </row>
    <row r="119" spans="15:20" x14ac:dyDescent="0.3">
      <c r="O119" s="54"/>
      <c r="P119" s="54"/>
      <c r="Q119" s="54"/>
      <c r="R119" s="54"/>
      <c r="S119" s="54"/>
      <c r="T119" s="54"/>
    </row>
    <row r="120" spans="15:20" x14ac:dyDescent="0.3">
      <c r="O120" s="54"/>
      <c r="P120" s="54"/>
      <c r="Q120" s="54"/>
      <c r="R120" s="54"/>
      <c r="S120" s="54"/>
      <c r="T120" s="54"/>
    </row>
    <row r="121" spans="15:20" x14ac:dyDescent="0.3">
      <c r="O121" s="54"/>
      <c r="P121" s="54"/>
      <c r="Q121" s="54"/>
      <c r="R121" s="54"/>
      <c r="S121" s="54"/>
      <c r="T121" s="54"/>
    </row>
    <row r="122" spans="15:20" x14ac:dyDescent="0.3">
      <c r="O122" s="54"/>
      <c r="P122" s="54"/>
      <c r="Q122" s="54"/>
      <c r="R122" s="54"/>
      <c r="S122" s="54"/>
      <c r="T122" s="54"/>
    </row>
    <row r="123" spans="15:20" x14ac:dyDescent="0.3">
      <c r="O123" s="54"/>
      <c r="P123" s="54"/>
      <c r="Q123" s="54"/>
      <c r="R123" s="54"/>
      <c r="S123" s="54"/>
      <c r="T123" s="54"/>
    </row>
    <row r="124" spans="15:20" x14ac:dyDescent="0.3">
      <c r="O124" s="54"/>
      <c r="P124" s="54"/>
      <c r="Q124" s="54"/>
      <c r="R124" s="54"/>
      <c r="S124" s="54"/>
      <c r="T124" s="54"/>
    </row>
    <row r="125" spans="15:20" x14ac:dyDescent="0.3">
      <c r="O125" s="54"/>
      <c r="P125" s="54"/>
      <c r="Q125" s="54"/>
      <c r="R125" s="54"/>
      <c r="S125" s="54"/>
      <c r="T125" s="54"/>
    </row>
    <row r="126" spans="15:20" x14ac:dyDescent="0.3">
      <c r="O126" s="54"/>
      <c r="P126" s="54"/>
      <c r="Q126" s="54"/>
      <c r="R126" s="54"/>
      <c r="S126" s="54"/>
      <c r="T126" s="54"/>
    </row>
    <row r="127" spans="15:20" x14ac:dyDescent="0.3">
      <c r="O127" s="54"/>
      <c r="P127" s="54"/>
      <c r="Q127" s="54"/>
      <c r="R127" s="54"/>
      <c r="S127" s="54"/>
      <c r="T127" s="54"/>
    </row>
    <row r="128" spans="15:20" x14ac:dyDescent="0.3">
      <c r="O128" s="54"/>
      <c r="P128" s="54"/>
      <c r="Q128" s="54"/>
      <c r="R128" s="54"/>
      <c r="S128" s="54"/>
      <c r="T128" s="54"/>
    </row>
    <row r="129" spans="15:20" x14ac:dyDescent="0.3">
      <c r="O129" s="54"/>
      <c r="P129" s="54"/>
      <c r="Q129" s="54"/>
      <c r="R129" s="54"/>
      <c r="S129" s="54"/>
      <c r="T129" s="54"/>
    </row>
    <row r="130" spans="15:20" x14ac:dyDescent="0.3">
      <c r="O130" s="54"/>
      <c r="P130" s="54"/>
      <c r="Q130" s="54"/>
      <c r="R130" s="54"/>
      <c r="S130" s="54"/>
      <c r="T130" s="54"/>
    </row>
    <row r="131" spans="15:20" x14ac:dyDescent="0.3">
      <c r="O131" s="54"/>
      <c r="P131" s="54"/>
      <c r="Q131" s="54"/>
      <c r="R131" s="54"/>
      <c r="S131" s="54"/>
      <c r="T131" s="54"/>
    </row>
    <row r="132" spans="15:20" x14ac:dyDescent="0.3">
      <c r="O132" s="54"/>
      <c r="P132" s="54"/>
      <c r="Q132" s="54"/>
      <c r="R132" s="54"/>
      <c r="S132" s="54"/>
      <c r="T132" s="54"/>
    </row>
    <row r="133" spans="15:20" x14ac:dyDescent="0.3">
      <c r="O133" s="54"/>
      <c r="P133" s="54"/>
      <c r="Q133" s="54"/>
      <c r="R133" s="54"/>
      <c r="S133" s="54"/>
      <c r="T133" s="54"/>
    </row>
    <row r="134" spans="15:20" x14ac:dyDescent="0.3">
      <c r="O134" s="54"/>
      <c r="P134" s="54"/>
      <c r="Q134" s="54"/>
      <c r="R134" s="54"/>
      <c r="S134" s="54"/>
      <c r="T134" s="54"/>
    </row>
    <row r="135" spans="15:20" x14ac:dyDescent="0.3">
      <c r="O135" s="54"/>
      <c r="P135" s="54"/>
      <c r="Q135" s="54"/>
      <c r="R135" s="54"/>
      <c r="S135" s="54"/>
      <c r="T135" s="54"/>
    </row>
    <row r="136" spans="15:20" x14ac:dyDescent="0.3">
      <c r="O136" s="54"/>
      <c r="P136" s="54"/>
      <c r="Q136" s="54"/>
      <c r="R136" s="54"/>
      <c r="S136" s="54"/>
      <c r="T136" s="54"/>
    </row>
    <row r="137" spans="15:20" x14ac:dyDescent="0.3">
      <c r="O137" s="54"/>
      <c r="P137" s="54"/>
      <c r="Q137" s="54"/>
      <c r="R137" s="54"/>
      <c r="S137" s="54"/>
      <c r="T137" s="54"/>
    </row>
    <row r="138" spans="15:20" x14ac:dyDescent="0.3">
      <c r="O138" s="54"/>
      <c r="P138" s="54"/>
      <c r="Q138" s="54"/>
      <c r="R138" s="54"/>
      <c r="S138" s="54"/>
      <c r="T138" s="54"/>
    </row>
    <row r="139" spans="15:20" x14ac:dyDescent="0.3">
      <c r="O139" s="54"/>
      <c r="P139" s="54"/>
      <c r="Q139" s="54"/>
      <c r="R139" s="54"/>
      <c r="S139" s="54"/>
      <c r="T139" s="54"/>
    </row>
    <row r="140" spans="15:20" x14ac:dyDescent="0.3">
      <c r="O140" s="54"/>
      <c r="P140" s="54"/>
      <c r="Q140" s="54"/>
      <c r="R140" s="54"/>
      <c r="S140" s="54"/>
      <c r="T140" s="54"/>
    </row>
    <row r="141" spans="15:20" x14ac:dyDescent="0.3">
      <c r="O141" s="54"/>
      <c r="P141" s="54"/>
      <c r="Q141" s="54"/>
      <c r="R141" s="54"/>
      <c r="S141" s="54"/>
      <c r="T141" s="54"/>
    </row>
    <row r="142" spans="15:20" x14ac:dyDescent="0.3">
      <c r="O142" s="54"/>
      <c r="P142" s="54"/>
      <c r="Q142" s="54"/>
      <c r="R142" s="54"/>
      <c r="S142" s="54"/>
      <c r="T142" s="54"/>
    </row>
    <row r="143" spans="15:20" x14ac:dyDescent="0.3">
      <c r="O143" s="54"/>
      <c r="P143" s="54"/>
      <c r="Q143" s="54"/>
      <c r="R143" s="54"/>
      <c r="S143" s="54"/>
      <c r="T143" s="54"/>
    </row>
    <row r="144" spans="15:20" x14ac:dyDescent="0.3">
      <c r="O144" s="54"/>
      <c r="P144" s="54"/>
      <c r="Q144" s="54"/>
      <c r="R144" s="54"/>
      <c r="S144" s="54"/>
      <c r="T144" s="54"/>
    </row>
    <row r="145" spans="15:20" x14ac:dyDescent="0.3">
      <c r="O145" s="54"/>
      <c r="P145" s="54"/>
      <c r="Q145" s="54"/>
      <c r="R145" s="54"/>
      <c r="S145" s="54"/>
      <c r="T145" s="54"/>
    </row>
    <row r="146" spans="15:20" x14ac:dyDescent="0.3">
      <c r="O146" s="54"/>
      <c r="P146" s="54"/>
      <c r="Q146" s="54"/>
      <c r="R146" s="54"/>
      <c r="S146" s="54"/>
      <c r="T146" s="54"/>
    </row>
    <row r="147" spans="15:20" x14ac:dyDescent="0.3">
      <c r="O147" s="54"/>
      <c r="P147" s="54"/>
      <c r="Q147" s="54"/>
      <c r="R147" s="54"/>
      <c r="S147" s="54"/>
      <c r="T147" s="54"/>
    </row>
    <row r="148" spans="15:20" x14ac:dyDescent="0.3">
      <c r="O148" s="54"/>
      <c r="P148" s="54"/>
      <c r="Q148" s="54"/>
      <c r="R148" s="54"/>
      <c r="S148" s="54"/>
      <c r="T148" s="54"/>
    </row>
    <row r="149" spans="15:20" x14ac:dyDescent="0.3">
      <c r="O149" s="54"/>
      <c r="P149" s="54"/>
      <c r="Q149" s="54"/>
      <c r="R149" s="54"/>
      <c r="S149" s="54"/>
      <c r="T149" s="54"/>
    </row>
    <row r="150" spans="15:20" x14ac:dyDescent="0.3">
      <c r="O150" s="54"/>
      <c r="P150" s="54"/>
      <c r="Q150" s="54"/>
      <c r="R150" s="54"/>
      <c r="S150" s="54"/>
      <c r="T150" s="54"/>
    </row>
    <row r="151" spans="15:20" x14ac:dyDescent="0.3">
      <c r="O151" s="54"/>
      <c r="P151" s="54"/>
      <c r="Q151" s="54"/>
      <c r="R151" s="54"/>
      <c r="S151" s="54"/>
      <c r="T151" s="54"/>
    </row>
    <row r="152" spans="15:20" x14ac:dyDescent="0.3">
      <c r="O152" s="54"/>
      <c r="P152" s="54"/>
      <c r="Q152" s="54"/>
      <c r="R152" s="54"/>
      <c r="S152" s="54"/>
      <c r="T152" s="54"/>
    </row>
    <row r="153" spans="15:20" x14ac:dyDescent="0.3">
      <c r="O153" s="54"/>
      <c r="P153" s="54"/>
      <c r="Q153" s="54"/>
      <c r="R153" s="54"/>
      <c r="S153" s="54"/>
      <c r="T153" s="54"/>
    </row>
    <row r="154" spans="15:20" x14ac:dyDescent="0.3">
      <c r="O154" s="54"/>
      <c r="P154" s="54"/>
      <c r="Q154" s="54"/>
      <c r="R154" s="54"/>
      <c r="S154" s="54"/>
      <c r="T154" s="54"/>
    </row>
    <row r="155" spans="15:20" x14ac:dyDescent="0.3">
      <c r="O155" s="54"/>
      <c r="P155" s="54"/>
      <c r="Q155" s="54"/>
      <c r="R155" s="54"/>
      <c r="S155" s="54"/>
      <c r="T155" s="54"/>
    </row>
    <row r="156" spans="15:20" x14ac:dyDescent="0.3">
      <c r="O156" s="54"/>
      <c r="P156" s="54"/>
      <c r="Q156" s="54"/>
      <c r="R156" s="54"/>
      <c r="S156" s="54"/>
      <c r="T156" s="54"/>
    </row>
    <row r="157" spans="15:20" x14ac:dyDescent="0.3">
      <c r="O157" s="54"/>
      <c r="P157" s="54"/>
      <c r="Q157" s="54"/>
      <c r="R157" s="54"/>
      <c r="S157" s="54"/>
      <c r="T157" s="54"/>
    </row>
    <row r="158" spans="15:20" x14ac:dyDescent="0.3">
      <c r="O158" s="54"/>
      <c r="P158" s="54"/>
      <c r="Q158" s="54"/>
      <c r="R158" s="54"/>
      <c r="S158" s="54"/>
      <c r="T158" s="54"/>
    </row>
    <row r="159" spans="15:20" x14ac:dyDescent="0.3">
      <c r="O159" s="54"/>
      <c r="P159" s="54"/>
      <c r="Q159" s="54"/>
      <c r="R159" s="54"/>
      <c r="S159" s="54"/>
      <c r="T159" s="54"/>
    </row>
    <row r="160" spans="15:20" x14ac:dyDescent="0.3">
      <c r="O160" s="54"/>
      <c r="P160" s="54"/>
      <c r="Q160" s="54"/>
      <c r="R160" s="54"/>
      <c r="S160" s="54"/>
      <c r="T160" s="54"/>
    </row>
    <row r="161" spans="15:20" x14ac:dyDescent="0.3">
      <c r="O161" s="54"/>
      <c r="P161" s="54"/>
      <c r="Q161" s="54"/>
      <c r="R161" s="54"/>
      <c r="S161" s="54"/>
      <c r="T161" s="54"/>
    </row>
    <row r="162" spans="15:20" x14ac:dyDescent="0.3">
      <c r="O162" s="54"/>
      <c r="P162" s="54"/>
      <c r="Q162" s="54"/>
      <c r="R162" s="54"/>
      <c r="S162" s="54"/>
      <c r="T162" s="54"/>
    </row>
    <row r="163" spans="15:20" x14ac:dyDescent="0.3">
      <c r="O163" s="54"/>
      <c r="P163" s="54"/>
      <c r="Q163" s="54"/>
      <c r="R163" s="54"/>
      <c r="S163" s="54"/>
      <c r="T163" s="54"/>
    </row>
    <row r="164" spans="15:20" x14ac:dyDescent="0.3">
      <c r="O164" s="54"/>
      <c r="P164" s="54"/>
      <c r="Q164" s="54"/>
      <c r="R164" s="54"/>
      <c r="S164" s="54"/>
      <c r="T164" s="54"/>
    </row>
    <row r="165" spans="15:20" x14ac:dyDescent="0.3">
      <c r="O165" s="54"/>
      <c r="P165" s="54"/>
      <c r="Q165" s="54"/>
      <c r="R165" s="54"/>
      <c r="S165" s="54"/>
      <c r="T165" s="54"/>
    </row>
    <row r="166" spans="15:20" x14ac:dyDescent="0.3">
      <c r="O166" s="54"/>
      <c r="P166" s="54"/>
      <c r="Q166" s="54"/>
      <c r="R166" s="54"/>
      <c r="S166" s="54"/>
      <c r="T166" s="54"/>
    </row>
    <row r="167" spans="15:20" x14ac:dyDescent="0.3">
      <c r="O167" s="54"/>
      <c r="P167" s="54"/>
      <c r="Q167" s="54"/>
      <c r="R167" s="54"/>
      <c r="S167" s="54"/>
      <c r="T167" s="54"/>
    </row>
    <row r="168" spans="15:20" x14ac:dyDescent="0.3">
      <c r="O168" s="54"/>
      <c r="P168" s="54"/>
      <c r="Q168" s="54"/>
      <c r="R168" s="54"/>
      <c r="S168" s="54"/>
      <c r="T168" s="54"/>
    </row>
    <row r="169" spans="15:20" x14ac:dyDescent="0.3">
      <c r="O169" s="54"/>
      <c r="P169" s="54"/>
      <c r="Q169" s="54"/>
      <c r="R169" s="54"/>
      <c r="S169" s="54"/>
      <c r="T169" s="54"/>
    </row>
    <row r="170" spans="15:20" x14ac:dyDescent="0.3">
      <c r="O170" s="54"/>
      <c r="P170" s="54"/>
      <c r="Q170" s="54"/>
      <c r="R170" s="54"/>
      <c r="S170" s="54"/>
      <c r="T170" s="54"/>
    </row>
    <row r="171" spans="15:20" x14ac:dyDescent="0.3">
      <c r="O171" s="54"/>
      <c r="P171" s="54"/>
      <c r="Q171" s="54"/>
      <c r="R171" s="54"/>
      <c r="S171" s="54"/>
      <c r="T171" s="54"/>
    </row>
    <row r="172" spans="15:20" x14ac:dyDescent="0.3">
      <c r="O172" s="54"/>
      <c r="P172" s="54"/>
      <c r="Q172" s="54"/>
      <c r="R172" s="54"/>
      <c r="S172" s="54"/>
      <c r="T172" s="54"/>
    </row>
    <row r="173" spans="15:20" x14ac:dyDescent="0.3">
      <c r="O173" s="54"/>
      <c r="P173" s="54"/>
      <c r="Q173" s="54"/>
      <c r="R173" s="54"/>
      <c r="S173" s="54"/>
      <c r="T173" s="54"/>
    </row>
    <row r="174" spans="15:20" x14ac:dyDescent="0.3">
      <c r="O174" s="54"/>
      <c r="P174" s="54"/>
      <c r="Q174" s="54"/>
      <c r="R174" s="54"/>
      <c r="S174" s="54"/>
      <c r="T174" s="54"/>
    </row>
    <row r="175" spans="15:20" x14ac:dyDescent="0.3">
      <c r="O175" s="54"/>
      <c r="P175" s="54"/>
      <c r="Q175" s="54"/>
      <c r="R175" s="54"/>
      <c r="S175" s="54"/>
      <c r="T175" s="54"/>
    </row>
    <row r="176" spans="15:20" x14ac:dyDescent="0.3">
      <c r="O176" s="54"/>
      <c r="P176" s="54"/>
      <c r="Q176" s="54"/>
      <c r="R176" s="54"/>
      <c r="S176" s="54"/>
      <c r="T176" s="54"/>
    </row>
    <row r="177" spans="15:20" x14ac:dyDescent="0.3">
      <c r="O177" s="54"/>
      <c r="P177" s="54"/>
      <c r="Q177" s="54"/>
      <c r="R177" s="54"/>
      <c r="S177" s="54"/>
      <c r="T177" s="54"/>
    </row>
    <row r="178" spans="15:20" x14ac:dyDescent="0.3">
      <c r="O178" s="54"/>
      <c r="P178" s="54"/>
      <c r="Q178" s="54"/>
      <c r="R178" s="54"/>
      <c r="S178" s="54"/>
      <c r="T178" s="54"/>
    </row>
    <row r="179" spans="15:20" x14ac:dyDescent="0.3">
      <c r="O179" s="54"/>
      <c r="P179" s="54"/>
      <c r="Q179" s="54"/>
      <c r="R179" s="54"/>
      <c r="S179" s="54"/>
      <c r="T179" s="54"/>
    </row>
    <row r="180" spans="15:20" x14ac:dyDescent="0.3">
      <c r="O180" s="54"/>
      <c r="P180" s="54"/>
      <c r="Q180" s="54"/>
      <c r="R180" s="54"/>
      <c r="S180" s="54"/>
      <c r="T180" s="54"/>
    </row>
    <row r="181" spans="15:20" x14ac:dyDescent="0.3">
      <c r="O181" s="54"/>
      <c r="P181" s="54"/>
      <c r="Q181" s="54"/>
      <c r="R181" s="54"/>
      <c r="S181" s="54"/>
      <c r="T181" s="54"/>
    </row>
    <row r="182" spans="15:20" x14ac:dyDescent="0.3">
      <c r="O182" s="54"/>
      <c r="P182" s="54"/>
      <c r="Q182" s="54"/>
      <c r="R182" s="54"/>
      <c r="S182" s="54"/>
      <c r="T182" s="54"/>
    </row>
    <row r="183" spans="15:20" x14ac:dyDescent="0.3">
      <c r="O183" s="54"/>
      <c r="P183" s="54"/>
      <c r="Q183" s="54"/>
      <c r="R183" s="54"/>
      <c r="S183" s="54"/>
      <c r="T183" s="54"/>
    </row>
    <row r="184" spans="15:20" x14ac:dyDescent="0.3">
      <c r="O184" s="54"/>
      <c r="P184" s="54"/>
      <c r="Q184" s="54"/>
      <c r="R184" s="54"/>
      <c r="S184" s="54"/>
      <c r="T184" s="54"/>
    </row>
    <row r="185" spans="15:20" x14ac:dyDescent="0.3">
      <c r="O185" s="54"/>
      <c r="P185" s="54"/>
      <c r="Q185" s="54"/>
      <c r="R185" s="54"/>
      <c r="S185" s="54"/>
      <c r="T185" s="54"/>
    </row>
    <row r="186" spans="15:20" x14ac:dyDescent="0.3">
      <c r="O186" s="54"/>
      <c r="P186" s="54"/>
      <c r="Q186" s="54"/>
      <c r="R186" s="54"/>
      <c r="S186" s="54"/>
      <c r="T186" s="54"/>
    </row>
    <row r="187" spans="15:20" x14ac:dyDescent="0.3">
      <c r="O187" s="54"/>
      <c r="P187" s="54"/>
      <c r="Q187" s="54"/>
      <c r="R187" s="54"/>
      <c r="S187" s="54"/>
      <c r="T187" s="54"/>
    </row>
    <row r="188" spans="15:20" x14ac:dyDescent="0.3">
      <c r="O188" s="54"/>
      <c r="P188" s="54"/>
      <c r="Q188" s="54"/>
      <c r="R188" s="54"/>
      <c r="S188" s="54"/>
      <c r="T188" s="54"/>
    </row>
    <row r="189" spans="15:20" x14ac:dyDescent="0.3">
      <c r="O189" s="54"/>
      <c r="P189" s="54"/>
      <c r="Q189" s="54"/>
      <c r="R189" s="54"/>
      <c r="S189" s="54"/>
      <c r="T189" s="54"/>
    </row>
    <row r="190" spans="15:20" x14ac:dyDescent="0.3">
      <c r="O190" s="54"/>
      <c r="P190" s="54"/>
      <c r="Q190" s="54"/>
      <c r="R190" s="54"/>
      <c r="S190" s="54"/>
      <c r="T190" s="54"/>
    </row>
    <row r="191" spans="15:20" x14ac:dyDescent="0.3">
      <c r="O191" s="54"/>
      <c r="P191" s="54"/>
      <c r="Q191" s="54"/>
      <c r="R191" s="54"/>
      <c r="S191" s="54"/>
      <c r="T191" s="54"/>
    </row>
    <row r="192" spans="15:20" x14ac:dyDescent="0.3">
      <c r="O192" s="54"/>
      <c r="P192" s="54"/>
      <c r="Q192" s="54"/>
      <c r="R192" s="54"/>
      <c r="S192" s="54"/>
      <c r="T192" s="54"/>
    </row>
    <row r="193" spans="15:20" x14ac:dyDescent="0.3">
      <c r="O193" s="54"/>
      <c r="P193" s="54"/>
      <c r="Q193" s="54"/>
      <c r="R193" s="54"/>
      <c r="S193" s="54"/>
      <c r="T193" s="54"/>
    </row>
    <row r="194" spans="15:20" x14ac:dyDescent="0.3">
      <c r="O194" s="54"/>
      <c r="P194" s="54"/>
      <c r="Q194" s="54"/>
      <c r="R194" s="54"/>
      <c r="S194" s="54"/>
      <c r="T194" s="54"/>
    </row>
    <row r="195" spans="15:20" x14ac:dyDescent="0.3">
      <c r="O195" s="54"/>
      <c r="P195" s="54"/>
      <c r="Q195" s="54"/>
      <c r="R195" s="54"/>
      <c r="S195" s="54"/>
      <c r="T195" s="54"/>
    </row>
    <row r="196" spans="15:20" x14ac:dyDescent="0.3">
      <c r="O196" s="54"/>
      <c r="P196" s="54"/>
      <c r="Q196" s="54"/>
      <c r="R196" s="54"/>
      <c r="S196" s="54"/>
      <c r="T196" s="54"/>
    </row>
    <row r="197" spans="15:20" x14ac:dyDescent="0.3">
      <c r="O197" s="54"/>
      <c r="P197" s="54"/>
      <c r="Q197" s="54"/>
      <c r="R197" s="54"/>
      <c r="S197" s="54"/>
      <c r="T197" s="54"/>
    </row>
    <row r="198" spans="15:20" x14ac:dyDescent="0.3">
      <c r="O198" s="54"/>
      <c r="P198" s="54"/>
      <c r="Q198" s="54"/>
      <c r="R198" s="54"/>
      <c r="S198" s="54"/>
      <c r="T198" s="54"/>
    </row>
    <row r="199" spans="15:20" x14ac:dyDescent="0.3">
      <c r="O199" s="54"/>
      <c r="P199" s="54"/>
      <c r="Q199" s="54"/>
      <c r="R199" s="54"/>
      <c r="S199" s="54"/>
      <c r="T199" s="54"/>
    </row>
    <row r="200" spans="15:20" x14ac:dyDescent="0.3">
      <c r="O200" s="54"/>
      <c r="P200" s="54"/>
      <c r="Q200" s="54"/>
      <c r="R200" s="54"/>
      <c r="S200" s="54"/>
      <c r="T200" s="54"/>
    </row>
    <row r="201" spans="15:20" x14ac:dyDescent="0.3">
      <c r="O201" s="54"/>
      <c r="P201" s="54"/>
      <c r="Q201" s="54"/>
      <c r="R201" s="54"/>
      <c r="S201" s="54"/>
      <c r="T201" s="54"/>
    </row>
    <row r="202" spans="15:20" x14ac:dyDescent="0.3">
      <c r="O202" s="54"/>
      <c r="P202" s="54"/>
      <c r="Q202" s="54"/>
      <c r="R202" s="54"/>
      <c r="S202" s="54"/>
      <c r="T202" s="54"/>
    </row>
    <row r="203" spans="15:20" x14ac:dyDescent="0.3">
      <c r="O203" s="54"/>
      <c r="P203" s="54"/>
      <c r="Q203" s="54"/>
      <c r="R203" s="54"/>
      <c r="S203" s="54"/>
      <c r="T203" s="54"/>
    </row>
    <row r="204" spans="15:20" x14ac:dyDescent="0.3">
      <c r="O204" s="54"/>
      <c r="P204" s="54"/>
      <c r="Q204" s="54"/>
      <c r="R204" s="54"/>
      <c r="S204" s="54"/>
      <c r="T204" s="54"/>
    </row>
    <row r="205" spans="15:20" x14ac:dyDescent="0.3">
      <c r="O205" s="54"/>
      <c r="P205" s="54"/>
      <c r="Q205" s="54"/>
      <c r="R205" s="54"/>
      <c r="S205" s="54"/>
      <c r="T205" s="54"/>
    </row>
    <row r="206" spans="15:20" x14ac:dyDescent="0.3">
      <c r="O206" s="54"/>
      <c r="P206" s="54"/>
      <c r="Q206" s="54"/>
      <c r="R206" s="54"/>
      <c r="S206" s="54"/>
      <c r="T206" s="54"/>
    </row>
    <row r="207" spans="15:20" x14ac:dyDescent="0.3">
      <c r="O207" s="54"/>
      <c r="P207" s="54"/>
      <c r="Q207" s="54"/>
      <c r="R207" s="54"/>
      <c r="S207" s="54"/>
      <c r="T207" s="54"/>
    </row>
    <row r="208" spans="15:20" x14ac:dyDescent="0.3">
      <c r="O208" s="54"/>
      <c r="P208" s="54"/>
      <c r="Q208" s="54"/>
      <c r="R208" s="54"/>
      <c r="S208" s="54"/>
      <c r="T208" s="54"/>
    </row>
    <row r="209" spans="15:20" x14ac:dyDescent="0.3">
      <c r="O209" s="54"/>
      <c r="P209" s="54"/>
      <c r="Q209" s="54"/>
      <c r="R209" s="54"/>
      <c r="S209" s="54"/>
      <c r="T209" s="54"/>
    </row>
    <row r="210" spans="15:20" x14ac:dyDescent="0.3">
      <c r="O210" s="54"/>
      <c r="P210" s="54"/>
      <c r="Q210" s="54"/>
      <c r="R210" s="54"/>
      <c r="S210" s="54"/>
      <c r="T210" s="54"/>
    </row>
    <row r="211" spans="15:20" x14ac:dyDescent="0.3">
      <c r="O211" s="54"/>
      <c r="P211" s="54"/>
      <c r="Q211" s="54"/>
      <c r="R211" s="54"/>
      <c r="S211" s="54"/>
      <c r="T211" s="54"/>
    </row>
    <row r="212" spans="15:20" x14ac:dyDescent="0.3">
      <c r="O212" s="54"/>
      <c r="P212" s="54"/>
      <c r="Q212" s="54"/>
      <c r="R212" s="54"/>
      <c r="S212" s="54"/>
      <c r="T212" s="54"/>
    </row>
    <row r="213" spans="15:20" x14ac:dyDescent="0.3">
      <c r="O213" s="54"/>
      <c r="P213" s="54"/>
      <c r="Q213" s="54"/>
      <c r="R213" s="54"/>
      <c r="S213" s="54"/>
      <c r="T213" s="54"/>
    </row>
    <row r="214" spans="15:20" x14ac:dyDescent="0.3">
      <c r="O214" s="54"/>
      <c r="P214" s="54"/>
      <c r="Q214" s="54"/>
      <c r="R214" s="54"/>
      <c r="S214" s="54"/>
      <c r="T214" s="54"/>
    </row>
    <row r="215" spans="15:20" x14ac:dyDescent="0.3">
      <c r="O215" s="54"/>
      <c r="P215" s="54"/>
      <c r="Q215" s="54"/>
      <c r="R215" s="54"/>
      <c r="S215" s="54"/>
      <c r="T215" s="54"/>
    </row>
    <row r="216" spans="15:20" x14ac:dyDescent="0.3">
      <c r="O216" s="54"/>
      <c r="P216" s="54"/>
      <c r="Q216" s="54"/>
      <c r="R216" s="54"/>
      <c r="S216" s="54"/>
      <c r="T216" s="54"/>
    </row>
    <row r="217" spans="15:20" x14ac:dyDescent="0.3">
      <c r="O217" s="54"/>
      <c r="P217" s="54"/>
      <c r="Q217" s="54"/>
      <c r="R217" s="54"/>
      <c r="S217" s="54"/>
      <c r="T217" s="54"/>
    </row>
    <row r="218" spans="15:20" x14ac:dyDescent="0.3">
      <c r="O218" s="54"/>
      <c r="P218" s="54"/>
      <c r="Q218" s="54"/>
      <c r="R218" s="54"/>
      <c r="S218" s="54"/>
      <c r="T218" s="54"/>
    </row>
    <row r="219" spans="15:20" x14ac:dyDescent="0.3">
      <c r="O219" s="54"/>
      <c r="P219" s="54"/>
      <c r="Q219" s="54"/>
      <c r="R219" s="54"/>
      <c r="S219" s="54"/>
      <c r="T219" s="54"/>
    </row>
    <row r="220" spans="15:20" x14ac:dyDescent="0.3">
      <c r="O220" s="54"/>
      <c r="P220" s="54"/>
      <c r="Q220" s="54"/>
      <c r="R220" s="54"/>
      <c r="S220" s="54"/>
      <c r="T220" s="54"/>
    </row>
    <row r="221" spans="15:20" x14ac:dyDescent="0.3">
      <c r="O221" s="54"/>
      <c r="P221" s="54"/>
      <c r="Q221" s="54"/>
      <c r="R221" s="54"/>
      <c r="S221" s="54"/>
      <c r="T221" s="54"/>
    </row>
    <row r="222" spans="15:20" x14ac:dyDescent="0.3">
      <c r="O222" s="54"/>
      <c r="P222" s="54"/>
      <c r="Q222" s="54"/>
      <c r="R222" s="54"/>
      <c r="S222" s="54"/>
      <c r="T222" s="54"/>
    </row>
    <row r="223" spans="15:20" x14ac:dyDescent="0.3">
      <c r="O223" s="54"/>
      <c r="P223" s="54"/>
      <c r="Q223" s="54"/>
      <c r="R223" s="54"/>
      <c r="S223" s="54"/>
      <c r="T223" s="54"/>
    </row>
    <row r="224" spans="15:20" x14ac:dyDescent="0.3">
      <c r="O224" s="54"/>
      <c r="P224" s="54"/>
      <c r="Q224" s="54"/>
      <c r="R224" s="54"/>
      <c r="S224" s="54"/>
      <c r="T224" s="54"/>
    </row>
    <row r="225" spans="15:20" x14ac:dyDescent="0.3">
      <c r="O225" s="54"/>
      <c r="P225" s="54"/>
      <c r="Q225" s="54"/>
      <c r="R225" s="54"/>
      <c r="S225" s="54"/>
      <c r="T225" s="54"/>
    </row>
    <row r="226" spans="15:20" x14ac:dyDescent="0.3">
      <c r="O226" s="54"/>
      <c r="P226" s="54"/>
      <c r="Q226" s="54"/>
      <c r="R226" s="54"/>
      <c r="S226" s="54"/>
      <c r="T226" s="54"/>
    </row>
    <row r="227" spans="15:20" x14ac:dyDescent="0.3">
      <c r="O227" s="54"/>
      <c r="P227" s="54"/>
      <c r="Q227" s="54"/>
      <c r="R227" s="54"/>
      <c r="S227" s="54"/>
      <c r="T227" s="54"/>
    </row>
    <row r="228" spans="15:20" x14ac:dyDescent="0.3">
      <c r="O228" s="54"/>
      <c r="P228" s="54"/>
      <c r="Q228" s="54"/>
      <c r="R228" s="54"/>
      <c r="S228" s="54"/>
      <c r="T228" s="54"/>
    </row>
    <row r="229" spans="15:20" x14ac:dyDescent="0.3">
      <c r="O229" s="54"/>
      <c r="P229" s="54"/>
      <c r="Q229" s="54"/>
      <c r="R229" s="54"/>
      <c r="S229" s="54"/>
      <c r="T229" s="54"/>
    </row>
    <row r="230" spans="15:20" x14ac:dyDescent="0.3">
      <c r="O230" s="54"/>
      <c r="P230" s="54"/>
      <c r="Q230" s="54"/>
      <c r="R230" s="54"/>
      <c r="S230" s="54"/>
      <c r="T230" s="54"/>
    </row>
    <row r="231" spans="15:20" x14ac:dyDescent="0.3">
      <c r="O231" s="54"/>
      <c r="P231" s="54"/>
      <c r="Q231" s="54"/>
      <c r="R231" s="54"/>
      <c r="S231" s="54"/>
      <c r="T231" s="54"/>
    </row>
    <row r="232" spans="15:20" x14ac:dyDescent="0.3">
      <c r="O232" s="54"/>
      <c r="P232" s="54"/>
      <c r="Q232" s="54"/>
      <c r="R232" s="54"/>
      <c r="S232" s="54"/>
      <c r="T232" s="54"/>
    </row>
    <row r="233" spans="15:20" x14ac:dyDescent="0.3">
      <c r="O233" s="54"/>
      <c r="P233" s="54"/>
      <c r="Q233" s="54"/>
      <c r="R233" s="54"/>
      <c r="S233" s="54"/>
      <c r="T233" s="54"/>
    </row>
    <row r="234" spans="15:20" x14ac:dyDescent="0.3">
      <c r="O234" s="54"/>
      <c r="P234" s="54"/>
      <c r="Q234" s="54"/>
      <c r="R234" s="54"/>
      <c r="S234" s="54"/>
      <c r="T234" s="54"/>
    </row>
    <row r="235" spans="15:20" x14ac:dyDescent="0.3">
      <c r="O235" s="54"/>
      <c r="P235" s="54"/>
      <c r="Q235" s="54"/>
      <c r="R235" s="54"/>
      <c r="S235" s="54"/>
      <c r="T235" s="54"/>
    </row>
    <row r="236" spans="15:20" x14ac:dyDescent="0.3">
      <c r="O236" s="54"/>
      <c r="P236" s="54"/>
      <c r="Q236" s="54"/>
      <c r="R236" s="54"/>
      <c r="S236" s="54"/>
      <c r="T236" s="54"/>
    </row>
    <row r="237" spans="15:20" x14ac:dyDescent="0.3">
      <c r="O237" s="54"/>
      <c r="P237" s="54"/>
      <c r="Q237" s="54"/>
      <c r="R237" s="54"/>
      <c r="S237" s="54"/>
      <c r="T237" s="54"/>
    </row>
    <row r="238" spans="15:20" x14ac:dyDescent="0.3">
      <c r="O238" s="54"/>
      <c r="P238" s="54"/>
      <c r="Q238" s="54"/>
      <c r="R238" s="54"/>
      <c r="S238" s="54"/>
      <c r="T238" s="54"/>
    </row>
    <row r="239" spans="15:20" x14ac:dyDescent="0.3">
      <c r="O239" s="54"/>
      <c r="P239" s="54"/>
      <c r="Q239" s="54"/>
      <c r="R239" s="54"/>
      <c r="S239" s="54"/>
      <c r="T239" s="54"/>
    </row>
    <row r="240" spans="15:20" x14ac:dyDescent="0.3">
      <c r="O240" s="54"/>
      <c r="P240" s="54"/>
      <c r="Q240" s="54"/>
      <c r="R240" s="54"/>
      <c r="S240" s="54"/>
      <c r="T240" s="54"/>
    </row>
    <row r="241" spans="15:20" x14ac:dyDescent="0.3">
      <c r="O241" s="54"/>
      <c r="P241" s="54"/>
      <c r="Q241" s="54"/>
      <c r="R241" s="54"/>
      <c r="S241" s="54"/>
      <c r="T241" s="54"/>
    </row>
    <row r="242" spans="15:20" x14ac:dyDescent="0.3">
      <c r="O242" s="54"/>
      <c r="P242" s="54"/>
      <c r="Q242" s="54"/>
      <c r="R242" s="54"/>
      <c r="S242" s="54"/>
      <c r="T242" s="54"/>
    </row>
    <row r="243" spans="15:20" x14ac:dyDescent="0.3">
      <c r="O243" s="54"/>
      <c r="P243" s="54"/>
      <c r="Q243" s="54"/>
      <c r="R243" s="54"/>
      <c r="S243" s="54"/>
      <c r="T243" s="54"/>
    </row>
    <row r="244" spans="15:20" x14ac:dyDescent="0.3">
      <c r="O244" s="54"/>
      <c r="P244" s="54"/>
      <c r="Q244" s="54"/>
      <c r="R244" s="54"/>
      <c r="S244" s="54"/>
      <c r="T244" s="54"/>
    </row>
    <row r="245" spans="15:20" x14ac:dyDescent="0.3">
      <c r="O245" s="54"/>
      <c r="P245" s="54"/>
      <c r="Q245" s="54"/>
      <c r="R245" s="54"/>
      <c r="S245" s="54"/>
      <c r="T245" s="54"/>
    </row>
    <row r="246" spans="15:20" x14ac:dyDescent="0.3">
      <c r="O246" s="54"/>
      <c r="P246" s="54"/>
      <c r="Q246" s="54"/>
      <c r="R246" s="54"/>
      <c r="S246" s="54"/>
      <c r="T246" s="54"/>
    </row>
    <row r="247" spans="15:20" x14ac:dyDescent="0.3">
      <c r="O247" s="54"/>
      <c r="P247" s="54"/>
      <c r="Q247" s="54"/>
      <c r="R247" s="54"/>
      <c r="S247" s="54"/>
      <c r="T247" s="54"/>
    </row>
    <row r="248" spans="15:20" x14ac:dyDescent="0.3">
      <c r="O248" s="54"/>
      <c r="P248" s="54"/>
      <c r="Q248" s="54"/>
      <c r="R248" s="54"/>
      <c r="S248" s="54"/>
      <c r="T248" s="54"/>
    </row>
    <row r="249" spans="15:20" x14ac:dyDescent="0.3">
      <c r="O249" s="54"/>
      <c r="P249" s="54"/>
      <c r="Q249" s="54"/>
      <c r="R249" s="54"/>
      <c r="S249" s="54"/>
      <c r="T249" s="54"/>
    </row>
    <row r="250" spans="15:20" x14ac:dyDescent="0.3">
      <c r="O250" s="54"/>
      <c r="P250" s="54"/>
      <c r="Q250" s="54"/>
      <c r="R250" s="54"/>
      <c r="S250" s="54"/>
      <c r="T250" s="54"/>
    </row>
    <row r="251" spans="15:20" x14ac:dyDescent="0.3">
      <c r="O251" s="54"/>
      <c r="P251" s="54"/>
      <c r="Q251" s="54"/>
      <c r="R251" s="54"/>
      <c r="S251" s="54"/>
      <c r="T251" s="54"/>
    </row>
    <row r="252" spans="15:20" x14ac:dyDescent="0.3">
      <c r="O252" s="27"/>
      <c r="P252" s="27"/>
      <c r="Q252" s="27"/>
      <c r="R252" s="27"/>
      <c r="S252" s="27"/>
      <c r="T252" s="27"/>
    </row>
    <row r="253" spans="15:20" x14ac:dyDescent="0.3">
      <c r="O253" s="27"/>
      <c r="P253" s="27"/>
      <c r="Q253" s="27"/>
      <c r="R253" s="27"/>
      <c r="S253" s="27"/>
      <c r="T253" s="27"/>
    </row>
    <row r="254" spans="15:20" x14ac:dyDescent="0.3">
      <c r="O254" s="27"/>
      <c r="P254" s="27"/>
      <c r="Q254" s="27"/>
      <c r="R254" s="27"/>
      <c r="S254" s="27"/>
      <c r="T254" s="27"/>
    </row>
    <row r="255" spans="15:20" x14ac:dyDescent="0.3">
      <c r="O255" s="27"/>
      <c r="P255" s="27"/>
      <c r="Q255" s="27"/>
      <c r="R255" s="27"/>
      <c r="S255" s="27"/>
      <c r="T255" s="27"/>
    </row>
    <row r="256" spans="15:20" x14ac:dyDescent="0.3">
      <c r="O256" s="27"/>
      <c r="P256" s="27"/>
      <c r="Q256" s="27"/>
      <c r="R256" s="27"/>
      <c r="S256" s="27"/>
      <c r="T256" s="27"/>
    </row>
    <row r="257" spans="15:20" x14ac:dyDescent="0.3">
      <c r="O257" s="27"/>
      <c r="P257" s="27"/>
      <c r="Q257" s="27"/>
      <c r="R257" s="27"/>
      <c r="S257" s="27"/>
      <c r="T257" s="27"/>
    </row>
    <row r="258" spans="15:20" x14ac:dyDescent="0.3">
      <c r="O258" s="27"/>
      <c r="P258" s="27"/>
      <c r="Q258" s="27"/>
      <c r="R258" s="27"/>
      <c r="S258" s="27"/>
      <c r="T258" s="27"/>
    </row>
    <row r="259" spans="15:20" x14ac:dyDescent="0.3">
      <c r="O259" s="27"/>
      <c r="P259" s="27"/>
      <c r="Q259" s="27"/>
      <c r="R259" s="27"/>
      <c r="S259" s="27"/>
      <c r="T259" s="27"/>
    </row>
    <row r="260" spans="15:20" x14ac:dyDescent="0.3">
      <c r="O260" s="27"/>
      <c r="P260" s="27"/>
      <c r="Q260" s="27"/>
      <c r="R260" s="27"/>
      <c r="S260" s="27"/>
      <c r="T260" s="27"/>
    </row>
    <row r="261" spans="15:20" x14ac:dyDescent="0.3">
      <c r="O261" s="27"/>
      <c r="P261" s="27"/>
      <c r="Q261" s="27"/>
      <c r="R261" s="27"/>
      <c r="S261" s="27"/>
      <c r="T261" s="27"/>
    </row>
    <row r="262" spans="15:20" x14ac:dyDescent="0.3">
      <c r="O262" s="27"/>
      <c r="P262" s="27"/>
      <c r="Q262" s="27"/>
      <c r="R262" s="27"/>
      <c r="S262" s="27"/>
      <c r="T262" s="27"/>
    </row>
    <row r="263" spans="15:20" x14ac:dyDescent="0.3">
      <c r="O263" s="27"/>
      <c r="P263" s="27"/>
      <c r="Q263" s="27"/>
      <c r="R263" s="27"/>
      <c r="S263" s="27"/>
      <c r="T263" s="27"/>
    </row>
    <row r="264" spans="15:20" x14ac:dyDescent="0.3">
      <c r="O264" s="27"/>
      <c r="P264" s="27"/>
      <c r="Q264" s="27"/>
      <c r="R264" s="27"/>
      <c r="S264" s="27"/>
      <c r="T264" s="27"/>
    </row>
    <row r="265" spans="15:20" x14ac:dyDescent="0.3">
      <c r="O265" s="27"/>
      <c r="P265" s="27"/>
      <c r="Q265" s="27"/>
      <c r="R265" s="27"/>
      <c r="S265" s="27"/>
      <c r="T265" s="27"/>
    </row>
    <row r="266" spans="15:20" x14ac:dyDescent="0.3">
      <c r="O266" s="27"/>
      <c r="P266" s="27"/>
      <c r="Q266" s="27"/>
      <c r="R266" s="27"/>
      <c r="S266" s="27"/>
      <c r="T266" s="27"/>
    </row>
    <row r="267" spans="15:20" x14ac:dyDescent="0.3">
      <c r="O267" s="27"/>
      <c r="P267" s="27"/>
      <c r="Q267" s="27"/>
      <c r="R267" s="27"/>
      <c r="S267" s="27"/>
      <c r="T267" s="27"/>
    </row>
    <row r="268" spans="15:20" x14ac:dyDescent="0.3">
      <c r="O268" s="27"/>
      <c r="P268" s="27"/>
      <c r="Q268" s="27"/>
      <c r="R268" s="27"/>
      <c r="S268" s="27"/>
      <c r="T268" s="27"/>
    </row>
    <row r="269" spans="15:20" x14ac:dyDescent="0.3">
      <c r="O269" s="27"/>
      <c r="P269" s="27"/>
      <c r="Q269" s="27"/>
      <c r="R269" s="27"/>
      <c r="S269" s="27"/>
      <c r="T269" s="27"/>
    </row>
    <row r="270" spans="15:20" x14ac:dyDescent="0.3">
      <c r="O270" s="27"/>
      <c r="P270" s="27"/>
      <c r="Q270" s="27"/>
      <c r="R270" s="27"/>
      <c r="S270" s="27"/>
      <c r="T270" s="27"/>
    </row>
    <row r="271" spans="15:20" x14ac:dyDescent="0.3">
      <c r="O271" s="27"/>
      <c r="P271" s="27"/>
      <c r="Q271" s="27"/>
      <c r="R271" s="27"/>
      <c r="S271" s="27"/>
      <c r="T271" s="27"/>
    </row>
    <row r="272" spans="15:20" x14ac:dyDescent="0.3">
      <c r="O272" s="27"/>
      <c r="P272" s="27"/>
      <c r="Q272" s="27"/>
      <c r="R272" s="27"/>
      <c r="S272" s="27"/>
      <c r="T272" s="27"/>
    </row>
    <row r="273" spans="15:20" x14ac:dyDescent="0.3">
      <c r="O273" s="27"/>
      <c r="P273" s="27"/>
      <c r="Q273" s="27"/>
      <c r="R273" s="27"/>
      <c r="S273" s="27"/>
      <c r="T273" s="27"/>
    </row>
    <row r="274" spans="15:20" x14ac:dyDescent="0.3">
      <c r="O274" s="27"/>
      <c r="P274" s="27"/>
      <c r="Q274" s="27"/>
      <c r="R274" s="27"/>
      <c r="S274" s="27"/>
      <c r="T274" s="27"/>
    </row>
    <row r="275" spans="15:20" x14ac:dyDescent="0.3">
      <c r="O275" s="27"/>
      <c r="P275" s="27"/>
      <c r="Q275" s="27"/>
      <c r="R275" s="27"/>
      <c r="S275" s="27"/>
      <c r="T275" s="27"/>
    </row>
    <row r="276" spans="15:20" x14ac:dyDescent="0.3">
      <c r="O276" s="27"/>
      <c r="P276" s="27"/>
      <c r="Q276" s="27"/>
      <c r="R276" s="27"/>
      <c r="S276" s="27"/>
      <c r="T276" s="27"/>
    </row>
    <row r="277" spans="15:20" x14ac:dyDescent="0.3">
      <c r="O277" s="27"/>
      <c r="P277" s="27"/>
      <c r="Q277" s="27"/>
      <c r="R277" s="27"/>
      <c r="S277" s="27"/>
      <c r="T277" s="27"/>
    </row>
    <row r="278" spans="15:20" x14ac:dyDescent="0.3">
      <c r="O278" s="27"/>
      <c r="P278" s="27"/>
      <c r="Q278" s="27"/>
      <c r="R278" s="27"/>
      <c r="S278" s="27"/>
      <c r="T278" s="27"/>
    </row>
    <row r="279" spans="15:20" x14ac:dyDescent="0.3">
      <c r="O279" s="27"/>
      <c r="P279" s="27"/>
      <c r="Q279" s="27"/>
      <c r="R279" s="27"/>
      <c r="S279" s="27"/>
      <c r="T279" s="27"/>
    </row>
    <row r="280" spans="15:20" x14ac:dyDescent="0.3">
      <c r="O280" s="27"/>
      <c r="P280" s="27"/>
      <c r="Q280" s="27"/>
      <c r="R280" s="27"/>
      <c r="S280" s="27"/>
      <c r="T280" s="27"/>
    </row>
    <row r="281" spans="15:20" x14ac:dyDescent="0.3">
      <c r="O281" s="27"/>
      <c r="P281" s="27"/>
      <c r="Q281" s="27"/>
      <c r="R281" s="27"/>
      <c r="S281" s="27"/>
      <c r="T281" s="27"/>
    </row>
    <row r="282" spans="15:20" x14ac:dyDescent="0.3">
      <c r="O282" s="27"/>
      <c r="P282" s="27"/>
      <c r="Q282" s="27"/>
      <c r="R282" s="27"/>
      <c r="S282" s="27"/>
      <c r="T282" s="27"/>
    </row>
    <row r="283" spans="15:20" x14ac:dyDescent="0.3">
      <c r="O283" s="27"/>
      <c r="P283" s="27"/>
      <c r="Q283" s="27"/>
      <c r="R283" s="27"/>
      <c r="S283" s="27"/>
      <c r="T283" s="27"/>
    </row>
    <row r="284" spans="15:20" x14ac:dyDescent="0.3">
      <c r="O284" s="27"/>
      <c r="P284" s="27"/>
      <c r="Q284" s="27"/>
      <c r="R284" s="27"/>
      <c r="S284" s="27"/>
      <c r="T284" s="27"/>
    </row>
    <row r="285" spans="15:20" x14ac:dyDescent="0.3">
      <c r="O285" s="27"/>
      <c r="P285" s="27"/>
      <c r="Q285" s="27"/>
      <c r="R285" s="27"/>
      <c r="S285" s="27"/>
      <c r="T285" s="27"/>
    </row>
    <row r="286" spans="15:20" x14ac:dyDescent="0.3">
      <c r="O286" s="27"/>
      <c r="P286" s="27"/>
      <c r="Q286" s="27"/>
      <c r="R286" s="27"/>
      <c r="S286" s="27"/>
      <c r="T286" s="27"/>
    </row>
    <row r="287" spans="15:20" x14ac:dyDescent="0.3">
      <c r="O287" s="27"/>
      <c r="P287" s="27"/>
      <c r="Q287" s="27"/>
      <c r="R287" s="27"/>
      <c r="S287" s="27"/>
      <c r="T287" s="27"/>
    </row>
    <row r="288" spans="15:20" x14ac:dyDescent="0.3">
      <c r="O288" s="27"/>
      <c r="P288" s="27"/>
      <c r="Q288" s="27"/>
      <c r="R288" s="27"/>
      <c r="S288" s="27"/>
      <c r="T288" s="27"/>
    </row>
    <row r="289" spans="15:20" x14ac:dyDescent="0.3">
      <c r="O289" s="27"/>
      <c r="P289" s="27"/>
      <c r="Q289" s="27"/>
      <c r="R289" s="27"/>
      <c r="S289" s="27"/>
      <c r="T289" s="27"/>
    </row>
    <row r="290" spans="15:20" x14ac:dyDescent="0.3">
      <c r="O290" s="27"/>
      <c r="P290" s="27"/>
      <c r="Q290" s="27"/>
      <c r="R290" s="27"/>
      <c r="S290" s="27"/>
      <c r="T290" s="27"/>
    </row>
    <row r="291" spans="15:20" x14ac:dyDescent="0.3">
      <c r="O291" s="27"/>
      <c r="P291" s="27"/>
      <c r="Q291" s="27"/>
      <c r="R291" s="27"/>
      <c r="S291" s="27"/>
      <c r="T291" s="27"/>
    </row>
    <row r="292" spans="15:20" x14ac:dyDescent="0.3">
      <c r="O292" s="27"/>
      <c r="P292" s="27"/>
      <c r="Q292" s="27"/>
      <c r="R292" s="27"/>
      <c r="S292" s="27"/>
      <c r="T292" s="27"/>
    </row>
    <row r="293" spans="15:20" x14ac:dyDescent="0.3">
      <c r="O293" s="27"/>
      <c r="P293" s="27"/>
      <c r="Q293" s="27"/>
      <c r="R293" s="27"/>
      <c r="S293" s="27"/>
      <c r="T293" s="27"/>
    </row>
    <row r="294" spans="15:20" x14ac:dyDescent="0.3">
      <c r="O294" s="27"/>
      <c r="P294" s="27"/>
      <c r="Q294" s="27"/>
      <c r="R294" s="27"/>
      <c r="S294" s="27"/>
      <c r="T294" s="27"/>
    </row>
    <row r="295" spans="15:20" x14ac:dyDescent="0.3">
      <c r="O295" s="27"/>
      <c r="P295" s="27"/>
      <c r="Q295" s="27"/>
      <c r="R295" s="27"/>
      <c r="S295" s="27"/>
      <c r="T295" s="27"/>
    </row>
    <row r="296" spans="15:20" x14ac:dyDescent="0.3">
      <c r="O296" s="27"/>
      <c r="P296" s="27"/>
      <c r="Q296" s="27"/>
      <c r="R296" s="27"/>
      <c r="S296" s="27"/>
      <c r="T296" s="27"/>
    </row>
    <row r="297" spans="15:20" x14ac:dyDescent="0.3">
      <c r="O297" s="27"/>
      <c r="P297" s="27"/>
      <c r="Q297" s="27"/>
      <c r="R297" s="27"/>
      <c r="S297" s="27"/>
      <c r="T297" s="27"/>
    </row>
    <row r="298" spans="15:20" x14ac:dyDescent="0.3">
      <c r="O298" s="27"/>
      <c r="P298" s="27"/>
      <c r="Q298" s="27"/>
      <c r="R298" s="27"/>
      <c r="S298" s="27"/>
      <c r="T298" s="27"/>
    </row>
  </sheetData>
  <mergeCells count="2">
    <mergeCell ref="G54:H54"/>
    <mergeCell ref="G75:H75"/>
  </mergeCells>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F50C6-9DB2-4AD0-8D25-48E7615E0519}">
  <sheetPr codeName="Planilha39">
    <tabColor theme="9" tint="0.59999389629810485"/>
  </sheetPr>
  <dimension ref="A1:AF297"/>
  <sheetViews>
    <sheetView showGridLines="0" workbookViewId="0">
      <selection activeCell="J8" sqref="J8"/>
    </sheetView>
  </sheetViews>
  <sheetFormatPr defaultColWidth="8.85546875" defaultRowHeight="18.75" x14ac:dyDescent="0.3"/>
  <cols>
    <col min="1" max="1" width="12.7109375" style="17" customWidth="1"/>
    <col min="2" max="2" width="32.42578125" customWidth="1"/>
    <col min="4" max="4" width="44.28515625" bestFit="1" customWidth="1"/>
    <col min="5" max="5" width="4.5703125" customWidth="1"/>
    <col min="6" max="7" width="7.140625" bestFit="1" customWidth="1"/>
    <col min="8" max="8" width="9.28515625" bestFit="1" customWidth="1"/>
    <col min="9" max="11" width="12.42578125" bestFit="1" customWidth="1"/>
    <col min="12" max="13" width="15.140625" bestFit="1" customWidth="1"/>
    <col min="15" max="15" width="11.85546875" style="15" customWidth="1"/>
    <col min="16" max="16" width="13.42578125" style="15" customWidth="1"/>
    <col min="17" max="17" width="13" style="15" customWidth="1"/>
    <col min="18" max="18" width="10.42578125" style="15" customWidth="1"/>
    <col min="19" max="32" width="8.85546875" style="15"/>
  </cols>
  <sheetData>
    <row r="1" spans="1:32" x14ac:dyDescent="0.3">
      <c r="A1" s="16" t="s">
        <v>215</v>
      </c>
      <c r="O1" s="14"/>
      <c r="P1" s="14"/>
      <c r="Q1" s="14"/>
      <c r="R1" s="14"/>
      <c r="S1" s="14"/>
      <c r="T1" s="14"/>
      <c r="U1" s="14"/>
      <c r="V1" s="14"/>
      <c r="W1" s="14"/>
      <c r="X1" s="14"/>
      <c r="Y1" s="14"/>
      <c r="Z1" s="14"/>
      <c r="AA1" s="14"/>
      <c r="AB1" s="14"/>
      <c r="AC1" s="14"/>
      <c r="AD1" s="14"/>
      <c r="AE1" s="14"/>
      <c r="AF1" s="14"/>
    </row>
    <row r="2" spans="1:32" x14ac:dyDescent="0.3">
      <c r="A2" s="17" t="s">
        <v>216</v>
      </c>
      <c r="O2" s="14"/>
      <c r="P2" s="14"/>
      <c r="Q2" s="14"/>
      <c r="R2" s="14"/>
      <c r="S2" s="14"/>
      <c r="T2" s="14"/>
      <c r="U2" s="14"/>
      <c r="V2" s="14"/>
      <c r="W2" s="14"/>
      <c r="X2" s="14"/>
      <c r="Y2" s="14"/>
      <c r="Z2" s="14"/>
      <c r="AA2" s="14"/>
      <c r="AB2" s="14"/>
      <c r="AC2" s="14"/>
      <c r="AD2" s="14"/>
      <c r="AE2" s="14"/>
      <c r="AF2" s="14"/>
    </row>
    <row r="4" spans="1:32" ht="15.75" x14ac:dyDescent="0.25">
      <c r="A4" s="2" t="s">
        <v>15</v>
      </c>
      <c r="B4" s="2" t="s">
        <v>16</v>
      </c>
    </row>
    <row r="5" spans="1:32" ht="15.75" x14ac:dyDescent="0.25">
      <c r="A5" s="23" t="s">
        <v>167</v>
      </c>
      <c r="B5" s="24" t="s">
        <v>881</v>
      </c>
    </row>
    <row r="6" spans="1:32" ht="15.75" x14ac:dyDescent="0.25">
      <c r="A6" s="23" t="s">
        <v>217</v>
      </c>
      <c r="B6" s="24" t="s">
        <v>218</v>
      </c>
    </row>
    <row r="7" spans="1:32" ht="15.75" x14ac:dyDescent="0.25">
      <c r="A7" s="23" t="s">
        <v>211</v>
      </c>
      <c r="B7" s="24" t="s">
        <v>212</v>
      </c>
    </row>
    <row r="8" spans="1:32" ht="47.25" x14ac:dyDescent="0.25">
      <c r="A8" s="23" t="s">
        <v>231</v>
      </c>
      <c r="B8" s="26" t="s">
        <v>232</v>
      </c>
    </row>
    <row r="9" spans="1:32" ht="31.5" x14ac:dyDescent="0.25">
      <c r="A9" s="23" t="s">
        <v>244</v>
      </c>
      <c r="B9" s="26" t="s">
        <v>267</v>
      </c>
      <c r="O9" s="61"/>
      <c r="T9" s="90"/>
    </row>
    <row r="10" spans="1:32" x14ac:dyDescent="0.3">
      <c r="D10" s="1" t="s">
        <v>17</v>
      </c>
      <c r="G10" s="13" t="s">
        <v>167</v>
      </c>
      <c r="H10" s="13" t="s">
        <v>213</v>
      </c>
      <c r="I10" s="13" t="s">
        <v>214</v>
      </c>
      <c r="J10" s="13" t="s">
        <v>230</v>
      </c>
      <c r="K10" s="13" t="s">
        <v>245</v>
      </c>
      <c r="L10" s="13" t="s">
        <v>388</v>
      </c>
      <c r="O10" s="61" t="s">
        <v>253</v>
      </c>
      <c r="T10" s="90" t="s">
        <v>254</v>
      </c>
    </row>
    <row r="11" spans="1:32" ht="18.75" customHeight="1" x14ac:dyDescent="0.3">
      <c r="D11" t="s">
        <v>178</v>
      </c>
      <c r="F11" s="50">
        <v>37257</v>
      </c>
      <c r="G11" s="53">
        <v>72.400000000000006</v>
      </c>
      <c r="H11" s="55">
        <v>3</v>
      </c>
      <c r="I11" s="55" t="b">
        <v>1</v>
      </c>
      <c r="J11" s="55" t="b">
        <v>1</v>
      </c>
      <c r="K11" s="55" t="b">
        <v>1</v>
      </c>
      <c r="L11" s="55" t="b">
        <v>0</v>
      </c>
      <c r="O11" s="54" cm="1">
        <f t="array" ref="O11:Q28">_xlfn.LAMBDA(_xlpm.values,_xlop.nLeads,_xlop.fillWithNA,_xlop.allLeads,_xlop.descending,_xlop.headerFirstRow,
_xlfn.LET(
_xlpm.nLeads, IF(_xlfn.ISOMITTED(_xlpm.nLeads), 1, _xlpm.nLeads),
_xlpm.fillWithNA, IF(_xlfn.ISOMITTED(_xlpm.fillWithNA), TRUE, _xlpm.fillWithNA ),
_xlpm.allLeads, IF(_xlfn.ISOMITTED(_xlpm.allLeads), FALSE,_xlpm.allLeads),
_xlpm.descending, IF(_xlfn.ISOMITTED(_xlpm.descending), FALSE, _xlpm.descending),
_xlpm.headerFirstRow, IF(_xlfn.ISOMITTED(_xlpm.headerFirstRow), FALSE, _xlpm.headerFirstRow),
_xlpm.nCols,COLUMNS(_xlpm.values),
_xlpm.headers,IF(_xlpm.headerFirstRow, REPMAT(SLICE(_xlpm.values,1,1) &amp; "_LEAD", 1, _xlpm.nLeads * LARGE(1*_xlpm.allLeads, 1)) &amp; FLIPLR(REPMAT(_xlfn.SEQUENCE(1,_xlpm.nLeads * LARGE(1*_xlpm.allLeads, 1)), 1, _xlpm.nCols, TRUE),_xlpm.nCols), FALSE),
_xlpm.values,IF(_xlpm.headerFirstRow,SLICE(_xlpm.values,2,-1),_xlpm.values),
_xlpm.resultMatrix,
IF( OR( _xlpm.allLeads = FALSE, _xlpm.nLeads = 1),
IF(_xlpm.fillWithNA,
VERTCAT( SLICE(_xlpm.values,_xlpm.nLeads+1,-1), NA()*ONES(_xlpm.nLeads,_xlpm.nCols) ),
SLICE(_xlpm.values,_xlpm.nLeads+1,-1)
),
IF(_xlpm.fillWithNA,
HORZCAT( VERTCAT( SLICE(_xlpm.values,_xlpm.nLeads+1,-1), NA()*ONES(_xlpm.nLeads,_xlpm.nCols) ), LEAD(_xlpm.values,_xlpm.nLeads-1,_xlpm.fillWithNA,_xlpm.allLeads,TRUE) ),
HORZCAT( SLICE(_xlpm.values,_xlpm.nLeads+1,-1),  LEAD(_xlpm.values,_xlpm.nLeads-1,_xlpm.fillWithNA,_xlpm.allLeads,TRUE)  )
)),
_xlpm.resultMatrixHeaders, IF(_xlpm.headerFirstRow,VERTCAT(_xlpm.headers, _xlpm.resultMatrix), _xlpm.resultMatrix),
IF(_xlpm.descending,_xlpm.resultMatrixHeaders,FLIPLR(_xlpm.resultMatrixHeaders,COLUMNS(_xlpm.values)))
))($G$11:$G$28,$H$11,$I$11,$J$11,$K$11,$L$11)</f>
        <v>79.599999999999994</v>
      </c>
      <c r="P11" s="54">
        <v>77.400000000000006</v>
      </c>
      <c r="Q11" s="15">
        <v>69.7</v>
      </c>
      <c r="T11" s="54" cm="1">
        <f t="array" ref="T11:V28">LEAD($G$11:$G$28,$H$11,$I$11,$J$11,$K$11,$L$11)</f>
        <v>79.599999999999994</v>
      </c>
      <c r="U11" s="15">
        <v>77.400000000000006</v>
      </c>
      <c r="V11" s="15">
        <v>69.7</v>
      </c>
    </row>
    <row r="12" spans="1:32" x14ac:dyDescent="0.3">
      <c r="D12" t="s">
        <v>179</v>
      </c>
      <c r="F12" s="50">
        <v>37288</v>
      </c>
      <c r="G12" s="53">
        <v>69.7</v>
      </c>
      <c r="O12" s="54">
        <v>80.400000000000006</v>
      </c>
      <c r="P12" s="54">
        <v>79.599999999999994</v>
      </c>
      <c r="Q12" s="15">
        <v>77.400000000000006</v>
      </c>
      <c r="T12" s="54">
        <v>80.400000000000006</v>
      </c>
      <c r="U12" s="15">
        <v>79.599999999999994</v>
      </c>
      <c r="V12" s="15">
        <v>77.400000000000006</v>
      </c>
    </row>
    <row r="13" spans="1:32" x14ac:dyDescent="0.3">
      <c r="D13" t="s">
        <v>157</v>
      </c>
      <c r="F13" s="50">
        <v>37316</v>
      </c>
      <c r="G13" s="53">
        <v>77.400000000000006</v>
      </c>
      <c r="O13" s="54">
        <v>77.5</v>
      </c>
      <c r="P13" s="54">
        <v>80.400000000000006</v>
      </c>
      <c r="Q13" s="15">
        <v>79.599999999999994</v>
      </c>
      <c r="T13" s="54">
        <v>77.5</v>
      </c>
      <c r="U13" s="15">
        <v>80.400000000000006</v>
      </c>
      <c r="V13" s="15">
        <v>79.599999999999994</v>
      </c>
    </row>
    <row r="14" spans="1:32" x14ac:dyDescent="0.3">
      <c r="D14" s="56"/>
      <c r="F14" s="50">
        <v>37347</v>
      </c>
      <c r="G14" s="53">
        <v>79.599999999999994</v>
      </c>
      <c r="O14" s="54">
        <v>83.3</v>
      </c>
      <c r="P14" s="54">
        <v>77.5</v>
      </c>
      <c r="Q14" s="15">
        <v>80.400000000000006</v>
      </c>
      <c r="T14" s="54">
        <v>83.3</v>
      </c>
      <c r="U14" s="15">
        <v>77.5</v>
      </c>
      <c r="V14" s="15">
        <v>80.400000000000006</v>
      </c>
    </row>
    <row r="15" spans="1:32" x14ac:dyDescent="0.3">
      <c r="D15" s="56"/>
      <c r="F15" s="50">
        <v>37377</v>
      </c>
      <c r="G15" s="53">
        <v>80.400000000000006</v>
      </c>
      <c r="O15" s="54">
        <v>83.6</v>
      </c>
      <c r="P15" s="54">
        <v>83.3</v>
      </c>
      <c r="Q15" s="15">
        <v>77.5</v>
      </c>
      <c r="T15" s="54">
        <v>83.6</v>
      </c>
      <c r="U15" s="15">
        <v>83.3</v>
      </c>
      <c r="V15" s="15">
        <v>77.5</v>
      </c>
    </row>
    <row r="16" spans="1:32" x14ac:dyDescent="0.3">
      <c r="D16" s="47"/>
      <c r="F16" s="50">
        <v>37408</v>
      </c>
      <c r="G16" s="53">
        <v>77.5</v>
      </c>
      <c r="O16" s="54">
        <v>82.1</v>
      </c>
      <c r="P16" s="54">
        <v>83.6</v>
      </c>
      <c r="Q16" s="15">
        <v>83.3</v>
      </c>
      <c r="T16" s="54">
        <v>82.1</v>
      </c>
      <c r="U16" s="15">
        <v>83.6</v>
      </c>
      <c r="V16" s="15">
        <v>83.3</v>
      </c>
    </row>
    <row r="17" spans="6:22" x14ac:dyDescent="0.3">
      <c r="F17" s="50">
        <v>37438</v>
      </c>
      <c r="G17" s="53">
        <v>83.3</v>
      </c>
      <c r="O17" s="54">
        <v>89.2</v>
      </c>
      <c r="P17" s="54">
        <v>82.1</v>
      </c>
      <c r="Q17" s="15">
        <v>83.6</v>
      </c>
      <c r="T17" s="54">
        <v>89.2</v>
      </c>
      <c r="U17" s="15">
        <v>82.1</v>
      </c>
      <c r="V17" s="15">
        <v>83.6</v>
      </c>
    </row>
    <row r="18" spans="6:22" x14ac:dyDescent="0.3">
      <c r="F18" s="50">
        <v>37469</v>
      </c>
      <c r="G18" s="53">
        <v>83.6</v>
      </c>
      <c r="O18" s="54">
        <v>83.9</v>
      </c>
      <c r="P18" s="54">
        <v>89.2</v>
      </c>
      <c r="Q18" s="15">
        <v>82.1</v>
      </c>
      <c r="T18" s="54">
        <v>83.9</v>
      </c>
      <c r="U18" s="15">
        <v>89.2</v>
      </c>
      <c r="V18" s="15">
        <v>82.1</v>
      </c>
    </row>
    <row r="19" spans="6:22" x14ac:dyDescent="0.3">
      <c r="F19" s="50">
        <v>37500</v>
      </c>
      <c r="G19" s="53">
        <v>82.1</v>
      </c>
      <c r="O19" s="54">
        <v>74.599999999999994</v>
      </c>
      <c r="P19" s="54">
        <v>83.9</v>
      </c>
      <c r="Q19" s="15">
        <v>89.2</v>
      </c>
      <c r="T19" s="54">
        <v>74.599999999999994</v>
      </c>
      <c r="U19" s="15">
        <v>83.9</v>
      </c>
      <c r="V19" s="15">
        <v>89.2</v>
      </c>
    </row>
    <row r="20" spans="6:22" x14ac:dyDescent="0.3">
      <c r="F20" s="50">
        <v>37530</v>
      </c>
      <c r="G20" s="53">
        <v>89.2</v>
      </c>
      <c r="O20" s="54">
        <v>74</v>
      </c>
      <c r="P20" s="54">
        <v>74.599999999999994</v>
      </c>
      <c r="Q20" s="15">
        <v>83.9</v>
      </c>
      <c r="T20" s="54">
        <v>74</v>
      </c>
      <c r="U20" s="15">
        <v>74.599999999999994</v>
      </c>
      <c r="V20" s="15">
        <v>83.9</v>
      </c>
    </row>
    <row r="21" spans="6:22" x14ac:dyDescent="0.3">
      <c r="F21" s="50">
        <v>37561</v>
      </c>
      <c r="G21" s="53">
        <v>83.9</v>
      </c>
      <c r="O21" s="54">
        <v>71.8</v>
      </c>
      <c r="P21" s="54">
        <v>74</v>
      </c>
      <c r="Q21" s="15">
        <v>74.599999999999994</v>
      </c>
      <c r="T21" s="54">
        <v>71.8</v>
      </c>
      <c r="U21" s="15">
        <v>74</v>
      </c>
      <c r="V21" s="15">
        <v>74.599999999999994</v>
      </c>
    </row>
    <row r="22" spans="6:22" x14ac:dyDescent="0.3">
      <c r="F22" s="50">
        <v>37591</v>
      </c>
      <c r="G22" s="53">
        <v>74.599999999999994</v>
      </c>
      <c r="O22" s="54">
        <v>77.400000000000006</v>
      </c>
      <c r="P22" s="54">
        <v>71.8</v>
      </c>
      <c r="Q22" s="15">
        <v>74</v>
      </c>
      <c r="T22" s="54">
        <v>77.400000000000006</v>
      </c>
      <c r="U22" s="15">
        <v>71.8</v>
      </c>
      <c r="V22" s="15">
        <v>74</v>
      </c>
    </row>
    <row r="23" spans="6:22" x14ac:dyDescent="0.3">
      <c r="F23" s="50">
        <v>37622</v>
      </c>
      <c r="G23" s="53">
        <v>74</v>
      </c>
      <c r="O23" s="54">
        <v>76.5</v>
      </c>
      <c r="P23" s="54">
        <v>77.400000000000006</v>
      </c>
      <c r="Q23" s="15">
        <v>71.8</v>
      </c>
      <c r="T23" s="54">
        <v>76.5</v>
      </c>
      <c r="U23" s="15">
        <v>77.400000000000006</v>
      </c>
      <c r="V23" s="15">
        <v>71.8</v>
      </c>
    </row>
    <row r="24" spans="6:22" x14ac:dyDescent="0.3">
      <c r="F24" s="50">
        <v>37653</v>
      </c>
      <c r="G24" s="53">
        <v>71.8</v>
      </c>
      <c r="O24" s="54">
        <v>79.7</v>
      </c>
      <c r="P24" s="54">
        <v>76.5</v>
      </c>
      <c r="Q24" s="15">
        <v>77.400000000000006</v>
      </c>
      <c r="T24" s="54">
        <v>79.7</v>
      </c>
      <c r="U24" s="15">
        <v>76.5</v>
      </c>
      <c r="V24" s="15">
        <v>77.400000000000006</v>
      </c>
    </row>
    <row r="25" spans="6:22" x14ac:dyDescent="0.3">
      <c r="F25" s="50">
        <v>37681</v>
      </c>
      <c r="G25" s="53">
        <v>77.400000000000006</v>
      </c>
      <c r="O25" s="54">
        <v>76.3</v>
      </c>
      <c r="P25" s="54">
        <v>79.7</v>
      </c>
      <c r="Q25" s="15">
        <v>76.5</v>
      </c>
      <c r="T25" s="54">
        <v>76.3</v>
      </c>
      <c r="U25" s="15">
        <v>79.7</v>
      </c>
      <c r="V25" s="15">
        <v>76.5</v>
      </c>
    </row>
    <row r="26" spans="6:22" x14ac:dyDescent="0.3">
      <c r="F26" s="50">
        <v>37712</v>
      </c>
      <c r="G26" s="53">
        <v>76.5</v>
      </c>
      <c r="O26" s="54" t="e">
        <v>#N/A</v>
      </c>
      <c r="P26" s="54">
        <v>76.3</v>
      </c>
      <c r="Q26" s="15">
        <v>79.7</v>
      </c>
      <c r="T26" s="54" t="e">
        <v>#N/A</v>
      </c>
      <c r="U26" s="15">
        <v>76.3</v>
      </c>
      <c r="V26" s="15">
        <v>79.7</v>
      </c>
    </row>
    <row r="27" spans="6:22" x14ac:dyDescent="0.3">
      <c r="F27" s="50">
        <v>37742</v>
      </c>
      <c r="G27" s="53">
        <v>79.7</v>
      </c>
      <c r="O27" s="54" t="e">
        <v>#N/A</v>
      </c>
      <c r="P27" s="54" t="e">
        <v>#N/A</v>
      </c>
      <c r="Q27" s="15">
        <v>76.3</v>
      </c>
      <c r="T27" s="54" t="e">
        <v>#N/A</v>
      </c>
      <c r="U27" s="15" t="e">
        <v>#N/A</v>
      </c>
      <c r="V27" s="15">
        <v>76.3</v>
      </c>
    </row>
    <row r="28" spans="6:22" x14ac:dyDescent="0.3">
      <c r="F28" s="50">
        <v>37773</v>
      </c>
      <c r="G28" s="53">
        <v>76.3</v>
      </c>
      <c r="O28" s="54" t="e">
        <v>#N/A</v>
      </c>
      <c r="P28" s="54" t="e">
        <v>#N/A</v>
      </c>
      <c r="Q28" s="15" t="e">
        <v>#N/A</v>
      </c>
      <c r="T28" s="54" t="e">
        <v>#N/A</v>
      </c>
      <c r="U28" s="15" t="e">
        <v>#N/A</v>
      </c>
      <c r="V28" s="15" t="e">
        <v>#N/A</v>
      </c>
    </row>
    <row r="29" spans="6:22" x14ac:dyDescent="0.3">
      <c r="O29" s="54"/>
      <c r="P29" s="54"/>
      <c r="T29" s="54"/>
    </row>
    <row r="30" spans="6:22" x14ac:dyDescent="0.3">
      <c r="O30" s="54"/>
      <c r="P30" s="54"/>
      <c r="T30" s="54"/>
    </row>
    <row r="31" spans="6:22" x14ac:dyDescent="0.3">
      <c r="G31" s="13" t="s">
        <v>167</v>
      </c>
      <c r="H31" s="13" t="s">
        <v>213</v>
      </c>
      <c r="I31" s="13" t="s">
        <v>214</v>
      </c>
      <c r="J31" s="13" t="s">
        <v>230</v>
      </c>
      <c r="K31" s="13" t="s">
        <v>245</v>
      </c>
      <c r="L31" s="13" t="s">
        <v>388</v>
      </c>
      <c r="O31" s="90" t="s">
        <v>254</v>
      </c>
    </row>
    <row r="32" spans="6:22" x14ac:dyDescent="0.3">
      <c r="G32" s="53" t="s">
        <v>389</v>
      </c>
      <c r="H32" s="55">
        <v>3</v>
      </c>
      <c r="I32" s="55" t="b">
        <v>1</v>
      </c>
      <c r="J32" s="55" t="b">
        <v>1</v>
      </c>
      <c r="K32" s="55" t="b">
        <v>1</v>
      </c>
      <c r="L32" s="55" t="b">
        <v>1</v>
      </c>
      <c r="O32" s="54" t="str" cm="1">
        <f t="array" ref="O32:Q50">LEAD($G$32:$G$50,$H$32,$I$32,$J$32,$K$32,$L$32)</f>
        <v>IP_LEAD3</v>
      </c>
      <c r="P32" s="15" t="str">
        <v>IP_LEAD2</v>
      </c>
      <c r="Q32" s="15" t="str">
        <v>IP_LEAD1</v>
      </c>
    </row>
    <row r="33" spans="6:17" x14ac:dyDescent="0.3">
      <c r="F33" s="50">
        <v>37257</v>
      </c>
      <c r="G33" s="53">
        <v>72.400000000000006</v>
      </c>
      <c r="O33" s="54">
        <v>79.599999999999994</v>
      </c>
      <c r="P33" s="15">
        <v>77.400000000000006</v>
      </c>
      <c r="Q33" s="15">
        <v>69.7</v>
      </c>
    </row>
    <row r="34" spans="6:17" x14ac:dyDescent="0.3">
      <c r="F34" s="50">
        <v>37288</v>
      </c>
      <c r="G34" s="53">
        <v>69.7</v>
      </c>
      <c r="O34" s="54">
        <v>80.400000000000006</v>
      </c>
      <c r="P34" s="15">
        <v>79.599999999999994</v>
      </c>
      <c r="Q34" s="15">
        <v>77.400000000000006</v>
      </c>
    </row>
    <row r="35" spans="6:17" x14ac:dyDescent="0.3">
      <c r="F35" s="50">
        <v>37316</v>
      </c>
      <c r="G35" s="53">
        <v>77.400000000000006</v>
      </c>
      <c r="O35" s="54">
        <v>77.5</v>
      </c>
      <c r="P35" s="15">
        <v>80.400000000000006</v>
      </c>
      <c r="Q35" s="15">
        <v>79.599999999999994</v>
      </c>
    </row>
    <row r="36" spans="6:17" x14ac:dyDescent="0.3">
      <c r="F36" s="50">
        <v>37347</v>
      </c>
      <c r="G36" s="53">
        <v>79.599999999999994</v>
      </c>
      <c r="O36" s="54">
        <v>83.3</v>
      </c>
      <c r="P36" s="15">
        <v>77.5</v>
      </c>
      <c r="Q36" s="15">
        <v>80.400000000000006</v>
      </c>
    </row>
    <row r="37" spans="6:17" x14ac:dyDescent="0.3">
      <c r="F37" s="50">
        <v>37377</v>
      </c>
      <c r="G37" s="53">
        <v>80.400000000000006</v>
      </c>
      <c r="O37" s="54">
        <v>83.6</v>
      </c>
      <c r="P37" s="15">
        <v>83.3</v>
      </c>
      <c r="Q37" s="15">
        <v>77.5</v>
      </c>
    </row>
    <row r="38" spans="6:17" x14ac:dyDescent="0.3">
      <c r="F38" s="50">
        <v>37408</v>
      </c>
      <c r="G38" s="53">
        <v>77.5</v>
      </c>
      <c r="O38" s="54">
        <v>82.1</v>
      </c>
      <c r="P38" s="15">
        <v>83.6</v>
      </c>
      <c r="Q38" s="15">
        <v>83.3</v>
      </c>
    </row>
    <row r="39" spans="6:17" x14ac:dyDescent="0.3">
      <c r="F39" s="50">
        <v>37438</v>
      </c>
      <c r="G39" s="53">
        <v>83.3</v>
      </c>
      <c r="O39" s="54">
        <v>89.2</v>
      </c>
      <c r="P39" s="15">
        <v>82.1</v>
      </c>
      <c r="Q39" s="15">
        <v>83.6</v>
      </c>
    </row>
    <row r="40" spans="6:17" x14ac:dyDescent="0.3">
      <c r="F40" s="50">
        <v>37469</v>
      </c>
      <c r="G40" s="53">
        <v>83.6</v>
      </c>
      <c r="O40" s="54">
        <v>83.9</v>
      </c>
      <c r="P40" s="15">
        <v>89.2</v>
      </c>
      <c r="Q40" s="15">
        <v>82.1</v>
      </c>
    </row>
    <row r="41" spans="6:17" x14ac:dyDescent="0.3">
      <c r="F41" s="50">
        <v>37500</v>
      </c>
      <c r="G41" s="53">
        <v>82.1</v>
      </c>
      <c r="O41" s="54">
        <v>74.599999999999994</v>
      </c>
      <c r="P41" s="15">
        <v>83.9</v>
      </c>
      <c r="Q41" s="15">
        <v>89.2</v>
      </c>
    </row>
    <row r="42" spans="6:17" x14ac:dyDescent="0.3">
      <c r="F42" s="50">
        <v>37530</v>
      </c>
      <c r="G42" s="53">
        <v>89.2</v>
      </c>
      <c r="O42" s="54">
        <v>74</v>
      </c>
      <c r="P42" s="15">
        <v>74.599999999999994</v>
      </c>
      <c r="Q42" s="15">
        <v>83.9</v>
      </c>
    </row>
    <row r="43" spans="6:17" x14ac:dyDescent="0.3">
      <c r="F43" s="50">
        <v>37561</v>
      </c>
      <c r="G43" s="53">
        <v>83.9</v>
      </c>
      <c r="O43" s="54">
        <v>71.8</v>
      </c>
      <c r="P43" s="15">
        <v>74</v>
      </c>
      <c r="Q43" s="15">
        <v>74.599999999999994</v>
      </c>
    </row>
    <row r="44" spans="6:17" x14ac:dyDescent="0.3">
      <c r="F44" s="50">
        <v>37591</v>
      </c>
      <c r="G44" s="53">
        <v>74.599999999999994</v>
      </c>
      <c r="O44" s="54">
        <v>77.400000000000006</v>
      </c>
      <c r="P44" s="15">
        <v>71.8</v>
      </c>
      <c r="Q44" s="15">
        <v>74</v>
      </c>
    </row>
    <row r="45" spans="6:17" x14ac:dyDescent="0.3">
      <c r="F45" s="50">
        <v>37622</v>
      </c>
      <c r="G45" s="53">
        <v>74</v>
      </c>
      <c r="O45" s="54">
        <v>76.5</v>
      </c>
      <c r="P45" s="15">
        <v>77.400000000000006</v>
      </c>
      <c r="Q45" s="15">
        <v>71.8</v>
      </c>
    </row>
    <row r="46" spans="6:17" x14ac:dyDescent="0.3">
      <c r="F46" s="50">
        <v>37653</v>
      </c>
      <c r="G46" s="53">
        <v>71.8</v>
      </c>
      <c r="O46" s="54">
        <v>79.7</v>
      </c>
      <c r="P46" s="15">
        <v>76.5</v>
      </c>
      <c r="Q46" s="15">
        <v>77.400000000000006</v>
      </c>
    </row>
    <row r="47" spans="6:17" x14ac:dyDescent="0.3">
      <c r="F47" s="50">
        <v>37681</v>
      </c>
      <c r="G47" s="53">
        <v>77.400000000000006</v>
      </c>
      <c r="O47" s="54">
        <v>76.3</v>
      </c>
      <c r="P47" s="15">
        <v>79.7</v>
      </c>
      <c r="Q47" s="15">
        <v>76.5</v>
      </c>
    </row>
    <row r="48" spans="6:17" x14ac:dyDescent="0.3">
      <c r="F48" s="50">
        <v>37712</v>
      </c>
      <c r="G48" s="53">
        <v>76.5</v>
      </c>
      <c r="O48" s="54" t="e">
        <v>#N/A</v>
      </c>
      <c r="P48" s="15">
        <v>76.3</v>
      </c>
      <c r="Q48" s="15">
        <v>79.7</v>
      </c>
    </row>
    <row r="49" spans="6:20" x14ac:dyDescent="0.3">
      <c r="F49" s="50">
        <v>37742</v>
      </c>
      <c r="G49" s="53">
        <v>79.7</v>
      </c>
      <c r="O49" s="54" t="e">
        <v>#N/A</v>
      </c>
      <c r="P49" s="15" t="e">
        <v>#N/A</v>
      </c>
      <c r="Q49" s="15">
        <v>76.3</v>
      </c>
    </row>
    <row r="50" spans="6:20" x14ac:dyDescent="0.3">
      <c r="F50" s="50">
        <v>37773</v>
      </c>
      <c r="G50" s="53">
        <v>76.3</v>
      </c>
      <c r="O50" s="54" t="e">
        <v>#N/A</v>
      </c>
      <c r="P50" s="15" t="e">
        <v>#N/A</v>
      </c>
      <c r="Q50" s="15" t="e">
        <v>#N/A</v>
      </c>
    </row>
    <row r="51" spans="6:20" x14ac:dyDescent="0.3">
      <c r="O51" s="54"/>
      <c r="P51" s="54"/>
      <c r="T51" s="54"/>
    </row>
    <row r="52" spans="6:20" x14ac:dyDescent="0.3">
      <c r="O52" s="54"/>
      <c r="P52" s="54"/>
      <c r="T52" s="54"/>
    </row>
    <row r="53" spans="6:20" x14ac:dyDescent="0.3">
      <c r="G53" s="132" t="s">
        <v>167</v>
      </c>
      <c r="H53" s="133"/>
      <c r="I53" s="13" t="s">
        <v>213</v>
      </c>
      <c r="J53" s="13" t="s">
        <v>214</v>
      </c>
      <c r="K53" s="13" t="s">
        <v>230</v>
      </c>
      <c r="L53" s="13" t="s">
        <v>245</v>
      </c>
      <c r="M53" s="13" t="s">
        <v>388</v>
      </c>
      <c r="O53" s="90" t="s">
        <v>254</v>
      </c>
    </row>
    <row r="54" spans="6:20" x14ac:dyDescent="0.3">
      <c r="F54" s="50">
        <v>37257</v>
      </c>
      <c r="G54" s="53">
        <v>72.400000000000006</v>
      </c>
      <c r="H54" s="53">
        <v>53</v>
      </c>
      <c r="I54" s="55">
        <v>3</v>
      </c>
      <c r="J54" s="55" t="b">
        <v>1</v>
      </c>
      <c r="K54" s="55" t="b">
        <v>1</v>
      </c>
      <c r="L54" s="55" t="b">
        <v>0</v>
      </c>
      <c r="M54" s="55" t="b">
        <v>0</v>
      </c>
      <c r="O54" s="54" cm="1">
        <f t="array" ref="O54:T71">LEAD($G$54:$H$71,$I$54,$J$54,$K$54,$L$54,$M$54)</f>
        <v>69.7</v>
      </c>
      <c r="P54" s="54">
        <v>34.299999999999997</v>
      </c>
      <c r="Q54" s="54">
        <v>77.400000000000006</v>
      </c>
      <c r="R54" s="54">
        <v>42.3</v>
      </c>
      <c r="S54" s="54">
        <v>79.599999999999994</v>
      </c>
      <c r="T54" s="15">
        <v>54.3</v>
      </c>
    </row>
    <row r="55" spans="6:20" x14ac:dyDescent="0.3">
      <c r="F55" s="50">
        <v>37288</v>
      </c>
      <c r="G55" s="53">
        <v>69.7</v>
      </c>
      <c r="H55" s="53">
        <v>34.299999999999997</v>
      </c>
      <c r="O55" s="54">
        <v>77.400000000000006</v>
      </c>
      <c r="P55" s="54">
        <v>42.3</v>
      </c>
      <c r="Q55" s="54">
        <v>79.599999999999994</v>
      </c>
      <c r="R55" s="54">
        <v>54.3</v>
      </c>
      <c r="S55" s="54">
        <v>80.400000000000006</v>
      </c>
      <c r="T55" s="15">
        <v>54.9</v>
      </c>
    </row>
    <row r="56" spans="6:20" x14ac:dyDescent="0.3">
      <c r="F56" s="50">
        <v>37316</v>
      </c>
      <c r="G56" s="53">
        <v>77.400000000000006</v>
      </c>
      <c r="H56" s="53">
        <v>42.3</v>
      </c>
      <c r="O56" s="54">
        <v>79.599999999999994</v>
      </c>
      <c r="P56" s="54">
        <v>54.3</v>
      </c>
      <c r="Q56" s="54">
        <v>80.400000000000006</v>
      </c>
      <c r="R56" s="54">
        <v>54.9</v>
      </c>
      <c r="S56" s="54">
        <v>77.5</v>
      </c>
      <c r="T56" s="15">
        <v>43</v>
      </c>
    </row>
    <row r="57" spans="6:20" x14ac:dyDescent="0.3">
      <c r="F57" s="50">
        <v>37347</v>
      </c>
      <c r="G57" s="53">
        <v>79.599999999999994</v>
      </c>
      <c r="H57" s="53">
        <v>54.3</v>
      </c>
      <c r="O57" s="54">
        <v>80.400000000000006</v>
      </c>
      <c r="P57" s="54">
        <v>54.9</v>
      </c>
      <c r="Q57" s="54">
        <v>77.5</v>
      </c>
      <c r="R57" s="54">
        <v>43</v>
      </c>
      <c r="S57" s="54">
        <v>83.3</v>
      </c>
      <c r="T57" s="15">
        <v>43.7</v>
      </c>
    </row>
    <row r="58" spans="6:20" x14ac:dyDescent="0.3">
      <c r="F58" s="50">
        <v>37377</v>
      </c>
      <c r="G58" s="53">
        <v>80.400000000000006</v>
      </c>
      <c r="H58" s="53">
        <v>54.9</v>
      </c>
      <c r="O58" s="54">
        <v>77.5</v>
      </c>
      <c r="P58" s="54">
        <v>43</v>
      </c>
      <c r="Q58" s="54">
        <v>83.3</v>
      </c>
      <c r="R58" s="54">
        <v>43.7</v>
      </c>
      <c r="S58" s="54">
        <v>83.6</v>
      </c>
      <c r="T58" s="15">
        <v>26.9</v>
      </c>
    </row>
    <row r="59" spans="6:20" x14ac:dyDescent="0.3">
      <c r="F59" s="50">
        <v>37408</v>
      </c>
      <c r="G59" s="53">
        <v>77.5</v>
      </c>
      <c r="H59" s="53">
        <v>43</v>
      </c>
      <c r="O59" s="54">
        <v>83.3</v>
      </c>
      <c r="P59" s="54">
        <v>43.7</v>
      </c>
      <c r="Q59" s="54">
        <v>83.6</v>
      </c>
      <c r="R59" s="54">
        <v>26.9</v>
      </c>
      <c r="S59" s="54">
        <v>82.1</v>
      </c>
      <c r="T59" s="15">
        <v>35.700000000000003</v>
      </c>
    </row>
    <row r="60" spans="6:20" x14ac:dyDescent="0.3">
      <c r="F60" s="50">
        <v>37438</v>
      </c>
      <c r="G60" s="53">
        <v>83.3</v>
      </c>
      <c r="H60" s="53">
        <v>43.7</v>
      </c>
      <c r="O60" s="54">
        <v>83.6</v>
      </c>
      <c r="P60" s="54">
        <v>26.9</v>
      </c>
      <c r="Q60" s="54">
        <v>82.1</v>
      </c>
      <c r="R60" s="54">
        <v>35.700000000000003</v>
      </c>
      <c r="S60" s="54">
        <v>89.2</v>
      </c>
      <c r="T60" s="15">
        <v>25.8</v>
      </c>
    </row>
    <row r="61" spans="6:20" x14ac:dyDescent="0.3">
      <c r="F61" s="50">
        <v>37469</v>
      </c>
      <c r="G61" s="53">
        <v>83.6</v>
      </c>
      <c r="H61" s="53">
        <v>26.9</v>
      </c>
      <c r="O61" s="54">
        <v>82.1</v>
      </c>
      <c r="P61" s="54">
        <v>35.700000000000003</v>
      </c>
      <c r="Q61" s="54">
        <v>89.2</v>
      </c>
      <c r="R61" s="54">
        <v>25.8</v>
      </c>
      <c r="S61" s="54">
        <v>83.9</v>
      </c>
      <c r="T61" s="15">
        <v>74</v>
      </c>
    </row>
    <row r="62" spans="6:20" x14ac:dyDescent="0.3">
      <c r="F62" s="50">
        <v>37500</v>
      </c>
      <c r="G62" s="53">
        <v>82.1</v>
      </c>
      <c r="H62" s="53">
        <v>35.700000000000003</v>
      </c>
      <c r="O62" s="54">
        <v>89.2</v>
      </c>
      <c r="P62" s="54">
        <v>25.8</v>
      </c>
      <c r="Q62" s="54">
        <v>83.9</v>
      </c>
      <c r="R62" s="54">
        <v>74</v>
      </c>
      <c r="S62" s="54">
        <v>74.599999999999994</v>
      </c>
      <c r="T62" s="15">
        <v>36.6</v>
      </c>
    </row>
    <row r="63" spans="6:20" x14ac:dyDescent="0.3">
      <c r="F63" s="50">
        <v>37530</v>
      </c>
      <c r="G63" s="53">
        <v>89.2</v>
      </c>
      <c r="H63" s="53">
        <v>25.8</v>
      </c>
      <c r="O63" s="54">
        <v>83.9</v>
      </c>
      <c r="P63" s="54">
        <v>74</v>
      </c>
      <c r="Q63" s="54">
        <v>74.599999999999994</v>
      </c>
      <c r="R63" s="54">
        <v>36.6</v>
      </c>
      <c r="S63" s="54">
        <v>74</v>
      </c>
      <c r="T63" s="15">
        <v>64.7</v>
      </c>
    </row>
    <row r="64" spans="6:20" x14ac:dyDescent="0.3">
      <c r="F64" s="50">
        <v>37561</v>
      </c>
      <c r="G64" s="53">
        <v>83.9</v>
      </c>
      <c r="H64" s="53">
        <v>74</v>
      </c>
      <c r="O64" s="54">
        <v>74.599999999999994</v>
      </c>
      <c r="P64" s="54">
        <v>36.6</v>
      </c>
      <c r="Q64" s="54">
        <v>74</v>
      </c>
      <c r="R64" s="54">
        <v>64.7</v>
      </c>
      <c r="S64" s="54">
        <v>71.8</v>
      </c>
      <c r="T64" s="15">
        <v>35.6</v>
      </c>
    </row>
    <row r="65" spans="6:20" x14ac:dyDescent="0.3">
      <c r="F65" s="50">
        <v>37591</v>
      </c>
      <c r="G65" s="53">
        <v>74.599999999999994</v>
      </c>
      <c r="H65" s="53">
        <v>36.6</v>
      </c>
      <c r="O65" s="54">
        <v>74</v>
      </c>
      <c r="P65" s="54">
        <v>64.7</v>
      </c>
      <c r="Q65" s="54">
        <v>71.8</v>
      </c>
      <c r="R65" s="54">
        <v>35.6</v>
      </c>
      <c r="S65" s="54">
        <v>77.400000000000006</v>
      </c>
      <c r="T65" s="15">
        <v>35.4</v>
      </c>
    </row>
    <row r="66" spans="6:20" x14ac:dyDescent="0.3">
      <c r="F66" s="50">
        <v>37622</v>
      </c>
      <c r="G66" s="53">
        <v>74</v>
      </c>
      <c r="H66" s="53">
        <v>64.7</v>
      </c>
      <c r="O66" s="54">
        <v>71.8</v>
      </c>
      <c r="P66" s="54">
        <v>35.6</v>
      </c>
      <c r="Q66" s="54">
        <v>77.400000000000006</v>
      </c>
      <c r="R66" s="54">
        <v>35.4</v>
      </c>
      <c r="S66" s="54">
        <v>76.5</v>
      </c>
      <c r="T66" s="15">
        <v>87.9</v>
      </c>
    </row>
    <row r="67" spans="6:20" x14ac:dyDescent="0.3">
      <c r="F67" s="50">
        <v>37653</v>
      </c>
      <c r="G67" s="53">
        <v>71.8</v>
      </c>
      <c r="H67" s="53">
        <v>35.6</v>
      </c>
      <c r="O67" s="54">
        <v>77.400000000000006</v>
      </c>
      <c r="P67" s="54">
        <v>35.4</v>
      </c>
      <c r="Q67" s="54">
        <v>76.5</v>
      </c>
      <c r="R67" s="54">
        <v>87.9</v>
      </c>
      <c r="S67" s="54">
        <v>79.7</v>
      </c>
      <c r="T67" s="15">
        <v>43.6</v>
      </c>
    </row>
    <row r="68" spans="6:20" x14ac:dyDescent="0.3">
      <c r="F68" s="50">
        <v>37681</v>
      </c>
      <c r="G68" s="53">
        <v>77.400000000000006</v>
      </c>
      <c r="H68" s="53">
        <v>35.4</v>
      </c>
      <c r="O68" s="54">
        <v>76.5</v>
      </c>
      <c r="P68" s="54">
        <v>87.9</v>
      </c>
      <c r="Q68" s="54">
        <v>79.7</v>
      </c>
      <c r="R68" s="54">
        <v>43.6</v>
      </c>
      <c r="S68" s="54">
        <v>76.3</v>
      </c>
      <c r="T68" s="15">
        <v>34.5</v>
      </c>
    </row>
    <row r="69" spans="6:20" x14ac:dyDescent="0.3">
      <c r="F69" s="50">
        <v>37712</v>
      </c>
      <c r="G69" s="53">
        <v>76.5</v>
      </c>
      <c r="H69" s="53">
        <v>87.9</v>
      </c>
      <c r="O69" s="54">
        <v>79.7</v>
      </c>
      <c r="P69" s="54">
        <v>43.6</v>
      </c>
      <c r="Q69" s="54">
        <v>76.3</v>
      </c>
      <c r="R69" s="54">
        <v>34.5</v>
      </c>
      <c r="S69" s="54" t="e">
        <v>#N/A</v>
      </c>
      <c r="T69" s="15" t="e">
        <v>#N/A</v>
      </c>
    </row>
    <row r="70" spans="6:20" x14ac:dyDescent="0.3">
      <c r="F70" s="50">
        <v>37742</v>
      </c>
      <c r="G70" s="53">
        <v>79.7</v>
      </c>
      <c r="H70" s="53">
        <v>43.6</v>
      </c>
      <c r="O70" s="54">
        <v>76.3</v>
      </c>
      <c r="P70" s="54">
        <v>34.5</v>
      </c>
      <c r="Q70" s="54" t="e">
        <v>#N/A</v>
      </c>
      <c r="R70" s="54" t="e">
        <v>#N/A</v>
      </c>
      <c r="S70" s="54" t="e">
        <v>#N/A</v>
      </c>
      <c r="T70" s="15" t="e">
        <v>#N/A</v>
      </c>
    </row>
    <row r="71" spans="6:20" x14ac:dyDescent="0.3">
      <c r="F71" s="50">
        <v>37773</v>
      </c>
      <c r="G71" s="53">
        <v>76.3</v>
      </c>
      <c r="H71" s="53">
        <v>34.5</v>
      </c>
      <c r="O71" s="54" t="e">
        <v>#N/A</v>
      </c>
      <c r="P71" s="54" t="e">
        <v>#N/A</v>
      </c>
      <c r="Q71" s="54" t="e">
        <v>#N/A</v>
      </c>
      <c r="R71" s="54" t="e">
        <v>#N/A</v>
      </c>
      <c r="S71" s="54" t="e">
        <v>#N/A</v>
      </c>
      <c r="T71" s="15" t="e">
        <v>#N/A</v>
      </c>
    </row>
    <row r="72" spans="6:20" x14ac:dyDescent="0.3">
      <c r="O72" s="54"/>
      <c r="P72" s="54"/>
      <c r="T72" s="54"/>
    </row>
    <row r="73" spans="6:20" x14ac:dyDescent="0.3">
      <c r="O73" s="54"/>
      <c r="P73" s="54"/>
      <c r="T73" s="54"/>
    </row>
    <row r="74" spans="6:20" x14ac:dyDescent="0.3">
      <c r="G74" s="132" t="s">
        <v>167</v>
      </c>
      <c r="H74" s="133"/>
      <c r="I74" s="13" t="s">
        <v>213</v>
      </c>
      <c r="J74" s="13" t="s">
        <v>214</v>
      </c>
      <c r="K74" s="13" t="s">
        <v>230</v>
      </c>
      <c r="L74" s="13" t="s">
        <v>245</v>
      </c>
      <c r="M74" s="13" t="s">
        <v>388</v>
      </c>
      <c r="O74" s="90" t="s">
        <v>254</v>
      </c>
      <c r="T74" s="54"/>
    </row>
    <row r="75" spans="6:20" x14ac:dyDescent="0.3">
      <c r="F75" s="50"/>
      <c r="G75" s="53" t="s">
        <v>896</v>
      </c>
      <c r="H75" s="53" t="s">
        <v>897</v>
      </c>
      <c r="I75" s="55">
        <v>2</v>
      </c>
      <c r="J75" s="55" t="b">
        <v>1</v>
      </c>
      <c r="K75" s="55" t="b">
        <v>1</v>
      </c>
      <c r="L75" s="55" t="b">
        <v>0</v>
      </c>
      <c r="M75" s="55" t="b">
        <v>1</v>
      </c>
      <c r="O75" s="54" t="str" cm="1">
        <f t="array" ref="O75:R93">LEAD($G$75:$H$93,$I$75,$J$75,$K$75,$L$75,$M$75)</f>
        <v>colA_LEAD1</v>
      </c>
      <c r="P75" s="54" t="str">
        <v>colB_LEAD1</v>
      </c>
      <c r="Q75" s="54" t="str">
        <v>colA_LEAD2</v>
      </c>
      <c r="R75" s="54" t="str">
        <v>colB_LEAD2</v>
      </c>
      <c r="T75" s="54"/>
    </row>
    <row r="76" spans="6:20" x14ac:dyDescent="0.3">
      <c r="F76" s="50">
        <v>37257</v>
      </c>
      <c r="G76" s="53">
        <v>72.400000000000006</v>
      </c>
      <c r="H76" s="53">
        <v>53</v>
      </c>
      <c r="O76" s="54">
        <v>69.7</v>
      </c>
      <c r="P76" s="54">
        <v>34.299999999999997</v>
      </c>
      <c r="Q76" s="54">
        <v>77.400000000000006</v>
      </c>
      <c r="R76" s="54">
        <v>42.3</v>
      </c>
      <c r="T76" s="54"/>
    </row>
    <row r="77" spans="6:20" x14ac:dyDescent="0.3">
      <c r="F77" s="50">
        <v>37288</v>
      </c>
      <c r="G77" s="53">
        <v>69.7</v>
      </c>
      <c r="H77" s="53">
        <v>34.299999999999997</v>
      </c>
      <c r="O77" s="54">
        <v>77.400000000000006</v>
      </c>
      <c r="P77" s="54">
        <v>42.3</v>
      </c>
      <c r="Q77" s="54">
        <v>79.599999999999994</v>
      </c>
      <c r="R77" s="54">
        <v>54.3</v>
      </c>
      <c r="T77" s="54"/>
    </row>
    <row r="78" spans="6:20" x14ac:dyDescent="0.3">
      <c r="F78" s="50">
        <v>37316</v>
      </c>
      <c r="G78" s="53">
        <v>77.400000000000006</v>
      </c>
      <c r="H78" s="53">
        <v>42.3</v>
      </c>
      <c r="O78" s="54">
        <v>79.599999999999994</v>
      </c>
      <c r="P78" s="54">
        <v>54.3</v>
      </c>
      <c r="Q78" s="54">
        <v>80.400000000000006</v>
      </c>
      <c r="R78" s="54">
        <v>54.9</v>
      </c>
      <c r="T78" s="54"/>
    </row>
    <row r="79" spans="6:20" x14ac:dyDescent="0.3">
      <c r="F79" s="50">
        <v>37347</v>
      </c>
      <c r="G79" s="53">
        <v>79.599999999999994</v>
      </c>
      <c r="H79" s="53">
        <v>54.3</v>
      </c>
      <c r="O79" s="54">
        <v>80.400000000000006</v>
      </c>
      <c r="P79" s="54">
        <v>54.9</v>
      </c>
      <c r="Q79" s="54">
        <v>77.5</v>
      </c>
      <c r="R79" s="54">
        <v>43</v>
      </c>
      <c r="T79" s="54"/>
    </row>
    <row r="80" spans="6:20" x14ac:dyDescent="0.3">
      <c r="F80" s="50">
        <v>37377</v>
      </c>
      <c r="G80" s="53">
        <v>80.400000000000006</v>
      </c>
      <c r="H80" s="53">
        <v>54.9</v>
      </c>
      <c r="O80" s="54">
        <v>77.5</v>
      </c>
      <c r="P80" s="54">
        <v>43</v>
      </c>
      <c r="Q80" s="54">
        <v>83.3</v>
      </c>
      <c r="R80" s="54">
        <v>43.7</v>
      </c>
      <c r="T80" s="54"/>
    </row>
    <row r="81" spans="6:20" x14ac:dyDescent="0.3">
      <c r="F81" s="50">
        <v>37408</v>
      </c>
      <c r="G81" s="53">
        <v>77.5</v>
      </c>
      <c r="H81" s="53">
        <v>43</v>
      </c>
      <c r="O81" s="54">
        <v>83.3</v>
      </c>
      <c r="P81" s="54">
        <v>43.7</v>
      </c>
      <c r="Q81" s="54">
        <v>83.6</v>
      </c>
      <c r="R81" s="54">
        <v>26.9</v>
      </c>
      <c r="T81" s="54"/>
    </row>
    <row r="82" spans="6:20" x14ac:dyDescent="0.3">
      <c r="F82" s="50">
        <v>37438</v>
      </c>
      <c r="G82" s="53">
        <v>83.3</v>
      </c>
      <c r="H82" s="53">
        <v>43.7</v>
      </c>
      <c r="O82" s="54">
        <v>83.6</v>
      </c>
      <c r="P82" s="54">
        <v>26.9</v>
      </c>
      <c r="Q82" s="54">
        <v>82.1</v>
      </c>
      <c r="R82" s="54">
        <v>35.700000000000003</v>
      </c>
      <c r="T82" s="54"/>
    </row>
    <row r="83" spans="6:20" x14ac:dyDescent="0.3">
      <c r="F83" s="50">
        <v>37469</v>
      </c>
      <c r="G83" s="53">
        <v>83.6</v>
      </c>
      <c r="H83" s="53">
        <v>26.9</v>
      </c>
      <c r="O83" s="54">
        <v>82.1</v>
      </c>
      <c r="P83" s="54">
        <v>35.700000000000003</v>
      </c>
      <c r="Q83" s="54">
        <v>89.2</v>
      </c>
      <c r="R83" s="54">
        <v>25.8</v>
      </c>
      <c r="T83" s="54"/>
    </row>
    <row r="84" spans="6:20" x14ac:dyDescent="0.3">
      <c r="F84" s="50">
        <v>37500</v>
      </c>
      <c r="G84" s="53">
        <v>82.1</v>
      </c>
      <c r="H84" s="53">
        <v>35.700000000000003</v>
      </c>
      <c r="O84" s="54">
        <v>89.2</v>
      </c>
      <c r="P84" s="54">
        <v>25.8</v>
      </c>
      <c r="Q84" s="54">
        <v>83.9</v>
      </c>
      <c r="R84" s="54">
        <v>74</v>
      </c>
      <c r="T84" s="54"/>
    </row>
    <row r="85" spans="6:20" x14ac:dyDescent="0.3">
      <c r="F85" s="50">
        <v>37530</v>
      </c>
      <c r="G85" s="53">
        <v>89.2</v>
      </c>
      <c r="H85" s="53">
        <v>25.8</v>
      </c>
      <c r="O85" s="54">
        <v>83.9</v>
      </c>
      <c r="P85" s="54">
        <v>74</v>
      </c>
      <c r="Q85" s="54">
        <v>74.599999999999994</v>
      </c>
      <c r="R85" s="54">
        <v>36.6</v>
      </c>
      <c r="T85" s="54"/>
    </row>
    <row r="86" spans="6:20" x14ac:dyDescent="0.3">
      <c r="F86" s="50">
        <v>37561</v>
      </c>
      <c r="G86" s="53">
        <v>83.9</v>
      </c>
      <c r="H86" s="53">
        <v>74</v>
      </c>
      <c r="O86" s="54">
        <v>74.599999999999994</v>
      </c>
      <c r="P86" s="54">
        <v>36.6</v>
      </c>
      <c r="Q86" s="54">
        <v>74</v>
      </c>
      <c r="R86" s="54">
        <v>64.7</v>
      </c>
      <c r="T86" s="54"/>
    </row>
    <row r="87" spans="6:20" x14ac:dyDescent="0.3">
      <c r="F87" s="50">
        <v>37591</v>
      </c>
      <c r="G87" s="53">
        <v>74.599999999999994</v>
      </c>
      <c r="H87" s="53">
        <v>36.6</v>
      </c>
      <c r="O87" s="54">
        <v>74</v>
      </c>
      <c r="P87" s="54">
        <v>64.7</v>
      </c>
      <c r="Q87" s="54">
        <v>71.8</v>
      </c>
      <c r="R87" s="54">
        <v>35.6</v>
      </c>
      <c r="T87" s="54"/>
    </row>
    <row r="88" spans="6:20" x14ac:dyDescent="0.3">
      <c r="F88" s="50">
        <v>37622</v>
      </c>
      <c r="G88" s="53">
        <v>74</v>
      </c>
      <c r="H88" s="53">
        <v>64.7</v>
      </c>
      <c r="O88" s="54">
        <v>71.8</v>
      </c>
      <c r="P88" s="54">
        <v>35.6</v>
      </c>
      <c r="Q88" s="54">
        <v>77.400000000000006</v>
      </c>
      <c r="R88" s="54">
        <v>35.4</v>
      </c>
      <c r="T88" s="54"/>
    </row>
    <row r="89" spans="6:20" x14ac:dyDescent="0.3">
      <c r="F89" s="50">
        <v>37653</v>
      </c>
      <c r="G89" s="53">
        <v>71.8</v>
      </c>
      <c r="H89" s="53">
        <v>35.6</v>
      </c>
      <c r="O89" s="54">
        <v>77.400000000000006</v>
      </c>
      <c r="P89" s="54">
        <v>35.4</v>
      </c>
      <c r="Q89" s="54">
        <v>76.5</v>
      </c>
      <c r="R89" s="54">
        <v>87.9</v>
      </c>
      <c r="T89" s="54"/>
    </row>
    <row r="90" spans="6:20" x14ac:dyDescent="0.3">
      <c r="F90" s="50">
        <v>37681</v>
      </c>
      <c r="G90" s="53">
        <v>77.400000000000006</v>
      </c>
      <c r="H90" s="53">
        <v>35.4</v>
      </c>
      <c r="O90" s="54">
        <v>76.5</v>
      </c>
      <c r="P90" s="54">
        <v>87.9</v>
      </c>
      <c r="Q90" s="54">
        <v>79.7</v>
      </c>
      <c r="R90" s="54">
        <v>43.6</v>
      </c>
      <c r="T90" s="54"/>
    </row>
    <row r="91" spans="6:20" x14ac:dyDescent="0.3">
      <c r="F91" s="50">
        <v>37712</v>
      </c>
      <c r="G91" s="53">
        <v>76.5</v>
      </c>
      <c r="H91" s="53">
        <v>87.9</v>
      </c>
      <c r="O91" s="54">
        <v>79.7</v>
      </c>
      <c r="P91" s="54">
        <v>43.6</v>
      </c>
      <c r="Q91" s="54">
        <v>76.3</v>
      </c>
      <c r="R91" s="54">
        <v>34.5</v>
      </c>
      <c r="T91" s="54"/>
    </row>
    <row r="92" spans="6:20" x14ac:dyDescent="0.3">
      <c r="F92" s="50">
        <v>37742</v>
      </c>
      <c r="G92" s="53">
        <v>79.7</v>
      </c>
      <c r="H92" s="53">
        <v>43.6</v>
      </c>
      <c r="O92" s="54">
        <v>76.3</v>
      </c>
      <c r="P92" s="54">
        <v>34.5</v>
      </c>
      <c r="Q92" s="54" t="e">
        <v>#N/A</v>
      </c>
      <c r="R92" s="54" t="e">
        <v>#N/A</v>
      </c>
      <c r="T92" s="54"/>
    </row>
    <row r="93" spans="6:20" x14ac:dyDescent="0.3">
      <c r="F93" s="50">
        <v>37773</v>
      </c>
      <c r="G93" s="53">
        <v>76.3</v>
      </c>
      <c r="H93" s="53">
        <v>34.5</v>
      </c>
      <c r="O93" s="54" t="e">
        <v>#N/A</v>
      </c>
      <c r="P93" s="54" t="e">
        <v>#N/A</v>
      </c>
      <c r="Q93" s="54" t="e">
        <v>#N/A</v>
      </c>
      <c r="R93" s="54" t="e">
        <v>#N/A</v>
      </c>
      <c r="T93" s="54"/>
    </row>
    <row r="94" spans="6:20" x14ac:dyDescent="0.3">
      <c r="O94" s="54"/>
      <c r="P94" s="54"/>
      <c r="Q94" s="54"/>
      <c r="R94" s="54"/>
      <c r="T94" s="54"/>
    </row>
    <row r="95" spans="6:20" x14ac:dyDescent="0.3">
      <c r="O95" s="54"/>
      <c r="P95" s="54"/>
      <c r="T95" s="54"/>
    </row>
    <row r="96" spans="6:20" x14ac:dyDescent="0.3">
      <c r="O96" s="54"/>
      <c r="P96" s="54"/>
      <c r="T96" s="54"/>
    </row>
    <row r="97" spans="15:20" x14ac:dyDescent="0.3">
      <c r="O97" s="54"/>
      <c r="P97" s="54"/>
      <c r="T97" s="54"/>
    </row>
    <row r="98" spans="15:20" x14ac:dyDescent="0.3">
      <c r="O98" s="54"/>
      <c r="P98" s="54"/>
      <c r="T98" s="54"/>
    </row>
    <row r="99" spans="15:20" x14ac:dyDescent="0.3">
      <c r="O99" s="54"/>
      <c r="P99" s="54"/>
      <c r="T99" s="54"/>
    </row>
    <row r="100" spans="15:20" x14ac:dyDescent="0.3">
      <c r="O100" s="54"/>
      <c r="P100" s="54"/>
      <c r="T100" s="54"/>
    </row>
    <row r="101" spans="15:20" x14ac:dyDescent="0.3">
      <c r="O101" s="54"/>
      <c r="P101" s="54"/>
      <c r="T101" s="54"/>
    </row>
    <row r="102" spans="15:20" x14ac:dyDescent="0.3">
      <c r="O102" s="54"/>
      <c r="P102" s="54"/>
      <c r="T102" s="54"/>
    </row>
    <row r="103" spans="15:20" x14ac:dyDescent="0.3">
      <c r="O103" s="54"/>
      <c r="P103" s="54"/>
      <c r="T103" s="54"/>
    </row>
    <row r="104" spans="15:20" x14ac:dyDescent="0.3">
      <c r="O104" s="54"/>
      <c r="P104" s="54"/>
      <c r="T104" s="54"/>
    </row>
    <row r="105" spans="15:20" x14ac:dyDescent="0.3">
      <c r="O105" s="54"/>
      <c r="P105" s="54"/>
      <c r="T105" s="54"/>
    </row>
    <row r="106" spans="15:20" x14ac:dyDescent="0.3">
      <c r="O106" s="54"/>
      <c r="P106" s="54"/>
      <c r="T106" s="54"/>
    </row>
    <row r="107" spans="15:20" x14ac:dyDescent="0.3">
      <c r="O107" s="54"/>
      <c r="P107" s="54"/>
      <c r="T107" s="54"/>
    </row>
    <row r="108" spans="15:20" x14ac:dyDescent="0.3">
      <c r="O108" s="54"/>
      <c r="P108" s="54"/>
      <c r="T108" s="54"/>
    </row>
    <row r="109" spans="15:20" x14ac:dyDescent="0.3">
      <c r="O109" s="54"/>
      <c r="P109" s="54"/>
      <c r="T109" s="54"/>
    </row>
    <row r="110" spans="15:20" x14ac:dyDescent="0.3">
      <c r="O110" s="54"/>
      <c r="P110" s="54"/>
      <c r="T110" s="54"/>
    </row>
    <row r="111" spans="15:20" x14ac:dyDescent="0.3">
      <c r="O111" s="54"/>
      <c r="P111" s="54"/>
      <c r="T111" s="54"/>
    </row>
    <row r="112" spans="15:20" x14ac:dyDescent="0.3">
      <c r="O112" s="54"/>
      <c r="P112" s="54"/>
      <c r="T112" s="54"/>
    </row>
    <row r="113" spans="15:20" x14ac:dyDescent="0.3">
      <c r="O113" s="54"/>
      <c r="P113" s="54"/>
      <c r="T113" s="54"/>
    </row>
    <row r="114" spans="15:20" x14ac:dyDescent="0.3">
      <c r="O114" s="54"/>
      <c r="P114" s="54"/>
      <c r="T114" s="54"/>
    </row>
    <row r="115" spans="15:20" x14ac:dyDescent="0.3">
      <c r="O115" s="54"/>
      <c r="P115" s="54"/>
      <c r="T115" s="54"/>
    </row>
    <row r="116" spans="15:20" x14ac:dyDescent="0.3">
      <c r="O116" s="54"/>
      <c r="P116" s="54"/>
      <c r="T116" s="54"/>
    </row>
    <row r="117" spans="15:20" x14ac:dyDescent="0.3">
      <c r="O117" s="54"/>
      <c r="P117" s="54"/>
      <c r="T117" s="54"/>
    </row>
    <row r="118" spans="15:20" x14ac:dyDescent="0.3">
      <c r="O118" s="54"/>
      <c r="P118" s="54"/>
      <c r="T118" s="54"/>
    </row>
    <row r="119" spans="15:20" x14ac:dyDescent="0.3">
      <c r="O119" s="54"/>
      <c r="P119" s="54"/>
      <c r="T119" s="54"/>
    </row>
    <row r="120" spans="15:20" x14ac:dyDescent="0.3">
      <c r="O120" s="54"/>
      <c r="P120" s="54"/>
      <c r="T120" s="54"/>
    </row>
    <row r="121" spans="15:20" x14ac:dyDescent="0.3">
      <c r="O121" s="54"/>
      <c r="P121" s="54"/>
      <c r="T121" s="54"/>
    </row>
    <row r="122" spans="15:20" x14ac:dyDescent="0.3">
      <c r="O122" s="54"/>
      <c r="P122" s="54"/>
      <c r="T122" s="54"/>
    </row>
    <row r="123" spans="15:20" x14ac:dyDescent="0.3">
      <c r="O123" s="54"/>
      <c r="P123" s="54"/>
      <c r="T123" s="54"/>
    </row>
    <row r="124" spans="15:20" x14ac:dyDescent="0.3">
      <c r="O124" s="54"/>
      <c r="P124" s="54"/>
      <c r="T124" s="54"/>
    </row>
    <row r="125" spans="15:20" x14ac:dyDescent="0.3">
      <c r="O125" s="54"/>
      <c r="P125" s="54"/>
      <c r="T125" s="54"/>
    </row>
    <row r="126" spans="15:20" x14ac:dyDescent="0.3">
      <c r="O126" s="54"/>
      <c r="P126" s="54"/>
      <c r="T126" s="54"/>
    </row>
    <row r="127" spans="15:20" x14ac:dyDescent="0.3">
      <c r="O127" s="54"/>
      <c r="P127" s="54"/>
      <c r="T127" s="54"/>
    </row>
    <row r="128" spans="15:20" x14ac:dyDescent="0.3">
      <c r="O128" s="54"/>
      <c r="P128" s="54"/>
      <c r="T128" s="54"/>
    </row>
    <row r="129" spans="15:20" x14ac:dyDescent="0.3">
      <c r="O129" s="54"/>
      <c r="P129" s="54"/>
      <c r="T129" s="54"/>
    </row>
    <row r="130" spans="15:20" x14ac:dyDescent="0.3">
      <c r="O130" s="54"/>
      <c r="P130" s="54"/>
      <c r="T130" s="54"/>
    </row>
    <row r="131" spans="15:20" x14ac:dyDescent="0.3">
      <c r="O131" s="54"/>
      <c r="P131" s="54"/>
      <c r="T131" s="54"/>
    </row>
    <row r="132" spans="15:20" x14ac:dyDescent="0.3">
      <c r="O132" s="54"/>
      <c r="P132" s="54"/>
      <c r="T132" s="54"/>
    </row>
    <row r="133" spans="15:20" x14ac:dyDescent="0.3">
      <c r="O133" s="54"/>
      <c r="P133" s="54"/>
      <c r="T133" s="54"/>
    </row>
    <row r="134" spans="15:20" x14ac:dyDescent="0.3">
      <c r="O134" s="54"/>
      <c r="P134" s="54"/>
      <c r="T134" s="54"/>
    </row>
    <row r="135" spans="15:20" x14ac:dyDescent="0.3">
      <c r="O135" s="54"/>
      <c r="P135" s="54"/>
      <c r="T135" s="54"/>
    </row>
    <row r="136" spans="15:20" x14ac:dyDescent="0.3">
      <c r="O136" s="54"/>
      <c r="P136" s="54"/>
      <c r="T136" s="54"/>
    </row>
    <row r="137" spans="15:20" x14ac:dyDescent="0.3">
      <c r="O137" s="54"/>
      <c r="P137" s="54"/>
      <c r="T137" s="54"/>
    </row>
    <row r="138" spans="15:20" x14ac:dyDescent="0.3">
      <c r="O138" s="54"/>
      <c r="P138" s="54"/>
      <c r="T138" s="54"/>
    </row>
    <row r="139" spans="15:20" x14ac:dyDescent="0.3">
      <c r="O139" s="54"/>
      <c r="P139" s="54"/>
      <c r="T139" s="54"/>
    </row>
    <row r="140" spans="15:20" x14ac:dyDescent="0.3">
      <c r="O140" s="54"/>
      <c r="P140" s="54"/>
      <c r="T140" s="54"/>
    </row>
    <row r="141" spans="15:20" x14ac:dyDescent="0.3">
      <c r="O141" s="54"/>
      <c r="P141" s="54"/>
      <c r="T141" s="54"/>
    </row>
    <row r="142" spans="15:20" x14ac:dyDescent="0.3">
      <c r="O142" s="54"/>
      <c r="P142" s="54"/>
      <c r="T142" s="54"/>
    </row>
    <row r="143" spans="15:20" x14ac:dyDescent="0.3">
      <c r="O143" s="54"/>
      <c r="P143" s="54"/>
      <c r="T143" s="54"/>
    </row>
    <row r="144" spans="15:20" x14ac:dyDescent="0.3">
      <c r="O144" s="54"/>
      <c r="P144" s="54"/>
      <c r="T144" s="54"/>
    </row>
    <row r="145" spans="15:20" x14ac:dyDescent="0.3">
      <c r="O145" s="54"/>
      <c r="P145" s="54"/>
      <c r="T145" s="54"/>
    </row>
    <row r="146" spans="15:20" x14ac:dyDescent="0.3">
      <c r="O146" s="54"/>
      <c r="P146" s="54"/>
      <c r="T146" s="54"/>
    </row>
    <row r="147" spans="15:20" x14ac:dyDescent="0.3">
      <c r="O147" s="54"/>
      <c r="P147" s="54"/>
      <c r="T147" s="54"/>
    </row>
    <row r="148" spans="15:20" x14ac:dyDescent="0.3">
      <c r="O148" s="54"/>
      <c r="P148" s="54"/>
      <c r="T148" s="54"/>
    </row>
    <row r="149" spans="15:20" x14ac:dyDescent="0.3">
      <c r="O149" s="54"/>
      <c r="P149" s="54"/>
      <c r="T149" s="54"/>
    </row>
    <row r="150" spans="15:20" x14ac:dyDescent="0.3">
      <c r="O150" s="54"/>
      <c r="P150" s="54"/>
      <c r="T150" s="54"/>
    </row>
    <row r="151" spans="15:20" x14ac:dyDescent="0.3">
      <c r="O151" s="54"/>
      <c r="P151" s="54"/>
      <c r="T151" s="54"/>
    </row>
    <row r="152" spans="15:20" x14ac:dyDescent="0.3">
      <c r="O152" s="54"/>
      <c r="P152" s="54"/>
      <c r="T152" s="54"/>
    </row>
    <row r="153" spans="15:20" x14ac:dyDescent="0.3">
      <c r="O153" s="54"/>
      <c r="P153" s="54"/>
      <c r="T153" s="54"/>
    </row>
    <row r="154" spans="15:20" x14ac:dyDescent="0.3">
      <c r="O154" s="54"/>
      <c r="P154" s="54"/>
      <c r="T154" s="54"/>
    </row>
    <row r="155" spans="15:20" x14ac:dyDescent="0.3">
      <c r="O155" s="54"/>
      <c r="P155" s="54"/>
      <c r="T155" s="54"/>
    </row>
    <row r="156" spans="15:20" x14ac:dyDescent="0.3">
      <c r="O156" s="54"/>
      <c r="P156" s="54"/>
      <c r="T156" s="54"/>
    </row>
    <row r="157" spans="15:20" x14ac:dyDescent="0.3">
      <c r="O157" s="54"/>
      <c r="P157" s="54"/>
      <c r="T157" s="54"/>
    </row>
    <row r="158" spans="15:20" x14ac:dyDescent="0.3">
      <c r="O158" s="54"/>
      <c r="P158" s="54"/>
      <c r="T158" s="54"/>
    </row>
    <row r="159" spans="15:20" x14ac:dyDescent="0.3">
      <c r="O159" s="54"/>
      <c r="P159" s="54"/>
      <c r="T159" s="54"/>
    </row>
    <row r="160" spans="15:20" x14ac:dyDescent="0.3">
      <c r="O160" s="54"/>
      <c r="P160" s="54"/>
      <c r="T160" s="54"/>
    </row>
    <row r="161" spans="15:20" x14ac:dyDescent="0.3">
      <c r="O161" s="54"/>
      <c r="P161" s="54"/>
      <c r="T161" s="54"/>
    </row>
    <row r="162" spans="15:20" x14ac:dyDescent="0.3">
      <c r="O162" s="54"/>
      <c r="P162" s="54"/>
      <c r="T162" s="54"/>
    </row>
    <row r="163" spans="15:20" x14ac:dyDescent="0.3">
      <c r="O163" s="54"/>
      <c r="P163" s="54"/>
      <c r="T163" s="54"/>
    </row>
    <row r="164" spans="15:20" x14ac:dyDescent="0.3">
      <c r="O164" s="54"/>
      <c r="P164" s="54"/>
      <c r="T164" s="54"/>
    </row>
    <row r="165" spans="15:20" x14ac:dyDescent="0.3">
      <c r="O165" s="54"/>
      <c r="P165" s="54"/>
      <c r="T165" s="54"/>
    </row>
    <row r="166" spans="15:20" x14ac:dyDescent="0.3">
      <c r="O166" s="54"/>
      <c r="P166" s="54"/>
      <c r="T166" s="54"/>
    </row>
    <row r="167" spans="15:20" x14ac:dyDescent="0.3">
      <c r="O167" s="54"/>
      <c r="P167" s="54"/>
      <c r="T167" s="54"/>
    </row>
    <row r="168" spans="15:20" x14ac:dyDescent="0.3">
      <c r="O168" s="54"/>
      <c r="P168" s="54"/>
      <c r="T168" s="54"/>
    </row>
    <row r="169" spans="15:20" x14ac:dyDescent="0.3">
      <c r="O169" s="54"/>
      <c r="P169" s="54"/>
      <c r="T169" s="54"/>
    </row>
    <row r="170" spans="15:20" x14ac:dyDescent="0.3">
      <c r="O170" s="54"/>
      <c r="P170" s="54"/>
      <c r="T170" s="54"/>
    </row>
    <row r="171" spans="15:20" x14ac:dyDescent="0.3">
      <c r="O171" s="54"/>
      <c r="P171" s="54"/>
      <c r="T171" s="54"/>
    </row>
    <row r="172" spans="15:20" x14ac:dyDescent="0.3">
      <c r="O172" s="54"/>
      <c r="P172" s="54"/>
      <c r="T172" s="54"/>
    </row>
    <row r="173" spans="15:20" x14ac:dyDescent="0.3">
      <c r="O173" s="54"/>
      <c r="P173" s="54"/>
      <c r="T173" s="54"/>
    </row>
    <row r="174" spans="15:20" x14ac:dyDescent="0.3">
      <c r="O174" s="54"/>
      <c r="P174" s="54"/>
      <c r="T174" s="54"/>
    </row>
    <row r="175" spans="15:20" x14ac:dyDescent="0.3">
      <c r="O175" s="54"/>
      <c r="P175" s="54"/>
      <c r="T175" s="54"/>
    </row>
    <row r="176" spans="15:20" x14ac:dyDescent="0.3">
      <c r="O176" s="54"/>
      <c r="P176" s="54"/>
      <c r="T176" s="54"/>
    </row>
    <row r="177" spans="15:20" x14ac:dyDescent="0.3">
      <c r="O177" s="54"/>
      <c r="P177" s="54"/>
      <c r="T177" s="54"/>
    </row>
    <row r="178" spans="15:20" x14ac:dyDescent="0.3">
      <c r="O178" s="54"/>
      <c r="P178" s="54"/>
      <c r="T178" s="54"/>
    </row>
    <row r="179" spans="15:20" x14ac:dyDescent="0.3">
      <c r="O179" s="54"/>
      <c r="P179" s="54"/>
      <c r="T179" s="54"/>
    </row>
    <row r="180" spans="15:20" x14ac:dyDescent="0.3">
      <c r="O180" s="54"/>
      <c r="P180" s="54"/>
      <c r="T180" s="54"/>
    </row>
    <row r="181" spans="15:20" x14ac:dyDescent="0.3">
      <c r="O181" s="54"/>
      <c r="P181" s="54"/>
      <c r="T181" s="54"/>
    </row>
    <row r="182" spans="15:20" x14ac:dyDescent="0.3">
      <c r="O182" s="54"/>
      <c r="P182" s="54"/>
      <c r="T182" s="54"/>
    </row>
    <row r="183" spans="15:20" x14ac:dyDescent="0.3">
      <c r="O183" s="54"/>
      <c r="P183" s="54"/>
      <c r="T183" s="54"/>
    </row>
    <row r="184" spans="15:20" x14ac:dyDescent="0.3">
      <c r="O184" s="54"/>
      <c r="P184" s="54"/>
      <c r="T184" s="54"/>
    </row>
    <row r="185" spans="15:20" x14ac:dyDescent="0.3">
      <c r="O185" s="54"/>
      <c r="P185" s="54"/>
      <c r="T185" s="54"/>
    </row>
    <row r="186" spans="15:20" x14ac:dyDescent="0.3">
      <c r="O186" s="54"/>
      <c r="P186" s="54"/>
      <c r="T186" s="54"/>
    </row>
    <row r="187" spans="15:20" x14ac:dyDescent="0.3">
      <c r="O187" s="54"/>
      <c r="P187" s="54"/>
      <c r="T187" s="54"/>
    </row>
    <row r="188" spans="15:20" x14ac:dyDescent="0.3">
      <c r="O188" s="54"/>
      <c r="P188" s="54"/>
      <c r="T188" s="54"/>
    </row>
    <row r="189" spans="15:20" x14ac:dyDescent="0.3">
      <c r="O189" s="54"/>
      <c r="P189" s="54"/>
      <c r="T189" s="54"/>
    </row>
    <row r="190" spans="15:20" x14ac:dyDescent="0.3">
      <c r="O190" s="54"/>
      <c r="P190" s="54"/>
      <c r="T190" s="54"/>
    </row>
    <row r="191" spans="15:20" x14ac:dyDescent="0.3">
      <c r="O191" s="54"/>
      <c r="P191" s="54"/>
      <c r="T191" s="54"/>
    </row>
    <row r="192" spans="15:20" x14ac:dyDescent="0.3">
      <c r="O192" s="54"/>
      <c r="P192" s="54"/>
      <c r="T192" s="54"/>
    </row>
    <row r="193" spans="15:20" x14ac:dyDescent="0.3">
      <c r="O193" s="54"/>
      <c r="P193" s="54"/>
      <c r="T193" s="54"/>
    </row>
    <row r="194" spans="15:20" x14ac:dyDescent="0.3">
      <c r="O194" s="54"/>
      <c r="P194" s="54"/>
      <c r="T194" s="54"/>
    </row>
    <row r="195" spans="15:20" x14ac:dyDescent="0.3">
      <c r="O195" s="54"/>
      <c r="P195" s="54"/>
      <c r="T195" s="54"/>
    </row>
    <row r="196" spans="15:20" x14ac:dyDescent="0.3">
      <c r="O196" s="54"/>
      <c r="P196" s="54"/>
      <c r="T196" s="54"/>
    </row>
    <row r="197" spans="15:20" x14ac:dyDescent="0.3">
      <c r="O197" s="54"/>
      <c r="P197" s="54"/>
      <c r="T197" s="54"/>
    </row>
    <row r="198" spans="15:20" x14ac:dyDescent="0.3">
      <c r="O198" s="54"/>
      <c r="P198" s="54"/>
      <c r="T198" s="54"/>
    </row>
    <row r="199" spans="15:20" x14ac:dyDescent="0.3">
      <c r="O199" s="54"/>
      <c r="P199" s="54"/>
      <c r="T199" s="54"/>
    </row>
    <row r="200" spans="15:20" x14ac:dyDescent="0.3">
      <c r="O200" s="54"/>
      <c r="P200" s="54"/>
      <c r="T200" s="54"/>
    </row>
    <row r="201" spans="15:20" x14ac:dyDescent="0.3">
      <c r="O201" s="54"/>
      <c r="P201" s="54"/>
      <c r="T201" s="54"/>
    </row>
    <row r="202" spans="15:20" x14ac:dyDescent="0.3">
      <c r="O202" s="54"/>
      <c r="P202" s="54"/>
      <c r="T202" s="54"/>
    </row>
    <row r="203" spans="15:20" x14ac:dyDescent="0.3">
      <c r="O203" s="54"/>
      <c r="P203" s="54"/>
      <c r="T203" s="54"/>
    </row>
    <row r="204" spans="15:20" x14ac:dyDescent="0.3">
      <c r="O204" s="54"/>
      <c r="P204" s="54"/>
      <c r="T204" s="54"/>
    </row>
    <row r="205" spans="15:20" x14ac:dyDescent="0.3">
      <c r="O205" s="54"/>
      <c r="P205" s="54"/>
      <c r="T205" s="54"/>
    </row>
    <row r="206" spans="15:20" x14ac:dyDescent="0.3">
      <c r="O206" s="54"/>
      <c r="P206" s="54"/>
      <c r="T206" s="54"/>
    </row>
    <row r="207" spans="15:20" x14ac:dyDescent="0.3">
      <c r="O207" s="54"/>
      <c r="P207" s="54"/>
      <c r="T207" s="54"/>
    </row>
    <row r="208" spans="15:20" x14ac:dyDescent="0.3">
      <c r="O208" s="54"/>
      <c r="P208" s="54"/>
      <c r="T208" s="54"/>
    </row>
    <row r="209" spans="15:20" x14ac:dyDescent="0.3">
      <c r="O209" s="54"/>
      <c r="P209" s="54"/>
      <c r="T209" s="54"/>
    </row>
    <row r="210" spans="15:20" x14ac:dyDescent="0.3">
      <c r="O210" s="54"/>
      <c r="P210" s="54"/>
      <c r="T210" s="54"/>
    </row>
    <row r="211" spans="15:20" x14ac:dyDescent="0.3">
      <c r="O211" s="54"/>
      <c r="P211" s="54"/>
      <c r="T211" s="54"/>
    </row>
    <row r="212" spans="15:20" x14ac:dyDescent="0.3">
      <c r="O212" s="54"/>
      <c r="P212" s="54"/>
      <c r="T212" s="54"/>
    </row>
    <row r="213" spans="15:20" x14ac:dyDescent="0.3">
      <c r="O213" s="54"/>
      <c r="P213" s="54"/>
      <c r="T213" s="54"/>
    </row>
    <row r="214" spans="15:20" x14ac:dyDescent="0.3">
      <c r="O214" s="54"/>
      <c r="P214" s="54"/>
      <c r="T214" s="54"/>
    </row>
    <row r="215" spans="15:20" x14ac:dyDescent="0.3">
      <c r="O215" s="54"/>
      <c r="P215" s="54"/>
      <c r="T215" s="54"/>
    </row>
    <row r="216" spans="15:20" x14ac:dyDescent="0.3">
      <c r="O216" s="54"/>
      <c r="P216" s="54"/>
      <c r="T216" s="54"/>
    </row>
    <row r="217" spans="15:20" x14ac:dyDescent="0.3">
      <c r="O217" s="54"/>
      <c r="P217" s="54"/>
      <c r="T217" s="54"/>
    </row>
    <row r="218" spans="15:20" x14ac:dyDescent="0.3">
      <c r="O218" s="54"/>
      <c r="P218" s="54"/>
      <c r="T218" s="54"/>
    </row>
    <row r="219" spans="15:20" x14ac:dyDescent="0.3">
      <c r="O219" s="54"/>
      <c r="P219" s="54"/>
      <c r="T219" s="54"/>
    </row>
    <row r="220" spans="15:20" x14ac:dyDescent="0.3">
      <c r="O220" s="54"/>
      <c r="P220" s="54"/>
      <c r="T220" s="54"/>
    </row>
    <row r="221" spans="15:20" x14ac:dyDescent="0.3">
      <c r="O221" s="54"/>
      <c r="P221" s="54"/>
      <c r="T221" s="54"/>
    </row>
    <row r="222" spans="15:20" x14ac:dyDescent="0.3">
      <c r="O222" s="54"/>
      <c r="P222" s="54"/>
      <c r="T222" s="54"/>
    </row>
    <row r="223" spans="15:20" x14ac:dyDescent="0.3">
      <c r="O223" s="54"/>
      <c r="P223" s="54"/>
      <c r="T223" s="54"/>
    </row>
    <row r="224" spans="15:20" x14ac:dyDescent="0.3">
      <c r="O224" s="54"/>
      <c r="P224" s="54"/>
      <c r="T224" s="54"/>
    </row>
    <row r="225" spans="15:20" x14ac:dyDescent="0.3">
      <c r="O225" s="54"/>
      <c r="P225" s="54"/>
      <c r="T225" s="54"/>
    </row>
    <row r="226" spans="15:20" x14ac:dyDescent="0.3">
      <c r="O226" s="54"/>
      <c r="P226" s="54"/>
      <c r="T226" s="54"/>
    </row>
    <row r="227" spans="15:20" x14ac:dyDescent="0.3">
      <c r="O227" s="54"/>
      <c r="P227" s="54"/>
      <c r="T227" s="54"/>
    </row>
    <row r="228" spans="15:20" x14ac:dyDescent="0.3">
      <c r="O228" s="54"/>
      <c r="P228" s="54"/>
      <c r="T228" s="54"/>
    </row>
    <row r="229" spans="15:20" x14ac:dyDescent="0.3">
      <c r="O229" s="54"/>
      <c r="P229" s="54"/>
      <c r="T229" s="54"/>
    </row>
    <row r="230" spans="15:20" x14ac:dyDescent="0.3">
      <c r="O230" s="54"/>
      <c r="P230" s="54"/>
      <c r="T230" s="54"/>
    </row>
    <row r="231" spans="15:20" x14ac:dyDescent="0.3">
      <c r="O231" s="54"/>
      <c r="P231" s="54"/>
      <c r="T231" s="54"/>
    </row>
    <row r="232" spans="15:20" x14ac:dyDescent="0.3">
      <c r="O232" s="54"/>
      <c r="P232" s="54"/>
      <c r="T232" s="54"/>
    </row>
    <row r="233" spans="15:20" x14ac:dyDescent="0.3">
      <c r="O233" s="54"/>
      <c r="P233" s="54"/>
      <c r="T233" s="54"/>
    </row>
    <row r="234" spans="15:20" x14ac:dyDescent="0.3">
      <c r="O234" s="54"/>
      <c r="P234" s="54"/>
      <c r="T234" s="54"/>
    </row>
    <row r="235" spans="15:20" x14ac:dyDescent="0.3">
      <c r="O235" s="54"/>
      <c r="P235" s="54"/>
      <c r="T235" s="54"/>
    </row>
    <row r="236" spans="15:20" x14ac:dyDescent="0.3">
      <c r="O236" s="54"/>
      <c r="P236" s="54"/>
      <c r="T236" s="54"/>
    </row>
    <row r="237" spans="15:20" x14ac:dyDescent="0.3">
      <c r="O237" s="54"/>
      <c r="P237" s="54"/>
      <c r="T237" s="54"/>
    </row>
    <row r="238" spans="15:20" x14ac:dyDescent="0.3">
      <c r="O238" s="54"/>
      <c r="P238" s="54"/>
      <c r="T238" s="54"/>
    </row>
    <row r="239" spans="15:20" x14ac:dyDescent="0.3">
      <c r="O239" s="54"/>
      <c r="P239" s="54"/>
      <c r="T239" s="54"/>
    </row>
    <row r="240" spans="15:20" x14ac:dyDescent="0.3">
      <c r="O240" s="54"/>
      <c r="P240" s="54"/>
      <c r="T240" s="54"/>
    </row>
    <row r="241" spans="15:20" x14ac:dyDescent="0.3">
      <c r="O241" s="54"/>
      <c r="P241" s="54"/>
      <c r="T241" s="54"/>
    </row>
    <row r="242" spans="15:20" x14ac:dyDescent="0.3">
      <c r="O242" s="54"/>
      <c r="P242" s="54"/>
      <c r="T242" s="54"/>
    </row>
    <row r="243" spans="15:20" x14ac:dyDescent="0.3">
      <c r="O243" s="54"/>
      <c r="P243" s="54"/>
      <c r="T243" s="54"/>
    </row>
    <row r="244" spans="15:20" x14ac:dyDescent="0.3">
      <c r="O244" s="54"/>
      <c r="P244" s="54"/>
      <c r="T244" s="54"/>
    </row>
    <row r="245" spans="15:20" x14ac:dyDescent="0.3">
      <c r="O245" s="54"/>
      <c r="P245" s="54"/>
      <c r="T245" s="54"/>
    </row>
    <row r="246" spans="15:20" x14ac:dyDescent="0.3">
      <c r="O246" s="54"/>
      <c r="P246" s="54"/>
      <c r="T246" s="54"/>
    </row>
    <row r="247" spans="15:20" x14ac:dyDescent="0.3">
      <c r="O247" s="54"/>
      <c r="P247" s="54"/>
      <c r="T247" s="54"/>
    </row>
    <row r="248" spans="15:20" x14ac:dyDescent="0.3">
      <c r="O248" s="54"/>
      <c r="P248" s="54"/>
      <c r="T248" s="54"/>
    </row>
    <row r="249" spans="15:20" x14ac:dyDescent="0.3">
      <c r="O249" s="54"/>
      <c r="P249" s="54"/>
      <c r="T249" s="54"/>
    </row>
    <row r="250" spans="15:20" x14ac:dyDescent="0.3">
      <c r="O250" s="54"/>
      <c r="P250" s="54"/>
      <c r="T250" s="54"/>
    </row>
    <row r="251" spans="15:20" x14ac:dyDescent="0.3">
      <c r="O251" s="27"/>
      <c r="P251" s="27"/>
      <c r="Q251" s="27"/>
    </row>
    <row r="252" spans="15:20" x14ac:dyDescent="0.3">
      <c r="O252" s="27"/>
      <c r="P252" s="27"/>
      <c r="Q252" s="27"/>
    </row>
    <row r="253" spans="15:20" x14ac:dyDescent="0.3">
      <c r="O253" s="27"/>
      <c r="P253" s="27"/>
      <c r="Q253" s="27"/>
    </row>
    <row r="254" spans="15:20" x14ac:dyDescent="0.3">
      <c r="O254" s="27"/>
      <c r="P254" s="27"/>
      <c r="Q254" s="27"/>
    </row>
    <row r="255" spans="15:20" x14ac:dyDescent="0.3">
      <c r="O255" s="27"/>
      <c r="P255" s="27"/>
      <c r="Q255" s="27"/>
    </row>
    <row r="256" spans="15:20" x14ac:dyDescent="0.3">
      <c r="O256" s="27"/>
      <c r="P256" s="27"/>
      <c r="Q256" s="27"/>
    </row>
    <row r="257" spans="15:17" x14ac:dyDescent="0.3">
      <c r="O257" s="27"/>
      <c r="P257" s="27"/>
      <c r="Q257" s="27"/>
    </row>
    <row r="258" spans="15:17" x14ac:dyDescent="0.3">
      <c r="O258" s="27"/>
      <c r="P258" s="27"/>
      <c r="Q258" s="27"/>
    </row>
    <row r="259" spans="15:17" x14ac:dyDescent="0.3">
      <c r="O259" s="27"/>
      <c r="P259" s="27"/>
      <c r="Q259" s="27"/>
    </row>
    <row r="260" spans="15:17" x14ac:dyDescent="0.3">
      <c r="O260" s="27"/>
      <c r="P260" s="27"/>
      <c r="Q260" s="27"/>
    </row>
    <row r="261" spans="15:17" x14ac:dyDescent="0.3">
      <c r="O261" s="27"/>
      <c r="P261" s="27"/>
      <c r="Q261" s="27"/>
    </row>
    <row r="262" spans="15:17" x14ac:dyDescent="0.3">
      <c r="O262" s="27"/>
      <c r="P262" s="27"/>
      <c r="Q262" s="27"/>
    </row>
    <row r="263" spans="15:17" x14ac:dyDescent="0.3">
      <c r="O263" s="27"/>
      <c r="P263" s="27"/>
      <c r="Q263" s="27"/>
    </row>
    <row r="264" spans="15:17" x14ac:dyDescent="0.3">
      <c r="O264" s="27"/>
      <c r="P264" s="27"/>
      <c r="Q264" s="27"/>
    </row>
    <row r="265" spans="15:17" x14ac:dyDescent="0.3">
      <c r="O265" s="27"/>
      <c r="P265" s="27"/>
      <c r="Q265" s="27"/>
    </row>
    <row r="266" spans="15:17" x14ac:dyDescent="0.3">
      <c r="O266" s="27"/>
      <c r="P266" s="27"/>
      <c r="Q266" s="27"/>
    </row>
    <row r="267" spans="15:17" x14ac:dyDescent="0.3">
      <c r="O267" s="27"/>
      <c r="P267" s="27"/>
      <c r="Q267" s="27"/>
    </row>
    <row r="268" spans="15:17" x14ac:dyDescent="0.3">
      <c r="O268" s="27"/>
      <c r="P268" s="27"/>
      <c r="Q268" s="27"/>
    </row>
    <row r="269" spans="15:17" x14ac:dyDescent="0.3">
      <c r="O269" s="27"/>
      <c r="P269" s="27"/>
      <c r="Q269" s="27"/>
    </row>
    <row r="270" spans="15:17" x14ac:dyDescent="0.3">
      <c r="O270" s="27"/>
      <c r="P270" s="27"/>
      <c r="Q270" s="27"/>
    </row>
    <row r="271" spans="15:17" x14ac:dyDescent="0.3">
      <c r="O271" s="27"/>
      <c r="P271" s="27"/>
      <c r="Q271" s="27"/>
    </row>
    <row r="272" spans="15:17" x14ac:dyDescent="0.3">
      <c r="O272" s="27"/>
      <c r="P272" s="27"/>
      <c r="Q272" s="27"/>
    </row>
    <row r="273" spans="15:17" x14ac:dyDescent="0.3">
      <c r="O273" s="27"/>
      <c r="P273" s="27"/>
      <c r="Q273" s="27"/>
    </row>
    <row r="274" spans="15:17" x14ac:dyDescent="0.3">
      <c r="O274" s="27"/>
      <c r="P274" s="27"/>
      <c r="Q274" s="27"/>
    </row>
    <row r="275" spans="15:17" x14ac:dyDescent="0.3">
      <c r="O275" s="27"/>
      <c r="P275" s="27"/>
      <c r="Q275" s="27"/>
    </row>
    <row r="276" spans="15:17" x14ac:dyDescent="0.3">
      <c r="O276" s="27"/>
      <c r="P276" s="27"/>
      <c r="Q276" s="27"/>
    </row>
    <row r="277" spans="15:17" x14ac:dyDescent="0.3">
      <c r="O277" s="27"/>
      <c r="P277" s="27"/>
      <c r="Q277" s="27"/>
    </row>
    <row r="278" spans="15:17" x14ac:dyDescent="0.3">
      <c r="O278" s="27"/>
      <c r="P278" s="27"/>
      <c r="Q278" s="27"/>
    </row>
    <row r="279" spans="15:17" x14ac:dyDescent="0.3">
      <c r="O279" s="27"/>
      <c r="P279" s="27"/>
      <c r="Q279" s="27"/>
    </row>
    <row r="280" spans="15:17" x14ac:dyDescent="0.3">
      <c r="O280" s="27"/>
      <c r="P280" s="27"/>
      <c r="Q280" s="27"/>
    </row>
    <row r="281" spans="15:17" x14ac:dyDescent="0.3">
      <c r="O281" s="27"/>
      <c r="P281" s="27"/>
      <c r="Q281" s="27"/>
    </row>
    <row r="282" spans="15:17" x14ac:dyDescent="0.3">
      <c r="O282" s="27"/>
      <c r="P282" s="27"/>
      <c r="Q282" s="27"/>
    </row>
    <row r="283" spans="15:17" x14ac:dyDescent="0.3">
      <c r="O283" s="27"/>
      <c r="P283" s="27"/>
      <c r="Q283" s="27"/>
    </row>
    <row r="284" spans="15:17" x14ac:dyDescent="0.3">
      <c r="O284" s="27"/>
      <c r="P284" s="27"/>
      <c r="Q284" s="27"/>
    </row>
    <row r="285" spans="15:17" x14ac:dyDescent="0.3">
      <c r="O285" s="27"/>
      <c r="P285" s="27"/>
      <c r="Q285" s="27"/>
    </row>
    <row r="286" spans="15:17" x14ac:dyDescent="0.3">
      <c r="O286" s="27"/>
      <c r="P286" s="27"/>
      <c r="Q286" s="27"/>
    </row>
    <row r="287" spans="15:17" x14ac:dyDescent="0.3">
      <c r="O287" s="27"/>
      <c r="P287" s="27"/>
      <c r="Q287" s="27"/>
    </row>
    <row r="288" spans="15:17" x14ac:dyDescent="0.3">
      <c r="O288" s="27"/>
      <c r="P288" s="27"/>
      <c r="Q288" s="27"/>
    </row>
    <row r="289" spans="15:17" x14ac:dyDescent="0.3">
      <c r="O289" s="27"/>
      <c r="P289" s="27"/>
      <c r="Q289" s="27"/>
    </row>
    <row r="290" spans="15:17" x14ac:dyDescent="0.3">
      <c r="O290" s="27"/>
      <c r="P290" s="27"/>
      <c r="Q290" s="27"/>
    </row>
    <row r="291" spans="15:17" x14ac:dyDescent="0.3">
      <c r="O291" s="27"/>
      <c r="P291" s="27"/>
      <c r="Q291" s="27"/>
    </row>
    <row r="292" spans="15:17" x14ac:dyDescent="0.3">
      <c r="O292" s="27"/>
      <c r="P292" s="27"/>
      <c r="Q292" s="27"/>
    </row>
    <row r="293" spans="15:17" x14ac:dyDescent="0.3">
      <c r="O293" s="27"/>
      <c r="P293" s="27"/>
      <c r="Q293" s="27"/>
    </row>
    <row r="294" spans="15:17" x14ac:dyDescent="0.3">
      <c r="O294" s="27"/>
      <c r="P294" s="27"/>
      <c r="Q294" s="27"/>
    </row>
    <row r="295" spans="15:17" x14ac:dyDescent="0.3">
      <c r="O295" s="27"/>
      <c r="P295" s="27"/>
      <c r="Q295" s="27"/>
    </row>
    <row r="296" spans="15:17" x14ac:dyDescent="0.3">
      <c r="O296" s="27"/>
      <c r="P296" s="27"/>
      <c r="Q296" s="27"/>
    </row>
    <row r="297" spans="15:17" x14ac:dyDescent="0.3">
      <c r="O297" s="27"/>
      <c r="P297" s="27"/>
      <c r="Q297" s="27"/>
    </row>
  </sheetData>
  <mergeCells count="2">
    <mergeCell ref="G53:H53"/>
    <mergeCell ref="G74:H74"/>
  </mergeCells>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74DA9-BB91-4799-B509-ADCAA62A4B42}">
  <sheetPr codeName="Planilha32">
    <tabColor theme="9" tint="0.59999389629810485"/>
  </sheetPr>
  <dimension ref="A1:X297"/>
  <sheetViews>
    <sheetView showGridLines="0" workbookViewId="0">
      <selection activeCell="D5" sqref="D5"/>
    </sheetView>
  </sheetViews>
  <sheetFormatPr defaultColWidth="8.85546875" defaultRowHeight="18.75" x14ac:dyDescent="0.3"/>
  <cols>
    <col min="1" max="1" width="12.7109375" style="17" customWidth="1"/>
    <col min="2" max="2" width="24.85546875" bestFit="1" customWidth="1"/>
    <col min="4" max="4" width="44.28515625" bestFit="1" customWidth="1"/>
    <col min="5" max="5" width="4.5703125" customWidth="1"/>
    <col min="6" max="7" width="7.140625" bestFit="1" customWidth="1"/>
    <col min="8" max="8" width="10.42578125" bestFit="1" customWidth="1"/>
    <col min="9" max="9" width="10.5703125" bestFit="1" customWidth="1"/>
    <col min="10" max="10" width="10.42578125" customWidth="1"/>
    <col min="11" max="11" width="10.5703125" bestFit="1" customWidth="1"/>
    <col min="13" max="15" width="9" style="15" customWidth="1"/>
    <col min="16" max="24" width="8.85546875" style="15"/>
  </cols>
  <sheetData>
    <row r="1" spans="1:24" x14ac:dyDescent="0.3">
      <c r="A1" s="16" t="s">
        <v>192</v>
      </c>
      <c r="M1" s="14"/>
      <c r="N1" s="14"/>
      <c r="O1" s="14"/>
      <c r="P1" s="14"/>
      <c r="Q1" s="14"/>
      <c r="R1" s="14"/>
      <c r="S1" s="14"/>
      <c r="T1" s="14"/>
      <c r="U1" s="14"/>
      <c r="V1" s="14"/>
      <c r="W1" s="14"/>
      <c r="X1" s="14"/>
    </row>
    <row r="2" spans="1:24" x14ac:dyDescent="0.3">
      <c r="A2" s="17" t="s">
        <v>193</v>
      </c>
      <c r="M2" s="14"/>
      <c r="N2" s="14"/>
      <c r="O2" s="14"/>
      <c r="P2" s="14"/>
      <c r="Q2" s="14"/>
      <c r="R2" s="14"/>
      <c r="S2" s="14"/>
      <c r="T2" s="14"/>
      <c r="U2" s="14"/>
      <c r="V2" s="14"/>
      <c r="W2" s="14"/>
      <c r="X2" s="14"/>
    </row>
    <row r="4" spans="1:24" ht="15.75" x14ac:dyDescent="0.25">
      <c r="A4" s="2" t="s">
        <v>15</v>
      </c>
      <c r="B4" s="2" t="s">
        <v>16</v>
      </c>
    </row>
    <row r="5" spans="1:24" ht="15.75" x14ac:dyDescent="0.25">
      <c r="A5" s="23" t="s">
        <v>167</v>
      </c>
      <c r="B5" s="24" t="s">
        <v>169</v>
      </c>
    </row>
    <row r="6" spans="1:24" ht="31.5" x14ac:dyDescent="0.25">
      <c r="A6" s="23" t="s">
        <v>195</v>
      </c>
      <c r="B6" s="24" t="s">
        <v>196</v>
      </c>
    </row>
    <row r="7" spans="1:24" ht="47.25" x14ac:dyDescent="0.25">
      <c r="A7" s="23" t="s">
        <v>199</v>
      </c>
      <c r="B7" s="24" t="s">
        <v>200</v>
      </c>
      <c r="D7" s="1" t="s">
        <v>17</v>
      </c>
      <c r="G7" s="13" t="s">
        <v>167</v>
      </c>
      <c r="H7" s="13" t="s">
        <v>195</v>
      </c>
      <c r="I7" s="13" t="s">
        <v>199</v>
      </c>
      <c r="K7" s="13" t="s">
        <v>199</v>
      </c>
      <c r="M7" s="15" t="s">
        <v>194</v>
      </c>
      <c r="O7" s="15" t="s">
        <v>203</v>
      </c>
      <c r="P7" s="15" t="s">
        <v>204</v>
      </c>
    </row>
    <row r="8" spans="1:24" x14ac:dyDescent="0.3">
      <c r="D8" t="s">
        <v>197</v>
      </c>
      <c r="F8" s="50">
        <v>37622</v>
      </c>
      <c r="G8" s="53">
        <v>100.45</v>
      </c>
      <c r="H8" s="55">
        <v>1600</v>
      </c>
      <c r="I8" s="55" t="s">
        <v>202</v>
      </c>
      <c r="K8" s="55" t="s">
        <v>201</v>
      </c>
      <c r="M8" s="54" cm="1">
        <f t="array" ref="M8:M237">_xlfn.LAMBDA(_xlpm.values,_xlpm.lambda,_xlop.trendCycle,
_xlfn.LET(
_xlpm.trendCycle,
IF( _xlfn.ISOMITTED(_xlpm.trendCycle), "t", LOWER(_xlpm.trendCycle) ),
_xlpm.ident,
EYE(LENGTH(_xlpm.values)),
_xlpm.pentad0,
VERTCAT( VERTCAT( {1;5;6}, 6 * ONES(LENGTH(_xlpm.values) - 6,1)), {6;5;1} ),
_xlpm.pentad1,
VERTCAT( VERTCAT( {-2;-4}, -4 * ONES(LENGTH(_xlpm.values) - 5,1)), {-4;-2} ),
_xlpm.pentad2,
ONES(LENGTH(_xlpm.values) - 2,1),
_xlpm.pentad,
_xlfn.LAMBDA(_xlpm.matrix0,_xlpm.matrix1,_xlpm.matrix2,
_xlfn.MAKEARRAY( LENGTH(_xlpm.matrix0), LENGTH(_xlpm.matrix0),
_xlfn.LAMBDA(_xlpm.row,_xlpm.col,
IF( _xlpm.row = _xlpm.col, INDEX(_xlpm.matrix0,_xlpm.row,1), IF( OR(_xlpm.row=_xlpm.col+1, _xlpm.col=_xlpm.row+1), INDEX(_xlpm.matrix1, MIN(_xlpm.row,_xlpm.col),1), IF( OR(_xlpm.row=_xlpm.col+2, _xlpm.col=_xlpm.row+2), INDEX(_xlpm.matrix2, MIN(_xlpm.row,_xlpm.col),1), 0 ) ) ) )  )
)(_xlpm.pentad0,_xlpm.pentad1,_xlpm.pentad2),
_xlpm.trend,
MMULT( MINVERSE( _xlpm.lambda * _xlpm.pentad + _xlpm.ident), _xlpm.values),
IF(_xlpm.trendCycle = "t", _xlpm.trend, IF(_xlpm.trendCycle = "c", _xlpm.values - _xlpm.trend, "#trendCycle must be either ""t"" or ""c""") )
)
)($G$8:$G$237,$H$8,$I$8)</f>
        <v>99.436846900816306</v>
      </c>
      <c r="N8" s="54"/>
      <c r="O8" s="54" cm="1">
        <f t="array" ref="O8:O237">HPFILTER($G$8:$G$237,$H$8,$I$8)</f>
        <v>99.436846900816306</v>
      </c>
      <c r="P8" s="15" cm="1">
        <f t="array" ref="P8:P237">HPFILTER($G$8:$G$237,$H$8,$K$8)</f>
        <v>1.0131530991836968</v>
      </c>
    </row>
    <row r="9" spans="1:24" x14ac:dyDescent="0.3">
      <c r="D9" t="s">
        <v>198</v>
      </c>
      <c r="F9" s="50">
        <v>37653</v>
      </c>
      <c r="G9" s="53">
        <v>101.95</v>
      </c>
      <c r="M9" s="54">
        <v>99.778505732491766</v>
      </c>
      <c r="N9" s="54"/>
      <c r="O9" s="54">
        <v>99.778505732491766</v>
      </c>
      <c r="P9" s="15">
        <v>2.1714942675082369</v>
      </c>
    </row>
    <row r="10" spans="1:24" x14ac:dyDescent="0.3">
      <c r="D10" t="s">
        <v>157</v>
      </c>
      <c r="F10" s="50">
        <v>37681</v>
      </c>
      <c r="G10" s="53">
        <v>102.03</v>
      </c>
      <c r="M10" s="54">
        <v>100.12079778485426</v>
      </c>
      <c r="N10" s="54"/>
      <c r="O10" s="54">
        <v>100.12079778485426</v>
      </c>
      <c r="P10" s="15">
        <v>1.90920221514574</v>
      </c>
    </row>
    <row r="11" spans="1:24" ht="18.75" customHeight="1" x14ac:dyDescent="0.3">
      <c r="D11" s="134"/>
      <c r="F11" s="50">
        <v>37712</v>
      </c>
      <c r="G11" s="53">
        <v>100.92</v>
      </c>
      <c r="M11" s="54">
        <v>100.46571346250781</v>
      </c>
      <c r="N11" s="54"/>
      <c r="O11" s="54">
        <v>100.46571346250781</v>
      </c>
      <c r="P11" s="15">
        <v>0.4542865374921945</v>
      </c>
    </row>
    <row r="12" spans="1:24" x14ac:dyDescent="0.3">
      <c r="D12" s="134"/>
      <c r="F12" s="50">
        <v>37742</v>
      </c>
      <c r="G12" s="53">
        <v>99.89</v>
      </c>
      <c r="M12" s="54">
        <v>100.81643642144117</v>
      </c>
      <c r="N12" s="54"/>
      <c r="O12" s="54">
        <v>100.81643642144117</v>
      </c>
      <c r="P12" s="15">
        <v>-0.92643642144116711</v>
      </c>
    </row>
    <row r="13" spans="1:24" x14ac:dyDescent="0.3">
      <c r="D13" s="47"/>
      <c r="F13" s="50">
        <v>37773</v>
      </c>
      <c r="G13" s="53">
        <v>100.28</v>
      </c>
      <c r="M13" s="54">
        <v>101.17643424672869</v>
      </c>
      <c r="N13" s="54"/>
      <c r="O13" s="54">
        <v>101.17643424672869</v>
      </c>
      <c r="P13" s="15">
        <v>-0.89643424672868832</v>
      </c>
    </row>
    <row r="14" spans="1:24" x14ac:dyDescent="0.3">
      <c r="F14" s="50">
        <v>37803</v>
      </c>
      <c r="G14" s="53">
        <v>99.07</v>
      </c>
      <c r="M14" s="54">
        <v>101.54859550068154</v>
      </c>
      <c r="N14" s="54"/>
      <c r="O14" s="54">
        <v>101.54859550068154</v>
      </c>
      <c r="P14" s="15">
        <v>-2.4785955006815499</v>
      </c>
    </row>
    <row r="15" spans="1:24" x14ac:dyDescent="0.3">
      <c r="F15" s="50">
        <v>37834</v>
      </c>
      <c r="G15" s="53">
        <v>99.73</v>
      </c>
      <c r="M15" s="54">
        <v>101.93524847420672</v>
      </c>
      <c r="N15" s="54"/>
      <c r="O15" s="54">
        <v>101.93524847420672</v>
      </c>
      <c r="P15" s="15">
        <v>-2.2052484742067122</v>
      </c>
    </row>
    <row r="16" spans="1:24" x14ac:dyDescent="0.3">
      <c r="F16" s="50">
        <v>37865</v>
      </c>
      <c r="G16" s="53">
        <v>101.71</v>
      </c>
      <c r="M16" s="54">
        <v>102.33717233602304</v>
      </c>
      <c r="N16" s="54"/>
      <c r="O16" s="54">
        <v>102.33717233602304</v>
      </c>
      <c r="P16" s="15">
        <v>-0.627172336023051</v>
      </c>
    </row>
    <row r="17" spans="6:16" x14ac:dyDescent="0.3">
      <c r="F17" s="50">
        <v>37895</v>
      </c>
      <c r="G17" s="53">
        <v>101.88</v>
      </c>
      <c r="M17" s="54">
        <v>102.75376797455331</v>
      </c>
      <c r="N17" s="54"/>
      <c r="O17" s="54">
        <v>102.75376797455331</v>
      </c>
      <c r="P17" s="15">
        <v>-0.87376797455331712</v>
      </c>
    </row>
    <row r="18" spans="6:16" x14ac:dyDescent="0.3">
      <c r="F18" s="50">
        <v>37926</v>
      </c>
      <c r="G18" s="53">
        <v>101.97</v>
      </c>
      <c r="M18" s="54">
        <v>103.18404429550976</v>
      </c>
      <c r="N18" s="54"/>
      <c r="O18" s="54">
        <v>103.18404429550976</v>
      </c>
      <c r="P18" s="15">
        <v>-1.2140442955097654</v>
      </c>
    </row>
    <row r="19" spans="6:16" x14ac:dyDescent="0.3">
      <c r="F19" s="50">
        <v>37956</v>
      </c>
      <c r="G19" s="53">
        <v>101.58</v>
      </c>
      <c r="M19" s="54">
        <v>103.62646409962105</v>
      </c>
      <c r="N19" s="54"/>
      <c r="O19" s="54">
        <v>103.62646409962105</v>
      </c>
      <c r="P19" s="15">
        <v>-2.0464640996210477</v>
      </c>
    </row>
    <row r="20" spans="6:16" x14ac:dyDescent="0.3">
      <c r="F20" s="50">
        <v>37987</v>
      </c>
      <c r="G20" s="53">
        <v>103.57</v>
      </c>
      <c r="M20" s="54">
        <v>104.07873140993098</v>
      </c>
      <c r="N20" s="54"/>
      <c r="O20" s="54">
        <v>104.07873140993098</v>
      </c>
      <c r="P20" s="15">
        <v>-0.50873140993098787</v>
      </c>
    </row>
    <row r="21" spans="6:16" x14ac:dyDescent="0.3">
      <c r="F21" s="50">
        <v>38018</v>
      </c>
      <c r="G21" s="53">
        <v>104.49</v>
      </c>
      <c r="M21" s="54">
        <v>104.53727120942108</v>
      </c>
      <c r="N21" s="54"/>
      <c r="O21" s="54">
        <v>104.53727120942108</v>
      </c>
      <c r="P21" s="15">
        <v>-4.7271209421083427E-2</v>
      </c>
    </row>
    <row r="22" spans="6:16" x14ac:dyDescent="0.3">
      <c r="F22" s="50">
        <v>38047</v>
      </c>
      <c r="G22" s="53">
        <v>105.98</v>
      </c>
      <c r="M22" s="54">
        <v>104.998190523942</v>
      </c>
      <c r="N22" s="54"/>
      <c r="O22" s="54">
        <v>104.998190523942</v>
      </c>
      <c r="P22" s="15">
        <v>0.98180947605800384</v>
      </c>
    </row>
    <row r="23" spans="6:16" x14ac:dyDescent="0.3">
      <c r="F23" s="50">
        <v>38078</v>
      </c>
      <c r="G23" s="53">
        <v>106.41</v>
      </c>
      <c r="M23" s="54">
        <v>105.45756683483786</v>
      </c>
      <c r="N23" s="54"/>
      <c r="O23" s="54">
        <v>105.45756683483786</v>
      </c>
      <c r="P23" s="15">
        <v>0.95243316516213383</v>
      </c>
    </row>
    <row r="24" spans="6:16" x14ac:dyDescent="0.3">
      <c r="F24" s="50">
        <v>38108</v>
      </c>
      <c r="G24" s="53">
        <v>106.44</v>
      </c>
      <c r="M24" s="54">
        <v>105.91209125437609</v>
      </c>
      <c r="N24" s="54"/>
      <c r="O24" s="54">
        <v>105.91209125437609</v>
      </c>
      <c r="P24" s="15">
        <v>0.527908745623904</v>
      </c>
    </row>
    <row r="25" spans="6:16" x14ac:dyDescent="0.3">
      <c r="F25" s="50">
        <v>38139</v>
      </c>
      <c r="G25" s="53">
        <v>107.22</v>
      </c>
      <c r="M25" s="54">
        <v>106.35905016555165</v>
      </c>
      <c r="N25" s="54"/>
      <c r="O25" s="54">
        <v>106.35905016555165</v>
      </c>
      <c r="P25" s="15">
        <v>0.86094983444834838</v>
      </c>
    </row>
    <row r="26" spans="6:16" x14ac:dyDescent="0.3">
      <c r="F26" s="50">
        <v>38169</v>
      </c>
      <c r="G26" s="53">
        <v>107.82</v>
      </c>
      <c r="M26" s="54">
        <v>106.79605989432595</v>
      </c>
      <c r="N26" s="54"/>
      <c r="O26" s="54">
        <v>106.79605989432595</v>
      </c>
      <c r="P26" s="15">
        <v>1.0239401056740434</v>
      </c>
    </row>
    <row r="27" spans="6:16" x14ac:dyDescent="0.3">
      <c r="F27" s="50">
        <v>38200</v>
      </c>
      <c r="G27" s="53">
        <v>108.19</v>
      </c>
      <c r="M27" s="54">
        <v>107.22127486030696</v>
      </c>
      <c r="N27" s="54"/>
      <c r="O27" s="54">
        <v>107.22127486030696</v>
      </c>
      <c r="P27" s="15">
        <v>0.96872513969303498</v>
      </c>
    </row>
    <row r="28" spans="6:16" x14ac:dyDescent="0.3">
      <c r="F28" s="50">
        <v>38231</v>
      </c>
      <c r="G28" s="53">
        <v>109.46</v>
      </c>
      <c r="M28" s="54">
        <v>107.63348944566813</v>
      </c>
      <c r="N28" s="54"/>
      <c r="O28" s="54">
        <v>107.63348944566813</v>
      </c>
      <c r="P28" s="15">
        <v>1.8265105543318612</v>
      </c>
    </row>
    <row r="29" spans="6:16" x14ac:dyDescent="0.3">
      <c r="F29" s="50">
        <v>38261</v>
      </c>
      <c r="G29" s="53">
        <v>108.73</v>
      </c>
      <c r="M29" s="54">
        <v>108.03210348579594</v>
      </c>
      <c r="N29" s="54"/>
      <c r="O29" s="54">
        <v>108.03210348579594</v>
      </c>
      <c r="P29" s="15">
        <v>0.69789651420406074</v>
      </c>
    </row>
    <row r="30" spans="6:16" x14ac:dyDescent="0.3">
      <c r="F30" s="50">
        <v>38292</v>
      </c>
      <c r="G30" s="53">
        <v>109.62</v>
      </c>
      <c r="M30" s="54">
        <v>108.41765838517246</v>
      </c>
      <c r="N30" s="54"/>
      <c r="O30" s="54">
        <v>108.41765838517246</v>
      </c>
      <c r="P30" s="15">
        <v>1.2023416148275459</v>
      </c>
    </row>
    <row r="31" spans="6:16" x14ac:dyDescent="0.3">
      <c r="F31" s="50">
        <v>38322</v>
      </c>
      <c r="G31" s="53">
        <v>108.79</v>
      </c>
      <c r="M31" s="54">
        <v>108.79113173360183</v>
      </c>
      <c r="N31" s="54"/>
      <c r="O31" s="54">
        <v>108.79113173360183</v>
      </c>
      <c r="P31" s="15">
        <v>-1.1317336018237256E-3</v>
      </c>
    </row>
    <row r="32" spans="6:16" x14ac:dyDescent="0.3">
      <c r="F32" s="50">
        <v>38353</v>
      </c>
      <c r="G32" s="53">
        <v>109.62</v>
      </c>
      <c r="M32" s="54">
        <v>109.15425258439663</v>
      </c>
      <c r="N32" s="54"/>
      <c r="O32" s="54">
        <v>109.15425258439663</v>
      </c>
      <c r="P32" s="15">
        <v>0.46574741560337429</v>
      </c>
    </row>
    <row r="33" spans="6:16" x14ac:dyDescent="0.3">
      <c r="F33" s="50">
        <v>38384</v>
      </c>
      <c r="G33" s="53">
        <v>110.14</v>
      </c>
      <c r="M33" s="54">
        <v>109.50874928353706</v>
      </c>
      <c r="N33" s="54"/>
      <c r="O33" s="54">
        <v>109.50874928353706</v>
      </c>
      <c r="P33" s="15">
        <v>0.63125071646294373</v>
      </c>
    </row>
    <row r="34" spans="6:16" x14ac:dyDescent="0.3">
      <c r="F34" s="50">
        <v>38412</v>
      </c>
      <c r="G34" s="53">
        <v>110.43</v>
      </c>
      <c r="M34" s="54">
        <v>109.85664126913728</v>
      </c>
      <c r="N34" s="54"/>
      <c r="O34" s="54">
        <v>109.85664126913728</v>
      </c>
      <c r="P34" s="15">
        <v>0.57335873086272215</v>
      </c>
    </row>
    <row r="35" spans="6:16" x14ac:dyDescent="0.3">
      <c r="F35" s="50">
        <v>38443</v>
      </c>
      <c r="G35" s="53">
        <v>110.95</v>
      </c>
      <c r="M35" s="54">
        <v>110.20034251100934</v>
      </c>
      <c r="N35" s="54"/>
      <c r="O35" s="54">
        <v>110.20034251100934</v>
      </c>
      <c r="P35" s="15">
        <v>0.74965748899066398</v>
      </c>
    </row>
    <row r="36" spans="6:16" x14ac:dyDescent="0.3">
      <c r="F36" s="50">
        <v>38473</v>
      </c>
      <c r="G36" s="53">
        <v>110.99</v>
      </c>
      <c r="M36" s="54">
        <v>110.54262532817241</v>
      </c>
      <c r="N36" s="54"/>
      <c r="O36" s="54">
        <v>110.54262532817241</v>
      </c>
      <c r="P36" s="15">
        <v>0.44737467182758905</v>
      </c>
    </row>
    <row r="37" spans="6:16" x14ac:dyDescent="0.3">
      <c r="F37" s="50">
        <v>38504</v>
      </c>
      <c r="G37" s="53">
        <v>110.63</v>
      </c>
      <c r="M37" s="54">
        <v>110.88673057557597</v>
      </c>
      <c r="N37" s="54"/>
      <c r="O37" s="54">
        <v>110.88673057557597</v>
      </c>
      <c r="P37" s="15">
        <v>-0.2567305755759719</v>
      </c>
    </row>
    <row r="38" spans="6:16" x14ac:dyDescent="0.3">
      <c r="F38" s="50">
        <v>38534</v>
      </c>
      <c r="G38" s="53">
        <v>110.63</v>
      </c>
      <c r="M38" s="54">
        <v>111.23617871733977</v>
      </c>
      <c r="N38" s="54"/>
      <c r="O38" s="54">
        <v>111.23617871733977</v>
      </c>
      <c r="P38" s="15">
        <v>-0.60617871733977324</v>
      </c>
    </row>
    <row r="39" spans="6:16" x14ac:dyDescent="0.3">
      <c r="F39" s="50">
        <v>38565</v>
      </c>
      <c r="G39" s="53">
        <v>111.29</v>
      </c>
      <c r="M39" s="54">
        <v>111.59432976097314</v>
      </c>
      <c r="N39" s="54"/>
      <c r="O39" s="54">
        <v>111.59432976097314</v>
      </c>
      <c r="P39" s="15">
        <v>-0.30432976097313258</v>
      </c>
    </row>
    <row r="40" spans="6:16" x14ac:dyDescent="0.3">
      <c r="F40" s="50">
        <v>38596</v>
      </c>
      <c r="G40" s="53">
        <v>110.86</v>
      </c>
      <c r="M40" s="54">
        <v>111.96416485228801</v>
      </c>
      <c r="N40" s="54"/>
      <c r="O40" s="54">
        <v>111.96416485228801</v>
      </c>
      <c r="P40" s="15">
        <v>-1.1041648522880081</v>
      </c>
    </row>
    <row r="41" spans="6:16" x14ac:dyDescent="0.3">
      <c r="F41" s="50">
        <v>38626</v>
      </c>
      <c r="G41" s="53">
        <v>111.05</v>
      </c>
      <c r="M41" s="54">
        <v>112.34847493099501</v>
      </c>
      <c r="N41" s="54"/>
      <c r="O41" s="54">
        <v>112.34847493099501</v>
      </c>
      <c r="P41" s="15">
        <v>-1.2984749309950132</v>
      </c>
    </row>
    <row r="42" spans="6:16" x14ac:dyDescent="0.3">
      <c r="F42" s="50">
        <v>38657</v>
      </c>
      <c r="G42" s="53">
        <v>111.81</v>
      </c>
      <c r="M42" s="54">
        <v>112.74936083377223</v>
      </c>
      <c r="N42" s="54"/>
      <c r="O42" s="54">
        <v>112.74936083377223</v>
      </c>
      <c r="P42" s="15">
        <v>-0.93936083377222701</v>
      </c>
    </row>
    <row r="43" spans="6:16" x14ac:dyDescent="0.3">
      <c r="F43" s="50">
        <v>38687</v>
      </c>
      <c r="G43" s="53">
        <v>112.32</v>
      </c>
      <c r="M43" s="54">
        <v>113.16811185046606</v>
      </c>
      <c r="N43" s="54"/>
      <c r="O43" s="54">
        <v>113.16811185046606</v>
      </c>
      <c r="P43" s="15">
        <v>-0.84811185046606852</v>
      </c>
    </row>
    <row r="44" spans="6:16" x14ac:dyDescent="0.3">
      <c r="F44" s="50">
        <v>38718</v>
      </c>
      <c r="G44" s="53">
        <v>113.38</v>
      </c>
      <c r="M44" s="54">
        <v>113.60543017040166</v>
      </c>
      <c r="N44" s="54"/>
      <c r="O44" s="54">
        <v>113.60543017040166</v>
      </c>
      <c r="P44" s="15">
        <v>-0.22543017040166546</v>
      </c>
    </row>
    <row r="45" spans="6:16" x14ac:dyDescent="0.3">
      <c r="F45" s="50">
        <v>38749</v>
      </c>
      <c r="G45" s="53">
        <v>113.61</v>
      </c>
      <c r="M45" s="54">
        <v>114.06148791299742</v>
      </c>
      <c r="N45" s="54"/>
      <c r="O45" s="54">
        <v>114.06148791299742</v>
      </c>
      <c r="P45" s="15">
        <v>-0.45148791299742186</v>
      </c>
    </row>
    <row r="46" spans="6:16" x14ac:dyDescent="0.3">
      <c r="F46" s="50">
        <v>38777</v>
      </c>
      <c r="G46" s="53">
        <v>113.55</v>
      </c>
      <c r="M46" s="54">
        <v>114.53631630381561</v>
      </c>
      <c r="N46" s="54"/>
      <c r="O46" s="54">
        <v>114.53631630381561</v>
      </c>
      <c r="P46" s="15">
        <v>-0.98631630381561308</v>
      </c>
    </row>
    <row r="47" spans="6:16" x14ac:dyDescent="0.3">
      <c r="F47" s="50">
        <v>38808</v>
      </c>
      <c r="G47" s="53">
        <v>114.23</v>
      </c>
      <c r="M47" s="54">
        <v>115.02966438847253</v>
      </c>
      <c r="N47" s="54"/>
      <c r="O47" s="54">
        <v>115.02966438847253</v>
      </c>
      <c r="P47" s="15">
        <v>-0.79966438847252164</v>
      </c>
    </row>
    <row r="48" spans="6:16" x14ac:dyDescent="0.3">
      <c r="F48" s="50">
        <v>38838</v>
      </c>
      <c r="G48" s="53">
        <v>115.66</v>
      </c>
      <c r="M48" s="54">
        <v>115.54066476489501</v>
      </c>
      <c r="N48" s="54"/>
      <c r="O48" s="54">
        <v>115.54066476489501</v>
      </c>
      <c r="P48" s="15">
        <v>0.11933523510498389</v>
      </c>
    </row>
    <row r="49" spans="6:16" x14ac:dyDescent="0.3">
      <c r="F49" s="50">
        <v>38869</v>
      </c>
      <c r="G49" s="53">
        <v>114.72</v>
      </c>
      <c r="M49" s="54">
        <v>116.06795024076641</v>
      </c>
      <c r="N49" s="54"/>
      <c r="O49" s="54">
        <v>116.06795024076641</v>
      </c>
      <c r="P49" s="15">
        <v>-1.3479502407664086</v>
      </c>
    </row>
    <row r="50" spans="6:16" x14ac:dyDescent="0.3">
      <c r="F50" s="50">
        <v>38899</v>
      </c>
      <c r="G50" s="53">
        <v>116.94</v>
      </c>
      <c r="M50" s="54">
        <v>116.61022820829227</v>
      </c>
      <c r="N50" s="54"/>
      <c r="O50" s="54">
        <v>116.61022820829227</v>
      </c>
      <c r="P50" s="15">
        <v>0.32977179170772786</v>
      </c>
    </row>
    <row r="51" spans="6:16" x14ac:dyDescent="0.3">
      <c r="F51" s="50">
        <v>38930</v>
      </c>
      <c r="G51" s="53">
        <v>116.62</v>
      </c>
      <c r="M51" s="54">
        <v>117.16536359077821</v>
      </c>
      <c r="N51" s="54"/>
      <c r="O51" s="54">
        <v>117.16536359077821</v>
      </c>
      <c r="P51" s="15">
        <v>-0.54536359077820862</v>
      </c>
    </row>
    <row r="52" spans="6:16" x14ac:dyDescent="0.3">
      <c r="F52" s="50">
        <v>38961</v>
      </c>
      <c r="G52" s="53">
        <v>116.82</v>
      </c>
      <c r="M52" s="54">
        <v>117.73142741889913</v>
      </c>
      <c r="N52" s="54"/>
      <c r="O52" s="54">
        <v>117.73142741889913</v>
      </c>
      <c r="P52" s="15">
        <v>-0.91142741889913736</v>
      </c>
    </row>
    <row r="53" spans="6:16" x14ac:dyDescent="0.3">
      <c r="F53" s="50">
        <v>38991</v>
      </c>
      <c r="G53" s="53">
        <v>118.07</v>
      </c>
      <c r="M53" s="54">
        <v>118.30614987108561</v>
      </c>
      <c r="N53" s="54"/>
      <c r="O53" s="54">
        <v>118.30614987108561</v>
      </c>
      <c r="P53" s="15">
        <v>-0.23614987108561536</v>
      </c>
    </row>
    <row r="54" spans="6:16" x14ac:dyDescent="0.3">
      <c r="F54" s="50">
        <v>39022</v>
      </c>
      <c r="G54" s="53">
        <v>118.87</v>
      </c>
      <c r="M54" s="54">
        <v>118.88669148363186</v>
      </c>
      <c r="N54" s="54"/>
      <c r="O54" s="54">
        <v>118.88669148363186</v>
      </c>
      <c r="P54" s="15">
        <v>-1.6691483631859683E-2</v>
      </c>
    </row>
    <row r="55" spans="6:16" x14ac:dyDescent="0.3">
      <c r="F55" s="50">
        <v>39052</v>
      </c>
      <c r="G55" s="53">
        <v>119.87</v>
      </c>
      <c r="M55" s="54">
        <v>119.47006519916222</v>
      </c>
      <c r="N55" s="54"/>
      <c r="O55" s="54">
        <v>119.47006519916222</v>
      </c>
      <c r="P55" s="15">
        <v>0.39993480083778365</v>
      </c>
    </row>
    <row r="56" spans="6:16" x14ac:dyDescent="0.3">
      <c r="F56" s="50">
        <v>39083</v>
      </c>
      <c r="G56" s="53">
        <v>119.66</v>
      </c>
      <c r="M56" s="54">
        <v>120.05327352812397</v>
      </c>
      <c r="N56" s="54"/>
      <c r="O56" s="54">
        <v>120.05327352812397</v>
      </c>
      <c r="P56" s="15">
        <v>-0.3932735281239701</v>
      </c>
    </row>
    <row r="57" spans="6:16" x14ac:dyDescent="0.3">
      <c r="F57" s="50">
        <v>39114</v>
      </c>
      <c r="G57" s="53">
        <v>120.17</v>
      </c>
      <c r="M57" s="54">
        <v>120.63356894021486</v>
      </c>
      <c r="N57" s="54"/>
      <c r="O57" s="54">
        <v>120.63356894021486</v>
      </c>
      <c r="P57" s="15">
        <v>-0.46356894021485573</v>
      </c>
    </row>
    <row r="58" spans="6:16" x14ac:dyDescent="0.3">
      <c r="F58" s="50">
        <v>39142</v>
      </c>
      <c r="G58" s="53">
        <v>119.4</v>
      </c>
      <c r="M58" s="54">
        <v>121.20795810917768</v>
      </c>
      <c r="N58" s="54"/>
      <c r="O58" s="54">
        <v>121.20795810917768</v>
      </c>
      <c r="P58" s="15">
        <v>-1.807958109177676</v>
      </c>
    </row>
    <row r="59" spans="6:16" x14ac:dyDescent="0.3">
      <c r="F59" s="50">
        <v>39173</v>
      </c>
      <c r="G59" s="53">
        <v>121.18</v>
      </c>
      <c r="M59" s="54">
        <v>121.77315797816721</v>
      </c>
      <c r="N59" s="54"/>
      <c r="O59" s="54">
        <v>121.77315797816721</v>
      </c>
      <c r="P59" s="15">
        <v>-0.59315797816719851</v>
      </c>
    </row>
    <row r="60" spans="6:16" x14ac:dyDescent="0.3">
      <c r="F60" s="50">
        <v>39203</v>
      </c>
      <c r="G60" s="53">
        <v>122.38</v>
      </c>
      <c r="M60" s="54">
        <v>122.32475551652027</v>
      </c>
      <c r="N60" s="54"/>
      <c r="O60" s="54">
        <v>122.32475551652027</v>
      </c>
      <c r="P60" s="15">
        <v>5.5244483479725659E-2</v>
      </c>
    </row>
    <row r="61" spans="6:16" x14ac:dyDescent="0.3">
      <c r="F61" s="50">
        <v>39234</v>
      </c>
      <c r="G61" s="53">
        <v>123.41</v>
      </c>
      <c r="M61" s="54">
        <v>122.85796696983728</v>
      </c>
      <c r="N61" s="54"/>
      <c r="O61" s="54">
        <v>122.85796696983728</v>
      </c>
      <c r="P61" s="15">
        <v>0.55203303016271832</v>
      </c>
    </row>
    <row r="62" spans="6:16" x14ac:dyDescent="0.3">
      <c r="F62" s="50">
        <v>39264</v>
      </c>
      <c r="G62" s="53">
        <v>124.23</v>
      </c>
      <c r="M62" s="54">
        <v>123.36804311152036</v>
      </c>
      <c r="N62" s="54"/>
      <c r="O62" s="54">
        <v>123.36804311152036</v>
      </c>
      <c r="P62" s="15">
        <v>0.86195688847963936</v>
      </c>
    </row>
    <row r="63" spans="6:16" x14ac:dyDescent="0.3">
      <c r="F63" s="50">
        <v>39295</v>
      </c>
      <c r="G63" s="53">
        <v>124.34</v>
      </c>
      <c r="M63" s="54">
        <v>123.85057973561665</v>
      </c>
      <c r="N63" s="54"/>
      <c r="O63" s="54">
        <v>123.85057973561665</v>
      </c>
      <c r="P63" s="15">
        <v>0.48942026438335517</v>
      </c>
    </row>
    <row r="64" spans="6:16" x14ac:dyDescent="0.3">
      <c r="F64" s="50">
        <v>39326</v>
      </c>
      <c r="G64" s="53">
        <v>125.35</v>
      </c>
      <c r="M64" s="54">
        <v>124.30171135922731</v>
      </c>
      <c r="N64" s="54"/>
      <c r="O64" s="54">
        <v>124.30171135922731</v>
      </c>
      <c r="P64" s="15">
        <v>1.0482886407726824</v>
      </c>
    </row>
    <row r="65" spans="6:16" x14ac:dyDescent="0.3">
      <c r="F65" s="50">
        <v>39356</v>
      </c>
      <c r="G65" s="53">
        <v>126.32</v>
      </c>
      <c r="M65" s="54">
        <v>124.7178783871197</v>
      </c>
      <c r="N65" s="54"/>
      <c r="O65" s="54">
        <v>124.7178783871197</v>
      </c>
      <c r="P65" s="15">
        <v>1.6021216128802962</v>
      </c>
    </row>
    <row r="66" spans="6:16" x14ac:dyDescent="0.3">
      <c r="F66" s="50">
        <v>39387</v>
      </c>
      <c r="G66" s="53">
        <v>126.17</v>
      </c>
      <c r="M66" s="54">
        <v>125.09617640446112</v>
      </c>
      <c r="N66" s="54"/>
      <c r="O66" s="54">
        <v>125.09617640446112</v>
      </c>
      <c r="P66" s="15">
        <v>1.0738235955388831</v>
      </c>
    </row>
    <row r="67" spans="6:16" x14ac:dyDescent="0.3">
      <c r="F67" s="50">
        <v>39417</v>
      </c>
      <c r="G67" s="53">
        <v>126.96</v>
      </c>
      <c r="M67" s="54">
        <v>125.43470232242747</v>
      </c>
      <c r="N67" s="54"/>
      <c r="O67" s="54">
        <v>125.43470232242747</v>
      </c>
      <c r="P67" s="15">
        <v>1.5252976775725244</v>
      </c>
    </row>
    <row r="68" spans="6:16" x14ac:dyDescent="0.3">
      <c r="F68" s="50">
        <v>39448</v>
      </c>
      <c r="G68" s="53">
        <v>127.22</v>
      </c>
      <c r="M68" s="54">
        <v>125.73222419194119</v>
      </c>
      <c r="N68" s="54"/>
      <c r="O68" s="54">
        <v>125.73222419194119</v>
      </c>
      <c r="P68" s="15">
        <v>1.4877758080588137</v>
      </c>
    </row>
    <row r="69" spans="6:16" x14ac:dyDescent="0.3">
      <c r="F69" s="50">
        <v>39479</v>
      </c>
      <c r="G69" s="53">
        <v>126.83</v>
      </c>
      <c r="M69" s="54">
        <v>125.98846337497385</v>
      </c>
      <c r="N69" s="54"/>
      <c r="O69" s="54">
        <v>125.98846337497385</v>
      </c>
      <c r="P69" s="15">
        <v>0.84153662502615134</v>
      </c>
    </row>
    <row r="70" spans="6:16" x14ac:dyDescent="0.3">
      <c r="F70" s="50">
        <v>39508</v>
      </c>
      <c r="G70" s="53">
        <v>126.44</v>
      </c>
      <c r="M70" s="54">
        <v>126.20407109337651</v>
      </c>
      <c r="N70" s="54"/>
      <c r="O70" s="54">
        <v>126.20407109337651</v>
      </c>
      <c r="P70" s="15">
        <v>0.23592890662348509</v>
      </c>
    </row>
    <row r="71" spans="6:16" x14ac:dyDescent="0.3">
      <c r="F71" s="50">
        <v>39539</v>
      </c>
      <c r="G71" s="53">
        <v>127.7</v>
      </c>
      <c r="M71" s="54">
        <v>126.38022452939107</v>
      </c>
      <c r="N71" s="54"/>
      <c r="O71" s="54">
        <v>126.38022452939107</v>
      </c>
      <c r="P71" s="15">
        <v>1.3197754706089313</v>
      </c>
    </row>
    <row r="72" spans="6:16" x14ac:dyDescent="0.3">
      <c r="F72" s="50">
        <v>39569</v>
      </c>
      <c r="G72" s="53">
        <v>129.4</v>
      </c>
      <c r="M72" s="54">
        <v>126.51824832082593</v>
      </c>
      <c r="N72" s="54"/>
      <c r="O72" s="54">
        <v>126.51824832082593</v>
      </c>
      <c r="P72" s="15">
        <v>2.8817516791740729</v>
      </c>
    </row>
    <row r="73" spans="6:16" x14ac:dyDescent="0.3">
      <c r="F73" s="50">
        <v>39600</v>
      </c>
      <c r="G73" s="53">
        <v>131.19</v>
      </c>
      <c r="M73" s="54">
        <v>126.62029196515856</v>
      </c>
      <c r="N73" s="54"/>
      <c r="O73" s="54">
        <v>126.62029196515856</v>
      </c>
      <c r="P73" s="15">
        <v>4.5697080348414403</v>
      </c>
    </row>
    <row r="74" spans="6:16" x14ac:dyDescent="0.3">
      <c r="F74" s="50">
        <v>39630</v>
      </c>
      <c r="G74" s="53">
        <v>130.93</v>
      </c>
      <c r="M74" s="54">
        <v>126.69030605466614</v>
      </c>
      <c r="N74" s="54"/>
      <c r="O74" s="54">
        <v>126.69030605466614</v>
      </c>
      <c r="P74" s="15">
        <v>4.2396939453338689</v>
      </c>
    </row>
    <row r="75" spans="6:16" x14ac:dyDescent="0.3">
      <c r="F75" s="50">
        <v>39661</v>
      </c>
      <c r="G75" s="53">
        <v>130.99</v>
      </c>
      <c r="M75" s="54">
        <v>126.7350972491473</v>
      </c>
      <c r="N75" s="54"/>
      <c r="O75" s="54">
        <v>126.7350972491473</v>
      </c>
      <c r="P75" s="15">
        <v>4.2549027508527075</v>
      </c>
    </row>
    <row r="76" spans="6:16" x14ac:dyDescent="0.3">
      <c r="F76" s="50">
        <v>39692</v>
      </c>
      <c r="G76" s="53">
        <v>130.93</v>
      </c>
      <c r="M76" s="54">
        <v>126.76412201711685</v>
      </c>
      <c r="N76" s="54"/>
      <c r="O76" s="54">
        <v>126.76412201711685</v>
      </c>
      <c r="P76" s="15">
        <v>4.1658779828831598</v>
      </c>
    </row>
    <row r="77" spans="6:16" x14ac:dyDescent="0.3">
      <c r="F77" s="50">
        <v>39722</v>
      </c>
      <c r="G77" s="53">
        <v>128.19</v>
      </c>
      <c r="M77" s="54">
        <v>126.78949614130859</v>
      </c>
      <c r="N77" s="54"/>
      <c r="O77" s="54">
        <v>126.78949614130859</v>
      </c>
      <c r="P77" s="15">
        <v>1.4005038586914083</v>
      </c>
    </row>
    <row r="78" spans="6:16" x14ac:dyDescent="0.3">
      <c r="F78" s="50">
        <v>39753</v>
      </c>
      <c r="G78" s="53">
        <v>124.95</v>
      </c>
      <c r="M78" s="54">
        <v>126.82593907819594</v>
      </c>
      <c r="N78" s="54"/>
      <c r="O78" s="54">
        <v>126.82593907819594</v>
      </c>
      <c r="P78" s="15">
        <v>-1.8759390781959411</v>
      </c>
    </row>
    <row r="79" spans="6:16" x14ac:dyDescent="0.3">
      <c r="F79" s="50">
        <v>39783</v>
      </c>
      <c r="G79" s="53">
        <v>120.93</v>
      </c>
      <c r="M79" s="54">
        <v>126.88904559916357</v>
      </c>
      <c r="N79" s="54"/>
      <c r="O79" s="54">
        <v>126.88904559916357</v>
      </c>
      <c r="P79" s="15">
        <v>-5.9590455991635594</v>
      </c>
    </row>
    <row r="80" spans="6:16" x14ac:dyDescent="0.3">
      <c r="F80" s="50">
        <v>39814</v>
      </c>
      <c r="G80" s="53">
        <v>120.82</v>
      </c>
      <c r="M80" s="54">
        <v>126.99323801367291</v>
      </c>
      <c r="N80" s="54"/>
      <c r="O80" s="54">
        <v>126.99323801367291</v>
      </c>
      <c r="P80" s="15">
        <v>-6.1732380136729148</v>
      </c>
    </row>
    <row r="81" spans="6:16" x14ac:dyDescent="0.3">
      <c r="F81" s="50">
        <v>39845</v>
      </c>
      <c r="G81" s="53">
        <v>122.19</v>
      </c>
      <c r="M81" s="54">
        <v>127.14921422768508</v>
      </c>
      <c r="N81" s="54"/>
      <c r="O81" s="54">
        <v>127.14921422768508</v>
      </c>
      <c r="P81" s="15">
        <v>-4.9592142276850808</v>
      </c>
    </row>
    <row r="82" spans="6:16" x14ac:dyDescent="0.3">
      <c r="F82" s="50">
        <v>39873</v>
      </c>
      <c r="G82" s="53">
        <v>122.97</v>
      </c>
      <c r="M82" s="54">
        <v>127.36381387340319</v>
      </c>
      <c r="N82" s="54"/>
      <c r="O82" s="54">
        <v>127.36381387340319</v>
      </c>
      <c r="P82" s="15">
        <v>-4.3938138734031895</v>
      </c>
    </row>
    <row r="83" spans="6:16" x14ac:dyDescent="0.3">
      <c r="F83" s="50">
        <v>39904</v>
      </c>
      <c r="G83" s="53">
        <v>123.64</v>
      </c>
      <c r="M83" s="54">
        <v>127.64077707413762</v>
      </c>
      <c r="N83" s="54"/>
      <c r="O83" s="54">
        <v>127.64077707413762</v>
      </c>
      <c r="P83" s="15">
        <v>-4.0007770741376163</v>
      </c>
    </row>
    <row r="84" spans="6:16" x14ac:dyDescent="0.3">
      <c r="F84" s="50">
        <v>39934</v>
      </c>
      <c r="G84" s="53">
        <v>124.87</v>
      </c>
      <c r="M84" s="54">
        <v>127.98109781952773</v>
      </c>
      <c r="N84" s="54"/>
      <c r="O84" s="54">
        <v>127.98109781952773</v>
      </c>
      <c r="P84" s="15">
        <v>-3.1110978195277283</v>
      </c>
    </row>
    <row r="85" spans="6:16" x14ac:dyDescent="0.3">
      <c r="F85" s="50">
        <v>39965</v>
      </c>
      <c r="G85" s="53">
        <v>125.93</v>
      </c>
      <c r="M85" s="54">
        <v>128.38326961354201</v>
      </c>
      <c r="N85" s="54"/>
      <c r="O85" s="54">
        <v>128.38326961354201</v>
      </c>
      <c r="P85" s="15">
        <v>-2.4532696135420053</v>
      </c>
    </row>
    <row r="86" spans="6:16" x14ac:dyDescent="0.3">
      <c r="F86" s="50">
        <v>39995</v>
      </c>
      <c r="G86" s="53">
        <v>126.29</v>
      </c>
      <c r="M86" s="54">
        <v>128.84384152401157</v>
      </c>
      <c r="N86" s="54"/>
      <c r="O86" s="54">
        <v>128.84384152401157</v>
      </c>
      <c r="P86" s="15">
        <v>-2.5538415240115597</v>
      </c>
    </row>
    <row r="87" spans="6:16" x14ac:dyDescent="0.3">
      <c r="F87" s="50">
        <v>40026</v>
      </c>
      <c r="G87" s="53">
        <v>128.09</v>
      </c>
      <c r="M87" s="54">
        <v>129.35782932525862</v>
      </c>
      <c r="N87" s="54"/>
      <c r="O87" s="54">
        <v>129.35782932525862</v>
      </c>
      <c r="P87" s="15">
        <v>-1.2678293252586172</v>
      </c>
    </row>
    <row r="88" spans="6:16" x14ac:dyDescent="0.3">
      <c r="F88" s="50">
        <v>40057</v>
      </c>
      <c r="G88" s="53">
        <v>129.12</v>
      </c>
      <c r="M88" s="54">
        <v>129.91865264065356</v>
      </c>
      <c r="N88" s="54"/>
      <c r="O88" s="54">
        <v>129.91865264065356</v>
      </c>
      <c r="P88" s="15">
        <v>-0.79865264065355746</v>
      </c>
    </row>
    <row r="89" spans="6:16" x14ac:dyDescent="0.3">
      <c r="F89" s="50">
        <v>40087</v>
      </c>
      <c r="G89" s="53">
        <v>129.79</v>
      </c>
      <c r="M89" s="54">
        <v>130.51893870023824</v>
      </c>
      <c r="N89" s="54"/>
      <c r="O89" s="54">
        <v>130.51893870023824</v>
      </c>
      <c r="P89" s="15">
        <v>-0.72893870023824547</v>
      </c>
    </row>
    <row r="90" spans="6:16" x14ac:dyDescent="0.3">
      <c r="F90" s="50">
        <v>40118</v>
      </c>
      <c r="G90" s="53">
        <v>130.02000000000001</v>
      </c>
      <c r="M90" s="54">
        <v>131.15081557615329</v>
      </c>
      <c r="N90" s="54"/>
      <c r="O90" s="54">
        <v>131.15081557615329</v>
      </c>
      <c r="P90" s="15">
        <v>-1.1308155761532817</v>
      </c>
    </row>
    <row r="91" spans="6:16" x14ac:dyDescent="0.3">
      <c r="F91" s="50">
        <v>40148</v>
      </c>
      <c r="G91" s="53">
        <v>131.30000000000001</v>
      </c>
      <c r="M91" s="54">
        <v>131.80595575385303</v>
      </c>
      <c r="N91" s="54"/>
      <c r="O91" s="54">
        <v>131.80595575385303</v>
      </c>
      <c r="P91" s="15">
        <v>-0.50595575385301572</v>
      </c>
    </row>
    <row r="92" spans="6:16" x14ac:dyDescent="0.3">
      <c r="F92" s="50">
        <v>40179</v>
      </c>
      <c r="G92" s="53">
        <v>133.47</v>
      </c>
      <c r="M92" s="54">
        <v>132.475324959056</v>
      </c>
      <c r="N92" s="54"/>
      <c r="O92" s="54">
        <v>132.475324959056</v>
      </c>
      <c r="P92" s="15">
        <v>0.99467504094400283</v>
      </c>
    </row>
    <row r="93" spans="6:16" x14ac:dyDescent="0.3">
      <c r="F93" s="50">
        <v>40210</v>
      </c>
      <c r="G93" s="53">
        <v>135.16999999999999</v>
      </c>
      <c r="M93" s="54">
        <v>133.14957269513411</v>
      </c>
      <c r="N93" s="54"/>
      <c r="O93" s="54">
        <v>133.14957269513411</v>
      </c>
      <c r="P93" s="15">
        <v>2.0204273048658763</v>
      </c>
    </row>
    <row r="94" spans="6:16" x14ac:dyDescent="0.3">
      <c r="F94" s="50">
        <v>40238</v>
      </c>
      <c r="G94" s="53">
        <v>136.59</v>
      </c>
      <c r="M94" s="54">
        <v>133.81997013736111</v>
      </c>
      <c r="N94" s="54"/>
      <c r="O94" s="54">
        <v>133.81997013736111</v>
      </c>
      <c r="P94" s="15">
        <v>2.7700298626388928</v>
      </c>
    </row>
    <row r="95" spans="6:16" x14ac:dyDescent="0.3">
      <c r="F95" s="50">
        <v>40269</v>
      </c>
      <c r="G95" s="53">
        <v>137.05000000000001</v>
      </c>
      <c r="M95" s="54">
        <v>134.47905122807515</v>
      </c>
      <c r="N95" s="54"/>
      <c r="O95" s="54">
        <v>134.47905122807515</v>
      </c>
      <c r="P95" s="15">
        <v>2.5709487719248614</v>
      </c>
    </row>
    <row r="96" spans="6:16" x14ac:dyDescent="0.3">
      <c r="F96" s="50">
        <v>40299</v>
      </c>
      <c r="G96" s="53">
        <v>136.49</v>
      </c>
      <c r="M96" s="54">
        <v>135.12108117827924</v>
      </c>
      <c r="N96" s="54"/>
      <c r="O96" s="54">
        <v>135.12108117827924</v>
      </c>
      <c r="P96" s="15">
        <v>1.3689188217207686</v>
      </c>
    </row>
    <row r="97" spans="6:16" x14ac:dyDescent="0.3">
      <c r="F97" s="50">
        <v>40330</v>
      </c>
      <c r="G97" s="53">
        <v>136.22999999999999</v>
      </c>
      <c r="M97" s="54">
        <v>135.74193204195879</v>
      </c>
      <c r="N97" s="54"/>
      <c r="O97" s="54">
        <v>135.74193204195879</v>
      </c>
      <c r="P97" s="15">
        <v>0.48806795804119929</v>
      </c>
    </row>
    <row r="98" spans="6:16" x14ac:dyDescent="0.3">
      <c r="F98" s="50">
        <v>40360</v>
      </c>
      <c r="G98" s="53">
        <v>136.93</v>
      </c>
      <c r="M98" s="54">
        <v>136.33833144736329</v>
      </c>
      <c r="N98" s="54"/>
      <c r="O98" s="54">
        <v>136.33833144736329</v>
      </c>
      <c r="P98" s="15">
        <v>0.59166855263671891</v>
      </c>
    </row>
    <row r="99" spans="6:16" x14ac:dyDescent="0.3">
      <c r="F99" s="50">
        <v>40391</v>
      </c>
      <c r="G99" s="53">
        <v>137.66999999999999</v>
      </c>
      <c r="M99" s="54">
        <v>136.90731206521437</v>
      </c>
      <c r="N99" s="54"/>
      <c r="O99" s="54">
        <v>136.90731206521437</v>
      </c>
      <c r="P99" s="15">
        <v>0.76268793478561747</v>
      </c>
    </row>
    <row r="100" spans="6:16" x14ac:dyDescent="0.3">
      <c r="F100" s="50">
        <v>40422</v>
      </c>
      <c r="G100" s="53">
        <v>139.41</v>
      </c>
      <c r="M100" s="54">
        <v>137.44627635908066</v>
      </c>
      <c r="N100" s="54"/>
      <c r="O100" s="54">
        <v>137.44627635908066</v>
      </c>
      <c r="P100" s="15">
        <v>1.9637236409193406</v>
      </c>
    </row>
    <row r="101" spans="6:16" x14ac:dyDescent="0.3">
      <c r="F101" s="50">
        <v>40452</v>
      </c>
      <c r="G101" s="53">
        <v>138.72</v>
      </c>
      <c r="M101" s="54">
        <v>137.95310347248957</v>
      </c>
      <c r="N101" s="54"/>
      <c r="O101" s="54">
        <v>137.95310347248957</v>
      </c>
      <c r="P101" s="15">
        <v>0.76689652751042559</v>
      </c>
    </row>
    <row r="102" spans="6:16" x14ac:dyDescent="0.3">
      <c r="F102" s="50">
        <v>40483</v>
      </c>
      <c r="G102" s="53">
        <v>140.09</v>
      </c>
      <c r="M102" s="54">
        <v>138.42689987624411</v>
      </c>
      <c r="N102" s="54"/>
      <c r="O102" s="54">
        <v>138.42689987624411</v>
      </c>
      <c r="P102" s="15">
        <v>1.6631001237558962</v>
      </c>
    </row>
    <row r="103" spans="6:16" x14ac:dyDescent="0.3">
      <c r="F103" s="50">
        <v>40513</v>
      </c>
      <c r="G103" s="53">
        <v>138.29</v>
      </c>
      <c r="M103" s="54">
        <v>138.86725135147694</v>
      </c>
      <c r="N103" s="54"/>
      <c r="O103" s="54">
        <v>138.86725135147694</v>
      </c>
      <c r="P103" s="15">
        <v>-0.57725135147694573</v>
      </c>
    </row>
    <row r="104" spans="6:16" x14ac:dyDescent="0.3">
      <c r="F104" s="50">
        <v>40544</v>
      </c>
      <c r="G104" s="53">
        <v>140.13999999999999</v>
      </c>
      <c r="M104" s="54">
        <v>139.27478311689774</v>
      </c>
      <c r="N104" s="54"/>
      <c r="O104" s="54">
        <v>139.27478311689774</v>
      </c>
      <c r="P104" s="15">
        <v>0.86521688310224931</v>
      </c>
    </row>
    <row r="105" spans="6:16" x14ac:dyDescent="0.3">
      <c r="F105" s="50">
        <v>40575</v>
      </c>
      <c r="G105" s="53">
        <v>140.72</v>
      </c>
      <c r="M105" s="54">
        <v>139.64975960912238</v>
      </c>
      <c r="N105" s="54"/>
      <c r="O105" s="54">
        <v>139.64975960912238</v>
      </c>
      <c r="P105" s="15">
        <v>1.0702403908776148</v>
      </c>
    </row>
    <row r="106" spans="6:16" x14ac:dyDescent="0.3">
      <c r="F106" s="50">
        <v>40603</v>
      </c>
      <c r="G106" s="53">
        <v>141.1</v>
      </c>
      <c r="M106" s="54">
        <v>139.99298602531749</v>
      </c>
      <c r="N106" s="54"/>
      <c r="O106" s="54">
        <v>139.99298602531749</v>
      </c>
      <c r="P106" s="15">
        <v>1.1070139746825021</v>
      </c>
    </row>
    <row r="107" spans="6:16" x14ac:dyDescent="0.3">
      <c r="F107" s="50">
        <v>40634</v>
      </c>
      <c r="G107" s="53">
        <v>140.84</v>
      </c>
      <c r="M107" s="54">
        <v>140.30593646289492</v>
      </c>
      <c r="N107" s="54"/>
      <c r="O107" s="54">
        <v>140.30593646289492</v>
      </c>
      <c r="P107" s="15">
        <v>0.5340635371050837</v>
      </c>
    </row>
    <row r="108" spans="6:16" x14ac:dyDescent="0.3">
      <c r="F108" s="50">
        <v>40664</v>
      </c>
      <c r="G108" s="53">
        <v>141.27000000000001</v>
      </c>
      <c r="M108" s="54">
        <v>140.59077690300066</v>
      </c>
      <c r="N108" s="54"/>
      <c r="O108" s="54">
        <v>140.59077690300066</v>
      </c>
      <c r="P108" s="15">
        <v>0.67922309699935113</v>
      </c>
    </row>
    <row r="109" spans="6:16" x14ac:dyDescent="0.3">
      <c r="F109" s="50">
        <v>40695</v>
      </c>
      <c r="G109" s="53">
        <v>142.22</v>
      </c>
      <c r="M109" s="54">
        <v>140.85000711649124</v>
      </c>
      <c r="N109" s="54"/>
      <c r="O109" s="54">
        <v>140.85000711649124</v>
      </c>
      <c r="P109" s="15">
        <v>1.3699928835087576</v>
      </c>
    </row>
    <row r="110" spans="6:16" x14ac:dyDescent="0.3">
      <c r="F110" s="50">
        <v>40725</v>
      </c>
      <c r="G110" s="53">
        <v>142.25</v>
      </c>
      <c r="M110" s="54">
        <v>141.08655138865819</v>
      </c>
      <c r="N110" s="54"/>
      <c r="O110" s="54">
        <v>141.08655138865819</v>
      </c>
      <c r="P110" s="15">
        <v>1.1634486113418063</v>
      </c>
    </row>
    <row r="111" spans="6:16" x14ac:dyDescent="0.3">
      <c r="F111" s="50">
        <v>40756</v>
      </c>
      <c r="G111" s="53">
        <v>141.96</v>
      </c>
      <c r="M111" s="54">
        <v>141.30419025034615</v>
      </c>
      <c r="N111" s="54"/>
      <c r="O111" s="54">
        <v>141.30419025034615</v>
      </c>
      <c r="P111" s="15">
        <v>0.65580974965385508</v>
      </c>
    </row>
    <row r="112" spans="6:16" x14ac:dyDescent="0.3">
      <c r="F112" s="50">
        <v>40787</v>
      </c>
      <c r="G112" s="53">
        <v>141.79</v>
      </c>
      <c r="M112" s="54">
        <v>141.50743138778193</v>
      </c>
      <c r="N112" s="54"/>
      <c r="O112" s="54">
        <v>141.50743138778193</v>
      </c>
      <c r="P112" s="15">
        <v>0.28256861221805707</v>
      </c>
    </row>
    <row r="113" spans="6:16" x14ac:dyDescent="0.3">
      <c r="F113" s="50">
        <v>40817</v>
      </c>
      <c r="G113" s="53">
        <v>141.58000000000001</v>
      </c>
      <c r="M113" s="54">
        <v>141.70119236828478</v>
      </c>
      <c r="N113" s="54"/>
      <c r="O113" s="54">
        <v>141.70119236828478</v>
      </c>
      <c r="P113" s="15">
        <v>-0.12119236828476687</v>
      </c>
    </row>
    <row r="114" spans="6:16" x14ac:dyDescent="0.3">
      <c r="F114" s="50">
        <v>40848</v>
      </c>
      <c r="G114" s="53">
        <v>142.25</v>
      </c>
      <c r="M114" s="54">
        <v>141.89056736455754</v>
      </c>
      <c r="N114" s="54"/>
      <c r="O114" s="54">
        <v>141.89056736455754</v>
      </c>
      <c r="P114" s="15">
        <v>0.35943263544245951</v>
      </c>
    </row>
    <row r="115" spans="6:16" x14ac:dyDescent="0.3">
      <c r="F115" s="50">
        <v>40878</v>
      </c>
      <c r="G115" s="53">
        <v>140.44999999999999</v>
      </c>
      <c r="M115" s="54">
        <v>142.08057480407277</v>
      </c>
      <c r="N115" s="54"/>
      <c r="O115" s="54">
        <v>142.08057480407277</v>
      </c>
      <c r="P115" s="15">
        <v>-1.6305748040727792</v>
      </c>
    </row>
    <row r="116" spans="6:16" x14ac:dyDescent="0.3">
      <c r="F116" s="50">
        <v>40909</v>
      </c>
      <c r="G116" s="53">
        <v>138.87</v>
      </c>
      <c r="M116" s="54">
        <v>142.27645775970004</v>
      </c>
      <c r="N116" s="54"/>
      <c r="O116" s="54">
        <v>142.27645775970004</v>
      </c>
      <c r="P116" s="15">
        <v>-3.4064577597000323</v>
      </c>
    </row>
    <row r="117" spans="6:16" x14ac:dyDescent="0.3">
      <c r="F117" s="50">
        <v>40940</v>
      </c>
      <c r="G117" s="53">
        <v>140.49</v>
      </c>
      <c r="M117" s="54">
        <v>142.482440195056</v>
      </c>
      <c r="N117" s="54"/>
      <c r="O117" s="54">
        <v>142.482440195056</v>
      </c>
      <c r="P117" s="15">
        <v>-1.9924401950559911</v>
      </c>
    </row>
    <row r="118" spans="6:16" x14ac:dyDescent="0.3">
      <c r="F118" s="50">
        <v>40969</v>
      </c>
      <c r="G118" s="53">
        <v>140.06</v>
      </c>
      <c r="M118" s="54">
        <v>142.70061703765853</v>
      </c>
      <c r="N118" s="54"/>
      <c r="O118" s="54">
        <v>142.70061703765853</v>
      </c>
      <c r="P118" s="15">
        <v>-2.6406170376585294</v>
      </c>
    </row>
    <row r="119" spans="6:16" x14ac:dyDescent="0.3">
      <c r="F119" s="50">
        <v>41000</v>
      </c>
      <c r="G119" s="53">
        <v>141.04</v>
      </c>
      <c r="M119" s="54">
        <v>142.93183793990289</v>
      </c>
      <c r="N119" s="54"/>
      <c r="O119" s="54">
        <v>142.93183793990289</v>
      </c>
      <c r="P119" s="15">
        <v>-1.8918379399028993</v>
      </c>
    </row>
    <row r="120" spans="6:16" x14ac:dyDescent="0.3">
      <c r="F120" s="50">
        <v>41030</v>
      </c>
      <c r="G120" s="53">
        <v>142.66999999999999</v>
      </c>
      <c r="M120" s="54">
        <v>143.17530216853615</v>
      </c>
      <c r="N120" s="54"/>
      <c r="O120" s="54">
        <v>143.17530216853615</v>
      </c>
      <c r="P120" s="15">
        <v>-0.50530216853616139</v>
      </c>
    </row>
    <row r="121" spans="6:16" x14ac:dyDescent="0.3">
      <c r="F121" s="50">
        <v>41061</v>
      </c>
      <c r="G121" s="53">
        <v>143.56</v>
      </c>
      <c r="M121" s="54">
        <v>143.4290265915925</v>
      </c>
      <c r="N121" s="54"/>
      <c r="O121" s="54">
        <v>143.4290265915925</v>
      </c>
      <c r="P121" s="15">
        <v>0.13097340840749894</v>
      </c>
    </row>
    <row r="122" spans="6:16" x14ac:dyDescent="0.3">
      <c r="F122" s="50">
        <v>41091</v>
      </c>
      <c r="G122" s="53">
        <v>144.03</v>
      </c>
      <c r="M122" s="54">
        <v>143.6907122632511</v>
      </c>
      <c r="N122" s="54"/>
      <c r="O122" s="54">
        <v>143.6907122632511</v>
      </c>
      <c r="P122" s="15">
        <v>0.33928773674890067</v>
      </c>
    </row>
    <row r="123" spans="6:16" x14ac:dyDescent="0.3">
      <c r="F123" s="50">
        <v>41122</v>
      </c>
      <c r="G123" s="53">
        <v>144.35</v>
      </c>
      <c r="M123" s="54">
        <v>143.95814209607136</v>
      </c>
      <c r="N123" s="54"/>
      <c r="O123" s="54">
        <v>143.95814209607136</v>
      </c>
      <c r="P123" s="15">
        <v>0.39185790392863851</v>
      </c>
    </row>
    <row r="124" spans="6:16" x14ac:dyDescent="0.3">
      <c r="F124" s="50">
        <v>41153</v>
      </c>
      <c r="G124" s="53">
        <v>143.71</v>
      </c>
      <c r="M124" s="54">
        <v>144.22931105744766</v>
      </c>
      <c r="N124" s="54"/>
      <c r="O124" s="54">
        <v>144.22931105744766</v>
      </c>
      <c r="P124" s="15">
        <v>-0.51931105744765205</v>
      </c>
    </row>
    <row r="125" spans="6:16" x14ac:dyDescent="0.3">
      <c r="F125" s="50">
        <v>41183</v>
      </c>
      <c r="G125" s="53">
        <v>144.86000000000001</v>
      </c>
      <c r="M125" s="54">
        <v>144.50245902596535</v>
      </c>
      <c r="N125" s="54"/>
      <c r="O125" s="54">
        <v>144.50245902596535</v>
      </c>
      <c r="P125" s="15">
        <v>0.3575409740346629</v>
      </c>
    </row>
    <row r="126" spans="6:16" x14ac:dyDescent="0.3">
      <c r="F126" s="50">
        <v>41214</v>
      </c>
      <c r="G126" s="53">
        <v>144.58000000000001</v>
      </c>
      <c r="M126" s="54">
        <v>144.77550131079826</v>
      </c>
      <c r="N126" s="54"/>
      <c r="O126" s="54">
        <v>144.77550131079826</v>
      </c>
      <c r="P126" s="15">
        <v>-0.19550131079824951</v>
      </c>
    </row>
    <row r="127" spans="6:16" x14ac:dyDescent="0.3">
      <c r="F127" s="50">
        <v>41244</v>
      </c>
      <c r="G127" s="53">
        <v>144.16</v>
      </c>
      <c r="M127" s="54">
        <v>145.04657668422865</v>
      </c>
      <c r="N127" s="54"/>
      <c r="O127" s="54">
        <v>145.04657668422865</v>
      </c>
      <c r="P127" s="15">
        <v>-0.88657668422865754</v>
      </c>
    </row>
    <row r="128" spans="6:16" x14ac:dyDescent="0.3">
      <c r="F128" s="50">
        <v>41275</v>
      </c>
      <c r="G128" s="53">
        <v>144.99</v>
      </c>
      <c r="M128" s="54">
        <v>145.31370173021986</v>
      </c>
      <c r="N128" s="54"/>
      <c r="O128" s="54">
        <v>145.31370173021986</v>
      </c>
      <c r="P128" s="15">
        <v>-0.32370173021985238</v>
      </c>
    </row>
    <row r="129" spans="6:16" x14ac:dyDescent="0.3">
      <c r="F129" s="50">
        <v>41306</v>
      </c>
      <c r="G129" s="53">
        <v>143.77000000000001</v>
      </c>
      <c r="M129" s="54">
        <v>145.57433892230776</v>
      </c>
      <c r="N129" s="54"/>
      <c r="O129" s="54">
        <v>145.57433892230776</v>
      </c>
      <c r="P129" s="15">
        <v>-1.8043389223077497</v>
      </c>
    </row>
    <row r="130" spans="6:16" x14ac:dyDescent="0.3">
      <c r="F130" s="50">
        <v>41334</v>
      </c>
      <c r="G130" s="53">
        <v>144.94999999999999</v>
      </c>
      <c r="M130" s="54">
        <v>145.82574842044656</v>
      </c>
      <c r="N130" s="54"/>
      <c r="O130" s="54">
        <v>145.82574842044656</v>
      </c>
      <c r="P130" s="15">
        <v>-0.87574842044656975</v>
      </c>
    </row>
    <row r="131" spans="6:16" x14ac:dyDescent="0.3">
      <c r="F131" s="50">
        <v>41365</v>
      </c>
      <c r="G131" s="53">
        <v>146.24</v>
      </c>
      <c r="M131" s="54">
        <v>146.06406267276415</v>
      </c>
      <c r="N131" s="54"/>
      <c r="O131" s="54">
        <v>146.06406267276415</v>
      </c>
      <c r="P131" s="15">
        <v>0.17593732723585731</v>
      </c>
    </row>
    <row r="132" spans="6:16" x14ac:dyDescent="0.3">
      <c r="F132" s="50">
        <v>41395</v>
      </c>
      <c r="G132" s="53">
        <v>146.83000000000001</v>
      </c>
      <c r="M132" s="54">
        <v>146.28486678462571</v>
      </c>
      <c r="N132" s="54"/>
      <c r="O132" s="54">
        <v>146.28486678462571</v>
      </c>
      <c r="P132" s="15">
        <v>0.5451332153743067</v>
      </c>
    </row>
    <row r="133" spans="6:16" x14ac:dyDescent="0.3">
      <c r="F133" s="50">
        <v>41426</v>
      </c>
      <c r="G133" s="53">
        <v>146.35</v>
      </c>
      <c r="M133" s="54">
        <v>146.48385582222588</v>
      </c>
      <c r="N133" s="54"/>
      <c r="O133" s="54">
        <v>146.48385582222588</v>
      </c>
      <c r="P133" s="15">
        <v>-0.13385582222588255</v>
      </c>
    </row>
    <row r="134" spans="6:16" x14ac:dyDescent="0.3">
      <c r="F134" s="50">
        <v>41456</v>
      </c>
      <c r="G134" s="53">
        <v>147.19</v>
      </c>
      <c r="M134" s="54">
        <v>146.65706556001851</v>
      </c>
      <c r="N134" s="54"/>
      <c r="O134" s="54">
        <v>146.65706556001851</v>
      </c>
      <c r="P134" s="15">
        <v>0.53293443998148859</v>
      </c>
    </row>
    <row r="135" spans="6:16" x14ac:dyDescent="0.3">
      <c r="F135" s="50">
        <v>41487</v>
      </c>
      <c r="G135" s="53">
        <v>147.11000000000001</v>
      </c>
      <c r="M135" s="54">
        <v>146.8004481125696</v>
      </c>
      <c r="N135" s="54"/>
      <c r="O135" s="54">
        <v>146.8004481125696</v>
      </c>
      <c r="P135" s="15">
        <v>0.30955188743041617</v>
      </c>
    </row>
    <row r="136" spans="6:16" x14ac:dyDescent="0.3">
      <c r="F136" s="50">
        <v>41518</v>
      </c>
      <c r="G136" s="53">
        <v>148.13999999999999</v>
      </c>
      <c r="M136" s="54">
        <v>146.91028867846939</v>
      </c>
      <c r="N136" s="54"/>
      <c r="O136" s="54">
        <v>146.91028867846939</v>
      </c>
      <c r="P136" s="15">
        <v>1.2297113215306013</v>
      </c>
    </row>
    <row r="137" spans="6:16" x14ac:dyDescent="0.3">
      <c r="F137" s="50">
        <v>41548</v>
      </c>
      <c r="G137" s="53">
        <v>147.99</v>
      </c>
      <c r="M137" s="54">
        <v>146.98306592623734</v>
      </c>
      <c r="N137" s="54"/>
      <c r="O137" s="54">
        <v>146.98306592623734</v>
      </c>
      <c r="P137" s="15">
        <v>1.0069340737626646</v>
      </c>
    </row>
    <row r="138" spans="6:16" x14ac:dyDescent="0.3">
      <c r="F138" s="50">
        <v>41579</v>
      </c>
      <c r="G138" s="53">
        <v>148.34</v>
      </c>
      <c r="M138" s="54">
        <v>147.01602709396968</v>
      </c>
      <c r="N138" s="54"/>
      <c r="O138" s="54">
        <v>147.01602709396968</v>
      </c>
      <c r="P138" s="15">
        <v>1.3239729060303205</v>
      </c>
    </row>
    <row r="139" spans="6:16" x14ac:dyDescent="0.3">
      <c r="F139" s="50">
        <v>41609</v>
      </c>
      <c r="G139" s="53">
        <v>148.61000000000001</v>
      </c>
      <c r="M139" s="54">
        <v>147.00704875355828</v>
      </c>
      <c r="N139" s="54"/>
      <c r="O139" s="54">
        <v>147.00704875355828</v>
      </c>
      <c r="P139" s="15">
        <v>1.6029512464417337</v>
      </c>
    </row>
    <row r="140" spans="6:16" x14ac:dyDescent="0.3">
      <c r="F140" s="50">
        <v>41640</v>
      </c>
      <c r="G140" s="53">
        <v>148.27000000000001</v>
      </c>
      <c r="M140" s="54">
        <v>146.95483495996115</v>
      </c>
      <c r="N140" s="54"/>
      <c r="O140" s="54">
        <v>146.95483495996115</v>
      </c>
      <c r="P140" s="15">
        <v>1.3151650400388633</v>
      </c>
    </row>
    <row r="141" spans="6:16" x14ac:dyDescent="0.3">
      <c r="F141" s="50">
        <v>41671</v>
      </c>
      <c r="G141" s="53">
        <v>147.85</v>
      </c>
      <c r="M141" s="54">
        <v>146.85909161266596</v>
      </c>
      <c r="N141" s="54"/>
      <c r="O141" s="54">
        <v>146.85909161266596</v>
      </c>
      <c r="P141" s="15">
        <v>0.99090838733403075</v>
      </c>
    </row>
    <row r="142" spans="6:16" x14ac:dyDescent="0.3">
      <c r="F142" s="50">
        <v>41699</v>
      </c>
      <c r="G142" s="53">
        <v>147.88999999999999</v>
      </c>
      <c r="M142" s="54">
        <v>146.72034658930906</v>
      </c>
      <c r="N142" s="54"/>
      <c r="O142" s="54">
        <v>146.72034658930906</v>
      </c>
      <c r="P142" s="15">
        <v>1.1696534106909269</v>
      </c>
    </row>
    <row r="143" spans="6:16" x14ac:dyDescent="0.3">
      <c r="F143" s="50">
        <v>41730</v>
      </c>
      <c r="G143" s="53">
        <v>146.88</v>
      </c>
      <c r="M143" s="54">
        <v>146.53974708527008</v>
      </c>
      <c r="N143" s="54"/>
      <c r="O143" s="54">
        <v>146.53974708527008</v>
      </c>
      <c r="P143" s="15">
        <v>0.34025291472991626</v>
      </c>
    </row>
    <row r="144" spans="6:16" x14ac:dyDescent="0.3">
      <c r="F144" s="50">
        <v>41760</v>
      </c>
      <c r="G144" s="53">
        <v>146.30000000000001</v>
      </c>
      <c r="M144" s="54">
        <v>146.31917132931011</v>
      </c>
      <c r="N144" s="54"/>
      <c r="O144" s="54">
        <v>146.31917132931011</v>
      </c>
      <c r="P144" s="15">
        <v>-1.9171329310097462E-2</v>
      </c>
    </row>
    <row r="145" spans="6:16" x14ac:dyDescent="0.3">
      <c r="F145" s="50">
        <v>41791</v>
      </c>
      <c r="G145" s="53">
        <v>143.61000000000001</v>
      </c>
      <c r="M145" s="54">
        <v>146.06071020826127</v>
      </c>
      <c r="N145" s="54"/>
      <c r="O145" s="54">
        <v>146.06071020826127</v>
      </c>
      <c r="P145" s="15">
        <v>-2.4507102082612562</v>
      </c>
    </row>
    <row r="146" spans="6:16" x14ac:dyDescent="0.3">
      <c r="F146" s="50">
        <v>41821</v>
      </c>
      <c r="G146" s="53">
        <v>144.81</v>
      </c>
      <c r="M146" s="54">
        <v>145.76644262687537</v>
      </c>
      <c r="N146" s="54"/>
      <c r="O146" s="54">
        <v>145.76644262687537</v>
      </c>
      <c r="P146" s="15">
        <v>-0.95644262687537207</v>
      </c>
    </row>
    <row r="147" spans="6:16" x14ac:dyDescent="0.3">
      <c r="F147" s="50">
        <v>41852</v>
      </c>
      <c r="G147" s="53">
        <v>145.58000000000001</v>
      </c>
      <c r="M147" s="54">
        <v>145.43691579602358</v>
      </c>
      <c r="N147" s="54"/>
      <c r="O147" s="54">
        <v>145.43691579602358</v>
      </c>
      <c r="P147" s="15">
        <v>0.14308420397642863</v>
      </c>
    </row>
    <row r="148" spans="6:16" x14ac:dyDescent="0.3">
      <c r="F148" s="50">
        <v>41883</v>
      </c>
      <c r="G148" s="53">
        <v>146.24</v>
      </c>
      <c r="M148" s="54">
        <v>145.07207914993617</v>
      </c>
      <c r="N148" s="54"/>
      <c r="O148" s="54">
        <v>145.07207914993617</v>
      </c>
      <c r="P148" s="15">
        <v>1.1679208500638367</v>
      </c>
    </row>
    <row r="149" spans="6:16" x14ac:dyDescent="0.3">
      <c r="F149" s="50">
        <v>41913</v>
      </c>
      <c r="G149" s="53">
        <v>145.41999999999999</v>
      </c>
      <c r="M149" s="54">
        <v>144.67197155046949</v>
      </c>
      <c r="N149" s="54"/>
      <c r="O149" s="54">
        <v>144.67197155046949</v>
      </c>
      <c r="P149" s="15">
        <v>0.7480284495304943</v>
      </c>
    </row>
    <row r="150" spans="6:16" x14ac:dyDescent="0.3">
      <c r="F150" s="50">
        <v>41944</v>
      </c>
      <c r="G150" s="53">
        <v>145.56</v>
      </c>
      <c r="M150" s="54">
        <v>144.23736181001226</v>
      </c>
      <c r="N150" s="54"/>
      <c r="O150" s="54">
        <v>144.23736181001226</v>
      </c>
      <c r="P150" s="15">
        <v>1.3226381899877424</v>
      </c>
    </row>
    <row r="151" spans="6:16" x14ac:dyDescent="0.3">
      <c r="F151" s="50">
        <v>41974</v>
      </c>
      <c r="G151" s="53">
        <v>146.21</v>
      </c>
      <c r="M151" s="54">
        <v>143.76948625873348</v>
      </c>
      <c r="N151" s="54"/>
      <c r="O151" s="54">
        <v>143.76948625873348</v>
      </c>
      <c r="P151" s="15">
        <v>2.4405137412665283</v>
      </c>
    </row>
    <row r="152" spans="6:16" x14ac:dyDescent="0.3">
      <c r="F152" s="50">
        <v>42005</v>
      </c>
      <c r="G152" s="53">
        <v>144.96</v>
      </c>
      <c r="M152" s="54">
        <v>143.27040787567151</v>
      </c>
      <c r="N152" s="54"/>
      <c r="O152" s="54">
        <v>143.27040787567151</v>
      </c>
      <c r="P152" s="15">
        <v>1.6895921243284988</v>
      </c>
    </row>
    <row r="153" spans="6:16" x14ac:dyDescent="0.3">
      <c r="F153" s="50">
        <v>42036</v>
      </c>
      <c r="G153" s="53">
        <v>143.97999999999999</v>
      </c>
      <c r="M153" s="54">
        <v>142.7437149609523</v>
      </c>
      <c r="N153" s="54"/>
      <c r="O153" s="54">
        <v>142.7437149609523</v>
      </c>
      <c r="P153" s="15">
        <v>1.2362850390476865</v>
      </c>
    </row>
    <row r="154" spans="6:16" x14ac:dyDescent="0.3">
      <c r="F154" s="50">
        <v>42064</v>
      </c>
      <c r="G154" s="53">
        <v>143.72999999999999</v>
      </c>
      <c r="M154" s="54">
        <v>142.19405180977992</v>
      </c>
      <c r="N154" s="54"/>
      <c r="O154" s="54">
        <v>142.19405180977992</v>
      </c>
      <c r="P154" s="15">
        <v>1.5359481902200685</v>
      </c>
    </row>
    <row r="155" spans="6:16" x14ac:dyDescent="0.3">
      <c r="F155" s="50">
        <v>42095</v>
      </c>
      <c r="G155" s="53">
        <v>142.38</v>
      </c>
      <c r="M155" s="54">
        <v>141.62683539550764</v>
      </c>
      <c r="N155" s="54"/>
      <c r="O155" s="54">
        <v>141.62683539550764</v>
      </c>
      <c r="P155" s="15">
        <v>0.75316460449235478</v>
      </c>
    </row>
    <row r="156" spans="6:16" x14ac:dyDescent="0.3">
      <c r="F156" s="50">
        <v>42125</v>
      </c>
      <c r="G156" s="53">
        <v>141.08000000000001</v>
      </c>
      <c r="M156" s="54">
        <v>141.04844265910805</v>
      </c>
      <c r="N156" s="54"/>
      <c r="O156" s="54">
        <v>141.04844265910805</v>
      </c>
      <c r="P156" s="15">
        <v>3.1557340891964714E-2</v>
      </c>
    </row>
    <row r="157" spans="6:16" x14ac:dyDescent="0.3">
      <c r="F157" s="50">
        <v>42156</v>
      </c>
      <c r="G157" s="53">
        <v>139.58000000000001</v>
      </c>
      <c r="M157" s="54">
        <v>140.46572126943113</v>
      </c>
      <c r="N157" s="54"/>
      <c r="O157" s="54">
        <v>140.46572126943113</v>
      </c>
      <c r="P157" s="15">
        <v>-0.88572126943111584</v>
      </c>
    </row>
    <row r="158" spans="6:16" x14ac:dyDescent="0.3">
      <c r="F158" s="50">
        <v>42186</v>
      </c>
      <c r="G158" s="53">
        <v>138.66999999999999</v>
      </c>
      <c r="M158" s="54">
        <v>139.88553861866538</v>
      </c>
      <c r="N158" s="54"/>
      <c r="O158" s="54">
        <v>139.88553861866538</v>
      </c>
      <c r="P158" s="15">
        <v>-1.2155386186653914</v>
      </c>
    </row>
    <row r="159" spans="6:16" x14ac:dyDescent="0.3">
      <c r="F159" s="50">
        <v>42217</v>
      </c>
      <c r="G159" s="53">
        <v>138.93</v>
      </c>
      <c r="M159" s="54">
        <v>139.31420852320562</v>
      </c>
      <c r="N159" s="54"/>
      <c r="O159" s="54">
        <v>139.31420852320562</v>
      </c>
      <c r="P159" s="15">
        <v>-0.38420852320561494</v>
      </c>
    </row>
    <row r="160" spans="6:16" x14ac:dyDescent="0.3">
      <c r="F160" s="50">
        <v>42248</v>
      </c>
      <c r="G160" s="53">
        <v>137.57</v>
      </c>
      <c r="M160" s="54">
        <v>138.75728508781037</v>
      </c>
      <c r="N160" s="54"/>
      <c r="O160" s="54">
        <v>138.75728508781037</v>
      </c>
      <c r="P160" s="15">
        <v>-1.1872850878103804</v>
      </c>
    </row>
    <row r="161" spans="6:16" x14ac:dyDescent="0.3">
      <c r="F161" s="50">
        <v>42278</v>
      </c>
      <c r="G161" s="53">
        <v>138.51</v>
      </c>
      <c r="M161" s="54">
        <v>138.22008228691064</v>
      </c>
      <c r="N161" s="54"/>
      <c r="O161" s="54">
        <v>138.22008228691064</v>
      </c>
      <c r="P161" s="15">
        <v>0.28991771308935199</v>
      </c>
    </row>
    <row r="162" spans="6:16" x14ac:dyDescent="0.3">
      <c r="F162" s="50">
        <v>42309</v>
      </c>
      <c r="G162" s="53">
        <v>136.68</v>
      </c>
      <c r="M162" s="54">
        <v>137.70717204175784</v>
      </c>
      <c r="N162" s="54"/>
      <c r="O162" s="54">
        <v>137.70717204175784</v>
      </c>
      <c r="P162" s="15">
        <v>-1.0271720417578365</v>
      </c>
    </row>
    <row r="163" spans="6:16" x14ac:dyDescent="0.3">
      <c r="F163" s="50">
        <v>42339</v>
      </c>
      <c r="G163" s="53">
        <v>136.31</v>
      </c>
      <c r="M163" s="54">
        <v>137.22330747217381</v>
      </c>
      <c r="N163" s="54"/>
      <c r="O163" s="54">
        <v>137.22330747217381</v>
      </c>
      <c r="P163" s="15">
        <v>-0.91330747217381258</v>
      </c>
    </row>
    <row r="164" spans="6:16" x14ac:dyDescent="0.3">
      <c r="F164" s="50">
        <v>42370</v>
      </c>
      <c r="G164" s="53">
        <v>135.52000000000001</v>
      </c>
      <c r="M164" s="54">
        <v>136.77259971545482</v>
      </c>
      <c r="N164" s="54"/>
      <c r="O164" s="54">
        <v>136.77259971545482</v>
      </c>
      <c r="P164" s="15">
        <v>-1.2525997154548065</v>
      </c>
    </row>
    <row r="165" spans="6:16" x14ac:dyDescent="0.3">
      <c r="F165" s="50">
        <v>42401</v>
      </c>
      <c r="G165" s="53">
        <v>135.51</v>
      </c>
      <c r="M165" s="54">
        <v>136.35858909172651</v>
      </c>
      <c r="N165" s="54"/>
      <c r="O165" s="54">
        <v>136.35858909172651</v>
      </c>
      <c r="P165" s="15">
        <v>-0.84858909172652375</v>
      </c>
    </row>
    <row r="166" spans="6:16" x14ac:dyDescent="0.3">
      <c r="F166" s="50">
        <v>42430</v>
      </c>
      <c r="G166" s="53">
        <v>134.61000000000001</v>
      </c>
      <c r="M166" s="54">
        <v>135.98403304629281</v>
      </c>
      <c r="N166" s="54"/>
      <c r="O166" s="54">
        <v>135.98403304629281</v>
      </c>
      <c r="P166" s="15">
        <v>-1.3740330462927943</v>
      </c>
    </row>
    <row r="167" spans="6:16" x14ac:dyDescent="0.3">
      <c r="F167" s="50">
        <v>42461</v>
      </c>
      <c r="G167" s="53">
        <v>134.72999999999999</v>
      </c>
      <c r="M167" s="54">
        <v>135.65115865627442</v>
      </c>
      <c r="N167" s="54"/>
      <c r="O167" s="54">
        <v>135.65115865627442</v>
      </c>
      <c r="P167" s="15">
        <v>-0.92115865627442872</v>
      </c>
    </row>
    <row r="168" spans="6:16" x14ac:dyDescent="0.3">
      <c r="F168" s="50">
        <v>42491</v>
      </c>
      <c r="G168" s="53">
        <v>134.29</v>
      </c>
      <c r="M168" s="54">
        <v>135.36133422813913</v>
      </c>
      <c r="N168" s="54"/>
      <c r="O168" s="54">
        <v>135.36133422813913</v>
      </c>
      <c r="P168" s="15">
        <v>-1.0713342281391363</v>
      </c>
    </row>
    <row r="169" spans="6:16" x14ac:dyDescent="0.3">
      <c r="F169" s="50">
        <v>42522</v>
      </c>
      <c r="G169" s="53">
        <v>134.84</v>
      </c>
      <c r="M169" s="54">
        <v>135.11535234419418</v>
      </c>
      <c r="N169" s="54"/>
      <c r="O169" s="54">
        <v>135.11535234419418</v>
      </c>
      <c r="P169" s="15">
        <v>-0.2753523441941752</v>
      </c>
    </row>
    <row r="170" spans="6:16" x14ac:dyDescent="0.3">
      <c r="F170" s="50">
        <v>42552</v>
      </c>
      <c r="G170" s="53">
        <v>134.61000000000001</v>
      </c>
      <c r="M170" s="54">
        <v>134.91333600285404</v>
      </c>
      <c r="N170" s="54"/>
      <c r="O170" s="54">
        <v>134.91333600285404</v>
      </c>
      <c r="P170" s="15">
        <v>-0.3033360028540244</v>
      </c>
    </row>
    <row r="171" spans="6:16" x14ac:dyDescent="0.3">
      <c r="F171" s="50">
        <v>42583</v>
      </c>
      <c r="G171" s="53">
        <v>134</v>
      </c>
      <c r="M171" s="54">
        <v>134.75523610731841</v>
      </c>
      <c r="N171" s="54"/>
      <c r="O171" s="54">
        <v>134.75523610731841</v>
      </c>
      <c r="P171" s="15">
        <v>-0.75523610731841018</v>
      </c>
    </row>
    <row r="172" spans="6:16" x14ac:dyDescent="0.3">
      <c r="F172" s="50">
        <v>42614</v>
      </c>
      <c r="G172" s="53">
        <v>133.75</v>
      </c>
      <c r="M172" s="54">
        <v>134.64081397578468</v>
      </c>
      <c r="N172" s="54"/>
      <c r="O172" s="54">
        <v>134.64081397578468</v>
      </c>
      <c r="P172" s="15">
        <v>-0.89081397578468113</v>
      </c>
    </row>
    <row r="173" spans="6:16" x14ac:dyDescent="0.3">
      <c r="F173" s="50">
        <v>42644</v>
      </c>
      <c r="G173" s="53">
        <v>133.30000000000001</v>
      </c>
      <c r="M173" s="54">
        <v>134.56935890388357</v>
      </c>
      <c r="N173" s="54"/>
      <c r="O173" s="54">
        <v>134.56935890388357</v>
      </c>
      <c r="P173" s="15">
        <v>-1.2693589038835569</v>
      </c>
    </row>
    <row r="174" spans="6:16" x14ac:dyDescent="0.3">
      <c r="F174" s="50">
        <v>42675</v>
      </c>
      <c r="G174" s="53">
        <v>133.02000000000001</v>
      </c>
      <c r="M174" s="54">
        <v>134.5396034285109</v>
      </c>
      <c r="N174" s="54"/>
      <c r="O174" s="54">
        <v>134.5396034285109</v>
      </c>
      <c r="P174" s="15">
        <v>-1.5196034285108908</v>
      </c>
    </row>
    <row r="175" spans="6:16" x14ac:dyDescent="0.3">
      <c r="F175" s="50">
        <v>42705</v>
      </c>
      <c r="G175" s="53">
        <v>132.36000000000001</v>
      </c>
      <c r="M175" s="54">
        <v>134.54948673724715</v>
      </c>
      <c r="N175" s="54"/>
      <c r="O175" s="54">
        <v>134.54948673724715</v>
      </c>
      <c r="P175" s="15">
        <v>-2.1894867372471367</v>
      </c>
    </row>
    <row r="176" spans="6:16" x14ac:dyDescent="0.3">
      <c r="F176" s="50">
        <v>42736</v>
      </c>
      <c r="G176" s="53">
        <v>133.37</v>
      </c>
      <c r="M176" s="54">
        <v>134.5959982655306</v>
      </c>
      <c r="N176" s="54"/>
      <c r="O176" s="54">
        <v>134.5959982655306</v>
      </c>
      <c r="P176" s="15">
        <v>-1.2259982655305919</v>
      </c>
    </row>
    <row r="177" spans="6:16" x14ac:dyDescent="0.3">
      <c r="F177" s="50">
        <v>42767</v>
      </c>
      <c r="G177" s="53">
        <v>135.4</v>
      </c>
      <c r="M177" s="54">
        <v>134.67475901958849</v>
      </c>
      <c r="N177" s="54"/>
      <c r="O177" s="54">
        <v>134.67475901958849</v>
      </c>
      <c r="P177" s="15">
        <v>0.72524098041151319</v>
      </c>
    </row>
    <row r="178" spans="6:16" x14ac:dyDescent="0.3">
      <c r="F178" s="50">
        <v>42795</v>
      </c>
      <c r="G178" s="53">
        <v>135.65</v>
      </c>
      <c r="M178" s="54">
        <v>134.78062375673238</v>
      </c>
      <c r="N178" s="54"/>
      <c r="O178" s="54">
        <v>134.78062375673238</v>
      </c>
      <c r="P178" s="15">
        <v>0.86937624326762375</v>
      </c>
    </row>
    <row r="179" spans="6:16" x14ac:dyDescent="0.3">
      <c r="F179" s="50">
        <v>42826</v>
      </c>
      <c r="G179" s="53">
        <v>135.77000000000001</v>
      </c>
      <c r="M179" s="54">
        <v>134.90890050988614</v>
      </c>
      <c r="N179" s="54"/>
      <c r="O179" s="54">
        <v>134.90890050988614</v>
      </c>
      <c r="P179" s="15">
        <v>0.86109949011387243</v>
      </c>
    </row>
    <row r="180" spans="6:16" x14ac:dyDescent="0.3">
      <c r="F180" s="50">
        <v>42856</v>
      </c>
      <c r="G180" s="53">
        <v>135.16999999999999</v>
      </c>
      <c r="M180" s="54">
        <v>135.05544067212591</v>
      </c>
      <c r="N180" s="54"/>
      <c r="O180" s="54">
        <v>135.05544067212591</v>
      </c>
      <c r="P180" s="15">
        <v>0.11455932787407619</v>
      </c>
    </row>
    <row r="181" spans="6:16" x14ac:dyDescent="0.3">
      <c r="F181" s="50">
        <v>42887</v>
      </c>
      <c r="G181" s="53">
        <v>136.04</v>
      </c>
      <c r="M181" s="54">
        <v>135.21663382370937</v>
      </c>
      <c r="N181" s="54"/>
      <c r="O181" s="54">
        <v>135.21663382370937</v>
      </c>
      <c r="P181" s="15">
        <v>0.82336617629061948</v>
      </c>
    </row>
    <row r="182" spans="6:16" x14ac:dyDescent="0.3">
      <c r="F182" s="50">
        <v>42917</v>
      </c>
      <c r="G182" s="53">
        <v>136.49</v>
      </c>
      <c r="M182" s="54">
        <v>135.38894114447399</v>
      </c>
      <c r="N182" s="54"/>
      <c r="O182" s="54">
        <v>135.38894114447399</v>
      </c>
      <c r="P182" s="15">
        <v>1.1010588555260199</v>
      </c>
    </row>
    <row r="183" spans="6:16" x14ac:dyDescent="0.3">
      <c r="F183" s="50">
        <v>42948</v>
      </c>
      <c r="G183" s="53">
        <v>135.81</v>
      </c>
      <c r="M183" s="54">
        <v>135.5693384181171</v>
      </c>
      <c r="N183" s="54"/>
      <c r="O183" s="54">
        <v>135.5693384181171</v>
      </c>
      <c r="P183" s="15">
        <v>0.24066158188290387</v>
      </c>
    </row>
    <row r="184" spans="6:16" x14ac:dyDescent="0.3">
      <c r="F184" s="50">
        <v>42979</v>
      </c>
      <c r="G184" s="53">
        <v>135.49</v>
      </c>
      <c r="M184" s="54">
        <v>135.75548959012107</v>
      </c>
      <c r="N184" s="54"/>
      <c r="O184" s="54">
        <v>135.75548959012107</v>
      </c>
      <c r="P184" s="15">
        <v>-0.26548959012106366</v>
      </c>
    </row>
    <row r="185" spans="6:16" x14ac:dyDescent="0.3">
      <c r="F185" s="50">
        <v>43009</v>
      </c>
      <c r="G185" s="53">
        <v>135.77000000000001</v>
      </c>
      <c r="M185" s="54">
        <v>135.94520901945683</v>
      </c>
      <c r="N185" s="54"/>
      <c r="O185" s="54">
        <v>135.94520901945683</v>
      </c>
      <c r="P185" s="15">
        <v>-0.17520901945681544</v>
      </c>
    </row>
    <row r="186" spans="6:16" x14ac:dyDescent="0.3">
      <c r="F186" s="50">
        <v>43040</v>
      </c>
      <c r="G186" s="53">
        <v>135.57</v>
      </c>
      <c r="M186" s="54">
        <v>136.13614513410121</v>
      </c>
      <c r="N186" s="54"/>
      <c r="O186" s="54">
        <v>136.13614513410121</v>
      </c>
      <c r="P186" s="15">
        <v>-0.56614513410121958</v>
      </c>
    </row>
    <row r="187" spans="6:16" x14ac:dyDescent="0.3">
      <c r="F187" s="50">
        <v>43070</v>
      </c>
      <c r="G187" s="53">
        <v>137.43</v>
      </c>
      <c r="M187" s="54">
        <v>136.32583685639446</v>
      </c>
      <c r="N187" s="54"/>
      <c r="O187" s="54">
        <v>136.32583685639446</v>
      </c>
      <c r="P187" s="15">
        <v>1.1041631436055468</v>
      </c>
    </row>
    <row r="188" spans="6:16" x14ac:dyDescent="0.3">
      <c r="F188" s="50">
        <v>43101</v>
      </c>
      <c r="G188" s="53">
        <v>136.85</v>
      </c>
      <c r="M188" s="54">
        <v>136.5114692679675</v>
      </c>
      <c r="N188" s="54"/>
      <c r="O188" s="54">
        <v>136.5114692679675</v>
      </c>
      <c r="P188" s="15">
        <v>0.33853073203249551</v>
      </c>
    </row>
    <row r="189" spans="6:16" x14ac:dyDescent="0.3">
      <c r="F189" s="50">
        <v>43132</v>
      </c>
      <c r="G189" s="53">
        <v>136.63999999999999</v>
      </c>
      <c r="M189" s="54">
        <v>136.69091755241629</v>
      </c>
      <c r="N189" s="54"/>
      <c r="O189" s="54">
        <v>136.69091755241629</v>
      </c>
      <c r="P189" s="15">
        <v>-5.0917552416308354E-2</v>
      </c>
    </row>
    <row r="190" spans="6:16" x14ac:dyDescent="0.3">
      <c r="F190" s="50">
        <v>43160</v>
      </c>
      <c r="G190" s="53">
        <v>137.26</v>
      </c>
      <c r="M190" s="54">
        <v>136.862268475044</v>
      </c>
      <c r="N190" s="54"/>
      <c r="O190" s="54">
        <v>136.862268475044</v>
      </c>
      <c r="P190" s="15">
        <v>0.39773152495598652</v>
      </c>
    </row>
    <row r="191" spans="6:16" x14ac:dyDescent="0.3">
      <c r="F191" s="50">
        <v>43191</v>
      </c>
      <c r="G191" s="53">
        <v>138.36000000000001</v>
      </c>
      <c r="M191" s="54">
        <v>137.02357697768394</v>
      </c>
      <c r="N191" s="54"/>
      <c r="O191" s="54">
        <v>137.02357697768394</v>
      </c>
      <c r="P191" s="15">
        <v>1.3364230223160689</v>
      </c>
    </row>
    <row r="192" spans="6:16" x14ac:dyDescent="0.3">
      <c r="F192" s="50">
        <v>43221</v>
      </c>
      <c r="G192" s="53">
        <v>133.38999999999999</v>
      </c>
      <c r="M192" s="54">
        <v>137.17314658437212</v>
      </c>
      <c r="N192" s="54"/>
      <c r="O192" s="54">
        <v>137.17314658437212</v>
      </c>
      <c r="P192" s="15">
        <v>-3.7831465843721332</v>
      </c>
    </row>
    <row r="193" spans="6:16" x14ac:dyDescent="0.3">
      <c r="F193" s="50">
        <v>43252</v>
      </c>
      <c r="G193" s="53">
        <v>137.44</v>
      </c>
      <c r="M193" s="54">
        <v>137.31011608353387</v>
      </c>
      <c r="N193" s="54"/>
      <c r="O193" s="54">
        <v>137.31011608353387</v>
      </c>
      <c r="P193" s="15">
        <v>0.1298839164661274</v>
      </c>
    </row>
    <row r="194" spans="6:16" x14ac:dyDescent="0.3">
      <c r="F194" s="50">
        <v>43282</v>
      </c>
      <c r="G194" s="53">
        <v>138.04</v>
      </c>
      <c r="M194" s="54">
        <v>137.43125979697902</v>
      </c>
      <c r="N194" s="54"/>
      <c r="O194" s="54">
        <v>137.43125979697902</v>
      </c>
      <c r="P194" s="15">
        <v>0.60874020302097165</v>
      </c>
    </row>
    <row r="195" spans="6:16" x14ac:dyDescent="0.3">
      <c r="F195" s="50">
        <v>43313</v>
      </c>
      <c r="G195" s="53">
        <v>139.32</v>
      </c>
      <c r="M195" s="54">
        <v>137.53343322396535</v>
      </c>
      <c r="N195" s="54"/>
      <c r="O195" s="54">
        <v>137.53343322396535</v>
      </c>
      <c r="P195" s="15">
        <v>1.7865667760346469</v>
      </c>
    </row>
    <row r="196" spans="6:16" x14ac:dyDescent="0.3">
      <c r="F196" s="50">
        <v>43344</v>
      </c>
      <c r="G196" s="53">
        <v>137.99</v>
      </c>
      <c r="M196" s="54">
        <v>137.61387232637784</v>
      </c>
      <c r="N196" s="54"/>
      <c r="O196" s="54">
        <v>137.61387232637784</v>
      </c>
      <c r="P196" s="15">
        <v>0.37612767362216459</v>
      </c>
    </row>
    <row r="197" spans="6:16" x14ac:dyDescent="0.3">
      <c r="F197" s="50">
        <v>43374</v>
      </c>
      <c r="G197" s="53">
        <v>138.06</v>
      </c>
      <c r="M197" s="54">
        <v>137.67092967033608</v>
      </c>
      <c r="N197" s="54"/>
      <c r="O197" s="54">
        <v>137.67092967033608</v>
      </c>
      <c r="P197" s="15">
        <v>0.38907032966392308</v>
      </c>
    </row>
    <row r="198" spans="6:16" x14ac:dyDescent="0.3">
      <c r="F198" s="50">
        <v>43405</v>
      </c>
      <c r="G198" s="53">
        <v>137.86000000000001</v>
      </c>
      <c r="M198" s="54">
        <v>137.70319290175598</v>
      </c>
      <c r="N198" s="54"/>
      <c r="O198" s="54">
        <v>137.70319290175598</v>
      </c>
      <c r="P198" s="15">
        <v>0.15680709824403039</v>
      </c>
    </row>
    <row r="199" spans="6:16" x14ac:dyDescent="0.3">
      <c r="F199" s="50">
        <v>43435</v>
      </c>
      <c r="G199" s="53">
        <v>138.53</v>
      </c>
      <c r="M199" s="54">
        <v>137.70949283550925</v>
      </c>
      <c r="N199" s="54"/>
      <c r="O199" s="54">
        <v>137.70949283550925</v>
      </c>
      <c r="P199" s="15">
        <v>0.82050716449074912</v>
      </c>
    </row>
    <row r="200" spans="6:16" x14ac:dyDescent="0.3">
      <c r="F200" s="50">
        <v>43466</v>
      </c>
      <c r="G200" s="53">
        <v>138.47999999999999</v>
      </c>
      <c r="M200" s="54">
        <v>137.68875829090416</v>
      </c>
      <c r="N200" s="54"/>
      <c r="O200" s="54">
        <v>137.68875829090416</v>
      </c>
      <c r="P200" s="15">
        <v>0.79124170909582858</v>
      </c>
    </row>
    <row r="201" spans="6:16" x14ac:dyDescent="0.3">
      <c r="F201" s="50">
        <v>43497</v>
      </c>
      <c r="G201" s="53">
        <v>137.38</v>
      </c>
      <c r="M201" s="54">
        <v>137.64043090422678</v>
      </c>
      <c r="N201" s="54"/>
      <c r="O201" s="54">
        <v>137.64043090422678</v>
      </c>
      <c r="P201" s="15">
        <v>-0.26043090422678006</v>
      </c>
    </row>
    <row r="202" spans="6:16" x14ac:dyDescent="0.3">
      <c r="F202" s="50">
        <v>43525</v>
      </c>
      <c r="G202" s="53">
        <v>138.41999999999999</v>
      </c>
      <c r="M202" s="54">
        <v>137.56444683783155</v>
      </c>
      <c r="N202" s="54"/>
      <c r="O202" s="54">
        <v>137.56444683783155</v>
      </c>
      <c r="P202" s="15">
        <v>0.8555531621684338</v>
      </c>
    </row>
    <row r="203" spans="6:16" x14ac:dyDescent="0.3">
      <c r="F203" s="50">
        <v>43556</v>
      </c>
      <c r="G203" s="53">
        <v>138.09</v>
      </c>
      <c r="M203" s="54">
        <v>137.46057948475763</v>
      </c>
      <c r="N203" s="54"/>
      <c r="O203" s="54">
        <v>137.46057948475763</v>
      </c>
      <c r="P203" s="15">
        <v>0.62942051524237286</v>
      </c>
    </row>
    <row r="204" spans="6:16" x14ac:dyDescent="0.3">
      <c r="F204" s="50">
        <v>43586</v>
      </c>
      <c r="G204" s="53">
        <v>138.96</v>
      </c>
      <c r="M204" s="54">
        <v>137.32913695877053</v>
      </c>
      <c r="N204" s="54"/>
      <c r="O204" s="54">
        <v>137.32913695877053</v>
      </c>
      <c r="P204" s="15">
        <v>1.6308630412294747</v>
      </c>
    </row>
    <row r="205" spans="6:16" x14ac:dyDescent="0.3">
      <c r="F205" s="50">
        <v>43617</v>
      </c>
      <c r="G205" s="53">
        <v>138.99</v>
      </c>
      <c r="M205" s="54">
        <v>137.17082076145817</v>
      </c>
      <c r="N205" s="54"/>
      <c r="O205" s="54">
        <v>137.17082076145817</v>
      </c>
      <c r="P205" s="15">
        <v>1.8191792385418353</v>
      </c>
    </row>
    <row r="206" spans="6:16" x14ac:dyDescent="0.3">
      <c r="F206" s="50">
        <v>43647</v>
      </c>
      <c r="G206" s="53">
        <v>138.56</v>
      </c>
      <c r="M206" s="54">
        <v>136.98735168380844</v>
      </c>
      <c r="N206" s="54"/>
      <c r="O206" s="54">
        <v>136.98735168380844</v>
      </c>
      <c r="P206" s="15">
        <v>1.572648316191561</v>
      </c>
    </row>
    <row r="207" spans="6:16" x14ac:dyDescent="0.3">
      <c r="F207" s="50">
        <v>43678</v>
      </c>
      <c r="G207" s="53">
        <v>138.59</v>
      </c>
      <c r="M207" s="54">
        <v>136.78158750383395</v>
      </c>
      <c r="N207" s="54"/>
      <c r="O207" s="54">
        <v>136.78158750383395</v>
      </c>
      <c r="P207" s="15">
        <v>1.8084124961660564</v>
      </c>
    </row>
    <row r="208" spans="6:16" x14ac:dyDescent="0.3">
      <c r="F208" s="50">
        <v>43709</v>
      </c>
      <c r="G208" s="53">
        <v>139.09</v>
      </c>
      <c r="M208" s="54">
        <v>136.55736890474466</v>
      </c>
      <c r="N208" s="54"/>
      <c r="O208" s="54">
        <v>136.55736890474466</v>
      </c>
      <c r="P208" s="15">
        <v>2.5326310952553399</v>
      </c>
    </row>
    <row r="209" spans="6:16" x14ac:dyDescent="0.3">
      <c r="F209" s="50">
        <v>43739</v>
      </c>
      <c r="G209" s="53">
        <v>139.96</v>
      </c>
      <c r="M209" s="54">
        <v>136.31966682756067</v>
      </c>
      <c r="N209" s="54"/>
      <c r="O209" s="54">
        <v>136.31966682756067</v>
      </c>
      <c r="P209" s="15">
        <v>3.6403331724393411</v>
      </c>
    </row>
    <row r="210" spans="6:16" x14ac:dyDescent="0.3">
      <c r="F210" s="50">
        <v>43770</v>
      </c>
      <c r="G210" s="53">
        <v>138.79</v>
      </c>
      <c r="M210" s="54">
        <v>136.07503510773651</v>
      </c>
      <c r="N210" s="54"/>
      <c r="O210" s="54">
        <v>136.07503510773651</v>
      </c>
      <c r="P210" s="15">
        <v>2.714964892263481</v>
      </c>
    </row>
    <row r="211" spans="6:16" x14ac:dyDescent="0.3">
      <c r="F211" s="50">
        <v>43800</v>
      </c>
      <c r="G211" s="53">
        <v>138.09</v>
      </c>
      <c r="M211" s="54">
        <v>135.83230278895965</v>
      </c>
      <c r="N211" s="54"/>
      <c r="O211" s="54">
        <v>135.83230278895965</v>
      </c>
      <c r="P211" s="15">
        <v>2.2576972110403517</v>
      </c>
    </row>
    <row r="212" spans="6:16" x14ac:dyDescent="0.3">
      <c r="F212" s="50">
        <v>43831</v>
      </c>
      <c r="G212" s="53">
        <v>138.83000000000001</v>
      </c>
      <c r="M212" s="54">
        <v>135.6019957679749</v>
      </c>
      <c r="N212" s="54"/>
      <c r="O212" s="54">
        <v>135.6019957679749</v>
      </c>
      <c r="P212" s="15">
        <v>3.2280042320251141</v>
      </c>
    </row>
    <row r="213" spans="6:16" x14ac:dyDescent="0.3">
      <c r="F213" s="50">
        <v>43862</v>
      </c>
      <c r="G213" s="53">
        <v>139.36000000000001</v>
      </c>
      <c r="M213" s="54">
        <v>135.39605100228448</v>
      </c>
      <c r="N213" s="54"/>
      <c r="O213" s="54">
        <v>135.39605100228448</v>
      </c>
      <c r="P213" s="15">
        <v>3.9639489977155336</v>
      </c>
    </row>
    <row r="214" spans="6:16" x14ac:dyDescent="0.3">
      <c r="F214" s="50">
        <v>43891</v>
      </c>
      <c r="G214" s="53">
        <v>132.13</v>
      </c>
      <c r="M214" s="54">
        <v>135.22842295203517</v>
      </c>
      <c r="N214" s="54"/>
      <c r="O214" s="54">
        <v>135.22842295203517</v>
      </c>
      <c r="P214" s="15">
        <v>-3.0984229520351789</v>
      </c>
    </row>
    <row r="215" spans="6:16" x14ac:dyDescent="0.3">
      <c r="F215" s="50">
        <v>43922</v>
      </c>
      <c r="G215" s="53">
        <v>118.98</v>
      </c>
      <c r="M215" s="54">
        <v>135.11554354549739</v>
      </c>
      <c r="N215" s="54"/>
      <c r="O215" s="54">
        <v>135.11554354549739</v>
      </c>
      <c r="P215" s="15">
        <v>-16.135543545497384</v>
      </c>
    </row>
    <row r="216" spans="6:16" x14ac:dyDescent="0.3">
      <c r="F216" s="50">
        <v>43952</v>
      </c>
      <c r="G216" s="53">
        <v>121.47</v>
      </c>
      <c r="M216" s="54">
        <v>135.07190819659655</v>
      </c>
      <c r="N216" s="54"/>
      <c r="O216" s="54">
        <v>135.07190819659655</v>
      </c>
      <c r="P216" s="15">
        <v>-13.601908196596554</v>
      </c>
    </row>
    <row r="217" spans="6:16" x14ac:dyDescent="0.3">
      <c r="F217" s="50">
        <v>43983</v>
      </c>
      <c r="G217" s="53">
        <v>127.62</v>
      </c>
      <c r="M217" s="54">
        <v>135.10192760454217</v>
      </c>
      <c r="N217" s="54"/>
      <c r="O217" s="54">
        <v>135.10192760454217</v>
      </c>
      <c r="P217" s="15">
        <v>-7.4819276045421645</v>
      </c>
    </row>
    <row r="218" spans="6:16" x14ac:dyDescent="0.3">
      <c r="F218" s="50">
        <v>44013</v>
      </c>
      <c r="G218" s="53">
        <v>131.76</v>
      </c>
      <c r="M218" s="54">
        <v>135.20151127592072</v>
      </c>
      <c r="N218" s="54"/>
      <c r="O218" s="54">
        <v>135.20151127592072</v>
      </c>
      <c r="P218" s="15">
        <v>-3.4415112759207318</v>
      </c>
    </row>
    <row r="219" spans="6:16" x14ac:dyDescent="0.3">
      <c r="F219" s="50">
        <v>44044</v>
      </c>
      <c r="G219" s="53">
        <v>134.5</v>
      </c>
      <c r="M219" s="54">
        <v>135.36189251256616</v>
      </c>
      <c r="N219" s="54"/>
      <c r="O219" s="54">
        <v>135.36189251256616</v>
      </c>
      <c r="P219" s="15">
        <v>-0.86189251256615762</v>
      </c>
    </row>
    <row r="220" spans="6:16" x14ac:dyDescent="0.3">
      <c r="F220" s="50">
        <v>44075</v>
      </c>
      <c r="G220" s="53">
        <v>136.44</v>
      </c>
      <c r="M220" s="54">
        <v>135.57215367176465</v>
      </c>
      <c r="N220" s="54"/>
      <c r="O220" s="54">
        <v>135.57215367176465</v>
      </c>
      <c r="P220" s="15">
        <v>0.8678463282353448</v>
      </c>
    </row>
    <row r="221" spans="6:16" x14ac:dyDescent="0.3">
      <c r="F221" s="50">
        <v>44105</v>
      </c>
      <c r="G221" s="53">
        <v>138.36000000000001</v>
      </c>
      <c r="M221" s="54">
        <v>135.82083842798218</v>
      </c>
      <c r="N221" s="54"/>
      <c r="O221" s="54">
        <v>135.82083842798218</v>
      </c>
      <c r="P221" s="15">
        <v>2.5391615720178322</v>
      </c>
    </row>
    <row r="222" spans="6:16" x14ac:dyDescent="0.3">
      <c r="F222" s="50">
        <v>44136</v>
      </c>
      <c r="G222" s="53">
        <v>137.9</v>
      </c>
      <c r="M222" s="54">
        <v>136.09703285963965</v>
      </c>
      <c r="N222" s="54"/>
      <c r="O222" s="54">
        <v>136.09703285963965</v>
      </c>
      <c r="P222" s="15">
        <v>1.8029671403603516</v>
      </c>
    </row>
    <row r="223" spans="6:16" x14ac:dyDescent="0.3">
      <c r="F223" s="50">
        <v>44166</v>
      </c>
      <c r="G223" s="53">
        <v>138.19</v>
      </c>
      <c r="M223" s="54">
        <v>136.39141002114076</v>
      </c>
      <c r="N223" s="54"/>
      <c r="O223" s="54">
        <v>136.39141002114076</v>
      </c>
      <c r="P223" s="15">
        <v>1.7985899788592405</v>
      </c>
    </row>
    <row r="224" spans="6:16" x14ac:dyDescent="0.3">
      <c r="F224" s="50">
        <v>44197</v>
      </c>
      <c r="G224" s="53">
        <v>139.01</v>
      </c>
      <c r="M224" s="54">
        <v>136.69576982135166</v>
      </c>
      <c r="N224" s="54"/>
      <c r="O224" s="54">
        <v>136.69576982135166</v>
      </c>
      <c r="P224" s="15">
        <v>2.3142301786483301</v>
      </c>
    </row>
    <row r="225" spans="6:16" x14ac:dyDescent="0.3">
      <c r="F225" s="50">
        <v>44228</v>
      </c>
      <c r="G225" s="53">
        <v>141.1</v>
      </c>
      <c r="M225" s="54">
        <v>137.00303628787537</v>
      </c>
      <c r="N225" s="54"/>
      <c r="O225" s="54">
        <v>137.00303628787537</v>
      </c>
      <c r="P225" s="15">
        <v>4.0969637121246194</v>
      </c>
    </row>
    <row r="226" spans="6:16" x14ac:dyDescent="0.3">
      <c r="F226" s="50">
        <v>44256</v>
      </c>
      <c r="G226" s="53">
        <v>138.85</v>
      </c>
      <c r="M226" s="54">
        <v>137.30757984217672</v>
      </c>
      <c r="N226" s="54"/>
      <c r="O226" s="54">
        <v>137.30757984217672</v>
      </c>
      <c r="P226" s="15">
        <v>1.5424201578232726</v>
      </c>
    </row>
    <row r="227" spans="6:16" x14ac:dyDescent="0.3">
      <c r="F227" s="50">
        <v>44287</v>
      </c>
      <c r="G227" s="53">
        <v>139.22999999999999</v>
      </c>
      <c r="M227" s="54">
        <v>137.60633150804051</v>
      </c>
      <c r="N227" s="54"/>
      <c r="O227" s="54">
        <v>137.60633150804051</v>
      </c>
      <c r="P227" s="15">
        <v>1.6236684919594779</v>
      </c>
    </row>
    <row r="228" spans="6:16" x14ac:dyDescent="0.3">
      <c r="F228" s="50">
        <v>44317</v>
      </c>
      <c r="G228" s="53">
        <v>139.28</v>
      </c>
      <c r="M228" s="54">
        <v>137.8971863218504</v>
      </c>
      <c r="N228" s="54"/>
      <c r="O228" s="54">
        <v>137.8971863218504</v>
      </c>
      <c r="P228" s="15">
        <v>1.3828136781496028</v>
      </c>
    </row>
    <row r="229" spans="6:16" x14ac:dyDescent="0.3">
      <c r="F229" s="50">
        <v>44348</v>
      </c>
      <c r="G229" s="53">
        <v>139.53</v>
      </c>
      <c r="M229" s="54">
        <v>138.17905411279739</v>
      </c>
      <c r="N229" s="54"/>
      <c r="O229" s="54">
        <v>138.17905411279739</v>
      </c>
      <c r="P229" s="15">
        <v>1.350945887202613</v>
      </c>
    </row>
    <row r="230" spans="6:16" x14ac:dyDescent="0.3">
      <c r="F230" s="50">
        <v>44378</v>
      </c>
      <c r="G230" s="53">
        <v>139.36000000000001</v>
      </c>
      <c r="M230" s="54">
        <v>138.45170896862135</v>
      </c>
      <c r="N230" s="54"/>
      <c r="O230" s="54">
        <v>138.45170896862135</v>
      </c>
      <c r="P230" s="15">
        <v>0.90829103137866696</v>
      </c>
    </row>
    <row r="231" spans="6:16" x14ac:dyDescent="0.3">
      <c r="F231" s="50">
        <v>44409</v>
      </c>
      <c r="G231" s="53">
        <v>139.5</v>
      </c>
      <c r="M231" s="54">
        <v>138.71576931824166</v>
      </c>
      <c r="N231" s="54"/>
      <c r="O231" s="54">
        <v>138.71576931824166</v>
      </c>
      <c r="P231" s="15">
        <v>0.78423068175834487</v>
      </c>
    </row>
    <row r="232" spans="6:16" x14ac:dyDescent="0.3">
      <c r="F232" s="50">
        <v>44440</v>
      </c>
      <c r="G232" s="53">
        <v>138.69999999999999</v>
      </c>
      <c r="M232" s="54">
        <v>138.97242127247236</v>
      </c>
      <c r="N232" s="54"/>
      <c r="O232" s="54">
        <v>138.97242127247236</v>
      </c>
      <c r="P232" s="15">
        <v>-0.27242127247237136</v>
      </c>
    </row>
    <row r="233" spans="6:16" x14ac:dyDescent="0.3">
      <c r="F233" s="50">
        <v>44470</v>
      </c>
      <c r="G233" s="53">
        <v>138.77000000000001</v>
      </c>
      <c r="M233" s="54">
        <v>139.22334108630366</v>
      </c>
      <c r="N233" s="54"/>
      <c r="O233" s="54">
        <v>139.22334108630366</v>
      </c>
      <c r="P233" s="15">
        <v>-0.45334108630365222</v>
      </c>
    </row>
    <row r="234" spans="6:16" x14ac:dyDescent="0.3">
      <c r="F234" s="50">
        <v>44501</v>
      </c>
      <c r="G234" s="53">
        <v>139.4</v>
      </c>
      <c r="M234" s="54">
        <v>139.47003475143046</v>
      </c>
      <c r="N234" s="54"/>
      <c r="O234" s="54">
        <v>139.47003475143046</v>
      </c>
      <c r="P234" s="15">
        <v>-7.0034751430455344E-2</v>
      </c>
    </row>
    <row r="235" spans="6:16" x14ac:dyDescent="0.3">
      <c r="F235" s="50">
        <v>44531</v>
      </c>
      <c r="G235" s="53">
        <v>139.85</v>
      </c>
      <c r="M235" s="54">
        <v>139.71372492136877</v>
      </c>
      <c r="N235" s="54"/>
      <c r="O235" s="54">
        <v>139.71372492136877</v>
      </c>
      <c r="P235" s="15">
        <v>0.13627507863122901</v>
      </c>
    </row>
    <row r="236" spans="6:16" x14ac:dyDescent="0.3">
      <c r="F236" s="50">
        <v>44562</v>
      </c>
      <c r="G236" s="53">
        <v>138.83000000000001</v>
      </c>
      <c r="M236" s="54">
        <v>139.95559047791477</v>
      </c>
      <c r="N236" s="54"/>
      <c r="O236" s="54">
        <v>139.95559047791477</v>
      </c>
      <c r="P236" s="15">
        <v>-1.1255904779147556</v>
      </c>
    </row>
    <row r="237" spans="6:16" x14ac:dyDescent="0.3">
      <c r="F237" s="50">
        <v>44593</v>
      </c>
      <c r="G237" s="53">
        <v>139.30000000000001</v>
      </c>
      <c r="M237" s="54">
        <v>140.19689547478907</v>
      </c>
      <c r="N237" s="54"/>
      <c r="O237" s="54">
        <v>140.19689547478907</v>
      </c>
      <c r="P237" s="15">
        <v>-0.89689547478906206</v>
      </c>
    </row>
    <row r="238" spans="6:16" x14ac:dyDescent="0.3">
      <c r="M238" s="54"/>
      <c r="N238" s="54"/>
      <c r="O238" s="54"/>
    </row>
    <row r="239" spans="6:16" x14ac:dyDescent="0.3">
      <c r="M239" s="54"/>
      <c r="N239" s="54"/>
      <c r="O239" s="54"/>
    </row>
    <row r="240" spans="6:16" x14ac:dyDescent="0.3">
      <c r="M240" s="54"/>
      <c r="N240" s="54"/>
      <c r="O240" s="54"/>
    </row>
    <row r="241" spans="13:15" x14ac:dyDescent="0.3">
      <c r="M241" s="54"/>
      <c r="N241" s="54"/>
      <c r="O241" s="54"/>
    </row>
    <row r="242" spans="13:15" x14ac:dyDescent="0.3">
      <c r="M242" s="54"/>
      <c r="N242" s="54"/>
      <c r="O242" s="54"/>
    </row>
    <row r="243" spans="13:15" x14ac:dyDescent="0.3">
      <c r="M243" s="54"/>
      <c r="N243" s="54"/>
      <c r="O243" s="54"/>
    </row>
    <row r="244" spans="13:15" x14ac:dyDescent="0.3">
      <c r="M244" s="54"/>
      <c r="N244" s="54"/>
      <c r="O244" s="54"/>
    </row>
    <row r="245" spans="13:15" x14ac:dyDescent="0.3">
      <c r="M245" s="54"/>
      <c r="N245" s="54"/>
      <c r="O245" s="54"/>
    </row>
    <row r="246" spans="13:15" x14ac:dyDescent="0.3">
      <c r="M246" s="54"/>
      <c r="N246" s="54"/>
      <c r="O246" s="54"/>
    </row>
    <row r="247" spans="13:15" x14ac:dyDescent="0.3">
      <c r="M247" s="54"/>
      <c r="N247" s="54"/>
      <c r="O247" s="54"/>
    </row>
    <row r="248" spans="13:15" x14ac:dyDescent="0.3">
      <c r="M248" s="27"/>
      <c r="N248" s="27"/>
      <c r="O248" s="27"/>
    </row>
    <row r="249" spans="13:15" x14ac:dyDescent="0.3">
      <c r="M249" s="27"/>
      <c r="N249" s="27"/>
      <c r="O249" s="27"/>
    </row>
    <row r="250" spans="13:15" x14ac:dyDescent="0.3">
      <c r="M250" s="27"/>
      <c r="N250" s="27"/>
      <c r="O250" s="27"/>
    </row>
    <row r="251" spans="13:15" x14ac:dyDescent="0.3">
      <c r="M251" s="27"/>
      <c r="N251" s="27"/>
      <c r="O251" s="27"/>
    </row>
    <row r="252" spans="13:15" x14ac:dyDescent="0.3">
      <c r="M252" s="27"/>
      <c r="N252" s="27"/>
      <c r="O252" s="27"/>
    </row>
    <row r="253" spans="13:15" x14ac:dyDescent="0.3">
      <c r="M253" s="27"/>
      <c r="N253" s="27"/>
      <c r="O253" s="27"/>
    </row>
    <row r="254" spans="13:15" x14ac:dyDescent="0.3">
      <c r="M254" s="27"/>
      <c r="N254" s="27"/>
      <c r="O254" s="27"/>
    </row>
    <row r="255" spans="13:15" x14ac:dyDescent="0.3">
      <c r="M255" s="27"/>
      <c r="N255" s="27"/>
      <c r="O255" s="27"/>
    </row>
    <row r="256" spans="13:15" x14ac:dyDescent="0.3">
      <c r="M256" s="27"/>
      <c r="N256" s="27"/>
      <c r="O256" s="27"/>
    </row>
    <row r="257" spans="13:15" x14ac:dyDescent="0.3">
      <c r="M257" s="27"/>
      <c r="N257" s="27"/>
      <c r="O257" s="27"/>
    </row>
    <row r="258" spans="13:15" x14ac:dyDescent="0.3">
      <c r="M258" s="27"/>
      <c r="N258" s="27"/>
      <c r="O258" s="27"/>
    </row>
    <row r="259" spans="13:15" x14ac:dyDescent="0.3">
      <c r="M259" s="27"/>
      <c r="N259" s="27"/>
      <c r="O259" s="27"/>
    </row>
    <row r="260" spans="13:15" x14ac:dyDescent="0.3">
      <c r="M260" s="27"/>
      <c r="N260" s="27"/>
      <c r="O260" s="27"/>
    </row>
    <row r="261" spans="13:15" x14ac:dyDescent="0.3">
      <c r="M261" s="27"/>
      <c r="N261" s="27"/>
      <c r="O261" s="27"/>
    </row>
    <row r="262" spans="13:15" x14ac:dyDescent="0.3">
      <c r="M262" s="27"/>
      <c r="N262" s="27"/>
      <c r="O262" s="27"/>
    </row>
    <row r="263" spans="13:15" x14ac:dyDescent="0.3">
      <c r="M263" s="27"/>
      <c r="N263" s="27"/>
      <c r="O263" s="27"/>
    </row>
    <row r="264" spans="13:15" x14ac:dyDescent="0.3">
      <c r="M264" s="27"/>
      <c r="N264" s="27"/>
      <c r="O264" s="27"/>
    </row>
    <row r="265" spans="13:15" x14ac:dyDescent="0.3">
      <c r="M265" s="27"/>
      <c r="N265" s="27"/>
      <c r="O265" s="27"/>
    </row>
    <row r="266" spans="13:15" x14ac:dyDescent="0.3">
      <c r="M266" s="27"/>
      <c r="N266" s="27"/>
      <c r="O266" s="27"/>
    </row>
    <row r="267" spans="13:15" x14ac:dyDescent="0.3">
      <c r="M267" s="27"/>
      <c r="N267" s="27"/>
      <c r="O267" s="27"/>
    </row>
    <row r="268" spans="13:15" x14ac:dyDescent="0.3">
      <c r="M268" s="27"/>
      <c r="N268" s="27"/>
      <c r="O268" s="27"/>
    </row>
    <row r="269" spans="13:15" x14ac:dyDescent="0.3">
      <c r="M269" s="27"/>
      <c r="N269" s="27"/>
      <c r="O269" s="27"/>
    </row>
    <row r="270" spans="13:15" x14ac:dyDescent="0.3">
      <c r="M270" s="27"/>
      <c r="N270" s="27"/>
      <c r="O270" s="27"/>
    </row>
    <row r="271" spans="13:15" x14ac:dyDescent="0.3">
      <c r="M271" s="27"/>
      <c r="N271" s="27"/>
      <c r="O271" s="27"/>
    </row>
    <row r="272" spans="13:15" x14ac:dyDescent="0.3">
      <c r="M272" s="27"/>
      <c r="N272" s="27"/>
      <c r="O272" s="27"/>
    </row>
    <row r="273" spans="13:15" x14ac:dyDescent="0.3">
      <c r="M273" s="27"/>
      <c r="N273" s="27"/>
      <c r="O273" s="27"/>
    </row>
    <row r="274" spans="13:15" x14ac:dyDescent="0.3">
      <c r="M274" s="27"/>
      <c r="N274" s="27"/>
      <c r="O274" s="27"/>
    </row>
    <row r="275" spans="13:15" x14ac:dyDescent="0.3">
      <c r="M275" s="27"/>
      <c r="N275" s="27"/>
      <c r="O275" s="27"/>
    </row>
    <row r="276" spans="13:15" x14ac:dyDescent="0.3">
      <c r="M276" s="27"/>
      <c r="N276" s="27"/>
      <c r="O276" s="27"/>
    </row>
    <row r="277" spans="13:15" x14ac:dyDescent="0.3">
      <c r="M277" s="27"/>
      <c r="N277" s="27"/>
      <c r="O277" s="27"/>
    </row>
    <row r="278" spans="13:15" x14ac:dyDescent="0.3">
      <c r="M278" s="27"/>
      <c r="N278" s="27"/>
      <c r="O278" s="27"/>
    </row>
    <row r="279" spans="13:15" x14ac:dyDescent="0.3">
      <c r="M279" s="27"/>
      <c r="N279" s="27"/>
      <c r="O279" s="27"/>
    </row>
    <row r="280" spans="13:15" x14ac:dyDescent="0.3">
      <c r="M280" s="27"/>
      <c r="N280" s="27"/>
      <c r="O280" s="27"/>
    </row>
    <row r="281" spans="13:15" x14ac:dyDescent="0.3">
      <c r="M281" s="27"/>
      <c r="N281" s="27"/>
      <c r="O281" s="27"/>
    </row>
    <row r="282" spans="13:15" x14ac:dyDescent="0.3">
      <c r="M282" s="27"/>
      <c r="N282" s="27"/>
      <c r="O282" s="27"/>
    </row>
    <row r="283" spans="13:15" x14ac:dyDescent="0.3">
      <c r="M283" s="27"/>
      <c r="N283" s="27"/>
      <c r="O283" s="27"/>
    </row>
    <row r="284" spans="13:15" x14ac:dyDescent="0.3">
      <c r="M284" s="27"/>
      <c r="N284" s="27"/>
      <c r="O284" s="27"/>
    </row>
    <row r="285" spans="13:15" x14ac:dyDescent="0.3">
      <c r="M285" s="27"/>
      <c r="N285" s="27"/>
      <c r="O285" s="27"/>
    </row>
    <row r="286" spans="13:15" x14ac:dyDescent="0.3">
      <c r="M286" s="27"/>
      <c r="N286" s="27"/>
      <c r="O286" s="27"/>
    </row>
    <row r="287" spans="13:15" x14ac:dyDescent="0.3">
      <c r="M287" s="27"/>
      <c r="N287" s="27"/>
      <c r="O287" s="27"/>
    </row>
    <row r="288" spans="13:15" x14ac:dyDescent="0.3">
      <c r="M288" s="27"/>
      <c r="N288" s="27"/>
      <c r="O288" s="27"/>
    </row>
    <row r="289" spans="13:15" x14ac:dyDescent="0.3">
      <c r="M289" s="27"/>
      <c r="N289" s="27"/>
      <c r="O289" s="27"/>
    </row>
    <row r="290" spans="13:15" x14ac:dyDescent="0.3">
      <c r="M290" s="27"/>
      <c r="N290" s="27"/>
      <c r="O290" s="27"/>
    </row>
    <row r="291" spans="13:15" x14ac:dyDescent="0.3">
      <c r="M291" s="27"/>
      <c r="N291" s="27"/>
      <c r="O291" s="27"/>
    </row>
    <row r="292" spans="13:15" x14ac:dyDescent="0.3">
      <c r="M292" s="27"/>
      <c r="N292" s="27"/>
      <c r="O292" s="27"/>
    </row>
    <row r="293" spans="13:15" x14ac:dyDescent="0.3">
      <c r="M293" s="27"/>
      <c r="N293" s="27"/>
      <c r="O293" s="27"/>
    </row>
    <row r="294" spans="13:15" x14ac:dyDescent="0.3">
      <c r="M294" s="27"/>
      <c r="N294" s="27"/>
      <c r="O294" s="27"/>
    </row>
    <row r="295" spans="13:15" x14ac:dyDescent="0.3">
      <c r="M295" s="27"/>
      <c r="N295" s="27"/>
      <c r="O295" s="27"/>
    </row>
    <row r="296" spans="13:15" x14ac:dyDescent="0.3">
      <c r="M296" s="27"/>
      <c r="N296" s="27"/>
      <c r="O296" s="27"/>
    </row>
    <row r="297" spans="13:15" x14ac:dyDescent="0.3">
      <c r="M297" s="27"/>
      <c r="N297" s="27"/>
      <c r="O297" s="27"/>
    </row>
  </sheetData>
  <mergeCells count="1">
    <mergeCell ref="D11:D12"/>
  </mergeCells>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4166A-1E8F-480A-803D-0D44472BAB59}">
  <sheetPr codeName="Planilha40">
    <tabColor theme="9" tint="0.59999389629810485"/>
  </sheetPr>
  <dimension ref="A1:V298"/>
  <sheetViews>
    <sheetView showGridLines="0" workbookViewId="0">
      <selection activeCell="K1" sqref="K1"/>
    </sheetView>
  </sheetViews>
  <sheetFormatPr defaultColWidth="8.85546875" defaultRowHeight="18.75" x14ac:dyDescent="0.3"/>
  <cols>
    <col min="1" max="1" width="12.7109375" style="17" customWidth="1"/>
    <col min="2" max="2" width="29" customWidth="1"/>
    <col min="4" max="4" width="44.28515625" bestFit="1" customWidth="1"/>
    <col min="5" max="5" width="4.5703125" customWidth="1"/>
    <col min="6" max="7" width="7.140625" bestFit="1" customWidth="1"/>
    <col min="8" max="9" width="9.28515625" bestFit="1" customWidth="1"/>
    <col min="11" max="13" width="14.85546875" style="15" customWidth="1"/>
    <col min="14" max="22" width="8.85546875" style="15"/>
  </cols>
  <sheetData>
    <row r="1" spans="1:22" x14ac:dyDescent="0.3">
      <c r="A1" s="16" t="s">
        <v>355</v>
      </c>
      <c r="K1" s="14"/>
      <c r="L1" s="14"/>
      <c r="M1" s="14"/>
      <c r="N1" s="14"/>
      <c r="O1" s="14"/>
      <c r="P1" s="14"/>
      <c r="Q1" s="14"/>
      <c r="R1" s="14"/>
      <c r="S1" s="14"/>
      <c r="T1" s="14"/>
      <c r="U1" s="14"/>
      <c r="V1" s="14"/>
    </row>
    <row r="2" spans="1:22" x14ac:dyDescent="0.3">
      <c r="A2" s="17" t="s">
        <v>356</v>
      </c>
      <c r="K2" s="14"/>
      <c r="L2" s="14"/>
      <c r="M2" s="14"/>
      <c r="N2" s="14"/>
      <c r="O2" s="14"/>
      <c r="P2" s="14"/>
      <c r="Q2" s="14"/>
      <c r="R2" s="14"/>
      <c r="S2" s="14"/>
      <c r="T2" s="14"/>
      <c r="U2" s="14"/>
      <c r="V2" s="14"/>
    </row>
    <row r="4" spans="1:22" ht="15.75" x14ac:dyDescent="0.25">
      <c r="A4" s="2" t="s">
        <v>15</v>
      </c>
      <c r="B4" s="2" t="s">
        <v>16</v>
      </c>
    </row>
    <row r="5" spans="1:22" ht="15.75" x14ac:dyDescent="0.25">
      <c r="A5" s="23" t="s">
        <v>167</v>
      </c>
      <c r="B5" s="24" t="s">
        <v>169</v>
      </c>
    </row>
    <row r="6" spans="1:22" ht="47.25" x14ac:dyDescent="0.25">
      <c r="A6" s="23" t="s">
        <v>56</v>
      </c>
      <c r="B6" s="24" t="s">
        <v>357</v>
      </c>
    </row>
    <row r="7" spans="1:22" ht="47.25" x14ac:dyDescent="0.25">
      <c r="A7" s="23" t="s">
        <v>86</v>
      </c>
      <c r="B7" s="24" t="s">
        <v>358</v>
      </c>
    </row>
    <row r="8" spans="1:22" x14ac:dyDescent="0.3">
      <c r="D8" s="1" t="s">
        <v>17</v>
      </c>
      <c r="G8" s="13" t="s">
        <v>167</v>
      </c>
      <c r="H8" s="13" t="s">
        <v>36</v>
      </c>
      <c r="I8" s="13" t="s">
        <v>138</v>
      </c>
    </row>
    <row r="9" spans="1:22" x14ac:dyDescent="0.3">
      <c r="D9" t="s">
        <v>178</v>
      </c>
      <c r="F9" s="50">
        <v>37257</v>
      </c>
      <c r="G9" s="53">
        <v>72.400000000000006</v>
      </c>
      <c r="H9" s="55">
        <v>1</v>
      </c>
      <c r="I9" s="55">
        <v>1</v>
      </c>
      <c r="K9" s="54" cm="1">
        <f t="array" ref="K9:K247">_xlfn.LAMBDA(_xlpm.values,_xlop.n,_xlop.dim,
_xlfn.LET(
_xlpm.n, IF( OR( _xlfn.ISOMITTED(_xlpm.n), ISBLANK(_xlpm.n) ), 1, _xlpm.n),
_xlpm.dim, IF( OR( _xlfn.ISOMITTED(_xlpm.dim), ISBLANK(_xlpm.dim) ), 1, _xlpm.dim),
IF(_xlpm.dim=1,
IF(_xlpm.n=0, _xlpm.values, DIFF( SLICE(_xlpm.values,2,-1) - SLICE(_xlpm.values,1,-2), _xlpm.n-1, _xlpm.dim)),
IF(_xlpm.dim=2,
IF(_xlpm.n=0, _xlpm.values, DIFF( SLICE(_xlpm.values,0,0,2,-1) - SLICE(_xlpm.values,0,0,1,-2), _xlpm.n-1, _xlpm.dim)),
"# dim must be either 1 or 2"
))
) )($G$9:$G$248,$H$9,$I$9)</f>
        <v>-2.7000000000000028</v>
      </c>
      <c r="L9" s="54"/>
      <c r="M9" s="54" cm="1">
        <f t="array" ref="M9:M247">DIFF($G$9:$G$248,$H$9,$I$9)</f>
        <v>-2.7000000000000028</v>
      </c>
    </row>
    <row r="10" spans="1:22" x14ac:dyDescent="0.3">
      <c r="D10" t="s">
        <v>179</v>
      </c>
      <c r="F10" s="50">
        <v>37288</v>
      </c>
      <c r="G10" s="53">
        <v>69.7</v>
      </c>
      <c r="J10" s="38"/>
      <c r="K10" s="54">
        <v>7.7000000000000028</v>
      </c>
      <c r="L10" s="54"/>
      <c r="M10" s="54">
        <v>7.7000000000000028</v>
      </c>
    </row>
    <row r="11" spans="1:22" x14ac:dyDescent="0.3">
      <c r="F11" s="50">
        <v>37316</v>
      </c>
      <c r="G11" s="53">
        <v>77.400000000000006</v>
      </c>
      <c r="J11" s="38"/>
      <c r="K11" s="54">
        <v>2.1999999999999886</v>
      </c>
      <c r="L11" s="54"/>
      <c r="M11" s="54">
        <v>2.1999999999999886</v>
      </c>
    </row>
    <row r="12" spans="1:22" ht="18.75" customHeight="1" x14ac:dyDescent="0.3">
      <c r="D12" s="134"/>
      <c r="F12" s="50">
        <v>37347</v>
      </c>
      <c r="G12" s="53">
        <v>79.599999999999994</v>
      </c>
      <c r="J12" s="38"/>
      <c r="K12" s="54">
        <v>0.80000000000001137</v>
      </c>
      <c r="L12" s="54"/>
      <c r="M12" s="54">
        <v>0.80000000000001137</v>
      </c>
    </row>
    <row r="13" spans="1:22" x14ac:dyDescent="0.3">
      <c r="D13" s="134"/>
      <c r="F13" s="50">
        <v>37377</v>
      </c>
      <c r="G13" s="53">
        <v>80.400000000000006</v>
      </c>
      <c r="J13" s="38"/>
      <c r="K13" s="54">
        <v>-2.9000000000000057</v>
      </c>
      <c r="L13" s="54"/>
      <c r="M13" s="54">
        <v>-2.9000000000000057</v>
      </c>
    </row>
    <row r="14" spans="1:22" x14ac:dyDescent="0.3">
      <c r="D14" s="47"/>
      <c r="F14" s="50">
        <v>37408</v>
      </c>
      <c r="G14" s="53">
        <v>77.5</v>
      </c>
      <c r="J14" s="38"/>
      <c r="K14" s="54">
        <v>5.7999999999999972</v>
      </c>
      <c r="L14" s="54"/>
      <c r="M14" s="54">
        <v>5.7999999999999972</v>
      </c>
    </row>
    <row r="15" spans="1:22" x14ac:dyDescent="0.3">
      <c r="F15" s="50">
        <v>37438</v>
      </c>
      <c r="G15" s="53">
        <v>83.3</v>
      </c>
      <c r="J15" s="38"/>
      <c r="K15" s="54">
        <v>0.29999999999999716</v>
      </c>
      <c r="L15" s="54"/>
      <c r="M15" s="54">
        <v>0.29999999999999716</v>
      </c>
    </row>
    <row r="16" spans="1:22" x14ac:dyDescent="0.3">
      <c r="F16" s="50">
        <v>37469</v>
      </c>
      <c r="G16" s="53">
        <v>83.6</v>
      </c>
      <c r="J16" s="38"/>
      <c r="K16" s="54">
        <v>-1.5</v>
      </c>
      <c r="L16" s="54"/>
      <c r="M16" s="54">
        <v>-1.5</v>
      </c>
    </row>
    <row r="17" spans="1:13" x14ac:dyDescent="0.3">
      <c r="F17" s="50">
        <v>37500</v>
      </c>
      <c r="G17" s="53">
        <v>82.1</v>
      </c>
      <c r="J17" s="38"/>
      <c r="K17" s="54">
        <v>7.1000000000000085</v>
      </c>
      <c r="L17" s="54"/>
      <c r="M17" s="54">
        <v>7.1000000000000085</v>
      </c>
    </row>
    <row r="18" spans="1:13" s="15" customFormat="1" x14ac:dyDescent="0.3">
      <c r="A18" s="17"/>
      <c r="B18"/>
      <c r="C18"/>
      <c r="D18"/>
      <c r="E18"/>
      <c r="F18" s="50">
        <v>37530</v>
      </c>
      <c r="G18" s="53">
        <v>89.2</v>
      </c>
      <c r="H18"/>
      <c r="I18"/>
      <c r="J18" s="38"/>
      <c r="K18" s="54">
        <v>-5.2999999999999972</v>
      </c>
      <c r="L18" s="54"/>
      <c r="M18" s="54">
        <v>-5.2999999999999972</v>
      </c>
    </row>
    <row r="19" spans="1:13" s="15" customFormat="1" x14ac:dyDescent="0.3">
      <c r="A19" s="17"/>
      <c r="B19"/>
      <c r="C19"/>
      <c r="D19"/>
      <c r="E19"/>
      <c r="F19" s="50">
        <v>37561</v>
      </c>
      <c r="G19" s="53">
        <v>83.9</v>
      </c>
      <c r="H19"/>
      <c r="I19"/>
      <c r="J19" s="38"/>
      <c r="K19" s="54">
        <v>-9.3000000000000114</v>
      </c>
      <c r="L19" s="54"/>
      <c r="M19" s="54">
        <v>-9.3000000000000114</v>
      </c>
    </row>
    <row r="20" spans="1:13" s="15" customFormat="1" x14ac:dyDescent="0.3">
      <c r="A20" s="17"/>
      <c r="B20"/>
      <c r="C20"/>
      <c r="D20"/>
      <c r="E20"/>
      <c r="F20" s="50">
        <v>37591</v>
      </c>
      <c r="G20" s="53">
        <v>74.599999999999994</v>
      </c>
      <c r="H20"/>
      <c r="I20"/>
      <c r="J20" s="38"/>
      <c r="K20" s="54">
        <v>-0.59999999999999432</v>
      </c>
      <c r="L20" s="54"/>
      <c r="M20" s="54">
        <v>-0.59999999999999432</v>
      </c>
    </row>
    <row r="21" spans="1:13" s="15" customFormat="1" x14ac:dyDescent="0.3">
      <c r="A21" s="17"/>
      <c r="B21"/>
      <c r="C21"/>
      <c r="D21"/>
      <c r="E21"/>
      <c r="F21" s="50">
        <v>37622</v>
      </c>
      <c r="G21" s="53">
        <v>74</v>
      </c>
      <c r="H21"/>
      <c r="I21"/>
      <c r="J21" s="38"/>
      <c r="K21" s="54">
        <v>-2.2000000000000028</v>
      </c>
      <c r="L21" s="54"/>
      <c r="M21" s="54">
        <v>-2.2000000000000028</v>
      </c>
    </row>
    <row r="22" spans="1:13" s="15" customFormat="1" x14ac:dyDescent="0.3">
      <c r="A22" s="17"/>
      <c r="B22"/>
      <c r="C22"/>
      <c r="D22"/>
      <c r="E22"/>
      <c r="F22" s="50">
        <v>37653</v>
      </c>
      <c r="G22" s="53">
        <v>71.8</v>
      </c>
      <c r="H22"/>
      <c r="I22"/>
      <c r="J22" s="38"/>
      <c r="K22" s="54">
        <v>5.6000000000000085</v>
      </c>
      <c r="L22" s="54"/>
      <c r="M22" s="54">
        <v>5.6000000000000085</v>
      </c>
    </row>
    <row r="23" spans="1:13" s="15" customFormat="1" x14ac:dyDescent="0.3">
      <c r="A23" s="17"/>
      <c r="B23"/>
      <c r="C23"/>
      <c r="D23"/>
      <c r="E23"/>
      <c r="F23" s="50">
        <v>37681</v>
      </c>
      <c r="G23" s="53">
        <v>77.400000000000006</v>
      </c>
      <c r="H23"/>
      <c r="I23"/>
      <c r="J23" s="38"/>
      <c r="K23" s="54">
        <v>-0.90000000000000568</v>
      </c>
      <c r="L23" s="54"/>
      <c r="M23" s="54">
        <v>-0.90000000000000568</v>
      </c>
    </row>
    <row r="24" spans="1:13" s="15" customFormat="1" x14ac:dyDescent="0.3">
      <c r="A24" s="17"/>
      <c r="B24"/>
      <c r="C24"/>
      <c r="D24"/>
      <c r="E24"/>
      <c r="F24" s="50">
        <v>37712</v>
      </c>
      <c r="G24" s="53">
        <v>76.5</v>
      </c>
      <c r="H24"/>
      <c r="I24"/>
      <c r="J24" s="38"/>
      <c r="K24" s="54">
        <v>3.2000000000000028</v>
      </c>
      <c r="L24" s="54"/>
      <c r="M24" s="54">
        <v>3.2000000000000028</v>
      </c>
    </row>
    <row r="25" spans="1:13" s="15" customFormat="1" x14ac:dyDescent="0.3">
      <c r="A25" s="17"/>
      <c r="B25"/>
      <c r="C25"/>
      <c r="D25"/>
      <c r="E25"/>
      <c r="F25" s="50">
        <v>37742</v>
      </c>
      <c r="G25" s="53">
        <v>79.7</v>
      </c>
      <c r="H25"/>
      <c r="I25"/>
      <c r="J25" s="38"/>
      <c r="K25" s="54">
        <v>-3.4000000000000057</v>
      </c>
      <c r="L25" s="54"/>
      <c r="M25" s="54">
        <v>-3.4000000000000057</v>
      </c>
    </row>
    <row r="26" spans="1:13" s="15" customFormat="1" x14ac:dyDescent="0.3">
      <c r="A26" s="17"/>
      <c r="B26"/>
      <c r="C26"/>
      <c r="D26"/>
      <c r="E26"/>
      <c r="F26" s="50">
        <v>37773</v>
      </c>
      <c r="G26" s="53">
        <v>76.3</v>
      </c>
      <c r="H26"/>
      <c r="I26"/>
      <c r="J26" s="38"/>
      <c r="K26" s="54">
        <v>5</v>
      </c>
      <c r="L26" s="54"/>
      <c r="M26" s="54">
        <v>5</v>
      </c>
    </row>
    <row r="27" spans="1:13" s="15" customFormat="1" x14ac:dyDescent="0.3">
      <c r="A27" s="17"/>
      <c r="B27"/>
      <c r="C27"/>
      <c r="D27"/>
      <c r="E27"/>
      <c r="F27" s="50">
        <v>37803</v>
      </c>
      <c r="G27" s="53">
        <v>81.3</v>
      </c>
      <c r="H27"/>
      <c r="I27"/>
      <c r="J27" s="38"/>
      <c r="K27" s="54">
        <v>0.29999999999999716</v>
      </c>
      <c r="L27" s="54"/>
      <c r="M27" s="54">
        <v>0.29999999999999716</v>
      </c>
    </row>
    <row r="28" spans="1:13" s="15" customFormat="1" x14ac:dyDescent="0.3">
      <c r="A28" s="17"/>
      <c r="B28"/>
      <c r="C28"/>
      <c r="D28"/>
      <c r="E28"/>
      <c r="F28" s="50">
        <v>37834</v>
      </c>
      <c r="G28" s="53">
        <v>81.599999999999994</v>
      </c>
      <c r="H28"/>
      <c r="I28"/>
      <c r="J28" s="38"/>
      <c r="K28" s="54">
        <v>4.1000000000000085</v>
      </c>
      <c r="L28" s="54"/>
      <c r="M28" s="54">
        <v>4.1000000000000085</v>
      </c>
    </row>
    <row r="29" spans="1:13" s="15" customFormat="1" x14ac:dyDescent="0.3">
      <c r="A29" s="17"/>
      <c r="B29"/>
      <c r="C29"/>
      <c r="D29"/>
      <c r="E29"/>
      <c r="F29" s="50">
        <v>37865</v>
      </c>
      <c r="G29" s="53">
        <v>85.7</v>
      </c>
      <c r="H29"/>
      <c r="I29"/>
      <c r="J29" s="38"/>
      <c r="K29" s="54">
        <v>4.2999999999999972</v>
      </c>
      <c r="L29" s="54"/>
      <c r="M29" s="54">
        <v>4.2999999999999972</v>
      </c>
    </row>
    <row r="30" spans="1:13" s="15" customFormat="1" x14ac:dyDescent="0.3">
      <c r="A30" s="17"/>
      <c r="B30"/>
      <c r="C30"/>
      <c r="D30"/>
      <c r="E30"/>
      <c r="F30" s="50">
        <v>37895</v>
      </c>
      <c r="G30" s="53">
        <v>90</v>
      </c>
      <c r="H30"/>
      <c r="I30"/>
      <c r="J30" s="38"/>
      <c r="K30" s="54">
        <v>-5.4000000000000057</v>
      </c>
      <c r="L30" s="54"/>
      <c r="M30" s="54">
        <v>-5.4000000000000057</v>
      </c>
    </row>
    <row r="31" spans="1:13" s="15" customFormat="1" x14ac:dyDescent="0.3">
      <c r="A31" s="17"/>
      <c r="B31"/>
      <c r="C31"/>
      <c r="D31"/>
      <c r="E31"/>
      <c r="F31" s="50">
        <v>37926</v>
      </c>
      <c r="G31" s="53">
        <v>84.6</v>
      </c>
      <c r="H31"/>
      <c r="I31"/>
      <c r="J31" s="38"/>
      <c r="K31" s="54">
        <v>-6.6999999999999886</v>
      </c>
      <c r="L31" s="54"/>
      <c r="M31" s="54">
        <v>-6.6999999999999886</v>
      </c>
    </row>
    <row r="32" spans="1:13" s="15" customFormat="1" x14ac:dyDescent="0.3">
      <c r="A32" s="17"/>
      <c r="B32"/>
      <c r="C32"/>
      <c r="D32"/>
      <c r="E32"/>
      <c r="F32" s="50">
        <v>37956</v>
      </c>
      <c r="G32" s="53">
        <v>77.900000000000006</v>
      </c>
      <c r="H32"/>
      <c r="I32"/>
      <c r="J32" s="38"/>
      <c r="K32" s="54">
        <v>-1.1000000000000085</v>
      </c>
      <c r="L32" s="54"/>
      <c r="M32" s="54">
        <v>-1.1000000000000085</v>
      </c>
    </row>
    <row r="33" spans="1:13" s="15" customFormat="1" x14ac:dyDescent="0.3">
      <c r="A33" s="17"/>
      <c r="B33"/>
      <c r="C33"/>
      <c r="D33"/>
      <c r="E33"/>
      <c r="F33" s="50">
        <v>37987</v>
      </c>
      <c r="G33" s="53">
        <v>76.8</v>
      </c>
      <c r="H33"/>
      <c r="I33"/>
      <c r="J33" s="38"/>
      <c r="K33" s="54">
        <v>-2.7999999999999972</v>
      </c>
      <c r="L33" s="54"/>
      <c r="M33" s="54">
        <v>-2.7999999999999972</v>
      </c>
    </row>
    <row r="34" spans="1:13" s="15" customFormat="1" x14ac:dyDescent="0.3">
      <c r="A34" s="17"/>
      <c r="B34"/>
      <c r="C34"/>
      <c r="D34"/>
      <c r="E34"/>
      <c r="F34" s="50">
        <v>38018</v>
      </c>
      <c r="G34" s="53">
        <v>74</v>
      </c>
      <c r="H34"/>
      <c r="I34"/>
      <c r="J34" s="38"/>
      <c r="K34" s="54">
        <v>12.900000000000006</v>
      </c>
      <c r="L34" s="54"/>
      <c r="M34" s="54">
        <v>12.900000000000006</v>
      </c>
    </row>
    <row r="35" spans="1:13" s="15" customFormat="1" x14ac:dyDescent="0.3">
      <c r="A35" s="17"/>
      <c r="B35"/>
      <c r="C35"/>
      <c r="D35"/>
      <c r="E35"/>
      <c r="F35" s="50">
        <v>38047</v>
      </c>
      <c r="G35" s="53">
        <v>86.9</v>
      </c>
      <c r="H35"/>
      <c r="I35"/>
      <c r="J35" s="38"/>
      <c r="K35" s="54">
        <v>-4.7000000000000028</v>
      </c>
      <c r="L35" s="54"/>
      <c r="M35" s="54">
        <v>-4.7000000000000028</v>
      </c>
    </row>
    <row r="36" spans="1:13" s="15" customFormat="1" x14ac:dyDescent="0.3">
      <c r="A36" s="17"/>
      <c r="B36"/>
      <c r="C36"/>
      <c r="D36"/>
      <c r="E36"/>
      <c r="F36" s="50">
        <v>38078</v>
      </c>
      <c r="G36" s="53">
        <v>82.2</v>
      </c>
      <c r="H36"/>
      <c r="I36"/>
      <c r="J36" s="38"/>
      <c r="K36" s="54">
        <v>4.0999999999999943</v>
      </c>
      <c r="L36" s="54"/>
      <c r="M36" s="54">
        <v>4.0999999999999943</v>
      </c>
    </row>
    <row r="37" spans="1:13" s="15" customFormat="1" x14ac:dyDescent="0.3">
      <c r="A37" s="17"/>
      <c r="B37"/>
      <c r="C37"/>
      <c r="D37"/>
      <c r="E37"/>
      <c r="F37" s="50">
        <v>38108</v>
      </c>
      <c r="G37" s="53">
        <v>86.3</v>
      </c>
      <c r="H37"/>
      <c r="I37"/>
      <c r="J37" s="38"/>
      <c r="K37" s="54">
        <v>-0.20000000000000284</v>
      </c>
      <c r="L37" s="54"/>
      <c r="M37" s="54">
        <v>-0.20000000000000284</v>
      </c>
    </row>
    <row r="38" spans="1:13" s="15" customFormat="1" x14ac:dyDescent="0.3">
      <c r="A38" s="17"/>
      <c r="B38"/>
      <c r="C38"/>
      <c r="D38"/>
      <c r="E38"/>
      <c r="F38" s="50">
        <v>38139</v>
      </c>
      <c r="G38" s="53">
        <v>86.1</v>
      </c>
      <c r="H38"/>
      <c r="I38"/>
      <c r="J38" s="38"/>
      <c r="K38" s="54">
        <v>4</v>
      </c>
      <c r="L38" s="54"/>
      <c r="M38" s="54">
        <v>4</v>
      </c>
    </row>
    <row r="39" spans="1:13" s="15" customFormat="1" x14ac:dyDescent="0.3">
      <c r="A39" s="17"/>
      <c r="B39"/>
      <c r="C39"/>
      <c r="D39"/>
      <c r="E39"/>
      <c r="F39" s="50">
        <v>38169</v>
      </c>
      <c r="G39" s="53">
        <v>90.1</v>
      </c>
      <c r="H39"/>
      <c r="I39"/>
      <c r="J39" s="38"/>
      <c r="K39" s="54">
        <v>2</v>
      </c>
      <c r="L39" s="54"/>
      <c r="M39" s="54">
        <v>2</v>
      </c>
    </row>
    <row r="40" spans="1:13" s="15" customFormat="1" x14ac:dyDescent="0.3">
      <c r="A40" s="17"/>
      <c r="B40"/>
      <c r="C40"/>
      <c r="D40"/>
      <c r="E40"/>
      <c r="F40" s="50">
        <v>38200</v>
      </c>
      <c r="G40" s="53">
        <v>92.1</v>
      </c>
      <c r="H40"/>
      <c r="I40"/>
      <c r="J40" s="38"/>
      <c r="K40" s="54">
        <v>0</v>
      </c>
      <c r="L40" s="54"/>
      <c r="M40" s="54">
        <v>0</v>
      </c>
    </row>
    <row r="41" spans="1:13" s="15" customFormat="1" x14ac:dyDescent="0.3">
      <c r="A41" s="17"/>
      <c r="B41"/>
      <c r="C41"/>
      <c r="D41"/>
      <c r="E41"/>
      <c r="F41" s="50">
        <v>38231</v>
      </c>
      <c r="G41" s="53">
        <v>92.1</v>
      </c>
      <c r="H41"/>
      <c r="I41"/>
      <c r="J41" s="38"/>
      <c r="K41" s="54">
        <v>1.4000000000000057</v>
      </c>
      <c r="L41" s="54"/>
      <c r="M41" s="54">
        <v>1.4000000000000057</v>
      </c>
    </row>
    <row r="42" spans="1:13" s="15" customFormat="1" x14ac:dyDescent="0.3">
      <c r="A42" s="17"/>
      <c r="B42"/>
      <c r="C42"/>
      <c r="D42"/>
      <c r="E42"/>
      <c r="F42" s="50">
        <v>38261</v>
      </c>
      <c r="G42" s="53">
        <v>93.5</v>
      </c>
      <c r="H42"/>
      <c r="I42"/>
      <c r="J42" s="38"/>
      <c r="K42" s="54">
        <v>-1.7000000000000028</v>
      </c>
      <c r="L42" s="54"/>
      <c r="M42" s="54">
        <v>-1.7000000000000028</v>
      </c>
    </row>
    <row r="43" spans="1:13" s="15" customFormat="1" x14ac:dyDescent="0.3">
      <c r="A43" s="17"/>
      <c r="B43"/>
      <c r="C43"/>
      <c r="D43"/>
      <c r="E43"/>
      <c r="F43" s="50">
        <v>38292</v>
      </c>
      <c r="G43" s="53">
        <v>91.8</v>
      </c>
      <c r="H43"/>
      <c r="I43"/>
      <c r="J43" s="38"/>
      <c r="K43" s="54">
        <v>-7.0999999999999943</v>
      </c>
      <c r="L43" s="54"/>
      <c r="M43" s="54">
        <v>-7.0999999999999943</v>
      </c>
    </row>
    <row r="44" spans="1:13" s="15" customFormat="1" x14ac:dyDescent="0.3">
      <c r="A44" s="17"/>
      <c r="B44"/>
      <c r="C44"/>
      <c r="D44"/>
      <c r="E44"/>
      <c r="F44" s="50">
        <v>38322</v>
      </c>
      <c r="G44" s="53">
        <v>84.7</v>
      </c>
      <c r="H44"/>
      <c r="I44"/>
      <c r="J44" s="38"/>
      <c r="K44" s="54">
        <v>-3.7000000000000028</v>
      </c>
      <c r="L44" s="54"/>
      <c r="M44" s="54">
        <v>-3.7000000000000028</v>
      </c>
    </row>
    <row r="45" spans="1:13" s="15" customFormat="1" x14ac:dyDescent="0.3">
      <c r="A45" s="17"/>
      <c r="B45"/>
      <c r="C45"/>
      <c r="D45"/>
      <c r="E45"/>
      <c r="F45" s="50">
        <v>38353</v>
      </c>
      <c r="G45" s="53">
        <v>81</v>
      </c>
      <c r="H45"/>
      <c r="I45"/>
      <c r="J45" s="38"/>
      <c r="K45" s="54">
        <v>-4.5999999999999943</v>
      </c>
      <c r="L45" s="54"/>
      <c r="M45" s="54">
        <v>-4.5999999999999943</v>
      </c>
    </row>
    <row r="46" spans="1:13" s="15" customFormat="1" x14ac:dyDescent="0.3">
      <c r="A46" s="17"/>
      <c r="B46"/>
      <c r="C46"/>
      <c r="D46"/>
      <c r="E46"/>
      <c r="F46" s="50">
        <v>38384</v>
      </c>
      <c r="G46" s="53">
        <v>76.400000000000006</v>
      </c>
      <c r="H46"/>
      <c r="I46"/>
      <c r="J46" s="38"/>
      <c r="K46" s="54">
        <v>11.599999999999994</v>
      </c>
      <c r="L46" s="54"/>
      <c r="M46" s="54">
        <v>11.599999999999994</v>
      </c>
    </row>
    <row r="47" spans="1:13" s="15" customFormat="1" x14ac:dyDescent="0.3">
      <c r="A47" s="17"/>
      <c r="B47"/>
      <c r="C47"/>
      <c r="D47"/>
      <c r="E47"/>
      <c r="F47" s="50">
        <v>38412</v>
      </c>
      <c r="G47" s="53">
        <v>88</v>
      </c>
      <c r="H47"/>
      <c r="I47"/>
      <c r="J47" s="38"/>
      <c r="K47" s="54">
        <v>-1</v>
      </c>
      <c r="L47" s="54"/>
      <c r="M47" s="54">
        <v>-1</v>
      </c>
    </row>
    <row r="48" spans="1:13" s="15" customFormat="1" x14ac:dyDescent="0.3">
      <c r="A48" s="17"/>
      <c r="B48"/>
      <c r="C48"/>
      <c r="D48"/>
      <c r="E48"/>
      <c r="F48" s="50">
        <v>38443</v>
      </c>
      <c r="G48" s="53">
        <v>87</v>
      </c>
      <c r="H48"/>
      <c r="I48"/>
      <c r="J48" s="38"/>
      <c r="K48" s="54">
        <v>4.0999999999999943</v>
      </c>
      <c r="L48" s="54"/>
      <c r="M48" s="54">
        <v>4.0999999999999943</v>
      </c>
    </row>
    <row r="49" spans="1:13" s="15" customFormat="1" x14ac:dyDescent="0.3">
      <c r="A49" s="17"/>
      <c r="B49"/>
      <c r="C49"/>
      <c r="D49"/>
      <c r="E49"/>
      <c r="F49" s="50">
        <v>38473</v>
      </c>
      <c r="G49" s="53">
        <v>91.1</v>
      </c>
      <c r="H49"/>
      <c r="I49"/>
      <c r="J49" s="38"/>
      <c r="K49" s="54">
        <v>0.30000000000001137</v>
      </c>
      <c r="L49" s="54"/>
      <c r="M49" s="54">
        <v>0.30000000000001137</v>
      </c>
    </row>
    <row r="50" spans="1:13" s="15" customFormat="1" x14ac:dyDescent="0.3">
      <c r="A50" s="17"/>
      <c r="B50"/>
      <c r="C50"/>
      <c r="D50"/>
      <c r="E50"/>
      <c r="F50" s="50">
        <v>38504</v>
      </c>
      <c r="G50" s="53">
        <v>91.4</v>
      </c>
      <c r="H50"/>
      <c r="I50"/>
      <c r="J50" s="38"/>
      <c r="K50" s="54">
        <v>-0.90000000000000568</v>
      </c>
      <c r="L50" s="54"/>
      <c r="M50" s="54">
        <v>-0.90000000000000568</v>
      </c>
    </row>
    <row r="51" spans="1:13" s="15" customFormat="1" x14ac:dyDescent="0.3">
      <c r="A51" s="17"/>
      <c r="B51"/>
      <c r="C51"/>
      <c r="D51"/>
      <c r="E51"/>
      <c r="F51" s="50">
        <v>38534</v>
      </c>
      <c r="G51" s="53">
        <v>90.5</v>
      </c>
      <c r="H51"/>
      <c r="I51"/>
      <c r="J51" s="38"/>
      <c r="K51" s="54">
        <v>5.0999999999999943</v>
      </c>
      <c r="L51" s="54"/>
      <c r="M51" s="54">
        <v>5.0999999999999943</v>
      </c>
    </row>
    <row r="52" spans="1:13" s="15" customFormat="1" x14ac:dyDescent="0.3">
      <c r="A52" s="17"/>
      <c r="B52"/>
      <c r="C52"/>
      <c r="D52"/>
      <c r="E52"/>
      <c r="F52" s="50">
        <v>38565</v>
      </c>
      <c r="G52" s="53">
        <v>95.6</v>
      </c>
      <c r="H52"/>
      <c r="I52"/>
      <c r="J52" s="38"/>
      <c r="K52" s="54">
        <v>-3.5999999999999943</v>
      </c>
      <c r="L52" s="54"/>
      <c r="M52" s="54">
        <v>-3.5999999999999943</v>
      </c>
    </row>
    <row r="53" spans="1:13" s="15" customFormat="1" x14ac:dyDescent="0.3">
      <c r="A53" s="17"/>
      <c r="B53"/>
      <c r="C53"/>
      <c r="D53"/>
      <c r="E53"/>
      <c r="F53" s="50">
        <v>38596</v>
      </c>
      <c r="G53" s="53">
        <v>92</v>
      </c>
      <c r="H53"/>
      <c r="I53"/>
      <c r="J53" s="38"/>
      <c r="K53" s="54">
        <v>1.7000000000000028</v>
      </c>
      <c r="L53" s="54"/>
      <c r="M53" s="54">
        <v>1.7000000000000028</v>
      </c>
    </row>
    <row r="54" spans="1:13" s="15" customFormat="1" x14ac:dyDescent="0.3">
      <c r="A54" s="17"/>
      <c r="B54"/>
      <c r="C54"/>
      <c r="D54"/>
      <c r="E54"/>
      <c r="F54" s="50">
        <v>38626</v>
      </c>
      <c r="G54" s="53">
        <v>93.7</v>
      </c>
      <c r="H54"/>
      <c r="I54"/>
      <c r="J54" s="38"/>
      <c r="K54" s="54">
        <v>-1.2999999999999972</v>
      </c>
      <c r="L54" s="54"/>
      <c r="M54" s="54">
        <v>-1.2999999999999972</v>
      </c>
    </row>
    <row r="55" spans="1:13" s="15" customFormat="1" x14ac:dyDescent="0.3">
      <c r="A55" s="17"/>
      <c r="B55"/>
      <c r="C55"/>
      <c r="D55"/>
      <c r="E55"/>
      <c r="F55" s="50">
        <v>38657</v>
      </c>
      <c r="G55" s="53">
        <v>92.4</v>
      </c>
      <c r="H55"/>
      <c r="I55"/>
      <c r="J55" s="38"/>
      <c r="K55" s="54">
        <v>-5.8000000000000114</v>
      </c>
      <c r="L55" s="54"/>
      <c r="M55" s="54">
        <v>-5.8000000000000114</v>
      </c>
    </row>
    <row r="56" spans="1:13" s="15" customFormat="1" x14ac:dyDescent="0.3">
      <c r="A56" s="17"/>
      <c r="B56"/>
      <c r="C56"/>
      <c r="D56"/>
      <c r="E56"/>
      <c r="F56" s="50">
        <v>38687</v>
      </c>
      <c r="G56" s="53">
        <v>86.6</v>
      </c>
      <c r="H56"/>
      <c r="I56"/>
      <c r="J56" s="38"/>
      <c r="K56" s="54">
        <v>-2.8999999999999915</v>
      </c>
      <c r="L56" s="54"/>
      <c r="M56" s="54">
        <v>-2.8999999999999915</v>
      </c>
    </row>
    <row r="57" spans="1:13" s="15" customFormat="1" x14ac:dyDescent="0.3">
      <c r="A57" s="17"/>
      <c r="B57"/>
      <c r="C57"/>
      <c r="D57"/>
      <c r="E57"/>
      <c r="F57" s="50">
        <v>38718</v>
      </c>
      <c r="G57" s="53">
        <v>83.7</v>
      </c>
      <c r="H57"/>
      <c r="I57"/>
      <c r="J57" s="38"/>
      <c r="K57" s="54">
        <v>-3.5</v>
      </c>
      <c r="L57" s="54"/>
      <c r="M57" s="54">
        <v>-3.5</v>
      </c>
    </row>
    <row r="58" spans="1:13" s="15" customFormat="1" x14ac:dyDescent="0.3">
      <c r="A58" s="17"/>
      <c r="B58"/>
      <c r="C58"/>
      <c r="D58"/>
      <c r="E58"/>
      <c r="F58" s="50">
        <v>38749</v>
      </c>
      <c r="G58" s="53">
        <v>80.2</v>
      </c>
      <c r="H58"/>
      <c r="I58"/>
      <c r="J58" s="38"/>
      <c r="K58" s="54">
        <v>12.200000000000003</v>
      </c>
      <c r="L58" s="54"/>
      <c r="M58" s="54">
        <v>12.200000000000003</v>
      </c>
    </row>
    <row r="59" spans="1:13" s="15" customFormat="1" x14ac:dyDescent="0.3">
      <c r="A59" s="17"/>
      <c r="B59"/>
      <c r="C59"/>
      <c r="D59"/>
      <c r="E59"/>
      <c r="F59" s="50">
        <v>38777</v>
      </c>
      <c r="G59" s="53">
        <v>92.4</v>
      </c>
      <c r="H59"/>
      <c r="I59"/>
      <c r="J59" s="38"/>
      <c r="K59" s="54">
        <v>-6.7000000000000028</v>
      </c>
      <c r="L59" s="54"/>
      <c r="M59" s="54">
        <v>-6.7000000000000028</v>
      </c>
    </row>
    <row r="60" spans="1:13" s="15" customFormat="1" x14ac:dyDescent="0.3">
      <c r="A60" s="17"/>
      <c r="B60"/>
      <c r="C60"/>
      <c r="D60"/>
      <c r="E60"/>
      <c r="F60" s="50">
        <v>38808</v>
      </c>
      <c r="G60" s="53">
        <v>85.7</v>
      </c>
      <c r="H60"/>
      <c r="I60"/>
      <c r="J60" s="38"/>
      <c r="K60" s="54">
        <v>9.7000000000000028</v>
      </c>
      <c r="L60" s="54"/>
      <c r="M60" s="54">
        <v>9.7000000000000028</v>
      </c>
    </row>
    <row r="61" spans="1:13" s="15" customFormat="1" x14ac:dyDescent="0.3">
      <c r="A61" s="17"/>
      <c r="B61"/>
      <c r="C61"/>
      <c r="D61"/>
      <c r="E61"/>
      <c r="F61" s="50">
        <v>38838</v>
      </c>
      <c r="G61" s="53">
        <v>95.4</v>
      </c>
      <c r="H61"/>
      <c r="I61"/>
      <c r="J61" s="38"/>
      <c r="K61" s="54">
        <v>-4.3000000000000114</v>
      </c>
      <c r="L61" s="54"/>
      <c r="M61" s="54">
        <v>-4.3000000000000114</v>
      </c>
    </row>
    <row r="62" spans="1:13" s="15" customFormat="1" x14ac:dyDescent="0.3">
      <c r="A62" s="17"/>
      <c r="B62"/>
      <c r="C62"/>
      <c r="D62"/>
      <c r="E62"/>
      <c r="F62" s="50">
        <v>38869</v>
      </c>
      <c r="G62" s="53">
        <v>91.1</v>
      </c>
      <c r="H62"/>
      <c r="I62"/>
      <c r="J62" s="38"/>
      <c r="K62" s="54">
        <v>2.7000000000000028</v>
      </c>
      <c r="L62" s="54"/>
      <c r="M62" s="54">
        <v>2.7000000000000028</v>
      </c>
    </row>
    <row r="63" spans="1:13" s="15" customFormat="1" x14ac:dyDescent="0.3">
      <c r="A63" s="17"/>
      <c r="B63"/>
      <c r="C63"/>
      <c r="D63"/>
      <c r="E63"/>
      <c r="F63" s="50">
        <v>38899</v>
      </c>
      <c r="G63" s="53">
        <v>93.8</v>
      </c>
      <c r="H63"/>
      <c r="I63"/>
      <c r="J63" s="38"/>
      <c r="K63" s="54">
        <v>4.7999999999999972</v>
      </c>
      <c r="L63" s="54"/>
      <c r="M63" s="54">
        <v>4.7999999999999972</v>
      </c>
    </row>
    <row r="64" spans="1:13" s="15" customFormat="1" x14ac:dyDescent="0.3">
      <c r="A64" s="17"/>
      <c r="B64"/>
      <c r="C64"/>
      <c r="D64"/>
      <c r="E64"/>
      <c r="F64" s="50">
        <v>38930</v>
      </c>
      <c r="G64" s="53">
        <v>98.6</v>
      </c>
      <c r="H64"/>
      <c r="I64"/>
      <c r="J64" s="38"/>
      <c r="K64" s="54">
        <v>-5.3999999999999915</v>
      </c>
      <c r="L64" s="54"/>
      <c r="M64" s="54">
        <v>-5.3999999999999915</v>
      </c>
    </row>
    <row r="65" spans="1:13" s="15" customFormat="1" x14ac:dyDescent="0.3">
      <c r="A65" s="17"/>
      <c r="B65"/>
      <c r="C65"/>
      <c r="D65"/>
      <c r="E65"/>
      <c r="F65" s="50">
        <v>38961</v>
      </c>
      <c r="G65" s="53">
        <v>93.2</v>
      </c>
      <c r="H65"/>
      <c r="I65"/>
      <c r="J65" s="38"/>
      <c r="K65" s="54">
        <v>4.2999999999999972</v>
      </c>
      <c r="L65" s="54"/>
      <c r="M65" s="54">
        <v>4.2999999999999972</v>
      </c>
    </row>
    <row r="66" spans="1:13" s="15" customFormat="1" x14ac:dyDescent="0.3">
      <c r="A66" s="17"/>
      <c r="B66"/>
      <c r="C66"/>
      <c r="D66"/>
      <c r="E66"/>
      <c r="F66" s="50">
        <v>38991</v>
      </c>
      <c r="G66" s="53">
        <v>97.5</v>
      </c>
      <c r="H66"/>
      <c r="I66"/>
      <c r="J66" s="38"/>
      <c r="K66" s="54">
        <v>-1.5999999999999943</v>
      </c>
      <c r="L66" s="54"/>
      <c r="M66" s="54">
        <v>-1.5999999999999943</v>
      </c>
    </row>
    <row r="67" spans="1:13" s="15" customFormat="1" x14ac:dyDescent="0.3">
      <c r="A67" s="17"/>
      <c r="B67"/>
      <c r="C67"/>
      <c r="D67"/>
      <c r="E67"/>
      <c r="F67" s="50">
        <v>39022</v>
      </c>
      <c r="G67" s="53">
        <v>95.9</v>
      </c>
      <c r="H67"/>
      <c r="I67"/>
      <c r="J67" s="38"/>
      <c r="K67" s="54">
        <v>-8.9000000000000057</v>
      </c>
      <c r="L67" s="54"/>
      <c r="M67" s="54">
        <v>-8.9000000000000057</v>
      </c>
    </row>
    <row r="68" spans="1:13" s="15" customFormat="1" x14ac:dyDescent="0.3">
      <c r="A68" s="17"/>
      <c r="B68"/>
      <c r="C68"/>
      <c r="D68"/>
      <c r="E68"/>
      <c r="F68" s="50">
        <v>39052</v>
      </c>
      <c r="G68" s="53">
        <v>87</v>
      </c>
      <c r="H68"/>
      <c r="I68"/>
      <c r="J68" s="38"/>
      <c r="K68" s="54">
        <v>0</v>
      </c>
      <c r="L68" s="54"/>
      <c r="M68" s="54">
        <v>0</v>
      </c>
    </row>
    <row r="69" spans="1:13" s="15" customFormat="1" x14ac:dyDescent="0.3">
      <c r="A69" s="17"/>
      <c r="B69"/>
      <c r="C69"/>
      <c r="D69"/>
      <c r="E69"/>
      <c r="F69" s="50">
        <v>39083</v>
      </c>
      <c r="G69" s="53">
        <v>87</v>
      </c>
      <c r="H69"/>
      <c r="I69"/>
      <c r="J69" s="38"/>
      <c r="K69" s="54">
        <v>-4.4000000000000057</v>
      </c>
      <c r="L69" s="54"/>
      <c r="M69" s="54">
        <v>-4.4000000000000057</v>
      </c>
    </row>
    <row r="70" spans="1:13" s="15" customFormat="1" x14ac:dyDescent="0.3">
      <c r="A70" s="17"/>
      <c r="B70"/>
      <c r="C70"/>
      <c r="D70"/>
      <c r="E70"/>
      <c r="F70" s="50">
        <v>39114</v>
      </c>
      <c r="G70" s="53">
        <v>82.6</v>
      </c>
      <c r="H70"/>
      <c r="I70"/>
      <c r="J70" s="38"/>
      <c r="K70" s="54">
        <v>13.800000000000011</v>
      </c>
      <c r="L70" s="54"/>
      <c r="M70" s="54">
        <v>13.800000000000011</v>
      </c>
    </row>
    <row r="71" spans="1:13" s="15" customFormat="1" x14ac:dyDescent="0.3">
      <c r="A71" s="17"/>
      <c r="B71"/>
      <c r="C71"/>
      <c r="D71"/>
      <c r="E71"/>
      <c r="F71" s="50">
        <v>39142</v>
      </c>
      <c r="G71" s="53">
        <v>96.4</v>
      </c>
      <c r="H71"/>
      <c r="I71"/>
      <c r="J71" s="38"/>
      <c r="K71" s="54">
        <v>-5.8000000000000114</v>
      </c>
      <c r="L71" s="54"/>
      <c r="M71" s="54">
        <v>-5.8000000000000114</v>
      </c>
    </row>
    <row r="72" spans="1:13" s="15" customFormat="1" x14ac:dyDescent="0.3">
      <c r="A72" s="17"/>
      <c r="B72"/>
      <c r="C72"/>
      <c r="D72"/>
      <c r="E72"/>
      <c r="F72" s="50">
        <v>39173</v>
      </c>
      <c r="G72" s="53">
        <v>90.6</v>
      </c>
      <c r="H72"/>
      <c r="I72"/>
      <c r="J72" s="38"/>
      <c r="K72" s="54">
        <v>9.3000000000000114</v>
      </c>
      <c r="L72" s="54"/>
      <c r="M72" s="54">
        <v>9.3000000000000114</v>
      </c>
    </row>
    <row r="73" spans="1:13" s="15" customFormat="1" x14ac:dyDescent="0.3">
      <c r="A73" s="17"/>
      <c r="B73"/>
      <c r="C73"/>
      <c r="D73"/>
      <c r="E73"/>
      <c r="F73" s="50">
        <v>39203</v>
      </c>
      <c r="G73" s="53">
        <v>99.9</v>
      </c>
      <c r="H73"/>
      <c r="I73"/>
      <c r="J73" s="38"/>
      <c r="K73" s="54">
        <v>-3</v>
      </c>
      <c r="L73" s="54"/>
      <c r="M73" s="54">
        <v>-3</v>
      </c>
    </row>
    <row r="74" spans="1:13" s="15" customFormat="1" x14ac:dyDescent="0.3">
      <c r="A74" s="17"/>
      <c r="B74"/>
      <c r="C74"/>
      <c r="D74"/>
      <c r="E74"/>
      <c r="F74" s="50">
        <v>39234</v>
      </c>
      <c r="G74" s="53">
        <v>96.9</v>
      </c>
      <c r="H74"/>
      <c r="I74"/>
      <c r="J74" s="38"/>
      <c r="K74" s="54">
        <v>2.8999999999999915</v>
      </c>
      <c r="L74" s="54"/>
      <c r="M74" s="54">
        <v>2.8999999999999915</v>
      </c>
    </row>
    <row r="75" spans="1:13" s="15" customFormat="1" x14ac:dyDescent="0.3">
      <c r="A75" s="17"/>
      <c r="B75"/>
      <c r="C75"/>
      <c r="D75"/>
      <c r="E75"/>
      <c r="F75" s="50">
        <v>39264</v>
      </c>
      <c r="G75" s="53">
        <v>99.8</v>
      </c>
      <c r="H75"/>
      <c r="I75"/>
      <c r="J75" s="38"/>
      <c r="K75" s="54">
        <v>5.1000000000000085</v>
      </c>
      <c r="L75" s="54"/>
      <c r="M75" s="54">
        <v>5.1000000000000085</v>
      </c>
    </row>
    <row r="76" spans="1:13" s="15" customFormat="1" x14ac:dyDescent="0.3">
      <c r="A76" s="17"/>
      <c r="B76"/>
      <c r="C76"/>
      <c r="D76"/>
      <c r="E76"/>
      <c r="F76" s="50">
        <v>39295</v>
      </c>
      <c r="G76" s="53">
        <v>104.9</v>
      </c>
      <c r="H76"/>
      <c r="I76"/>
      <c r="J76" s="38"/>
      <c r="K76" s="54">
        <v>-6.5</v>
      </c>
      <c r="L76" s="54"/>
      <c r="M76" s="54">
        <v>-6.5</v>
      </c>
    </row>
    <row r="77" spans="1:13" s="15" customFormat="1" x14ac:dyDescent="0.3">
      <c r="A77" s="17"/>
      <c r="B77"/>
      <c r="C77"/>
      <c r="D77"/>
      <c r="E77"/>
      <c r="F77" s="50">
        <v>39326</v>
      </c>
      <c r="G77" s="53">
        <v>98.4</v>
      </c>
      <c r="H77"/>
      <c r="I77"/>
      <c r="J77" s="38"/>
      <c r="K77" s="54">
        <v>9.3999999999999915</v>
      </c>
      <c r="L77" s="54"/>
      <c r="M77" s="54">
        <v>9.3999999999999915</v>
      </c>
    </row>
    <row r="78" spans="1:13" s="15" customFormat="1" x14ac:dyDescent="0.3">
      <c r="A78" s="17"/>
      <c r="B78"/>
      <c r="C78"/>
      <c r="D78"/>
      <c r="E78"/>
      <c r="F78" s="50">
        <v>39356</v>
      </c>
      <c r="G78" s="53">
        <v>107.8</v>
      </c>
      <c r="H78"/>
      <c r="I78"/>
      <c r="J78" s="38"/>
      <c r="K78" s="54">
        <v>-5.3999999999999915</v>
      </c>
      <c r="L78" s="54"/>
      <c r="M78" s="54">
        <v>-5.3999999999999915</v>
      </c>
    </row>
    <row r="79" spans="1:13" s="15" customFormat="1" x14ac:dyDescent="0.3">
      <c r="A79" s="17"/>
      <c r="B79"/>
      <c r="C79"/>
      <c r="D79"/>
      <c r="E79"/>
      <c r="F79" s="50">
        <v>39387</v>
      </c>
      <c r="G79" s="53">
        <v>102.4</v>
      </c>
      <c r="H79"/>
      <c r="I79"/>
      <c r="J79" s="38"/>
      <c r="K79" s="54">
        <v>-9.8000000000000114</v>
      </c>
      <c r="L79" s="54"/>
      <c r="M79" s="54">
        <v>-9.8000000000000114</v>
      </c>
    </row>
    <row r="80" spans="1:13" s="15" customFormat="1" x14ac:dyDescent="0.3">
      <c r="A80" s="17"/>
      <c r="B80"/>
      <c r="C80"/>
      <c r="D80"/>
      <c r="E80"/>
      <c r="F80" s="50">
        <v>39417</v>
      </c>
      <c r="G80" s="53">
        <v>92.6</v>
      </c>
      <c r="H80"/>
      <c r="I80"/>
      <c r="J80" s="38"/>
      <c r="K80" s="54">
        <v>2.2000000000000028</v>
      </c>
      <c r="L80" s="54"/>
      <c r="M80" s="54">
        <v>2.2000000000000028</v>
      </c>
    </row>
    <row r="81" spans="1:13" s="15" customFormat="1" x14ac:dyDescent="0.3">
      <c r="A81" s="17"/>
      <c r="B81"/>
      <c r="C81"/>
      <c r="D81"/>
      <c r="E81"/>
      <c r="F81" s="50">
        <v>39448</v>
      </c>
      <c r="G81" s="53">
        <v>94.8</v>
      </c>
      <c r="H81"/>
      <c r="I81"/>
      <c r="J81" s="38"/>
      <c r="K81" s="54">
        <v>-3.7000000000000028</v>
      </c>
      <c r="L81" s="54"/>
      <c r="M81" s="54">
        <v>-3.7000000000000028</v>
      </c>
    </row>
    <row r="82" spans="1:13" s="15" customFormat="1" x14ac:dyDescent="0.3">
      <c r="A82" s="17"/>
      <c r="B82"/>
      <c r="C82"/>
      <c r="D82"/>
      <c r="E82"/>
      <c r="F82" s="50">
        <v>39479</v>
      </c>
      <c r="G82" s="53">
        <v>91.1</v>
      </c>
      <c r="H82"/>
      <c r="I82"/>
      <c r="J82" s="38"/>
      <c r="K82" s="54">
        <v>6.6000000000000085</v>
      </c>
      <c r="L82" s="54"/>
      <c r="M82" s="54">
        <v>6.6000000000000085</v>
      </c>
    </row>
    <row r="83" spans="1:13" s="15" customFormat="1" x14ac:dyDescent="0.3">
      <c r="A83" s="17"/>
      <c r="B83"/>
      <c r="C83"/>
      <c r="D83"/>
      <c r="E83"/>
      <c r="F83" s="50">
        <v>39508</v>
      </c>
      <c r="G83" s="53">
        <v>97.7</v>
      </c>
      <c r="H83"/>
      <c r="I83"/>
      <c r="J83" s="38"/>
      <c r="K83" s="54">
        <v>1.5</v>
      </c>
      <c r="L83" s="54"/>
      <c r="M83" s="54">
        <v>1.5</v>
      </c>
    </row>
    <row r="84" spans="1:13" s="15" customFormat="1" x14ac:dyDescent="0.3">
      <c r="A84" s="17"/>
      <c r="B84"/>
      <c r="C84"/>
      <c r="D84"/>
      <c r="E84"/>
      <c r="F84" s="50">
        <v>39539</v>
      </c>
      <c r="G84" s="53">
        <v>99.2</v>
      </c>
      <c r="H84"/>
      <c r="I84"/>
      <c r="J84" s="38"/>
      <c r="K84" s="54">
        <v>3.2999999999999972</v>
      </c>
      <c r="L84" s="54"/>
      <c r="M84" s="54">
        <v>3.2999999999999972</v>
      </c>
    </row>
    <row r="85" spans="1:13" s="15" customFormat="1" x14ac:dyDescent="0.3">
      <c r="A85" s="17"/>
      <c r="B85"/>
      <c r="C85"/>
      <c r="D85"/>
      <c r="E85"/>
      <c r="F85" s="50">
        <v>39569</v>
      </c>
      <c r="G85" s="53">
        <v>102.5</v>
      </c>
      <c r="H85"/>
      <c r="I85"/>
      <c r="J85" s="38"/>
      <c r="K85" s="54">
        <v>0.79999999999999716</v>
      </c>
      <c r="L85" s="54"/>
      <c r="M85" s="54">
        <v>0.79999999999999716</v>
      </c>
    </row>
    <row r="86" spans="1:13" s="15" customFormat="1" x14ac:dyDescent="0.3">
      <c r="A86" s="17"/>
      <c r="B86"/>
      <c r="C86"/>
      <c r="D86"/>
      <c r="E86"/>
      <c r="F86" s="50">
        <v>39600</v>
      </c>
      <c r="G86" s="53">
        <v>103.3</v>
      </c>
      <c r="H86"/>
      <c r="I86"/>
      <c r="J86" s="38"/>
      <c r="K86" s="54">
        <v>5.2000000000000028</v>
      </c>
      <c r="L86" s="54"/>
      <c r="M86" s="54">
        <v>5.2000000000000028</v>
      </c>
    </row>
    <row r="87" spans="1:13" s="15" customFormat="1" x14ac:dyDescent="0.3">
      <c r="A87" s="17"/>
      <c r="B87"/>
      <c r="C87"/>
      <c r="D87"/>
      <c r="E87"/>
      <c r="F87" s="50">
        <v>39630</v>
      </c>
      <c r="G87" s="53">
        <v>108.5</v>
      </c>
      <c r="H87"/>
      <c r="I87"/>
      <c r="J87" s="38"/>
      <c r="K87" s="54">
        <v>-1.5999999999999943</v>
      </c>
      <c r="L87" s="54"/>
      <c r="M87" s="54">
        <v>-1.5999999999999943</v>
      </c>
    </row>
    <row r="88" spans="1:13" s="15" customFormat="1" x14ac:dyDescent="0.3">
      <c r="A88" s="17"/>
      <c r="B88"/>
      <c r="C88"/>
      <c r="D88"/>
      <c r="E88"/>
      <c r="F88" s="50">
        <v>39661</v>
      </c>
      <c r="G88" s="53">
        <v>106.9</v>
      </c>
      <c r="H88"/>
      <c r="I88"/>
      <c r="J88" s="38"/>
      <c r="K88" s="54">
        <v>0.39999999999999147</v>
      </c>
      <c r="L88" s="54"/>
      <c r="M88" s="54">
        <v>0.39999999999999147</v>
      </c>
    </row>
    <row r="89" spans="1:13" s="15" customFormat="1" x14ac:dyDescent="0.3">
      <c r="A89" s="17"/>
      <c r="B89"/>
      <c r="C89"/>
      <c r="D89"/>
      <c r="E89"/>
      <c r="F89" s="50">
        <v>39692</v>
      </c>
      <c r="G89" s="53">
        <v>107.3</v>
      </c>
      <c r="H89"/>
      <c r="I89"/>
      <c r="J89" s="38"/>
      <c r="K89" s="54">
        <v>1.1000000000000085</v>
      </c>
      <c r="L89" s="54"/>
      <c r="M89" s="54">
        <v>1.1000000000000085</v>
      </c>
    </row>
    <row r="90" spans="1:13" s="15" customFormat="1" x14ac:dyDescent="0.3">
      <c r="A90" s="17"/>
      <c r="B90"/>
      <c r="C90"/>
      <c r="D90"/>
      <c r="E90"/>
      <c r="F90" s="50">
        <v>39722</v>
      </c>
      <c r="G90" s="53">
        <v>108.4</v>
      </c>
      <c r="H90"/>
      <c r="I90"/>
      <c r="J90" s="38"/>
      <c r="K90" s="54">
        <v>-12.200000000000003</v>
      </c>
      <c r="L90" s="54"/>
      <c r="M90" s="54">
        <v>-12.200000000000003</v>
      </c>
    </row>
    <row r="91" spans="1:13" s="15" customFormat="1" x14ac:dyDescent="0.3">
      <c r="A91" s="17"/>
      <c r="B91"/>
      <c r="C91"/>
      <c r="D91"/>
      <c r="E91"/>
      <c r="F91" s="50">
        <v>39753</v>
      </c>
      <c r="G91" s="53">
        <v>96.2</v>
      </c>
      <c r="H91"/>
      <c r="I91"/>
      <c r="J91" s="38"/>
      <c r="K91" s="54">
        <v>-17.100000000000009</v>
      </c>
      <c r="L91" s="54"/>
      <c r="M91" s="54">
        <v>-17.100000000000009</v>
      </c>
    </row>
    <row r="92" spans="1:13" s="15" customFormat="1" x14ac:dyDescent="0.3">
      <c r="A92" s="17"/>
      <c r="B92"/>
      <c r="C92"/>
      <c r="D92"/>
      <c r="E92"/>
      <c r="F92" s="50">
        <v>39783</v>
      </c>
      <c r="G92" s="53">
        <v>79.099999999999994</v>
      </c>
      <c r="H92"/>
      <c r="I92"/>
      <c r="J92" s="38"/>
      <c r="K92" s="54">
        <v>-0.39999999999999147</v>
      </c>
      <c r="L92" s="54"/>
      <c r="M92" s="54">
        <v>-0.39999999999999147</v>
      </c>
    </row>
    <row r="93" spans="1:13" s="15" customFormat="1" x14ac:dyDescent="0.3">
      <c r="A93" s="17"/>
      <c r="B93"/>
      <c r="C93"/>
      <c r="D93"/>
      <c r="E93"/>
      <c r="F93" s="50">
        <v>39814</v>
      </c>
      <c r="G93" s="53">
        <v>78.7</v>
      </c>
      <c r="H93"/>
      <c r="I93"/>
      <c r="J93" s="38"/>
      <c r="K93" s="54">
        <v>-2.6000000000000085</v>
      </c>
      <c r="L93" s="54"/>
      <c r="M93" s="54">
        <v>-2.6000000000000085</v>
      </c>
    </row>
    <row r="94" spans="1:13" s="15" customFormat="1" x14ac:dyDescent="0.3">
      <c r="A94" s="17"/>
      <c r="B94"/>
      <c r="C94"/>
      <c r="D94"/>
      <c r="E94"/>
      <c r="F94" s="50">
        <v>39845</v>
      </c>
      <c r="G94" s="53">
        <v>76.099999999999994</v>
      </c>
      <c r="H94"/>
      <c r="I94"/>
      <c r="J94" s="38"/>
      <c r="K94" s="54">
        <v>12.5</v>
      </c>
      <c r="L94" s="54"/>
      <c r="M94" s="54">
        <v>12.5</v>
      </c>
    </row>
    <row r="95" spans="1:13" s="15" customFormat="1" x14ac:dyDescent="0.3">
      <c r="A95" s="17"/>
      <c r="B95"/>
      <c r="C95"/>
      <c r="D95"/>
      <c r="E95"/>
      <c r="F95" s="50">
        <v>39873</v>
      </c>
      <c r="G95" s="53">
        <v>88.6</v>
      </c>
      <c r="H95"/>
      <c r="I95"/>
      <c r="J95" s="38"/>
      <c r="K95" s="54">
        <v>-3.3999999999999915</v>
      </c>
      <c r="L95" s="54"/>
      <c r="M95" s="54">
        <v>-3.3999999999999915</v>
      </c>
    </row>
    <row r="96" spans="1:13" s="15" customFormat="1" x14ac:dyDescent="0.3">
      <c r="A96" s="17"/>
      <c r="B96"/>
      <c r="C96"/>
      <c r="D96"/>
      <c r="E96"/>
      <c r="F96" s="50">
        <v>39904</v>
      </c>
      <c r="G96" s="53">
        <v>85.2</v>
      </c>
      <c r="H96"/>
      <c r="I96"/>
      <c r="J96" s="38"/>
      <c r="K96" s="54">
        <v>6.0999999999999943</v>
      </c>
      <c r="L96" s="54"/>
      <c r="M96" s="54">
        <v>6.0999999999999943</v>
      </c>
    </row>
    <row r="97" spans="1:13" s="15" customFormat="1" x14ac:dyDescent="0.3">
      <c r="A97" s="17"/>
      <c r="B97"/>
      <c r="C97"/>
      <c r="D97"/>
      <c r="E97"/>
      <c r="F97" s="50">
        <v>39934</v>
      </c>
      <c r="G97" s="53">
        <v>91.3</v>
      </c>
      <c r="H97"/>
      <c r="I97"/>
      <c r="J97" s="38"/>
      <c r="K97" s="54">
        <v>0.90000000000000568</v>
      </c>
      <c r="L97" s="54"/>
      <c r="M97" s="54">
        <v>0.90000000000000568</v>
      </c>
    </row>
    <row r="98" spans="1:13" s="15" customFormat="1" x14ac:dyDescent="0.3">
      <c r="A98" s="17"/>
      <c r="B98"/>
      <c r="C98"/>
      <c r="D98"/>
      <c r="E98"/>
      <c r="F98" s="50">
        <v>39965</v>
      </c>
      <c r="G98" s="53">
        <v>92.2</v>
      </c>
      <c r="H98"/>
      <c r="I98"/>
      <c r="J98" s="38"/>
      <c r="K98" s="54">
        <v>5.5</v>
      </c>
      <c r="L98" s="54"/>
      <c r="M98" s="54">
        <v>5.5</v>
      </c>
    </row>
    <row r="99" spans="1:13" s="15" customFormat="1" x14ac:dyDescent="0.3">
      <c r="A99" s="17"/>
      <c r="B99"/>
      <c r="C99"/>
      <c r="D99"/>
      <c r="E99"/>
      <c r="F99" s="50">
        <v>39995</v>
      </c>
      <c r="G99" s="53">
        <v>97.7</v>
      </c>
      <c r="H99"/>
      <c r="I99"/>
      <c r="J99" s="38"/>
      <c r="K99" s="54">
        <v>1.8999999999999915</v>
      </c>
      <c r="L99" s="54"/>
      <c r="M99" s="54">
        <v>1.8999999999999915</v>
      </c>
    </row>
    <row r="100" spans="1:13" s="15" customFormat="1" x14ac:dyDescent="0.3">
      <c r="A100" s="17"/>
      <c r="B100"/>
      <c r="C100"/>
      <c r="D100"/>
      <c r="E100"/>
      <c r="F100" s="50">
        <v>40026</v>
      </c>
      <c r="G100" s="53">
        <v>99.6</v>
      </c>
      <c r="H100"/>
      <c r="I100"/>
      <c r="J100" s="38"/>
      <c r="K100" s="54">
        <v>-0.19999999999998863</v>
      </c>
      <c r="L100" s="54"/>
      <c r="M100" s="54">
        <v>-0.19999999999998863</v>
      </c>
    </row>
    <row r="101" spans="1:13" s="15" customFormat="1" x14ac:dyDescent="0.3">
      <c r="A101" s="17"/>
      <c r="B101"/>
      <c r="C101"/>
      <c r="D101"/>
      <c r="E101"/>
      <c r="F101" s="50">
        <v>40057</v>
      </c>
      <c r="G101" s="53">
        <v>99.4</v>
      </c>
      <c r="H101"/>
      <c r="I101"/>
      <c r="J101" s="38"/>
      <c r="K101" s="54">
        <v>6.1999999999999886</v>
      </c>
      <c r="L101" s="54"/>
      <c r="M101" s="54">
        <v>6.1999999999999886</v>
      </c>
    </row>
    <row r="102" spans="1:13" s="15" customFormat="1" x14ac:dyDescent="0.3">
      <c r="A102" s="17"/>
      <c r="B102"/>
      <c r="C102"/>
      <c r="D102"/>
      <c r="E102"/>
      <c r="F102" s="50">
        <v>40087</v>
      </c>
      <c r="G102" s="53">
        <v>105.6</v>
      </c>
      <c r="H102"/>
      <c r="I102"/>
      <c r="J102" s="38"/>
      <c r="K102" s="54">
        <v>-4.1999999999999886</v>
      </c>
      <c r="L102" s="54"/>
      <c r="M102" s="54">
        <v>-4.1999999999999886</v>
      </c>
    </row>
    <row r="103" spans="1:13" s="15" customFormat="1" x14ac:dyDescent="0.3">
      <c r="A103" s="17"/>
      <c r="B103"/>
      <c r="C103"/>
      <c r="D103"/>
      <c r="E103"/>
      <c r="F103" s="50">
        <v>40118</v>
      </c>
      <c r="G103" s="53">
        <v>101.4</v>
      </c>
      <c r="H103"/>
      <c r="I103"/>
      <c r="J103" s="38"/>
      <c r="K103" s="54">
        <v>-7.3000000000000114</v>
      </c>
      <c r="L103" s="54"/>
      <c r="M103" s="54">
        <v>-7.3000000000000114</v>
      </c>
    </row>
    <row r="104" spans="1:13" s="15" customFormat="1" x14ac:dyDescent="0.3">
      <c r="A104" s="17"/>
      <c r="B104"/>
      <c r="C104"/>
      <c r="D104"/>
      <c r="E104"/>
      <c r="F104" s="50">
        <v>40148</v>
      </c>
      <c r="G104" s="53">
        <v>94.1</v>
      </c>
      <c r="H104"/>
      <c r="I104"/>
      <c r="J104" s="38"/>
      <c r="K104" s="54">
        <v>-2.8999999999999915</v>
      </c>
      <c r="L104" s="54"/>
      <c r="M104" s="54">
        <v>-2.8999999999999915</v>
      </c>
    </row>
    <row r="105" spans="1:13" s="15" customFormat="1" x14ac:dyDescent="0.3">
      <c r="A105" s="17"/>
      <c r="B105"/>
      <c r="C105"/>
      <c r="D105"/>
      <c r="E105"/>
      <c r="F105" s="50">
        <v>40179</v>
      </c>
      <c r="G105" s="53">
        <v>91.2</v>
      </c>
      <c r="H105"/>
      <c r="I105"/>
      <c r="J105" s="38"/>
      <c r="K105" s="54">
        <v>-2.2000000000000028</v>
      </c>
      <c r="L105" s="54"/>
      <c r="M105" s="54">
        <v>-2.2000000000000028</v>
      </c>
    </row>
    <row r="106" spans="1:13" s="15" customFormat="1" x14ac:dyDescent="0.3">
      <c r="A106" s="17"/>
      <c r="B106"/>
      <c r="C106"/>
      <c r="D106"/>
      <c r="E106"/>
      <c r="F106" s="50">
        <v>40210</v>
      </c>
      <c r="G106" s="53">
        <v>89</v>
      </c>
      <c r="H106"/>
      <c r="I106"/>
      <c r="J106" s="38"/>
      <c r="K106" s="54">
        <v>16.099999999999994</v>
      </c>
      <c r="L106" s="54"/>
      <c r="M106" s="54">
        <v>16.099999999999994</v>
      </c>
    </row>
    <row r="107" spans="1:13" s="15" customFormat="1" x14ac:dyDescent="0.3">
      <c r="A107" s="17"/>
      <c r="B107"/>
      <c r="C107"/>
      <c r="D107"/>
      <c r="E107"/>
      <c r="F107" s="50">
        <v>40238</v>
      </c>
      <c r="G107" s="53">
        <v>105.1</v>
      </c>
      <c r="H107"/>
      <c r="I107"/>
      <c r="J107" s="38"/>
      <c r="K107" s="54">
        <v>-5.7999999999999972</v>
      </c>
      <c r="L107" s="54"/>
      <c r="M107" s="54">
        <v>-5.7999999999999972</v>
      </c>
    </row>
    <row r="108" spans="1:13" s="15" customFormat="1" x14ac:dyDescent="0.3">
      <c r="A108" s="17"/>
      <c r="B108"/>
      <c r="C108"/>
      <c r="D108"/>
      <c r="E108"/>
      <c r="F108" s="50">
        <v>40269</v>
      </c>
      <c r="G108" s="53">
        <v>99.3</v>
      </c>
      <c r="H108"/>
      <c r="I108"/>
      <c r="J108" s="38"/>
      <c r="K108" s="54">
        <v>5</v>
      </c>
      <c r="L108" s="54"/>
      <c r="M108" s="54">
        <v>5</v>
      </c>
    </row>
    <row r="109" spans="1:13" s="15" customFormat="1" x14ac:dyDescent="0.3">
      <c r="A109" s="17"/>
      <c r="B109"/>
      <c r="C109"/>
      <c r="D109"/>
      <c r="E109"/>
      <c r="F109" s="50">
        <v>40299</v>
      </c>
      <c r="G109" s="53">
        <v>104.3</v>
      </c>
      <c r="H109"/>
      <c r="I109"/>
      <c r="J109" s="38"/>
      <c r="K109" s="54">
        <v>-1.7999999999999972</v>
      </c>
      <c r="L109" s="54"/>
      <c r="M109" s="54">
        <v>-1.7999999999999972</v>
      </c>
    </row>
    <row r="110" spans="1:13" s="15" customFormat="1" x14ac:dyDescent="0.3">
      <c r="A110" s="17"/>
      <c r="B110"/>
      <c r="C110"/>
      <c r="D110"/>
      <c r="E110"/>
      <c r="F110" s="50">
        <v>40330</v>
      </c>
      <c r="G110" s="53">
        <v>102.5</v>
      </c>
      <c r="H110"/>
      <c r="I110"/>
      <c r="J110" s="38"/>
      <c r="K110" s="54">
        <v>4.4000000000000057</v>
      </c>
      <c r="L110" s="54"/>
      <c r="M110" s="54">
        <v>4.4000000000000057</v>
      </c>
    </row>
    <row r="111" spans="1:13" s="15" customFormat="1" x14ac:dyDescent="0.3">
      <c r="A111" s="17"/>
      <c r="B111"/>
      <c r="C111"/>
      <c r="D111"/>
      <c r="E111"/>
      <c r="F111" s="50">
        <v>40360</v>
      </c>
      <c r="G111" s="53">
        <v>106.9</v>
      </c>
      <c r="H111"/>
      <c r="I111"/>
      <c r="J111" s="38"/>
      <c r="K111" s="54">
        <v>1.1999999999999886</v>
      </c>
      <c r="L111" s="54"/>
      <c r="M111" s="54">
        <v>1.1999999999999886</v>
      </c>
    </row>
    <row r="112" spans="1:13" s="15" customFormat="1" x14ac:dyDescent="0.3">
      <c r="A112" s="17"/>
      <c r="B112"/>
      <c r="C112"/>
      <c r="D112"/>
      <c r="E112"/>
      <c r="F112" s="50">
        <v>40391</v>
      </c>
      <c r="G112" s="53">
        <v>108.1</v>
      </c>
      <c r="H112"/>
      <c r="I112"/>
      <c r="J112" s="38"/>
      <c r="K112" s="54">
        <v>-2.2999999999999972</v>
      </c>
      <c r="L112" s="54"/>
      <c r="M112" s="54">
        <v>-2.2999999999999972</v>
      </c>
    </row>
    <row r="113" spans="1:13" s="15" customFormat="1" x14ac:dyDescent="0.3">
      <c r="A113" s="17"/>
      <c r="B113"/>
      <c r="C113"/>
      <c r="D113"/>
      <c r="E113"/>
      <c r="F113" s="50">
        <v>40422</v>
      </c>
      <c r="G113" s="53">
        <v>105.8</v>
      </c>
      <c r="H113"/>
      <c r="I113"/>
      <c r="J113" s="38"/>
      <c r="K113" s="54">
        <v>1.9000000000000057</v>
      </c>
      <c r="L113" s="54"/>
      <c r="M113" s="54">
        <v>1.9000000000000057</v>
      </c>
    </row>
    <row r="114" spans="1:13" s="15" customFormat="1" x14ac:dyDescent="0.3">
      <c r="A114" s="17"/>
      <c r="B114"/>
      <c r="C114"/>
      <c r="D114"/>
      <c r="E114"/>
      <c r="F114" s="50">
        <v>40452</v>
      </c>
      <c r="G114" s="53">
        <v>107.7</v>
      </c>
      <c r="H114"/>
      <c r="I114"/>
      <c r="J114" s="38"/>
      <c r="K114" s="54">
        <v>-0.90000000000000568</v>
      </c>
      <c r="L114" s="54"/>
      <c r="M114" s="54">
        <v>-0.90000000000000568</v>
      </c>
    </row>
    <row r="115" spans="1:13" s="15" customFormat="1" x14ac:dyDescent="0.3">
      <c r="A115" s="17"/>
      <c r="B115"/>
      <c r="C115"/>
      <c r="D115"/>
      <c r="E115"/>
      <c r="F115" s="50">
        <v>40483</v>
      </c>
      <c r="G115" s="53">
        <v>106.8</v>
      </c>
      <c r="H115"/>
      <c r="I115"/>
      <c r="J115" s="38"/>
      <c r="K115" s="54">
        <v>-10.200000000000003</v>
      </c>
      <c r="L115" s="54"/>
      <c r="M115" s="54">
        <v>-10.200000000000003</v>
      </c>
    </row>
    <row r="116" spans="1:13" s="15" customFormat="1" x14ac:dyDescent="0.3">
      <c r="A116" s="17"/>
      <c r="B116"/>
      <c r="C116"/>
      <c r="D116"/>
      <c r="E116"/>
      <c r="F116" s="50">
        <v>40513</v>
      </c>
      <c r="G116" s="53">
        <v>96.6</v>
      </c>
      <c r="H116"/>
      <c r="I116"/>
      <c r="J116" s="38"/>
      <c r="K116" s="54">
        <v>-3.3999999999999915</v>
      </c>
      <c r="L116" s="54"/>
      <c r="M116" s="54">
        <v>-3.3999999999999915</v>
      </c>
    </row>
    <row r="117" spans="1:13" s="15" customFormat="1" x14ac:dyDescent="0.3">
      <c r="A117" s="17"/>
      <c r="B117"/>
      <c r="C117"/>
      <c r="D117"/>
      <c r="E117"/>
      <c r="F117" s="50">
        <v>40544</v>
      </c>
      <c r="G117" s="53">
        <v>93.2</v>
      </c>
      <c r="H117"/>
      <c r="I117"/>
      <c r="J117" s="38"/>
      <c r="K117" s="54">
        <v>2.2000000000000028</v>
      </c>
      <c r="L117" s="54"/>
      <c r="M117" s="54">
        <v>2.2000000000000028</v>
      </c>
    </row>
    <row r="118" spans="1:13" s="15" customFormat="1" x14ac:dyDescent="0.3">
      <c r="A118" s="17"/>
      <c r="B118"/>
      <c r="C118"/>
      <c r="D118"/>
      <c r="E118"/>
      <c r="F118" s="50">
        <v>40575</v>
      </c>
      <c r="G118" s="53">
        <v>95.4</v>
      </c>
      <c r="H118"/>
      <c r="I118"/>
      <c r="J118" s="38"/>
      <c r="K118" s="54">
        <v>9</v>
      </c>
      <c r="L118" s="54"/>
      <c r="M118" s="54">
        <v>9</v>
      </c>
    </row>
    <row r="119" spans="1:13" s="15" customFormat="1" x14ac:dyDescent="0.3">
      <c r="A119" s="17"/>
      <c r="B119"/>
      <c r="C119"/>
      <c r="D119"/>
      <c r="E119"/>
      <c r="F119" s="50">
        <v>40603</v>
      </c>
      <c r="G119" s="53">
        <v>104.4</v>
      </c>
      <c r="H119"/>
      <c r="I119"/>
      <c r="J119" s="38"/>
      <c r="K119" s="54">
        <v>-6.9000000000000057</v>
      </c>
      <c r="L119" s="54"/>
      <c r="M119" s="54">
        <v>-6.9000000000000057</v>
      </c>
    </row>
    <row r="120" spans="1:13" s="15" customFormat="1" x14ac:dyDescent="0.3">
      <c r="A120" s="17"/>
      <c r="B120"/>
      <c r="C120"/>
      <c r="D120"/>
      <c r="E120"/>
      <c r="F120" s="50">
        <v>40634</v>
      </c>
      <c r="G120" s="53">
        <v>97.5</v>
      </c>
      <c r="H120"/>
      <c r="I120"/>
      <c r="J120" s="38"/>
      <c r="K120" s="54">
        <v>9.5999999999999943</v>
      </c>
      <c r="L120" s="54"/>
      <c r="M120" s="54">
        <v>9.5999999999999943</v>
      </c>
    </row>
    <row r="121" spans="1:13" s="15" customFormat="1" x14ac:dyDescent="0.3">
      <c r="A121" s="17"/>
      <c r="B121"/>
      <c r="C121"/>
      <c r="D121"/>
      <c r="E121"/>
      <c r="F121" s="50">
        <v>40664</v>
      </c>
      <c r="G121" s="53">
        <v>107.1</v>
      </c>
      <c r="H121"/>
      <c r="I121"/>
      <c r="J121" s="38"/>
      <c r="K121" s="54">
        <v>-4.2999999999999972</v>
      </c>
      <c r="L121" s="54"/>
      <c r="M121" s="54">
        <v>-4.2999999999999972</v>
      </c>
    </row>
    <row r="122" spans="1:13" s="15" customFormat="1" x14ac:dyDescent="0.3">
      <c r="A122" s="17"/>
      <c r="B122"/>
      <c r="C122"/>
      <c r="D122"/>
      <c r="E122"/>
      <c r="F122" s="50">
        <v>40695</v>
      </c>
      <c r="G122" s="53">
        <v>102.8</v>
      </c>
      <c r="H122"/>
      <c r="I122"/>
      <c r="J122" s="38"/>
      <c r="K122" s="54">
        <v>3.2999999999999972</v>
      </c>
      <c r="L122" s="54"/>
      <c r="M122" s="54">
        <v>3.2999999999999972</v>
      </c>
    </row>
    <row r="123" spans="1:13" s="15" customFormat="1" x14ac:dyDescent="0.3">
      <c r="A123" s="17"/>
      <c r="B123"/>
      <c r="C123"/>
      <c r="D123"/>
      <c r="E123"/>
      <c r="F123" s="50">
        <v>40725</v>
      </c>
      <c r="G123" s="53">
        <v>106.1</v>
      </c>
      <c r="H123"/>
      <c r="I123"/>
      <c r="J123" s="38"/>
      <c r="K123" s="54">
        <v>4.7000000000000028</v>
      </c>
      <c r="L123" s="54"/>
      <c r="M123" s="54">
        <v>4.7000000000000028</v>
      </c>
    </row>
    <row r="124" spans="1:13" s="15" customFormat="1" x14ac:dyDescent="0.3">
      <c r="A124" s="17"/>
      <c r="B124"/>
      <c r="C124"/>
      <c r="D124"/>
      <c r="E124"/>
      <c r="F124" s="50">
        <v>40756</v>
      </c>
      <c r="G124" s="53">
        <v>110.8</v>
      </c>
      <c r="H124"/>
      <c r="I124"/>
      <c r="J124" s="38"/>
      <c r="K124" s="54">
        <v>-6</v>
      </c>
      <c r="L124" s="54"/>
      <c r="M124" s="54">
        <v>-6</v>
      </c>
    </row>
    <row r="125" spans="1:13" s="15" customFormat="1" x14ac:dyDescent="0.3">
      <c r="A125" s="17"/>
      <c r="B125"/>
      <c r="C125"/>
      <c r="D125"/>
      <c r="E125"/>
      <c r="F125" s="50">
        <v>40787</v>
      </c>
      <c r="G125" s="53">
        <v>104.8</v>
      </c>
      <c r="H125"/>
      <c r="I125"/>
      <c r="J125" s="38"/>
      <c r="K125" s="54">
        <v>1.5</v>
      </c>
      <c r="L125" s="54"/>
      <c r="M125" s="54">
        <v>1.5</v>
      </c>
    </row>
    <row r="126" spans="1:13" s="15" customFormat="1" x14ac:dyDescent="0.3">
      <c r="A126" s="17"/>
      <c r="B126"/>
      <c r="C126"/>
      <c r="D126"/>
      <c r="E126"/>
      <c r="F126" s="50">
        <v>40817</v>
      </c>
      <c r="G126" s="53">
        <v>106.3</v>
      </c>
      <c r="H126"/>
      <c r="I126"/>
      <c r="J126" s="38"/>
      <c r="K126" s="54">
        <v>-2.0999999999999943</v>
      </c>
      <c r="L126" s="54"/>
      <c r="M126" s="54">
        <v>-2.0999999999999943</v>
      </c>
    </row>
    <row r="127" spans="1:13" s="15" customFormat="1" x14ac:dyDescent="0.3">
      <c r="A127" s="17"/>
      <c r="B127"/>
      <c r="C127"/>
      <c r="D127"/>
      <c r="E127"/>
      <c r="F127" s="50">
        <v>40848</v>
      </c>
      <c r="G127" s="53">
        <v>104.2</v>
      </c>
      <c r="H127"/>
      <c r="I127"/>
      <c r="J127" s="38"/>
      <c r="K127" s="54">
        <v>-8.5</v>
      </c>
      <c r="L127" s="54"/>
      <c r="M127" s="54">
        <v>-8.5</v>
      </c>
    </row>
    <row r="128" spans="1:13" s="15" customFormat="1" x14ac:dyDescent="0.3">
      <c r="A128" s="17"/>
      <c r="B128"/>
      <c r="C128"/>
      <c r="D128"/>
      <c r="E128"/>
      <c r="F128" s="50">
        <v>40878</v>
      </c>
      <c r="G128" s="53">
        <v>95.7</v>
      </c>
      <c r="H128"/>
      <c r="I128"/>
      <c r="J128" s="38"/>
      <c r="K128" s="54">
        <v>-7</v>
      </c>
      <c r="L128" s="54"/>
      <c r="M128" s="54">
        <v>-7</v>
      </c>
    </row>
    <row r="129" spans="1:13" s="15" customFormat="1" x14ac:dyDescent="0.3">
      <c r="A129" s="17"/>
      <c r="B129"/>
      <c r="C129"/>
      <c r="D129"/>
      <c r="E129"/>
      <c r="F129" s="50">
        <v>40909</v>
      </c>
      <c r="G129" s="53">
        <v>88.7</v>
      </c>
      <c r="H129"/>
      <c r="I129"/>
      <c r="J129" s="38"/>
      <c r="K129" s="54">
        <v>1.0999999999999943</v>
      </c>
      <c r="L129" s="54"/>
      <c r="M129" s="54">
        <v>1.0999999999999943</v>
      </c>
    </row>
    <row r="130" spans="1:13" s="15" customFormat="1" x14ac:dyDescent="0.3">
      <c r="A130" s="17"/>
      <c r="B130"/>
      <c r="C130"/>
      <c r="D130"/>
      <c r="E130"/>
      <c r="F130" s="50">
        <v>40940</v>
      </c>
      <c r="G130" s="53">
        <v>89.8</v>
      </c>
      <c r="H130"/>
      <c r="I130"/>
      <c r="J130" s="38"/>
      <c r="K130" s="54">
        <v>9.9000000000000057</v>
      </c>
      <c r="L130" s="54"/>
      <c r="M130" s="54">
        <v>9.9000000000000057</v>
      </c>
    </row>
    <row r="131" spans="1:13" s="15" customFormat="1" x14ac:dyDescent="0.3">
      <c r="A131" s="17"/>
      <c r="B131"/>
      <c r="C131"/>
      <c r="D131"/>
      <c r="E131"/>
      <c r="F131" s="50">
        <v>40969</v>
      </c>
      <c r="G131" s="53">
        <v>99.7</v>
      </c>
      <c r="H131"/>
      <c r="I131"/>
      <c r="J131" s="38"/>
      <c r="K131" s="54">
        <v>-6.9000000000000057</v>
      </c>
      <c r="L131" s="54"/>
      <c r="M131" s="54">
        <v>-6.9000000000000057</v>
      </c>
    </row>
    <row r="132" spans="1:13" s="15" customFormat="1" x14ac:dyDescent="0.3">
      <c r="A132" s="17"/>
      <c r="B132"/>
      <c r="C132"/>
      <c r="D132"/>
      <c r="E132"/>
      <c r="F132" s="50">
        <v>41000</v>
      </c>
      <c r="G132" s="53">
        <v>92.8</v>
      </c>
      <c r="H132"/>
      <c r="I132"/>
      <c r="J132" s="38"/>
      <c r="K132" s="54">
        <v>9.7000000000000028</v>
      </c>
      <c r="L132" s="54"/>
      <c r="M132" s="54">
        <v>9.7000000000000028</v>
      </c>
    </row>
    <row r="133" spans="1:13" s="15" customFormat="1" x14ac:dyDescent="0.3">
      <c r="A133" s="17"/>
      <c r="B133"/>
      <c r="C133"/>
      <c r="D133"/>
      <c r="E133"/>
      <c r="F133" s="50">
        <v>41030</v>
      </c>
      <c r="G133" s="53">
        <v>102.5</v>
      </c>
      <c r="H133"/>
      <c r="I133"/>
      <c r="J133" s="38"/>
      <c r="K133" s="54">
        <v>-4.2000000000000028</v>
      </c>
      <c r="L133" s="54"/>
      <c r="M133" s="54">
        <v>-4.2000000000000028</v>
      </c>
    </row>
    <row r="134" spans="1:13" s="15" customFormat="1" x14ac:dyDescent="0.3">
      <c r="A134" s="17"/>
      <c r="B134"/>
      <c r="C134"/>
      <c r="D134"/>
      <c r="E134"/>
      <c r="F134" s="50">
        <v>41061</v>
      </c>
      <c r="G134" s="53">
        <v>98.3</v>
      </c>
      <c r="H134"/>
      <c r="I134"/>
      <c r="J134" s="38"/>
      <c r="K134" s="54">
        <v>6.2000000000000028</v>
      </c>
      <c r="L134" s="54"/>
      <c r="M134" s="54">
        <v>6.2000000000000028</v>
      </c>
    </row>
    <row r="135" spans="1:13" s="15" customFormat="1" x14ac:dyDescent="0.3">
      <c r="A135" s="17"/>
      <c r="B135"/>
      <c r="C135"/>
      <c r="D135"/>
      <c r="E135"/>
      <c r="F135" s="50">
        <v>41091</v>
      </c>
      <c r="G135" s="53">
        <v>104.5</v>
      </c>
      <c r="H135"/>
      <c r="I135"/>
      <c r="J135" s="38"/>
      <c r="K135" s="54">
        <v>7</v>
      </c>
      <c r="L135" s="54"/>
      <c r="M135" s="54">
        <v>7</v>
      </c>
    </row>
    <row r="136" spans="1:13" s="15" customFormat="1" x14ac:dyDescent="0.3">
      <c r="A136" s="17"/>
      <c r="B136"/>
      <c r="C136"/>
      <c r="D136"/>
      <c r="E136"/>
      <c r="F136" s="50">
        <v>41122</v>
      </c>
      <c r="G136" s="53">
        <v>111.5</v>
      </c>
      <c r="H136"/>
      <c r="I136"/>
      <c r="J136" s="38"/>
      <c r="K136" s="54">
        <v>-8.0999999999999943</v>
      </c>
      <c r="L136" s="54"/>
      <c r="M136" s="54">
        <v>-8.0999999999999943</v>
      </c>
    </row>
    <row r="137" spans="1:13" s="15" customFormat="1" x14ac:dyDescent="0.3">
      <c r="A137" s="17"/>
      <c r="B137"/>
      <c r="C137"/>
      <c r="D137"/>
      <c r="E137"/>
      <c r="F137" s="50">
        <v>41153</v>
      </c>
      <c r="G137" s="53">
        <v>103.4</v>
      </c>
      <c r="H137"/>
      <c r="I137"/>
      <c r="J137" s="38"/>
      <c r="K137" s="54">
        <v>8.3999999999999915</v>
      </c>
      <c r="L137" s="54"/>
      <c r="M137" s="54">
        <v>8.3999999999999915</v>
      </c>
    </row>
    <row r="138" spans="1:13" s="15" customFormat="1" x14ac:dyDescent="0.3">
      <c r="A138" s="17"/>
      <c r="B138"/>
      <c r="C138"/>
      <c r="D138"/>
      <c r="E138"/>
      <c r="F138" s="50">
        <v>41183</v>
      </c>
      <c r="G138" s="53">
        <v>111.8</v>
      </c>
      <c r="H138"/>
      <c r="I138"/>
      <c r="J138" s="38"/>
      <c r="K138" s="54">
        <v>-7</v>
      </c>
      <c r="L138" s="54"/>
      <c r="M138" s="54">
        <v>-7</v>
      </c>
    </row>
    <row r="139" spans="1:13" s="15" customFormat="1" x14ac:dyDescent="0.3">
      <c r="A139" s="17"/>
      <c r="B139"/>
      <c r="C139"/>
      <c r="D139"/>
      <c r="E139"/>
      <c r="F139" s="50">
        <v>41214</v>
      </c>
      <c r="G139" s="53">
        <v>104.8</v>
      </c>
      <c r="H139"/>
      <c r="I139"/>
      <c r="J139" s="38"/>
      <c r="K139" s="54">
        <v>-12.599999999999994</v>
      </c>
      <c r="L139" s="54"/>
      <c r="M139" s="54">
        <v>-12.599999999999994</v>
      </c>
    </row>
    <row r="140" spans="1:13" s="15" customFormat="1" x14ac:dyDescent="0.3">
      <c r="A140" s="17"/>
      <c r="B140"/>
      <c r="C140"/>
      <c r="D140"/>
      <c r="E140"/>
      <c r="F140" s="50">
        <v>41244</v>
      </c>
      <c r="G140" s="53">
        <v>92.2</v>
      </c>
      <c r="H140"/>
      <c r="I140"/>
      <c r="J140" s="38"/>
      <c r="K140" s="54">
        <v>2.2999999999999972</v>
      </c>
      <c r="L140" s="54"/>
      <c r="M140" s="54">
        <v>2.2999999999999972</v>
      </c>
    </row>
    <row r="141" spans="1:13" s="15" customFormat="1" x14ac:dyDescent="0.3">
      <c r="A141" s="17"/>
      <c r="B141"/>
      <c r="C141"/>
      <c r="D141"/>
      <c r="E141"/>
      <c r="F141" s="50">
        <v>41275</v>
      </c>
      <c r="G141" s="53">
        <v>94.5</v>
      </c>
      <c r="H141"/>
      <c r="I141"/>
      <c r="J141" s="38"/>
      <c r="K141" s="54">
        <v>-6.4000000000000057</v>
      </c>
      <c r="L141" s="54"/>
      <c r="M141" s="54">
        <v>-6.4000000000000057</v>
      </c>
    </row>
    <row r="142" spans="1:13" s="15" customFormat="1" x14ac:dyDescent="0.3">
      <c r="A142" s="17"/>
      <c r="B142"/>
      <c r="C142"/>
      <c r="D142"/>
      <c r="E142"/>
      <c r="F142" s="50">
        <v>41306</v>
      </c>
      <c r="G142" s="53">
        <v>88.1</v>
      </c>
      <c r="H142"/>
      <c r="I142"/>
      <c r="J142" s="38"/>
      <c r="K142" s="54">
        <v>9.6000000000000085</v>
      </c>
      <c r="L142" s="54"/>
      <c r="M142" s="54">
        <v>9.6000000000000085</v>
      </c>
    </row>
    <row r="143" spans="1:13" s="15" customFormat="1" x14ac:dyDescent="0.3">
      <c r="A143" s="17"/>
      <c r="B143"/>
      <c r="C143"/>
      <c r="D143"/>
      <c r="E143"/>
      <c r="F143" s="50">
        <v>41334</v>
      </c>
      <c r="G143" s="53">
        <v>97.7</v>
      </c>
      <c r="H143"/>
      <c r="I143"/>
      <c r="J143" s="38"/>
      <c r="K143" s="54">
        <v>4.0999999999999943</v>
      </c>
      <c r="L143" s="54"/>
      <c r="M143" s="54">
        <v>4.0999999999999943</v>
      </c>
    </row>
    <row r="144" spans="1:13" s="15" customFormat="1" x14ac:dyDescent="0.3">
      <c r="A144" s="17"/>
      <c r="B144"/>
      <c r="C144"/>
      <c r="D144"/>
      <c r="E144"/>
      <c r="F144" s="50">
        <v>41365</v>
      </c>
      <c r="G144" s="53">
        <v>101.8</v>
      </c>
      <c r="H144"/>
      <c r="I144"/>
      <c r="J144" s="38"/>
      <c r="K144" s="54">
        <v>3.2000000000000028</v>
      </c>
      <c r="L144" s="54"/>
      <c r="M144" s="54">
        <v>3.2000000000000028</v>
      </c>
    </row>
    <row r="145" spans="1:13" s="15" customFormat="1" x14ac:dyDescent="0.3">
      <c r="A145" s="17"/>
      <c r="B145"/>
      <c r="C145"/>
      <c r="D145"/>
      <c r="E145"/>
      <c r="F145" s="50">
        <v>41395</v>
      </c>
      <c r="G145" s="53">
        <v>105</v>
      </c>
      <c r="H145"/>
      <c r="I145"/>
      <c r="J145" s="38"/>
      <c r="K145" s="54">
        <v>-3.2999999999999972</v>
      </c>
      <c r="L145" s="54"/>
      <c r="M145" s="54">
        <v>-3.2999999999999972</v>
      </c>
    </row>
    <row r="146" spans="1:13" s="15" customFormat="1" x14ac:dyDescent="0.3">
      <c r="A146" s="17"/>
      <c r="B146"/>
      <c r="C146"/>
      <c r="D146"/>
      <c r="E146"/>
      <c r="F146" s="50">
        <v>41426</v>
      </c>
      <c r="G146" s="53">
        <v>101.7</v>
      </c>
      <c r="H146"/>
      <c r="I146"/>
      <c r="J146" s="38"/>
      <c r="K146" s="54">
        <v>6.2999999999999972</v>
      </c>
      <c r="L146" s="54"/>
      <c r="M146" s="54">
        <v>6.2999999999999972</v>
      </c>
    </row>
    <row r="147" spans="1:13" s="15" customFormat="1" x14ac:dyDescent="0.3">
      <c r="A147" s="17"/>
      <c r="B147"/>
      <c r="C147"/>
      <c r="D147"/>
      <c r="E147"/>
      <c r="F147" s="50">
        <v>41456</v>
      </c>
      <c r="G147" s="53">
        <v>108</v>
      </c>
      <c r="H147"/>
      <c r="I147"/>
      <c r="J147" s="38"/>
      <c r="K147" s="54">
        <v>4</v>
      </c>
      <c r="L147" s="54"/>
      <c r="M147" s="54">
        <v>4</v>
      </c>
    </row>
    <row r="148" spans="1:13" s="15" customFormat="1" x14ac:dyDescent="0.3">
      <c r="A148" s="17"/>
      <c r="B148"/>
      <c r="C148"/>
      <c r="D148"/>
      <c r="E148"/>
      <c r="F148" s="50">
        <v>41487</v>
      </c>
      <c r="G148" s="53">
        <v>112</v>
      </c>
      <c r="H148"/>
      <c r="I148"/>
      <c r="J148" s="38"/>
      <c r="K148" s="54">
        <v>-4.7000000000000028</v>
      </c>
      <c r="L148" s="54"/>
      <c r="M148" s="54">
        <v>-4.7000000000000028</v>
      </c>
    </row>
    <row r="149" spans="1:13" s="15" customFormat="1" x14ac:dyDescent="0.3">
      <c r="A149" s="17"/>
      <c r="B149"/>
      <c r="C149"/>
      <c r="D149"/>
      <c r="E149"/>
      <c r="F149" s="50">
        <v>41518</v>
      </c>
      <c r="G149" s="53">
        <v>107.3</v>
      </c>
      <c r="H149"/>
      <c r="I149"/>
      <c r="J149" s="38"/>
      <c r="K149" s="54">
        <v>5.2999999999999972</v>
      </c>
      <c r="L149" s="54"/>
      <c r="M149" s="54">
        <v>5.2999999999999972</v>
      </c>
    </row>
    <row r="150" spans="1:13" s="15" customFormat="1" x14ac:dyDescent="0.3">
      <c r="A150" s="17"/>
      <c r="B150"/>
      <c r="C150"/>
      <c r="D150"/>
      <c r="E150"/>
      <c r="F150" s="50">
        <v>41548</v>
      </c>
      <c r="G150" s="53">
        <v>112.6</v>
      </c>
      <c r="H150"/>
      <c r="I150"/>
      <c r="J150" s="38"/>
      <c r="K150" s="54">
        <v>-6.5</v>
      </c>
      <c r="L150" s="54"/>
      <c r="M150" s="54">
        <v>-6.5</v>
      </c>
    </row>
    <row r="151" spans="1:13" s="15" customFormat="1" x14ac:dyDescent="0.3">
      <c r="A151" s="17"/>
      <c r="B151"/>
      <c r="C151"/>
      <c r="D151"/>
      <c r="E151"/>
      <c r="F151" s="50">
        <v>41579</v>
      </c>
      <c r="G151" s="53">
        <v>106.1</v>
      </c>
      <c r="H151"/>
      <c r="I151"/>
      <c r="J151" s="38"/>
      <c r="K151" s="54">
        <v>-16</v>
      </c>
      <c r="L151" s="54"/>
      <c r="M151" s="54">
        <v>-16</v>
      </c>
    </row>
    <row r="152" spans="1:13" s="15" customFormat="1" x14ac:dyDescent="0.3">
      <c r="A152" s="17"/>
      <c r="B152"/>
      <c r="C152"/>
      <c r="D152"/>
      <c r="E152"/>
      <c r="F152" s="50">
        <v>41609</v>
      </c>
      <c r="G152" s="53">
        <v>90.1</v>
      </c>
      <c r="H152"/>
      <c r="I152"/>
      <c r="J152" s="38"/>
      <c r="K152" s="54">
        <v>2.5</v>
      </c>
      <c r="L152" s="54"/>
      <c r="M152" s="54">
        <v>2.5</v>
      </c>
    </row>
    <row r="153" spans="1:13" s="15" customFormat="1" x14ac:dyDescent="0.3">
      <c r="A153" s="17"/>
      <c r="B153"/>
      <c r="C153"/>
      <c r="D153"/>
      <c r="E153"/>
      <c r="F153" s="50">
        <v>41640</v>
      </c>
      <c r="G153" s="53">
        <v>92.6</v>
      </c>
      <c r="H153"/>
      <c r="I153"/>
      <c r="J153" s="38"/>
      <c r="K153" s="54">
        <v>-0.29999999999999716</v>
      </c>
      <c r="L153" s="54"/>
      <c r="M153" s="54">
        <v>-0.29999999999999716</v>
      </c>
    </row>
    <row r="154" spans="1:13" s="15" customFormat="1" x14ac:dyDescent="0.3">
      <c r="A154" s="17"/>
      <c r="B154"/>
      <c r="C154"/>
      <c r="D154"/>
      <c r="E154"/>
      <c r="F154" s="50">
        <v>41671</v>
      </c>
      <c r="G154" s="53">
        <v>92.3</v>
      </c>
      <c r="H154"/>
      <c r="I154"/>
      <c r="J154" s="38"/>
      <c r="K154" s="54">
        <v>5</v>
      </c>
      <c r="L154" s="54"/>
      <c r="M154" s="54">
        <v>5</v>
      </c>
    </row>
    <row r="155" spans="1:13" s="15" customFormat="1" x14ac:dyDescent="0.3">
      <c r="A155" s="17"/>
      <c r="B155"/>
      <c r="C155"/>
      <c r="D155"/>
      <c r="E155"/>
      <c r="F155" s="50">
        <v>41699</v>
      </c>
      <c r="G155" s="53">
        <v>97.3</v>
      </c>
      <c r="H155"/>
      <c r="I155"/>
      <c r="J155" s="38"/>
      <c r="K155" s="54">
        <v>-1.2999999999999972</v>
      </c>
      <c r="L155" s="54"/>
      <c r="M155" s="54">
        <v>-1.2999999999999972</v>
      </c>
    </row>
    <row r="156" spans="1:13" s="15" customFormat="1" x14ac:dyDescent="0.3">
      <c r="A156" s="17"/>
      <c r="B156"/>
      <c r="C156"/>
      <c r="D156"/>
      <c r="E156"/>
      <c r="F156" s="50">
        <v>41730</v>
      </c>
      <c r="G156" s="53">
        <v>96</v>
      </c>
      <c r="H156"/>
      <c r="I156"/>
      <c r="J156" s="38"/>
      <c r="K156" s="54">
        <v>5.7000000000000028</v>
      </c>
      <c r="L156" s="54"/>
      <c r="M156" s="54">
        <v>5.7000000000000028</v>
      </c>
    </row>
    <row r="157" spans="1:13" s="15" customFormat="1" x14ac:dyDescent="0.3">
      <c r="A157" s="17"/>
      <c r="B157"/>
      <c r="C157"/>
      <c r="D157"/>
      <c r="E157"/>
      <c r="F157" s="50">
        <v>41760</v>
      </c>
      <c r="G157" s="53">
        <v>101.7</v>
      </c>
      <c r="H157"/>
      <c r="I157"/>
      <c r="J157" s="38"/>
      <c r="K157" s="54">
        <v>-6.7999999999999972</v>
      </c>
      <c r="L157" s="54"/>
      <c r="M157" s="54">
        <v>-6.7999999999999972</v>
      </c>
    </row>
    <row r="158" spans="1:13" s="15" customFormat="1" x14ac:dyDescent="0.3">
      <c r="A158" s="17"/>
      <c r="B158"/>
      <c r="C158"/>
      <c r="D158"/>
      <c r="E158"/>
      <c r="F158" s="50">
        <v>41791</v>
      </c>
      <c r="G158" s="53">
        <v>94.9</v>
      </c>
      <c r="H158"/>
      <c r="I158"/>
      <c r="J158" s="38"/>
      <c r="K158" s="54">
        <v>9.5</v>
      </c>
      <c r="L158" s="54"/>
      <c r="M158" s="54">
        <v>9.5</v>
      </c>
    </row>
    <row r="159" spans="1:13" s="15" customFormat="1" x14ac:dyDescent="0.3">
      <c r="A159" s="17"/>
      <c r="B159"/>
      <c r="C159"/>
      <c r="D159"/>
      <c r="E159"/>
      <c r="F159" s="50">
        <v>41821</v>
      </c>
      <c r="G159" s="53">
        <v>104.4</v>
      </c>
      <c r="H159"/>
      <c r="I159"/>
      <c r="J159" s="38"/>
      <c r="K159" s="54">
        <v>1.8999999999999915</v>
      </c>
      <c r="L159" s="54"/>
      <c r="M159" s="54">
        <v>1.8999999999999915</v>
      </c>
    </row>
    <row r="160" spans="1:13" s="15" customFormat="1" x14ac:dyDescent="0.3">
      <c r="A160" s="17"/>
      <c r="B160"/>
      <c r="C160"/>
      <c r="D160"/>
      <c r="E160"/>
      <c r="F160" s="50">
        <v>41852</v>
      </c>
      <c r="G160" s="53">
        <v>106.3</v>
      </c>
      <c r="H160"/>
      <c r="I160"/>
      <c r="J160" s="38"/>
      <c r="K160" s="54">
        <v>-0.70000000000000284</v>
      </c>
      <c r="L160" s="54"/>
      <c r="M160" s="54">
        <v>-0.70000000000000284</v>
      </c>
    </row>
    <row r="161" spans="1:13" s="15" customFormat="1" x14ac:dyDescent="0.3">
      <c r="A161" s="17"/>
      <c r="B161"/>
      <c r="C161"/>
      <c r="D161"/>
      <c r="E161"/>
      <c r="F161" s="50">
        <v>41883</v>
      </c>
      <c r="G161" s="53">
        <v>105.6</v>
      </c>
      <c r="H161"/>
      <c r="I161"/>
      <c r="J161" s="38"/>
      <c r="K161" s="54">
        <v>3.7000000000000028</v>
      </c>
      <c r="L161" s="54"/>
      <c r="M161" s="54">
        <v>3.7000000000000028</v>
      </c>
    </row>
    <row r="162" spans="1:13" s="15" customFormat="1" x14ac:dyDescent="0.3">
      <c r="A162" s="17"/>
      <c r="B162"/>
      <c r="C162"/>
      <c r="D162"/>
      <c r="E162"/>
      <c r="F162" s="50">
        <v>41913</v>
      </c>
      <c r="G162" s="53">
        <v>109.3</v>
      </c>
      <c r="H162"/>
      <c r="I162"/>
      <c r="J162" s="38"/>
      <c r="K162" s="54">
        <v>-9.5</v>
      </c>
      <c r="L162" s="54"/>
      <c r="M162" s="54">
        <v>-9.5</v>
      </c>
    </row>
    <row r="163" spans="1:13" s="15" customFormat="1" x14ac:dyDescent="0.3">
      <c r="A163" s="17"/>
      <c r="B163"/>
      <c r="C163"/>
      <c r="D163"/>
      <c r="E163"/>
      <c r="F163" s="50">
        <v>41944</v>
      </c>
      <c r="G163" s="53">
        <v>99.8</v>
      </c>
      <c r="H163"/>
      <c r="I163"/>
      <c r="J163" s="38"/>
      <c r="K163" s="54">
        <v>-12.099999999999994</v>
      </c>
      <c r="L163" s="54"/>
      <c r="M163" s="54">
        <v>-12.099999999999994</v>
      </c>
    </row>
    <row r="164" spans="1:13" s="15" customFormat="1" x14ac:dyDescent="0.3">
      <c r="A164" s="17"/>
      <c r="B164"/>
      <c r="C164"/>
      <c r="D164"/>
      <c r="E164"/>
      <c r="F164" s="50">
        <v>41974</v>
      </c>
      <c r="G164" s="53">
        <v>87.7</v>
      </c>
      <c r="H164"/>
      <c r="I164"/>
      <c r="J164" s="38"/>
      <c r="K164" s="54">
        <v>0.39999999999999147</v>
      </c>
      <c r="L164" s="54"/>
      <c r="M164" s="54">
        <v>0.39999999999999147</v>
      </c>
    </row>
    <row r="165" spans="1:13" s="15" customFormat="1" x14ac:dyDescent="0.3">
      <c r="A165" s="17"/>
      <c r="B165"/>
      <c r="C165"/>
      <c r="D165"/>
      <c r="E165"/>
      <c r="F165" s="50">
        <v>42005</v>
      </c>
      <c r="G165" s="53">
        <v>88.1</v>
      </c>
      <c r="H165"/>
      <c r="I165"/>
      <c r="J165" s="38"/>
      <c r="K165" s="54">
        <v>-4.3999999999999915</v>
      </c>
      <c r="L165" s="54"/>
      <c r="M165" s="54">
        <v>-4.3999999999999915</v>
      </c>
    </row>
    <row r="166" spans="1:13" s="15" customFormat="1" x14ac:dyDescent="0.3">
      <c r="A166" s="17"/>
      <c r="B166"/>
      <c r="C166"/>
      <c r="D166"/>
      <c r="E166"/>
      <c r="F166" s="50">
        <v>42036</v>
      </c>
      <c r="G166" s="53">
        <v>83.7</v>
      </c>
      <c r="H166"/>
      <c r="I166"/>
      <c r="J166" s="38"/>
      <c r="K166" s="54">
        <v>10.599999999999994</v>
      </c>
      <c r="L166" s="54"/>
      <c r="M166" s="54">
        <v>10.599999999999994</v>
      </c>
    </row>
    <row r="167" spans="1:13" s="15" customFormat="1" x14ac:dyDescent="0.3">
      <c r="A167" s="17"/>
      <c r="B167"/>
      <c r="C167"/>
      <c r="D167"/>
      <c r="E167"/>
      <c r="F167" s="50">
        <v>42064</v>
      </c>
      <c r="G167" s="53">
        <v>94.3</v>
      </c>
      <c r="H167"/>
      <c r="I167"/>
      <c r="J167" s="38"/>
      <c r="K167" s="54">
        <v>-5.5</v>
      </c>
      <c r="L167" s="54"/>
      <c r="M167" s="54">
        <v>-5.5</v>
      </c>
    </row>
    <row r="168" spans="1:13" s="15" customFormat="1" x14ac:dyDescent="0.3">
      <c r="A168" s="17"/>
      <c r="B168"/>
      <c r="C168"/>
      <c r="D168"/>
      <c r="E168"/>
      <c r="F168" s="50">
        <v>42095</v>
      </c>
      <c r="G168" s="53">
        <v>88.8</v>
      </c>
      <c r="H168"/>
      <c r="I168"/>
      <c r="J168" s="38"/>
      <c r="K168" s="54">
        <v>4.2999999999999972</v>
      </c>
      <c r="L168" s="54"/>
      <c r="M168" s="54">
        <v>4.2999999999999972</v>
      </c>
    </row>
    <row r="169" spans="1:13" s="15" customFormat="1" x14ac:dyDescent="0.3">
      <c r="A169" s="17"/>
      <c r="B169"/>
      <c r="C169"/>
      <c r="D169"/>
      <c r="E169"/>
      <c r="F169" s="50">
        <v>42125</v>
      </c>
      <c r="G169" s="53">
        <v>93.1</v>
      </c>
      <c r="H169"/>
      <c r="I169"/>
      <c r="J169" s="38"/>
      <c r="K169" s="54">
        <v>-0.59999999999999432</v>
      </c>
      <c r="L169" s="54"/>
      <c r="M169" s="54">
        <v>-0.59999999999999432</v>
      </c>
    </row>
    <row r="170" spans="1:13" s="15" customFormat="1" x14ac:dyDescent="0.3">
      <c r="A170" s="17"/>
      <c r="B170"/>
      <c r="C170"/>
      <c r="D170"/>
      <c r="E170"/>
      <c r="F170" s="50">
        <v>42156</v>
      </c>
      <c r="G170" s="53">
        <v>92.5</v>
      </c>
      <c r="H170"/>
      <c r="I170"/>
      <c r="J170" s="38"/>
      <c r="K170" s="54">
        <v>3</v>
      </c>
      <c r="L170" s="54"/>
      <c r="M170" s="54">
        <v>3</v>
      </c>
    </row>
    <row r="171" spans="1:13" s="15" customFormat="1" x14ac:dyDescent="0.3">
      <c r="A171" s="17"/>
      <c r="B171"/>
      <c r="C171"/>
      <c r="D171"/>
      <c r="E171"/>
      <c r="F171" s="50">
        <v>42186</v>
      </c>
      <c r="G171" s="53">
        <v>95.5</v>
      </c>
      <c r="H171"/>
      <c r="I171"/>
      <c r="J171" s="38"/>
      <c r="K171" s="54">
        <v>2.0999999999999943</v>
      </c>
      <c r="L171" s="54"/>
      <c r="M171" s="54">
        <v>2.0999999999999943</v>
      </c>
    </row>
    <row r="172" spans="1:13" s="15" customFormat="1" x14ac:dyDescent="0.3">
      <c r="A172" s="17"/>
      <c r="B172"/>
      <c r="C172"/>
      <c r="D172"/>
      <c r="E172"/>
      <c r="F172" s="50">
        <v>42217</v>
      </c>
      <c r="G172" s="53">
        <v>97.6</v>
      </c>
      <c r="H172"/>
      <c r="I172"/>
      <c r="J172" s="38"/>
      <c r="K172" s="54">
        <v>-3.2999999999999972</v>
      </c>
      <c r="L172" s="54"/>
      <c r="M172" s="54">
        <v>-3.2999999999999972</v>
      </c>
    </row>
    <row r="173" spans="1:13" s="15" customFormat="1" x14ac:dyDescent="0.3">
      <c r="A173" s="17"/>
      <c r="B173"/>
      <c r="C173"/>
      <c r="D173"/>
      <c r="E173"/>
      <c r="F173" s="50">
        <v>42248</v>
      </c>
      <c r="G173" s="53">
        <v>94.3</v>
      </c>
      <c r="H173"/>
      <c r="I173"/>
      <c r="J173" s="38"/>
      <c r="K173" s="54">
        <v>2.9000000000000057</v>
      </c>
      <c r="L173" s="54"/>
      <c r="M173" s="54">
        <v>2.9000000000000057</v>
      </c>
    </row>
    <row r="174" spans="1:13" s="15" customFormat="1" x14ac:dyDescent="0.3">
      <c r="A174" s="17"/>
      <c r="B174"/>
      <c r="C174"/>
      <c r="D174"/>
      <c r="E174"/>
      <c r="F174" s="50">
        <v>42278</v>
      </c>
      <c r="G174" s="53">
        <v>97.2</v>
      </c>
      <c r="H174"/>
      <c r="I174"/>
      <c r="J174" s="38"/>
      <c r="K174" s="54">
        <v>-9.6000000000000085</v>
      </c>
      <c r="L174" s="54"/>
      <c r="M174" s="54">
        <v>-9.6000000000000085</v>
      </c>
    </row>
    <row r="175" spans="1:13" s="15" customFormat="1" x14ac:dyDescent="0.3">
      <c r="A175" s="17"/>
      <c r="B175"/>
      <c r="C175"/>
      <c r="D175"/>
      <c r="E175"/>
      <c r="F175" s="50">
        <v>42309</v>
      </c>
      <c r="G175" s="53">
        <v>87.6</v>
      </c>
      <c r="H175"/>
      <c r="I175"/>
      <c r="J175" s="38"/>
      <c r="K175" s="54">
        <v>-10.399999999999991</v>
      </c>
      <c r="L175" s="54"/>
      <c r="M175" s="54">
        <v>-10.399999999999991</v>
      </c>
    </row>
    <row r="176" spans="1:13" s="15" customFormat="1" x14ac:dyDescent="0.3">
      <c r="A176" s="17"/>
      <c r="B176"/>
      <c r="C176"/>
      <c r="D176"/>
      <c r="E176"/>
      <c r="F176" s="50">
        <v>42339</v>
      </c>
      <c r="G176" s="53">
        <v>77.2</v>
      </c>
      <c r="H176"/>
      <c r="I176"/>
      <c r="J176" s="38"/>
      <c r="K176" s="54">
        <v>-0.90000000000000568</v>
      </c>
      <c r="L176" s="54"/>
      <c r="M176" s="54">
        <v>-0.90000000000000568</v>
      </c>
    </row>
    <row r="177" spans="1:13" s="15" customFormat="1" x14ac:dyDescent="0.3">
      <c r="A177" s="17"/>
      <c r="B177"/>
      <c r="C177"/>
      <c r="D177"/>
      <c r="E177"/>
      <c r="F177" s="50">
        <v>42370</v>
      </c>
      <c r="G177" s="53">
        <v>76.3</v>
      </c>
      <c r="H177"/>
      <c r="I177"/>
      <c r="J177" s="38"/>
      <c r="K177" s="54">
        <v>-0.5</v>
      </c>
      <c r="L177" s="54"/>
      <c r="M177" s="54">
        <v>-0.5</v>
      </c>
    </row>
    <row r="178" spans="1:13" s="15" customFormat="1" x14ac:dyDescent="0.3">
      <c r="A178" s="17"/>
      <c r="B178"/>
      <c r="C178"/>
      <c r="D178"/>
      <c r="E178"/>
      <c r="F178" s="50">
        <v>42401</v>
      </c>
      <c r="G178" s="53">
        <v>75.8</v>
      </c>
      <c r="H178"/>
      <c r="I178"/>
      <c r="J178" s="38"/>
      <c r="K178" s="54">
        <v>7.9000000000000057</v>
      </c>
      <c r="L178" s="54"/>
      <c r="M178" s="54">
        <v>7.9000000000000057</v>
      </c>
    </row>
    <row r="179" spans="1:13" s="15" customFormat="1" x14ac:dyDescent="0.3">
      <c r="A179" s="17"/>
      <c r="B179"/>
      <c r="C179"/>
      <c r="D179"/>
      <c r="E179"/>
      <c r="F179" s="50">
        <v>42430</v>
      </c>
      <c r="G179" s="53">
        <v>83.7</v>
      </c>
      <c r="H179"/>
      <c r="I179"/>
      <c r="J179" s="38"/>
      <c r="K179" s="54">
        <v>-0.70000000000000284</v>
      </c>
      <c r="L179" s="54"/>
      <c r="M179" s="54">
        <v>-0.70000000000000284</v>
      </c>
    </row>
    <row r="180" spans="1:13" s="15" customFormat="1" x14ac:dyDescent="0.3">
      <c r="A180" s="17"/>
      <c r="B180"/>
      <c r="C180"/>
      <c r="D180"/>
      <c r="E180"/>
      <c r="F180" s="50">
        <v>42461</v>
      </c>
      <c r="G180" s="53">
        <v>83</v>
      </c>
      <c r="H180"/>
      <c r="I180"/>
      <c r="J180" s="38"/>
      <c r="K180" s="54">
        <v>3.2999999999999972</v>
      </c>
      <c r="L180" s="54"/>
      <c r="M180" s="54">
        <v>3.2999999999999972</v>
      </c>
    </row>
    <row r="181" spans="1:13" s="15" customFormat="1" x14ac:dyDescent="0.3">
      <c r="A181" s="17"/>
      <c r="B181"/>
      <c r="C181"/>
      <c r="D181"/>
      <c r="E181"/>
      <c r="F181" s="50">
        <v>42491</v>
      </c>
      <c r="G181" s="53">
        <v>86.3</v>
      </c>
      <c r="H181"/>
      <c r="I181"/>
      <c r="J181" s="38"/>
      <c r="K181" s="54">
        <v>1.4000000000000057</v>
      </c>
      <c r="L181" s="54"/>
      <c r="M181" s="54">
        <v>1.4000000000000057</v>
      </c>
    </row>
    <row r="182" spans="1:13" s="15" customFormat="1" x14ac:dyDescent="0.3">
      <c r="A182" s="17"/>
      <c r="B182"/>
      <c r="C182"/>
      <c r="D182"/>
      <c r="E182"/>
      <c r="F182" s="50">
        <v>42522</v>
      </c>
      <c r="G182" s="53">
        <v>87.7</v>
      </c>
      <c r="H182"/>
      <c r="I182"/>
      <c r="J182" s="38"/>
      <c r="K182" s="54">
        <v>1.8999999999999915</v>
      </c>
      <c r="L182" s="54"/>
      <c r="M182" s="54">
        <v>1.8999999999999915</v>
      </c>
    </row>
    <row r="183" spans="1:13" s="15" customFormat="1" x14ac:dyDescent="0.3">
      <c r="A183" s="17"/>
      <c r="B183"/>
      <c r="C183"/>
      <c r="D183"/>
      <c r="E183"/>
      <c r="F183" s="50">
        <v>42552</v>
      </c>
      <c r="G183" s="53">
        <v>89.6</v>
      </c>
      <c r="H183"/>
      <c r="I183"/>
      <c r="J183" s="38"/>
      <c r="K183" s="54">
        <v>3.4000000000000057</v>
      </c>
      <c r="L183" s="54"/>
      <c r="M183" s="54">
        <v>3.4000000000000057</v>
      </c>
    </row>
    <row r="184" spans="1:13" s="15" customFormat="1" x14ac:dyDescent="0.3">
      <c r="A184" s="17"/>
      <c r="B184"/>
      <c r="C184"/>
      <c r="D184"/>
      <c r="E184"/>
      <c r="F184" s="50">
        <v>42583</v>
      </c>
      <c r="G184" s="53">
        <v>93</v>
      </c>
      <c r="H184"/>
      <c r="I184"/>
      <c r="J184" s="38"/>
      <c r="K184" s="54">
        <v>-2.2999999999999972</v>
      </c>
      <c r="L184" s="54"/>
      <c r="M184" s="54">
        <v>-2.2999999999999972</v>
      </c>
    </row>
    <row r="185" spans="1:13" s="15" customFormat="1" x14ac:dyDescent="0.3">
      <c r="A185" s="17"/>
      <c r="B185"/>
      <c r="C185"/>
      <c r="D185"/>
      <c r="E185"/>
      <c r="F185" s="50">
        <v>42614</v>
      </c>
      <c r="G185" s="53">
        <v>90.7</v>
      </c>
      <c r="H185"/>
      <c r="I185"/>
      <c r="J185" s="38"/>
      <c r="K185" s="54">
        <v>-0.5</v>
      </c>
      <c r="L185" s="54"/>
      <c r="M185" s="54">
        <v>-0.5</v>
      </c>
    </row>
    <row r="186" spans="1:13" s="15" customFormat="1" x14ac:dyDescent="0.3">
      <c r="A186" s="17"/>
      <c r="B186"/>
      <c r="C186"/>
      <c r="D186"/>
      <c r="E186"/>
      <c r="F186" s="50">
        <v>42644</v>
      </c>
      <c r="G186" s="53">
        <v>90.2</v>
      </c>
      <c r="H186"/>
      <c r="I186"/>
      <c r="J186" s="38"/>
      <c r="K186" s="54">
        <v>-3.7000000000000028</v>
      </c>
      <c r="L186" s="54"/>
      <c r="M186" s="54">
        <v>-3.7000000000000028</v>
      </c>
    </row>
    <row r="187" spans="1:13" s="15" customFormat="1" x14ac:dyDescent="0.3">
      <c r="A187" s="17"/>
      <c r="B187"/>
      <c r="C187"/>
      <c r="D187"/>
      <c r="E187"/>
      <c r="F187" s="50">
        <v>42675</v>
      </c>
      <c r="G187" s="53">
        <v>86.5</v>
      </c>
      <c r="H187"/>
      <c r="I187"/>
      <c r="J187" s="38"/>
      <c r="K187" s="54">
        <v>-9.2999999999999972</v>
      </c>
      <c r="L187" s="54"/>
      <c r="M187" s="54">
        <v>-9.2999999999999972</v>
      </c>
    </row>
    <row r="188" spans="1:13" s="15" customFormat="1" x14ac:dyDescent="0.3">
      <c r="A188" s="17"/>
      <c r="B188"/>
      <c r="C188"/>
      <c r="D188"/>
      <c r="E188"/>
      <c r="F188" s="50">
        <v>42705</v>
      </c>
      <c r="G188" s="53">
        <v>77.2</v>
      </c>
      <c r="H188"/>
      <c r="I188"/>
      <c r="J188" s="38"/>
      <c r="K188" s="54">
        <v>0.70000000000000284</v>
      </c>
      <c r="L188" s="54"/>
      <c r="M188" s="54">
        <v>0.70000000000000284</v>
      </c>
    </row>
    <row r="189" spans="1:13" s="15" customFormat="1" x14ac:dyDescent="0.3">
      <c r="A189" s="17"/>
      <c r="B189"/>
      <c r="C189"/>
      <c r="D189"/>
      <c r="E189"/>
      <c r="F189" s="50">
        <v>42736</v>
      </c>
      <c r="G189" s="53">
        <v>77.900000000000006</v>
      </c>
      <c r="H189"/>
      <c r="I189"/>
      <c r="J189" s="38"/>
      <c r="K189" s="54">
        <v>-2</v>
      </c>
      <c r="L189" s="54"/>
      <c r="M189" s="54">
        <v>-2</v>
      </c>
    </row>
    <row r="190" spans="1:13" s="15" customFormat="1" x14ac:dyDescent="0.3">
      <c r="A190" s="17"/>
      <c r="B190"/>
      <c r="C190"/>
      <c r="D190"/>
      <c r="E190"/>
      <c r="F190" s="50">
        <v>42767</v>
      </c>
      <c r="G190" s="53">
        <v>75.900000000000006</v>
      </c>
      <c r="H190"/>
      <c r="I190"/>
      <c r="J190" s="38"/>
      <c r="K190" s="54">
        <v>9.5</v>
      </c>
      <c r="L190" s="54"/>
      <c r="M190" s="54">
        <v>9.5</v>
      </c>
    </row>
    <row r="191" spans="1:13" s="15" customFormat="1" x14ac:dyDescent="0.3">
      <c r="A191" s="17"/>
      <c r="B191"/>
      <c r="C191"/>
      <c r="D191"/>
      <c r="E191"/>
      <c r="F191" s="50">
        <v>42795</v>
      </c>
      <c r="G191" s="53">
        <v>85.4</v>
      </c>
      <c r="H191"/>
      <c r="I191"/>
      <c r="J191" s="38"/>
      <c r="K191" s="54">
        <v>-6.1000000000000085</v>
      </c>
      <c r="L191" s="54"/>
      <c r="M191" s="54">
        <v>-6.1000000000000085</v>
      </c>
    </row>
    <row r="192" spans="1:13" s="15" customFormat="1" x14ac:dyDescent="0.3">
      <c r="A192" s="17"/>
      <c r="B192"/>
      <c r="C192"/>
      <c r="D192"/>
      <c r="E192"/>
      <c r="F192" s="50">
        <v>42826</v>
      </c>
      <c r="G192" s="53">
        <v>79.3</v>
      </c>
      <c r="H192"/>
      <c r="I192"/>
      <c r="J192" s="38"/>
      <c r="K192" s="54">
        <v>10.799999999999997</v>
      </c>
      <c r="L192" s="54"/>
      <c r="M192" s="54">
        <v>10.799999999999997</v>
      </c>
    </row>
    <row r="193" spans="1:13" s="15" customFormat="1" x14ac:dyDescent="0.3">
      <c r="A193" s="17"/>
      <c r="B193"/>
      <c r="C193"/>
      <c r="D193"/>
      <c r="E193"/>
      <c r="F193" s="50">
        <v>42856</v>
      </c>
      <c r="G193" s="53">
        <v>90.1</v>
      </c>
      <c r="H193"/>
      <c r="I193"/>
      <c r="J193" s="38"/>
      <c r="K193" s="54">
        <v>-1.6999999999999886</v>
      </c>
      <c r="L193" s="54"/>
      <c r="M193" s="54">
        <v>-1.6999999999999886</v>
      </c>
    </row>
    <row r="194" spans="1:13" s="15" customFormat="1" x14ac:dyDescent="0.3">
      <c r="A194" s="17"/>
      <c r="B194"/>
      <c r="C194"/>
      <c r="D194"/>
      <c r="E194"/>
      <c r="F194" s="50">
        <v>42887</v>
      </c>
      <c r="G194" s="53">
        <v>88.4</v>
      </c>
      <c r="H194"/>
      <c r="I194"/>
      <c r="J194" s="38"/>
      <c r="K194" s="54">
        <v>3.6999999999999886</v>
      </c>
      <c r="L194" s="54"/>
      <c r="M194" s="54">
        <v>3.6999999999999886</v>
      </c>
    </row>
    <row r="195" spans="1:13" s="15" customFormat="1" x14ac:dyDescent="0.3">
      <c r="A195" s="17"/>
      <c r="B195"/>
      <c r="C195"/>
      <c r="D195"/>
      <c r="E195"/>
      <c r="F195" s="50">
        <v>42917</v>
      </c>
      <c r="G195" s="53">
        <v>92.1</v>
      </c>
      <c r="H195"/>
      <c r="I195"/>
      <c r="J195" s="38"/>
      <c r="K195" s="54">
        <v>4.6000000000000085</v>
      </c>
      <c r="L195" s="54"/>
      <c r="M195" s="54">
        <v>4.6000000000000085</v>
      </c>
    </row>
    <row r="196" spans="1:13" s="15" customFormat="1" x14ac:dyDescent="0.3">
      <c r="A196" s="17"/>
      <c r="B196"/>
      <c r="C196"/>
      <c r="D196"/>
      <c r="E196"/>
      <c r="F196" s="50">
        <v>42948</v>
      </c>
      <c r="G196" s="53">
        <v>96.7</v>
      </c>
      <c r="H196"/>
      <c r="I196"/>
      <c r="J196" s="38"/>
      <c r="K196" s="54">
        <v>-3.7000000000000028</v>
      </c>
      <c r="L196" s="54"/>
      <c r="M196" s="54">
        <v>-3.7000000000000028</v>
      </c>
    </row>
    <row r="197" spans="1:13" s="15" customFormat="1" x14ac:dyDescent="0.3">
      <c r="A197" s="17"/>
      <c r="B197"/>
      <c r="C197"/>
      <c r="D197"/>
      <c r="E197"/>
      <c r="F197" s="50">
        <v>42979</v>
      </c>
      <c r="G197" s="53">
        <v>93</v>
      </c>
      <c r="H197"/>
      <c r="I197"/>
      <c r="J197" s="38"/>
      <c r="K197" s="54">
        <v>2.0999999999999943</v>
      </c>
      <c r="L197" s="54"/>
      <c r="M197" s="54">
        <v>2.0999999999999943</v>
      </c>
    </row>
    <row r="198" spans="1:13" s="15" customFormat="1" x14ac:dyDescent="0.3">
      <c r="A198" s="17"/>
      <c r="B198"/>
      <c r="C198"/>
      <c r="D198"/>
      <c r="E198"/>
      <c r="F198" s="50">
        <v>43009</v>
      </c>
      <c r="G198" s="53">
        <v>95.1</v>
      </c>
      <c r="H198"/>
      <c r="I198"/>
      <c r="J198" s="38"/>
      <c r="K198" s="54">
        <v>-4.5</v>
      </c>
      <c r="L198" s="54"/>
      <c r="M198" s="54">
        <v>-4.5</v>
      </c>
    </row>
    <row r="199" spans="1:13" s="15" customFormat="1" x14ac:dyDescent="0.3">
      <c r="A199" s="17"/>
      <c r="B199"/>
      <c r="C199"/>
      <c r="D199"/>
      <c r="E199"/>
      <c r="F199" s="50">
        <v>43040</v>
      </c>
      <c r="G199" s="53">
        <v>90.6</v>
      </c>
      <c r="H199"/>
      <c r="I199"/>
      <c r="J199" s="38"/>
      <c r="K199" s="54">
        <v>-9.5999999999999943</v>
      </c>
      <c r="L199" s="54"/>
      <c r="M199" s="54">
        <v>-9.5999999999999943</v>
      </c>
    </row>
    <row r="200" spans="1:13" s="15" customFormat="1" x14ac:dyDescent="0.3">
      <c r="A200" s="17"/>
      <c r="B200"/>
      <c r="C200"/>
      <c r="D200"/>
      <c r="E200"/>
      <c r="F200" s="50">
        <v>43070</v>
      </c>
      <c r="G200" s="53">
        <v>81</v>
      </c>
      <c r="H200"/>
      <c r="I200"/>
      <c r="J200" s="38"/>
      <c r="K200" s="54">
        <v>1.2999999999999972</v>
      </c>
      <c r="L200" s="54"/>
      <c r="M200" s="54">
        <v>1.2999999999999972</v>
      </c>
    </row>
    <row r="201" spans="1:13" s="15" customFormat="1" x14ac:dyDescent="0.3">
      <c r="A201" s="17"/>
      <c r="B201"/>
      <c r="C201"/>
      <c r="D201"/>
      <c r="E201"/>
      <c r="F201" s="50">
        <v>43101</v>
      </c>
      <c r="G201" s="53">
        <v>82.3</v>
      </c>
      <c r="H201"/>
      <c r="I201"/>
      <c r="J201" s="38"/>
      <c r="K201" s="54">
        <v>-5</v>
      </c>
      <c r="L201" s="54"/>
      <c r="M201" s="54">
        <v>-5</v>
      </c>
    </row>
    <row r="202" spans="1:13" s="15" customFormat="1" x14ac:dyDescent="0.3">
      <c r="A202" s="17"/>
      <c r="B202"/>
      <c r="C202"/>
      <c r="D202"/>
      <c r="E202"/>
      <c r="F202" s="50">
        <v>43132</v>
      </c>
      <c r="G202" s="53">
        <v>77.3</v>
      </c>
      <c r="H202"/>
      <c r="I202"/>
      <c r="J202" s="38"/>
      <c r="K202" s="54">
        <v>8.9000000000000057</v>
      </c>
      <c r="L202" s="54"/>
      <c r="M202" s="54">
        <v>8.9000000000000057</v>
      </c>
    </row>
    <row r="203" spans="1:13" s="15" customFormat="1" x14ac:dyDescent="0.3">
      <c r="A203" s="17"/>
      <c r="B203"/>
      <c r="C203"/>
      <c r="D203"/>
      <c r="E203"/>
      <c r="F203" s="50">
        <v>43160</v>
      </c>
      <c r="G203" s="53">
        <v>86.2</v>
      </c>
      <c r="H203"/>
      <c r="I203"/>
      <c r="J203" s="38"/>
      <c r="K203" s="54">
        <v>0.29999999999999716</v>
      </c>
      <c r="L203" s="54"/>
      <c r="M203" s="54">
        <v>0.29999999999999716</v>
      </c>
    </row>
    <row r="204" spans="1:13" s="15" customFormat="1" x14ac:dyDescent="0.3">
      <c r="A204" s="17"/>
      <c r="B204"/>
      <c r="C204"/>
      <c r="D204"/>
      <c r="E204"/>
      <c r="F204" s="50">
        <v>43191</v>
      </c>
      <c r="G204" s="53">
        <v>86.5</v>
      </c>
      <c r="H204"/>
      <c r="I204"/>
      <c r="J204" s="38"/>
      <c r="K204" s="54">
        <v>-2.0999999999999943</v>
      </c>
      <c r="L204" s="54"/>
      <c r="M204" s="54">
        <v>-2.0999999999999943</v>
      </c>
    </row>
    <row r="205" spans="1:13" s="15" customFormat="1" x14ac:dyDescent="0.3">
      <c r="A205" s="17"/>
      <c r="B205"/>
      <c r="C205"/>
      <c r="D205"/>
      <c r="E205"/>
      <c r="F205" s="50">
        <v>43221</v>
      </c>
      <c r="G205" s="53">
        <v>84.4</v>
      </c>
      <c r="H205"/>
      <c r="I205"/>
      <c r="J205" s="38"/>
      <c r="K205" s="54">
        <v>6.6999999999999886</v>
      </c>
      <c r="L205" s="54"/>
      <c r="M205" s="54">
        <v>6.6999999999999886</v>
      </c>
    </row>
    <row r="206" spans="1:13" s="15" customFormat="1" x14ac:dyDescent="0.3">
      <c r="A206" s="17"/>
      <c r="B206"/>
      <c r="C206"/>
      <c r="D206"/>
      <c r="E206"/>
      <c r="F206" s="50">
        <v>43252</v>
      </c>
      <c r="G206" s="53">
        <v>91.1</v>
      </c>
      <c r="H206"/>
      <c r="I206"/>
      <c r="J206" s="38"/>
      <c r="K206" s="54">
        <v>4.7000000000000028</v>
      </c>
      <c r="L206" s="54"/>
      <c r="M206" s="54">
        <v>4.7000000000000028</v>
      </c>
    </row>
    <row r="207" spans="1:13" s="15" customFormat="1" x14ac:dyDescent="0.3">
      <c r="A207" s="17"/>
      <c r="B207"/>
      <c r="C207"/>
      <c r="D207"/>
      <c r="E207"/>
      <c r="F207" s="50">
        <v>43282</v>
      </c>
      <c r="G207" s="53">
        <v>95.8</v>
      </c>
      <c r="H207"/>
      <c r="I207"/>
      <c r="J207" s="38"/>
      <c r="K207" s="54">
        <v>2.4000000000000057</v>
      </c>
      <c r="L207" s="54"/>
      <c r="M207" s="54">
        <v>2.4000000000000057</v>
      </c>
    </row>
    <row r="208" spans="1:13" s="15" customFormat="1" x14ac:dyDescent="0.3">
      <c r="A208" s="17"/>
      <c r="B208"/>
      <c r="C208"/>
      <c r="D208"/>
      <c r="E208"/>
      <c r="F208" s="50">
        <v>43313</v>
      </c>
      <c r="G208" s="53">
        <v>98.2</v>
      </c>
      <c r="H208"/>
      <c r="I208"/>
      <c r="J208" s="38"/>
      <c r="K208" s="54">
        <v>-7.5</v>
      </c>
      <c r="L208" s="54"/>
      <c r="M208" s="54">
        <v>-7.5</v>
      </c>
    </row>
    <row r="209" spans="1:13" s="15" customFormat="1" x14ac:dyDescent="0.3">
      <c r="A209" s="17"/>
      <c r="B209"/>
      <c r="C209"/>
      <c r="D209"/>
      <c r="E209"/>
      <c r="F209" s="50">
        <v>43344</v>
      </c>
      <c r="G209" s="53">
        <v>90.7</v>
      </c>
      <c r="H209"/>
      <c r="I209"/>
      <c r="J209" s="38"/>
      <c r="K209" s="54">
        <v>5.0999999999999943</v>
      </c>
      <c r="L209" s="54"/>
      <c r="M209" s="54">
        <v>5.0999999999999943</v>
      </c>
    </row>
    <row r="210" spans="1:13" s="15" customFormat="1" x14ac:dyDescent="0.3">
      <c r="A210" s="17"/>
      <c r="B210"/>
      <c r="C210"/>
      <c r="D210"/>
      <c r="E210"/>
      <c r="F210" s="50">
        <v>43374</v>
      </c>
      <c r="G210" s="53">
        <v>95.8</v>
      </c>
      <c r="H210"/>
      <c r="I210"/>
      <c r="J210" s="38"/>
      <c r="K210" s="54">
        <v>-6.2999999999999972</v>
      </c>
      <c r="L210" s="54"/>
      <c r="M210" s="54">
        <v>-6.2999999999999972</v>
      </c>
    </row>
    <row r="211" spans="1:13" s="15" customFormat="1" x14ac:dyDescent="0.3">
      <c r="A211" s="17"/>
      <c r="B211"/>
      <c r="C211"/>
      <c r="D211"/>
      <c r="E211"/>
      <c r="F211" s="50">
        <v>43405</v>
      </c>
      <c r="G211" s="53">
        <v>89.5</v>
      </c>
      <c r="H211"/>
      <c r="I211"/>
      <c r="J211" s="38"/>
      <c r="K211" s="54">
        <v>-11.5</v>
      </c>
      <c r="L211" s="54"/>
      <c r="M211" s="54">
        <v>-11.5</v>
      </c>
    </row>
    <row r="212" spans="1:13" s="15" customFormat="1" x14ac:dyDescent="0.3">
      <c r="A212" s="17"/>
      <c r="B212"/>
      <c r="C212"/>
      <c r="D212"/>
      <c r="E212"/>
      <c r="F212" s="50">
        <v>43435</v>
      </c>
      <c r="G212" s="53">
        <v>78</v>
      </c>
      <c r="H212"/>
      <c r="I212"/>
      <c r="J212" s="38"/>
      <c r="K212" s="54">
        <v>2.7000000000000028</v>
      </c>
      <c r="L212" s="54"/>
      <c r="M212" s="54">
        <v>2.7000000000000028</v>
      </c>
    </row>
    <row r="213" spans="1:13" s="15" customFormat="1" x14ac:dyDescent="0.3">
      <c r="A213" s="17"/>
      <c r="B213"/>
      <c r="C213"/>
      <c r="D213"/>
      <c r="E213"/>
      <c r="F213" s="50">
        <v>43466</v>
      </c>
      <c r="G213" s="53">
        <v>80.7</v>
      </c>
      <c r="H213"/>
      <c r="I213"/>
      <c r="J213" s="38"/>
      <c r="K213" s="54">
        <v>-1.6000000000000085</v>
      </c>
      <c r="L213" s="54"/>
      <c r="M213" s="54">
        <v>-1.6000000000000085</v>
      </c>
    </row>
    <row r="214" spans="1:13" s="15" customFormat="1" x14ac:dyDescent="0.3">
      <c r="A214" s="17"/>
      <c r="B214"/>
      <c r="C214"/>
      <c r="D214"/>
      <c r="E214"/>
      <c r="F214" s="50">
        <v>43497</v>
      </c>
      <c r="G214" s="53">
        <v>79.099999999999994</v>
      </c>
      <c r="H214"/>
      <c r="I214"/>
      <c r="J214" s="38"/>
      <c r="K214" s="54">
        <v>1.9000000000000057</v>
      </c>
      <c r="L214" s="54"/>
      <c r="M214" s="54">
        <v>1.9000000000000057</v>
      </c>
    </row>
    <row r="215" spans="1:13" s="15" customFormat="1" x14ac:dyDescent="0.3">
      <c r="A215" s="17"/>
      <c r="B215"/>
      <c r="C215"/>
      <c r="D215"/>
      <c r="E215"/>
      <c r="F215" s="50">
        <v>43525</v>
      </c>
      <c r="G215" s="53">
        <v>81</v>
      </c>
      <c r="H215"/>
      <c r="I215"/>
      <c r="J215" s="38"/>
      <c r="K215" s="54">
        <v>2.2999999999999972</v>
      </c>
      <c r="L215" s="54"/>
      <c r="M215" s="54">
        <v>2.2999999999999972</v>
      </c>
    </row>
    <row r="216" spans="1:13" s="15" customFormat="1" x14ac:dyDescent="0.3">
      <c r="A216" s="17"/>
      <c r="B216"/>
      <c r="C216"/>
      <c r="D216"/>
      <c r="E216"/>
      <c r="F216" s="50">
        <v>43556</v>
      </c>
      <c r="G216" s="53">
        <v>83.3</v>
      </c>
      <c r="H216"/>
      <c r="I216"/>
      <c r="J216" s="38"/>
      <c r="K216" s="54">
        <v>7.7000000000000028</v>
      </c>
      <c r="L216" s="54"/>
      <c r="M216" s="54">
        <v>7.7000000000000028</v>
      </c>
    </row>
    <row r="217" spans="1:13" s="15" customFormat="1" x14ac:dyDescent="0.3">
      <c r="A217" s="17"/>
      <c r="B217"/>
      <c r="C217"/>
      <c r="D217"/>
      <c r="E217"/>
      <c r="F217" s="50">
        <v>43586</v>
      </c>
      <c r="G217" s="53">
        <v>91</v>
      </c>
      <c r="H217"/>
      <c r="I217"/>
      <c r="J217" s="38"/>
      <c r="K217" s="54">
        <v>-5.2000000000000028</v>
      </c>
      <c r="L217" s="54"/>
      <c r="M217" s="54">
        <v>-5.2000000000000028</v>
      </c>
    </row>
    <row r="218" spans="1:13" s="15" customFormat="1" x14ac:dyDescent="0.3">
      <c r="A218" s="17"/>
      <c r="B218"/>
      <c r="C218"/>
      <c r="D218"/>
      <c r="E218"/>
      <c r="F218" s="50">
        <v>43617</v>
      </c>
      <c r="G218" s="53">
        <v>85.8</v>
      </c>
      <c r="H218"/>
      <c r="I218"/>
      <c r="J218" s="38"/>
      <c r="K218" s="54">
        <v>7.6000000000000085</v>
      </c>
      <c r="L218" s="54"/>
      <c r="M218" s="54">
        <v>7.6000000000000085</v>
      </c>
    </row>
    <row r="219" spans="1:13" s="15" customFormat="1" x14ac:dyDescent="0.3">
      <c r="A219" s="17"/>
      <c r="B219"/>
      <c r="C219"/>
      <c r="D219"/>
      <c r="E219"/>
      <c r="F219" s="50">
        <v>43647</v>
      </c>
      <c r="G219" s="53">
        <v>93.4</v>
      </c>
      <c r="H219"/>
      <c r="I219"/>
      <c r="J219" s="38"/>
      <c r="K219" s="54">
        <v>2.7999999999999972</v>
      </c>
      <c r="L219" s="54"/>
      <c r="M219" s="54">
        <v>2.7999999999999972</v>
      </c>
    </row>
    <row r="220" spans="1:13" s="15" customFormat="1" x14ac:dyDescent="0.3">
      <c r="A220" s="17"/>
      <c r="B220"/>
      <c r="C220"/>
      <c r="D220"/>
      <c r="E220"/>
      <c r="F220" s="50">
        <v>43678</v>
      </c>
      <c r="G220" s="53">
        <v>96.2</v>
      </c>
      <c r="H220"/>
      <c r="I220"/>
      <c r="J220" s="38"/>
      <c r="K220" s="54">
        <v>-4.4000000000000057</v>
      </c>
      <c r="L220" s="54"/>
      <c r="M220" s="54">
        <v>-4.4000000000000057</v>
      </c>
    </row>
    <row r="221" spans="1:13" s="15" customFormat="1" x14ac:dyDescent="0.3">
      <c r="A221" s="17"/>
      <c r="B221"/>
      <c r="C221"/>
      <c r="D221"/>
      <c r="E221"/>
      <c r="F221" s="50">
        <v>43709</v>
      </c>
      <c r="G221" s="53">
        <v>91.8</v>
      </c>
      <c r="H221"/>
      <c r="I221"/>
      <c r="J221" s="38"/>
      <c r="K221" s="54">
        <v>5.2000000000000028</v>
      </c>
      <c r="L221" s="54"/>
      <c r="M221" s="54">
        <v>5.2000000000000028</v>
      </c>
    </row>
    <row r="222" spans="1:13" s="15" customFormat="1" x14ac:dyDescent="0.3">
      <c r="A222" s="17"/>
      <c r="B222"/>
      <c r="C222"/>
      <c r="D222"/>
      <c r="E222"/>
      <c r="F222" s="50">
        <v>43739</v>
      </c>
      <c r="G222" s="53">
        <v>97</v>
      </c>
      <c r="H222"/>
      <c r="I222"/>
      <c r="J222" s="38"/>
      <c r="K222" s="54">
        <v>-9</v>
      </c>
      <c r="L222" s="54"/>
      <c r="M222" s="54">
        <v>-9</v>
      </c>
    </row>
    <row r="223" spans="1:13" s="15" customFormat="1" x14ac:dyDescent="0.3">
      <c r="A223" s="17"/>
      <c r="B223"/>
      <c r="C223"/>
      <c r="D223"/>
      <c r="E223"/>
      <c r="F223" s="50">
        <v>43770</v>
      </c>
      <c r="G223" s="53">
        <v>88</v>
      </c>
      <c r="H223"/>
      <c r="I223"/>
      <c r="J223" s="38"/>
      <c r="K223" s="54">
        <v>-11.099999999999994</v>
      </c>
      <c r="L223" s="54"/>
      <c r="M223" s="54">
        <v>-11.099999999999994</v>
      </c>
    </row>
    <row r="224" spans="1:13" s="15" customFormat="1" x14ac:dyDescent="0.3">
      <c r="A224" s="17"/>
      <c r="B224"/>
      <c r="C224"/>
      <c r="D224"/>
      <c r="E224"/>
      <c r="F224" s="50">
        <v>43800</v>
      </c>
      <c r="G224" s="53">
        <v>76.900000000000006</v>
      </c>
      <c r="H224"/>
      <c r="I224"/>
      <c r="J224" s="38"/>
      <c r="K224" s="54">
        <v>3.0999999999999943</v>
      </c>
      <c r="L224" s="54"/>
      <c r="M224" s="54">
        <v>3.0999999999999943</v>
      </c>
    </row>
    <row r="225" spans="1:13" s="15" customFormat="1" x14ac:dyDescent="0.3">
      <c r="A225" s="17"/>
      <c r="B225"/>
      <c r="C225"/>
      <c r="D225"/>
      <c r="E225"/>
      <c r="F225" s="50">
        <v>43831</v>
      </c>
      <c r="G225" s="53">
        <v>80</v>
      </c>
      <c r="H225"/>
      <c r="I225"/>
      <c r="J225" s="38"/>
      <c r="K225" s="54">
        <v>-1.0999999999999943</v>
      </c>
      <c r="L225" s="54"/>
      <c r="M225" s="54">
        <v>-1.0999999999999943</v>
      </c>
    </row>
    <row r="226" spans="1:13" s="15" customFormat="1" x14ac:dyDescent="0.3">
      <c r="A226" s="17"/>
      <c r="B226"/>
      <c r="C226"/>
      <c r="D226"/>
      <c r="E226"/>
      <c r="F226" s="50">
        <v>43862</v>
      </c>
      <c r="G226" s="53">
        <v>78.900000000000006</v>
      </c>
      <c r="H226"/>
      <c r="I226"/>
      <c r="J226" s="38"/>
      <c r="K226" s="54">
        <v>-1</v>
      </c>
      <c r="L226" s="54"/>
      <c r="M226" s="54">
        <v>-1</v>
      </c>
    </row>
    <row r="227" spans="1:13" s="15" customFormat="1" x14ac:dyDescent="0.3">
      <c r="A227" s="17"/>
      <c r="B227"/>
      <c r="C227"/>
      <c r="D227"/>
      <c r="E227"/>
      <c r="F227" s="50">
        <v>43891</v>
      </c>
      <c r="G227" s="53">
        <v>77.900000000000006</v>
      </c>
      <c r="H227"/>
      <c r="I227"/>
      <c r="J227" s="38"/>
      <c r="K227" s="54">
        <v>-17.600000000000009</v>
      </c>
      <c r="L227" s="54"/>
      <c r="M227" s="54">
        <v>-17.600000000000009</v>
      </c>
    </row>
    <row r="228" spans="1:13" s="15" customFormat="1" x14ac:dyDescent="0.3">
      <c r="A228" s="17"/>
      <c r="B228"/>
      <c r="C228"/>
      <c r="D228"/>
      <c r="E228"/>
      <c r="F228" s="50">
        <v>43922</v>
      </c>
      <c r="G228" s="53">
        <v>60.3</v>
      </c>
      <c r="H228"/>
      <c r="I228"/>
      <c r="J228" s="38"/>
      <c r="K228" s="54">
        <v>10.900000000000006</v>
      </c>
      <c r="L228" s="54"/>
      <c r="M228" s="54">
        <v>10.900000000000006</v>
      </c>
    </row>
    <row r="229" spans="1:13" s="15" customFormat="1" x14ac:dyDescent="0.3">
      <c r="A229" s="17"/>
      <c r="B229"/>
      <c r="C229"/>
      <c r="D229"/>
      <c r="E229"/>
      <c r="F229" s="50">
        <v>43952</v>
      </c>
      <c r="G229" s="53">
        <v>71.2</v>
      </c>
      <c r="H229"/>
      <c r="I229"/>
      <c r="J229" s="38"/>
      <c r="K229" s="54">
        <v>7.2000000000000028</v>
      </c>
      <c r="L229" s="54"/>
      <c r="M229" s="54">
        <v>7.2000000000000028</v>
      </c>
    </row>
    <row r="230" spans="1:13" s="15" customFormat="1" x14ac:dyDescent="0.3">
      <c r="A230" s="17"/>
      <c r="B230"/>
      <c r="C230"/>
      <c r="D230"/>
      <c r="E230"/>
      <c r="F230" s="50">
        <v>43983</v>
      </c>
      <c r="G230" s="53">
        <v>78.400000000000006</v>
      </c>
      <c r="H230"/>
      <c r="I230"/>
      <c r="J230" s="38"/>
      <c r="K230" s="54">
        <v>12.599999999999994</v>
      </c>
      <c r="L230" s="54"/>
      <c r="M230" s="54">
        <v>12.599999999999994</v>
      </c>
    </row>
    <row r="231" spans="1:13" s="15" customFormat="1" x14ac:dyDescent="0.3">
      <c r="A231" s="17"/>
      <c r="B231"/>
      <c r="C231"/>
      <c r="D231"/>
      <c r="E231"/>
      <c r="F231" s="50">
        <v>44013</v>
      </c>
      <c r="G231" s="53">
        <v>91</v>
      </c>
      <c r="H231"/>
      <c r="I231"/>
      <c r="J231" s="38"/>
      <c r="K231" s="54">
        <v>2.9000000000000057</v>
      </c>
      <c r="L231" s="54"/>
      <c r="M231" s="54">
        <v>2.9000000000000057</v>
      </c>
    </row>
    <row r="232" spans="1:13" s="15" customFormat="1" x14ac:dyDescent="0.3">
      <c r="A232" s="17"/>
      <c r="B232"/>
      <c r="C232"/>
      <c r="D232"/>
      <c r="E232"/>
      <c r="F232" s="50">
        <v>44044</v>
      </c>
      <c r="G232" s="53">
        <v>93.9</v>
      </c>
      <c r="H232"/>
      <c r="I232"/>
      <c r="J232" s="38"/>
      <c r="K232" s="54">
        <v>1.5</v>
      </c>
      <c r="L232" s="54"/>
      <c r="M232" s="54">
        <v>1.5</v>
      </c>
    </row>
    <row r="233" spans="1:13" s="15" customFormat="1" x14ac:dyDescent="0.3">
      <c r="A233" s="17"/>
      <c r="B233"/>
      <c r="C233"/>
      <c r="D233"/>
      <c r="E233"/>
      <c r="F233" s="50">
        <v>44075</v>
      </c>
      <c r="G233" s="53">
        <v>95.4</v>
      </c>
      <c r="H233"/>
      <c r="I233"/>
      <c r="J233" s="38"/>
      <c r="K233" s="54">
        <v>1.8999999999999915</v>
      </c>
      <c r="L233" s="54"/>
      <c r="M233" s="54">
        <v>1.8999999999999915</v>
      </c>
    </row>
    <row r="234" spans="1:13" s="15" customFormat="1" x14ac:dyDescent="0.3">
      <c r="A234" s="17"/>
      <c r="B234"/>
      <c r="C234"/>
      <c r="D234"/>
      <c r="E234"/>
      <c r="F234" s="50">
        <v>44105</v>
      </c>
      <c r="G234" s="53">
        <v>97.3</v>
      </c>
      <c r="H234"/>
      <c r="I234"/>
      <c r="J234" s="38"/>
      <c r="K234" s="54">
        <v>-7.0999999999999943</v>
      </c>
      <c r="L234" s="54"/>
      <c r="M234" s="54">
        <v>-7.0999999999999943</v>
      </c>
    </row>
    <row r="235" spans="1:13" s="15" customFormat="1" x14ac:dyDescent="0.3">
      <c r="A235" s="17"/>
      <c r="B235"/>
      <c r="C235"/>
      <c r="D235"/>
      <c r="E235"/>
      <c r="F235" s="50">
        <v>44136</v>
      </c>
      <c r="G235" s="53">
        <v>90.2</v>
      </c>
      <c r="H235"/>
      <c r="I235"/>
      <c r="J235" s="38"/>
      <c r="K235" s="54">
        <v>-6.9000000000000057</v>
      </c>
      <c r="L235" s="54"/>
      <c r="M235" s="54">
        <v>-6.9000000000000057</v>
      </c>
    </row>
    <row r="236" spans="1:13" s="15" customFormat="1" x14ac:dyDescent="0.3">
      <c r="A236" s="17"/>
      <c r="B236"/>
      <c r="C236"/>
      <c r="D236"/>
      <c r="E236"/>
      <c r="F236" s="50">
        <v>44166</v>
      </c>
      <c r="G236" s="53">
        <v>83.3</v>
      </c>
      <c r="H236"/>
      <c r="I236"/>
      <c r="J236" s="38"/>
      <c r="K236" s="54">
        <v>-1.3999999999999915</v>
      </c>
      <c r="L236" s="54"/>
      <c r="M236" s="54">
        <v>-1.3999999999999915</v>
      </c>
    </row>
    <row r="237" spans="1:13" s="15" customFormat="1" x14ac:dyDescent="0.3">
      <c r="A237" s="17"/>
      <c r="B237"/>
      <c r="C237"/>
      <c r="D237"/>
      <c r="E237"/>
      <c r="F237" s="50">
        <v>44197</v>
      </c>
      <c r="G237" s="53">
        <v>81.900000000000006</v>
      </c>
      <c r="H237"/>
      <c r="I237"/>
      <c r="J237" s="38"/>
      <c r="K237" s="54">
        <v>-2.8000000000000114</v>
      </c>
      <c r="L237" s="54"/>
      <c r="M237" s="54">
        <v>-2.8000000000000114</v>
      </c>
    </row>
    <row r="238" spans="1:13" s="15" customFormat="1" x14ac:dyDescent="0.3">
      <c r="A238" s="17"/>
      <c r="B238"/>
      <c r="C238"/>
      <c r="D238"/>
      <c r="E238"/>
      <c r="F238" s="50">
        <v>44228</v>
      </c>
      <c r="G238" s="53">
        <v>79.099999999999994</v>
      </c>
      <c r="H238"/>
      <c r="I238"/>
      <c r="J238" s="38"/>
      <c r="K238" s="54">
        <v>7</v>
      </c>
      <c r="L238" s="54"/>
      <c r="M238" s="54">
        <v>7</v>
      </c>
    </row>
    <row r="239" spans="1:13" s="15" customFormat="1" x14ac:dyDescent="0.3">
      <c r="A239" s="17"/>
      <c r="B239"/>
      <c r="C239"/>
      <c r="D239"/>
      <c r="E239"/>
      <c r="F239" s="50">
        <v>44256</v>
      </c>
      <c r="G239" s="53">
        <v>86.1</v>
      </c>
      <c r="H239"/>
      <c r="I239"/>
      <c r="J239" s="38"/>
      <c r="K239" s="54">
        <v>-4.7999999999999972</v>
      </c>
      <c r="L239" s="54"/>
      <c r="M239" s="54">
        <v>-4.7999999999999972</v>
      </c>
    </row>
    <row r="240" spans="1:13" s="15" customFormat="1" x14ac:dyDescent="0.3">
      <c r="A240" s="17"/>
      <c r="B240"/>
      <c r="C240"/>
      <c r="D240"/>
      <c r="E240"/>
      <c r="F240" s="50">
        <v>44287</v>
      </c>
      <c r="G240" s="53">
        <v>81.3</v>
      </c>
      <c r="H240"/>
      <c r="I240"/>
      <c r="J240" s="38"/>
      <c r="K240" s="54">
        <v>7.1000000000000085</v>
      </c>
      <c r="L240" s="54"/>
      <c r="M240" s="54">
        <v>7.1000000000000085</v>
      </c>
    </row>
    <row r="241" spans="1:13" s="15" customFormat="1" x14ac:dyDescent="0.3">
      <c r="A241" s="17"/>
      <c r="B241"/>
      <c r="C241"/>
      <c r="D241"/>
      <c r="E241"/>
      <c r="F241" s="50">
        <v>44317</v>
      </c>
      <c r="G241" s="53">
        <v>88.4</v>
      </c>
      <c r="H241"/>
      <c r="I241"/>
      <c r="J241" s="38"/>
      <c r="K241" s="54">
        <v>-0.5</v>
      </c>
      <c r="L241" s="54"/>
      <c r="M241" s="54">
        <v>-0.5</v>
      </c>
    </row>
    <row r="242" spans="1:13" s="15" customFormat="1" x14ac:dyDescent="0.3">
      <c r="A242" s="17"/>
      <c r="B242"/>
      <c r="C242"/>
      <c r="D242"/>
      <c r="E242"/>
      <c r="F242" s="50">
        <v>44348</v>
      </c>
      <c r="G242" s="53">
        <v>87.9</v>
      </c>
      <c r="H242"/>
      <c r="I242"/>
      <c r="J242" s="38"/>
      <c r="K242" s="54">
        <v>4.2999999999999972</v>
      </c>
      <c r="L242" s="54"/>
      <c r="M242" s="54">
        <v>4.2999999999999972</v>
      </c>
    </row>
    <row r="243" spans="1:13" s="15" customFormat="1" x14ac:dyDescent="0.3">
      <c r="A243" s="17"/>
      <c r="B243"/>
      <c r="C243"/>
      <c r="D243"/>
      <c r="E243"/>
      <c r="F243" s="50">
        <v>44378</v>
      </c>
      <c r="G243" s="53">
        <v>92.2</v>
      </c>
      <c r="H243"/>
      <c r="I243"/>
      <c r="J243" s="38"/>
      <c r="K243" s="54">
        <v>1.2000000000000028</v>
      </c>
      <c r="L243" s="54"/>
      <c r="M243" s="54">
        <v>1.2000000000000028</v>
      </c>
    </row>
    <row r="244" spans="1:13" s="15" customFormat="1" x14ac:dyDescent="0.3">
      <c r="A244" s="17"/>
      <c r="B244"/>
      <c r="C244"/>
      <c r="D244"/>
      <c r="E244"/>
      <c r="F244" s="50">
        <v>44409</v>
      </c>
      <c r="G244" s="53">
        <v>93.4</v>
      </c>
      <c r="H244"/>
      <c r="I244"/>
      <c r="J244" s="38"/>
      <c r="K244" s="54">
        <v>-1.9000000000000057</v>
      </c>
      <c r="L244" s="54"/>
      <c r="M244" s="54">
        <v>-1.9000000000000057</v>
      </c>
    </row>
    <row r="245" spans="1:13" s="15" customFormat="1" x14ac:dyDescent="0.3">
      <c r="A245" s="17"/>
      <c r="B245"/>
      <c r="C245"/>
      <c r="D245"/>
      <c r="E245"/>
      <c r="F245" s="50">
        <v>44440</v>
      </c>
      <c r="G245" s="53">
        <v>91.5</v>
      </c>
      <c r="H245"/>
      <c r="I245"/>
      <c r="J245" s="38"/>
      <c r="K245" s="54">
        <v>-1.7999999999999972</v>
      </c>
      <c r="L245" s="54"/>
      <c r="M245" s="54">
        <v>-1.7999999999999972</v>
      </c>
    </row>
    <row r="246" spans="1:13" s="15" customFormat="1" x14ac:dyDescent="0.3">
      <c r="A246" s="17"/>
      <c r="B246"/>
      <c r="C246"/>
      <c r="D246"/>
      <c r="E246"/>
      <c r="F246" s="50">
        <v>44470</v>
      </c>
      <c r="G246" s="53">
        <v>89.7</v>
      </c>
      <c r="H246"/>
      <c r="I246"/>
      <c r="J246" s="38"/>
      <c r="K246" s="54">
        <v>-3.4000000000000057</v>
      </c>
      <c r="L246" s="54"/>
      <c r="M246" s="54">
        <v>-3.4000000000000057</v>
      </c>
    </row>
    <row r="247" spans="1:13" s="15" customFormat="1" x14ac:dyDescent="0.3">
      <c r="A247" s="17"/>
      <c r="B247"/>
      <c r="C247"/>
      <c r="D247"/>
      <c r="E247"/>
      <c r="F247" s="50">
        <v>44501</v>
      </c>
      <c r="G247" s="53">
        <v>86.3</v>
      </c>
      <c r="H247"/>
      <c r="I247"/>
      <c r="J247" s="38"/>
      <c r="K247" s="54">
        <v>-7.0999999999999943</v>
      </c>
      <c r="L247" s="54"/>
      <c r="M247" s="54">
        <v>-7.0999999999999943</v>
      </c>
    </row>
    <row r="248" spans="1:13" s="15" customFormat="1" x14ac:dyDescent="0.3">
      <c r="A248" s="17"/>
      <c r="B248"/>
      <c r="C248"/>
      <c r="D248"/>
      <c r="E248"/>
      <c r="F248" s="50">
        <v>44531</v>
      </c>
      <c r="G248" s="53">
        <v>79.2</v>
      </c>
      <c r="H248"/>
      <c r="I248"/>
      <c r="J248" s="38"/>
      <c r="K248" s="54"/>
      <c r="L248" s="54"/>
      <c r="M248" s="54"/>
    </row>
    <row r="249" spans="1:13" s="15" customFormat="1" x14ac:dyDescent="0.3">
      <c r="A249" s="17"/>
      <c r="B249"/>
      <c r="C249"/>
      <c r="D249"/>
      <c r="E249"/>
      <c r="F249"/>
      <c r="G249"/>
      <c r="H249"/>
      <c r="I249"/>
      <c r="J249"/>
      <c r="K249" s="27"/>
      <c r="L249" s="27"/>
      <c r="M249" s="27"/>
    </row>
    <row r="250" spans="1:13" s="15" customFormat="1" x14ac:dyDescent="0.3">
      <c r="A250" s="17"/>
      <c r="B250"/>
      <c r="C250"/>
      <c r="D250"/>
      <c r="E250"/>
      <c r="F250"/>
      <c r="G250"/>
      <c r="H250"/>
      <c r="I250"/>
      <c r="J250"/>
      <c r="K250" s="27"/>
      <c r="L250" s="27"/>
      <c r="M250" s="27"/>
    </row>
    <row r="251" spans="1:13" s="15" customFormat="1" x14ac:dyDescent="0.3">
      <c r="A251" s="17"/>
      <c r="B251"/>
      <c r="C251"/>
      <c r="D251"/>
      <c r="E251"/>
      <c r="F251"/>
      <c r="G251"/>
      <c r="H251"/>
      <c r="I251"/>
      <c r="J251"/>
      <c r="K251" s="27"/>
      <c r="L251" s="27"/>
      <c r="M251" s="27"/>
    </row>
    <row r="252" spans="1:13" s="15" customFormat="1" x14ac:dyDescent="0.3">
      <c r="A252" s="17"/>
      <c r="B252"/>
      <c r="C252"/>
      <c r="D252"/>
      <c r="E252"/>
      <c r="F252"/>
      <c r="G252"/>
      <c r="H252"/>
      <c r="I252"/>
      <c r="J252"/>
      <c r="K252" s="27"/>
      <c r="L252" s="27"/>
      <c r="M252" s="27"/>
    </row>
    <row r="253" spans="1:13" s="15" customFormat="1" x14ac:dyDescent="0.3">
      <c r="A253" s="17"/>
      <c r="B253"/>
      <c r="C253"/>
      <c r="D253"/>
      <c r="E253"/>
      <c r="F253"/>
      <c r="G253"/>
      <c r="H253"/>
      <c r="I253"/>
      <c r="J253"/>
      <c r="K253" s="27"/>
      <c r="L253" s="27"/>
      <c r="M253" s="27"/>
    </row>
    <row r="254" spans="1:13" s="15" customFormat="1" x14ac:dyDescent="0.3">
      <c r="A254" s="17"/>
      <c r="B254"/>
      <c r="C254"/>
      <c r="D254"/>
      <c r="E254"/>
      <c r="F254"/>
      <c r="G254"/>
      <c r="H254"/>
      <c r="I254"/>
      <c r="J254"/>
      <c r="K254" s="27"/>
      <c r="L254" s="27"/>
      <c r="M254" s="27"/>
    </row>
    <row r="255" spans="1:13" s="15" customFormat="1" x14ac:dyDescent="0.3">
      <c r="A255" s="17"/>
      <c r="B255"/>
      <c r="C255"/>
      <c r="D255"/>
      <c r="E255"/>
      <c r="F255"/>
      <c r="G255"/>
      <c r="H255"/>
      <c r="I255"/>
      <c r="J255"/>
      <c r="K255" s="27"/>
      <c r="L255" s="27"/>
      <c r="M255" s="27"/>
    </row>
    <row r="256" spans="1:13" s="15" customFormat="1" x14ac:dyDescent="0.3">
      <c r="A256" s="17"/>
      <c r="B256"/>
      <c r="C256"/>
      <c r="D256"/>
      <c r="E256"/>
      <c r="F256"/>
      <c r="G256"/>
      <c r="H256"/>
      <c r="I256"/>
      <c r="J256"/>
      <c r="K256" s="27"/>
      <c r="L256" s="27"/>
      <c r="M256" s="27"/>
    </row>
    <row r="257" spans="1:13" s="15" customFormat="1" x14ac:dyDescent="0.3">
      <c r="A257" s="17"/>
      <c r="B257"/>
      <c r="C257"/>
      <c r="D257"/>
      <c r="E257"/>
      <c r="F257"/>
      <c r="G257"/>
      <c r="H257"/>
      <c r="I257"/>
      <c r="J257"/>
      <c r="K257" s="27"/>
      <c r="L257" s="27"/>
      <c r="M257" s="27"/>
    </row>
    <row r="258" spans="1:13" s="15" customFormat="1" x14ac:dyDescent="0.3">
      <c r="A258" s="17"/>
      <c r="B258"/>
      <c r="C258"/>
      <c r="D258"/>
      <c r="E258"/>
      <c r="F258"/>
      <c r="G258"/>
      <c r="H258"/>
      <c r="I258"/>
      <c r="J258"/>
      <c r="K258" s="27"/>
      <c r="L258" s="27"/>
      <c r="M258" s="27"/>
    </row>
    <row r="259" spans="1:13" s="15" customFormat="1" x14ac:dyDescent="0.3">
      <c r="A259" s="17"/>
      <c r="B259"/>
      <c r="C259"/>
      <c r="D259"/>
      <c r="E259"/>
      <c r="F259"/>
      <c r="G259"/>
      <c r="H259"/>
      <c r="I259"/>
      <c r="J259"/>
      <c r="K259" s="27"/>
      <c r="L259" s="27"/>
      <c r="M259" s="27"/>
    </row>
    <row r="260" spans="1:13" s="15" customFormat="1" x14ac:dyDescent="0.3">
      <c r="A260" s="17"/>
      <c r="B260"/>
      <c r="C260"/>
      <c r="D260"/>
      <c r="E260"/>
      <c r="F260"/>
      <c r="G260"/>
      <c r="H260"/>
      <c r="I260"/>
      <c r="J260"/>
      <c r="K260" s="27"/>
      <c r="L260" s="27"/>
      <c r="M260" s="27"/>
    </row>
    <row r="261" spans="1:13" s="15" customFormat="1" x14ac:dyDescent="0.3">
      <c r="A261" s="17"/>
      <c r="B261"/>
      <c r="C261"/>
      <c r="D261"/>
      <c r="E261"/>
      <c r="F261"/>
      <c r="G261"/>
      <c r="H261"/>
      <c r="I261"/>
      <c r="J261"/>
      <c r="K261" s="27"/>
      <c r="L261" s="27"/>
      <c r="M261" s="27"/>
    </row>
    <row r="262" spans="1:13" s="15" customFormat="1" x14ac:dyDescent="0.3">
      <c r="A262" s="17"/>
      <c r="B262"/>
      <c r="C262"/>
      <c r="D262"/>
      <c r="E262"/>
      <c r="F262"/>
      <c r="G262"/>
      <c r="H262"/>
      <c r="I262"/>
      <c r="J262"/>
      <c r="K262" s="27"/>
      <c r="L262" s="27"/>
      <c r="M262" s="27"/>
    </row>
    <row r="263" spans="1:13" s="15" customFormat="1" x14ac:dyDescent="0.3">
      <c r="A263" s="17"/>
      <c r="B263"/>
      <c r="C263"/>
      <c r="D263"/>
      <c r="E263"/>
      <c r="F263"/>
      <c r="G263"/>
      <c r="H263"/>
      <c r="I263"/>
      <c r="J263"/>
      <c r="K263" s="27"/>
      <c r="L263" s="27"/>
      <c r="M263" s="27"/>
    </row>
    <row r="264" spans="1:13" s="15" customFormat="1" x14ac:dyDescent="0.3">
      <c r="A264" s="17"/>
      <c r="B264"/>
      <c r="C264"/>
      <c r="D264"/>
      <c r="E264"/>
      <c r="F264"/>
      <c r="G264"/>
      <c r="H264"/>
      <c r="I264"/>
      <c r="J264"/>
      <c r="K264" s="27"/>
      <c r="L264" s="27"/>
      <c r="M264" s="27"/>
    </row>
    <row r="265" spans="1:13" s="15" customFormat="1" x14ac:dyDescent="0.3">
      <c r="A265" s="17"/>
      <c r="B265"/>
      <c r="C265"/>
      <c r="D265"/>
      <c r="E265"/>
      <c r="F265"/>
      <c r="G265"/>
      <c r="H265"/>
      <c r="I265"/>
      <c r="J265"/>
      <c r="K265" s="27"/>
      <c r="L265" s="27"/>
      <c r="M265" s="27"/>
    </row>
    <row r="266" spans="1:13" s="15" customFormat="1" x14ac:dyDescent="0.3">
      <c r="A266" s="17"/>
      <c r="B266"/>
      <c r="C266"/>
      <c r="D266"/>
      <c r="E266"/>
      <c r="F266"/>
      <c r="G266"/>
      <c r="H266"/>
      <c r="I266"/>
      <c r="J266"/>
      <c r="K266" s="27"/>
      <c r="L266" s="27"/>
      <c r="M266" s="27"/>
    </row>
    <row r="267" spans="1:13" s="15" customFormat="1" x14ac:dyDescent="0.3">
      <c r="A267" s="17"/>
      <c r="B267"/>
      <c r="C267"/>
      <c r="D267"/>
      <c r="E267"/>
      <c r="F267"/>
      <c r="G267"/>
      <c r="H267"/>
      <c r="I267"/>
      <c r="J267"/>
      <c r="K267" s="27"/>
      <c r="L267" s="27"/>
      <c r="M267" s="27"/>
    </row>
    <row r="268" spans="1:13" s="15" customFormat="1" x14ac:dyDescent="0.3">
      <c r="A268" s="17"/>
      <c r="B268"/>
      <c r="C268"/>
      <c r="D268"/>
      <c r="E268"/>
      <c r="F268"/>
      <c r="G268"/>
      <c r="H268"/>
      <c r="I268"/>
      <c r="J268"/>
      <c r="K268" s="27"/>
      <c r="L268" s="27"/>
      <c r="M268" s="27"/>
    </row>
    <row r="269" spans="1:13" s="15" customFormat="1" x14ac:dyDescent="0.3">
      <c r="A269" s="17"/>
      <c r="B269"/>
      <c r="C269"/>
      <c r="D269"/>
      <c r="E269"/>
      <c r="F269"/>
      <c r="G269"/>
      <c r="H269"/>
      <c r="I269"/>
      <c r="J269"/>
      <c r="K269" s="27"/>
      <c r="L269" s="27"/>
      <c r="M269" s="27"/>
    </row>
    <row r="270" spans="1:13" s="15" customFormat="1" x14ac:dyDescent="0.3">
      <c r="A270" s="17"/>
      <c r="B270"/>
      <c r="C270"/>
      <c r="D270"/>
      <c r="E270"/>
      <c r="F270"/>
      <c r="G270"/>
      <c r="H270"/>
      <c r="I270"/>
      <c r="J270"/>
      <c r="K270" s="27"/>
      <c r="L270" s="27"/>
      <c r="M270" s="27"/>
    </row>
    <row r="271" spans="1:13" s="15" customFormat="1" x14ac:dyDescent="0.3">
      <c r="A271" s="17"/>
      <c r="B271"/>
      <c r="C271"/>
      <c r="D271"/>
      <c r="E271"/>
      <c r="F271"/>
      <c r="G271"/>
      <c r="H271"/>
      <c r="I271"/>
      <c r="J271"/>
      <c r="K271" s="27"/>
      <c r="L271" s="27"/>
      <c r="M271" s="27"/>
    </row>
    <row r="272" spans="1:13" s="15" customFormat="1" x14ac:dyDescent="0.3">
      <c r="A272" s="17"/>
      <c r="B272"/>
      <c r="C272"/>
      <c r="D272"/>
      <c r="E272"/>
      <c r="F272"/>
      <c r="G272"/>
      <c r="H272"/>
      <c r="I272"/>
      <c r="J272"/>
      <c r="K272" s="27"/>
      <c r="L272" s="27"/>
      <c r="M272" s="27"/>
    </row>
    <row r="273" spans="1:13" s="15" customFormat="1" x14ac:dyDescent="0.3">
      <c r="A273" s="17"/>
      <c r="B273"/>
      <c r="C273"/>
      <c r="D273"/>
      <c r="E273"/>
      <c r="F273"/>
      <c r="G273"/>
      <c r="H273"/>
      <c r="I273"/>
      <c r="J273"/>
      <c r="K273" s="27"/>
      <c r="L273" s="27"/>
      <c r="M273" s="27"/>
    </row>
    <row r="274" spans="1:13" s="15" customFormat="1" x14ac:dyDescent="0.3">
      <c r="A274" s="17"/>
      <c r="B274"/>
      <c r="C274"/>
      <c r="D274"/>
      <c r="E274"/>
      <c r="F274"/>
      <c r="G274"/>
      <c r="H274"/>
      <c r="I274"/>
      <c r="J274"/>
      <c r="K274" s="27"/>
      <c r="L274" s="27"/>
      <c r="M274" s="27"/>
    </row>
    <row r="275" spans="1:13" s="15" customFormat="1" x14ac:dyDescent="0.3">
      <c r="A275" s="17"/>
      <c r="B275"/>
      <c r="C275"/>
      <c r="D275"/>
      <c r="E275"/>
      <c r="F275"/>
      <c r="G275"/>
      <c r="H275"/>
      <c r="I275"/>
      <c r="J275"/>
      <c r="K275" s="27"/>
      <c r="L275" s="27"/>
      <c r="M275" s="27"/>
    </row>
    <row r="276" spans="1:13" s="15" customFormat="1" x14ac:dyDescent="0.3">
      <c r="A276" s="17"/>
      <c r="B276"/>
      <c r="C276"/>
      <c r="D276"/>
      <c r="E276"/>
      <c r="F276"/>
      <c r="G276"/>
      <c r="H276"/>
      <c r="I276"/>
      <c r="J276"/>
      <c r="K276" s="27"/>
      <c r="L276" s="27"/>
      <c r="M276" s="27"/>
    </row>
    <row r="277" spans="1:13" s="15" customFormat="1" x14ac:dyDescent="0.3">
      <c r="A277" s="17"/>
      <c r="B277"/>
      <c r="C277"/>
      <c r="D277"/>
      <c r="E277"/>
      <c r="F277"/>
      <c r="G277"/>
      <c r="H277"/>
      <c r="I277"/>
      <c r="J277"/>
      <c r="K277" s="27"/>
      <c r="L277" s="27"/>
      <c r="M277" s="27"/>
    </row>
    <row r="278" spans="1:13" s="15" customFormat="1" x14ac:dyDescent="0.3">
      <c r="A278" s="17"/>
      <c r="B278"/>
      <c r="C278"/>
      <c r="D278"/>
      <c r="E278"/>
      <c r="F278"/>
      <c r="G278"/>
      <c r="H278"/>
      <c r="I278"/>
      <c r="J278"/>
      <c r="K278" s="27"/>
      <c r="L278" s="27"/>
      <c r="M278" s="27"/>
    </row>
    <row r="279" spans="1:13" s="15" customFormat="1" x14ac:dyDescent="0.3">
      <c r="A279" s="17"/>
      <c r="B279"/>
      <c r="C279"/>
      <c r="D279"/>
      <c r="E279"/>
      <c r="F279"/>
      <c r="G279"/>
      <c r="H279"/>
      <c r="I279"/>
      <c r="J279"/>
      <c r="K279" s="27"/>
      <c r="L279" s="27"/>
      <c r="M279" s="27"/>
    </row>
    <row r="280" spans="1:13" s="15" customFormat="1" x14ac:dyDescent="0.3">
      <c r="A280" s="17"/>
      <c r="B280"/>
      <c r="C280"/>
      <c r="D280"/>
      <c r="E280"/>
      <c r="F280"/>
      <c r="G280"/>
      <c r="H280"/>
      <c r="I280"/>
      <c r="J280"/>
      <c r="K280" s="27"/>
      <c r="L280" s="27"/>
      <c r="M280" s="27"/>
    </row>
    <row r="281" spans="1:13" s="15" customFormat="1" x14ac:dyDescent="0.3">
      <c r="A281" s="17"/>
      <c r="B281"/>
      <c r="C281"/>
      <c r="D281"/>
      <c r="E281"/>
      <c r="F281"/>
      <c r="G281"/>
      <c r="H281"/>
      <c r="I281"/>
      <c r="J281"/>
      <c r="K281" s="27"/>
      <c r="L281" s="27"/>
      <c r="M281" s="27"/>
    </row>
    <row r="282" spans="1:13" s="15" customFormat="1" x14ac:dyDescent="0.3">
      <c r="A282" s="17"/>
      <c r="B282"/>
      <c r="C282"/>
      <c r="D282"/>
      <c r="E282"/>
      <c r="F282"/>
      <c r="G282"/>
      <c r="H282"/>
      <c r="I282"/>
      <c r="J282"/>
      <c r="K282" s="27"/>
      <c r="L282" s="27"/>
      <c r="M282" s="27"/>
    </row>
    <row r="283" spans="1:13" s="15" customFormat="1" x14ac:dyDescent="0.3">
      <c r="A283" s="17"/>
      <c r="B283"/>
      <c r="C283"/>
      <c r="D283"/>
      <c r="E283"/>
      <c r="F283"/>
      <c r="G283"/>
      <c r="H283"/>
      <c r="I283"/>
      <c r="J283"/>
      <c r="K283" s="27"/>
      <c r="L283" s="27"/>
      <c r="M283" s="27"/>
    </row>
    <row r="284" spans="1:13" s="15" customFormat="1" x14ac:dyDescent="0.3">
      <c r="A284" s="17"/>
      <c r="B284"/>
      <c r="C284"/>
      <c r="D284"/>
      <c r="E284"/>
      <c r="F284"/>
      <c r="G284"/>
      <c r="H284"/>
      <c r="I284"/>
      <c r="J284"/>
      <c r="K284" s="27"/>
      <c r="L284" s="27"/>
      <c r="M284" s="27"/>
    </row>
    <row r="285" spans="1:13" s="15" customFormat="1" x14ac:dyDescent="0.3">
      <c r="A285" s="17"/>
      <c r="B285"/>
      <c r="C285"/>
      <c r="D285"/>
      <c r="E285"/>
      <c r="F285"/>
      <c r="G285"/>
      <c r="H285"/>
      <c r="I285"/>
      <c r="J285"/>
      <c r="K285" s="27"/>
      <c r="L285" s="27"/>
      <c r="M285" s="27"/>
    </row>
    <row r="286" spans="1:13" s="15" customFormat="1" x14ac:dyDescent="0.3">
      <c r="A286" s="17"/>
      <c r="B286"/>
      <c r="C286"/>
      <c r="D286"/>
      <c r="E286"/>
      <c r="F286"/>
      <c r="G286"/>
      <c r="H286"/>
      <c r="I286"/>
      <c r="J286"/>
      <c r="K286" s="27"/>
      <c r="L286" s="27"/>
      <c r="M286" s="27"/>
    </row>
    <row r="287" spans="1:13" s="15" customFormat="1" x14ac:dyDescent="0.3">
      <c r="A287" s="17"/>
      <c r="B287"/>
      <c r="C287"/>
      <c r="D287"/>
      <c r="E287"/>
      <c r="F287"/>
      <c r="G287"/>
      <c r="H287"/>
      <c r="I287"/>
      <c r="J287"/>
      <c r="K287" s="27"/>
      <c r="L287" s="27"/>
      <c r="M287" s="27"/>
    </row>
    <row r="288" spans="1:13" s="15" customFormat="1" x14ac:dyDescent="0.3">
      <c r="A288" s="17"/>
      <c r="B288"/>
      <c r="C288"/>
      <c r="D288"/>
      <c r="E288"/>
      <c r="F288"/>
      <c r="G288"/>
      <c r="H288"/>
      <c r="I288"/>
      <c r="J288"/>
      <c r="K288" s="27"/>
      <c r="L288" s="27"/>
      <c r="M288" s="27"/>
    </row>
    <row r="289" spans="1:13" s="15" customFormat="1" x14ac:dyDescent="0.3">
      <c r="A289" s="17"/>
      <c r="B289"/>
      <c r="C289"/>
      <c r="D289"/>
      <c r="E289"/>
      <c r="F289"/>
      <c r="G289"/>
      <c r="H289"/>
      <c r="I289"/>
      <c r="J289"/>
      <c r="K289" s="27"/>
      <c r="L289" s="27"/>
      <c r="M289" s="27"/>
    </row>
    <row r="290" spans="1:13" s="15" customFormat="1" x14ac:dyDescent="0.3">
      <c r="A290" s="17"/>
      <c r="B290"/>
      <c r="C290"/>
      <c r="D290"/>
      <c r="E290"/>
      <c r="F290"/>
      <c r="G290"/>
      <c r="H290"/>
      <c r="I290"/>
      <c r="J290"/>
      <c r="K290" s="27"/>
      <c r="L290" s="27"/>
      <c r="M290" s="27"/>
    </row>
    <row r="291" spans="1:13" s="15" customFormat="1" x14ac:dyDescent="0.3">
      <c r="A291" s="17"/>
      <c r="B291"/>
      <c r="C291"/>
      <c r="D291"/>
      <c r="E291"/>
      <c r="F291"/>
      <c r="G291"/>
      <c r="H291"/>
      <c r="I291"/>
      <c r="J291"/>
      <c r="K291" s="27"/>
      <c r="L291" s="27"/>
      <c r="M291" s="27"/>
    </row>
    <row r="292" spans="1:13" s="15" customFormat="1" x14ac:dyDescent="0.3">
      <c r="A292" s="17"/>
      <c r="B292"/>
      <c r="C292"/>
      <c r="D292"/>
      <c r="E292"/>
      <c r="F292"/>
      <c r="G292"/>
      <c r="H292"/>
      <c r="I292"/>
      <c r="J292"/>
      <c r="K292" s="27"/>
      <c r="L292" s="27"/>
      <c r="M292" s="27"/>
    </row>
    <row r="293" spans="1:13" s="15" customFormat="1" x14ac:dyDescent="0.3">
      <c r="A293" s="17"/>
      <c r="B293"/>
      <c r="C293"/>
      <c r="D293"/>
      <c r="E293"/>
      <c r="F293"/>
      <c r="G293"/>
      <c r="H293"/>
      <c r="I293"/>
      <c r="J293"/>
      <c r="K293" s="27"/>
      <c r="L293" s="27"/>
      <c r="M293" s="27"/>
    </row>
    <row r="294" spans="1:13" s="15" customFormat="1" x14ac:dyDescent="0.3">
      <c r="A294" s="17"/>
      <c r="B294"/>
      <c r="C294"/>
      <c r="D294"/>
      <c r="E294"/>
      <c r="F294"/>
      <c r="G294"/>
      <c r="H294"/>
      <c r="I294"/>
      <c r="J294"/>
      <c r="K294" s="27"/>
      <c r="L294" s="27"/>
      <c r="M294" s="27"/>
    </row>
    <row r="295" spans="1:13" s="15" customFormat="1" x14ac:dyDescent="0.3">
      <c r="A295" s="17"/>
      <c r="B295"/>
      <c r="C295"/>
      <c r="D295"/>
      <c r="E295"/>
      <c r="F295"/>
      <c r="G295"/>
      <c r="H295"/>
      <c r="I295"/>
      <c r="J295"/>
      <c r="K295" s="27"/>
      <c r="L295" s="27"/>
      <c r="M295" s="27"/>
    </row>
    <row r="296" spans="1:13" s="15" customFormat="1" x14ac:dyDescent="0.3">
      <c r="A296" s="17"/>
      <c r="B296"/>
      <c r="C296"/>
      <c r="D296"/>
      <c r="E296"/>
      <c r="F296"/>
      <c r="G296"/>
      <c r="H296"/>
      <c r="I296"/>
      <c r="J296"/>
      <c r="K296" s="27"/>
      <c r="L296" s="27"/>
      <c r="M296" s="27"/>
    </row>
    <row r="297" spans="1:13" s="15" customFormat="1" x14ac:dyDescent="0.3">
      <c r="A297" s="17"/>
      <c r="B297"/>
      <c r="C297"/>
      <c r="D297"/>
      <c r="E297"/>
      <c r="F297"/>
      <c r="G297"/>
      <c r="H297"/>
      <c r="I297"/>
      <c r="J297"/>
      <c r="K297" s="27"/>
      <c r="L297" s="27"/>
      <c r="M297" s="27"/>
    </row>
    <row r="298" spans="1:13" s="15" customFormat="1" x14ac:dyDescent="0.3">
      <c r="A298" s="17"/>
      <c r="B298"/>
      <c r="C298"/>
      <c r="D298"/>
      <c r="E298"/>
      <c r="F298"/>
      <c r="G298"/>
      <c r="H298"/>
      <c r="I298"/>
      <c r="J298"/>
      <c r="K298" s="27"/>
      <c r="L298" s="27"/>
      <c r="M298" s="27"/>
    </row>
  </sheetData>
  <mergeCells count="1">
    <mergeCell ref="D12:D13"/>
  </mergeCells>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0A7B4-B54D-4B7E-9757-9DBB3A0D8955}">
  <sheetPr codeName="Planilha41">
    <tabColor theme="9" tint="0.59999389629810485"/>
  </sheetPr>
  <dimension ref="A1:AB300"/>
  <sheetViews>
    <sheetView showGridLines="0" workbookViewId="0">
      <selection activeCell="D7" sqref="D7"/>
    </sheetView>
  </sheetViews>
  <sheetFormatPr defaultColWidth="8.85546875" defaultRowHeight="18.75" x14ac:dyDescent="0.3"/>
  <cols>
    <col min="1" max="1" width="12.7109375" style="17" customWidth="1"/>
    <col min="2" max="2" width="33.140625" customWidth="1"/>
    <col min="4" max="4" width="44.28515625" bestFit="1" customWidth="1"/>
    <col min="5" max="5" width="4.5703125" customWidth="1"/>
    <col min="6" max="9" width="7.140625" bestFit="1" customWidth="1"/>
    <col min="10" max="11" width="9.28515625" bestFit="1" customWidth="1"/>
    <col min="12" max="13" width="10.5703125" bestFit="1" customWidth="1"/>
    <col min="15" max="17" width="5.5703125" style="15" bestFit="1" customWidth="1"/>
    <col min="18" max="18" width="6.140625" style="15" customWidth="1"/>
    <col min="19" max="21" width="5.5703125" style="15" bestFit="1" customWidth="1"/>
    <col min="22" max="28" width="8.85546875" style="15"/>
  </cols>
  <sheetData>
    <row r="1" spans="1:28" x14ac:dyDescent="0.3">
      <c r="A1" s="16" t="s">
        <v>524</v>
      </c>
      <c r="O1" s="14"/>
      <c r="P1" s="14"/>
      <c r="Q1" s="14"/>
      <c r="R1" s="14"/>
      <c r="S1" s="14"/>
      <c r="T1" s="14"/>
      <c r="U1" s="14"/>
      <c r="V1" s="14"/>
      <c r="W1" s="14"/>
      <c r="X1" s="14"/>
      <c r="Y1" s="14"/>
      <c r="Z1" s="14"/>
      <c r="AA1" s="14"/>
      <c r="AB1" s="14"/>
    </row>
    <row r="2" spans="1:28" x14ac:dyDescent="0.3">
      <c r="A2" s="17" t="s">
        <v>525</v>
      </c>
      <c r="O2" s="14"/>
      <c r="P2" s="14"/>
      <c r="Q2" s="14"/>
      <c r="R2" s="14"/>
      <c r="S2" s="14"/>
      <c r="T2" s="14"/>
      <c r="U2" s="14"/>
      <c r="V2" s="14"/>
      <c r="W2" s="14"/>
      <c r="X2" s="14"/>
      <c r="Y2" s="14"/>
      <c r="Z2" s="14"/>
      <c r="AA2" s="14"/>
      <c r="AB2" s="14"/>
    </row>
    <row r="4" spans="1:28" ht="15.75" x14ac:dyDescent="0.25">
      <c r="A4" s="2" t="s">
        <v>15</v>
      </c>
      <c r="B4" s="2" t="s">
        <v>16</v>
      </c>
    </row>
    <row r="5" spans="1:28" ht="15.75" x14ac:dyDescent="0.25">
      <c r="A5" s="23" t="s">
        <v>167</v>
      </c>
      <c r="B5" s="24" t="s">
        <v>169</v>
      </c>
    </row>
    <row r="6" spans="1:28" ht="31.5" x14ac:dyDescent="0.25">
      <c r="A6" s="23" t="s">
        <v>56</v>
      </c>
      <c r="B6" s="24" t="s">
        <v>526</v>
      </c>
    </row>
    <row r="7" spans="1:28" ht="47.25" x14ac:dyDescent="0.25">
      <c r="A7" s="23" t="s">
        <v>86</v>
      </c>
      <c r="B7" s="24" t="s">
        <v>358</v>
      </c>
    </row>
    <row r="8" spans="1:28" ht="31.5" x14ac:dyDescent="0.25">
      <c r="A8" s="23" t="s">
        <v>527</v>
      </c>
      <c r="B8" s="24" t="s">
        <v>530</v>
      </c>
    </row>
    <row r="9" spans="1:28" ht="47.25" customHeight="1" x14ac:dyDescent="0.25">
      <c r="A9" s="23" t="s">
        <v>211</v>
      </c>
      <c r="B9" s="24" t="s">
        <v>529</v>
      </c>
    </row>
    <row r="10" spans="1:28" x14ac:dyDescent="0.3">
      <c r="D10" s="1" t="s">
        <v>17</v>
      </c>
      <c r="G10" s="132" t="s">
        <v>167</v>
      </c>
      <c r="H10" s="135"/>
      <c r="I10" s="133"/>
      <c r="J10" s="13" t="s">
        <v>36</v>
      </c>
      <c r="K10" s="13" t="s">
        <v>138</v>
      </c>
      <c r="L10" s="13" t="s">
        <v>522</v>
      </c>
      <c r="M10" s="13" t="s">
        <v>214</v>
      </c>
    </row>
    <row r="11" spans="1:28" x14ac:dyDescent="0.3">
      <c r="D11" t="s">
        <v>178</v>
      </c>
      <c r="F11" s="50">
        <v>37257</v>
      </c>
      <c r="G11" s="53">
        <v>72.400000000000006</v>
      </c>
      <c r="H11" s="53">
        <v>144.80000000000001</v>
      </c>
      <c r="I11" s="53">
        <v>72.400000000000006</v>
      </c>
      <c r="J11" s="55">
        <v>3</v>
      </c>
      <c r="K11" s="55">
        <v>1</v>
      </c>
      <c r="L11" s="55" t="s">
        <v>528</v>
      </c>
      <c r="M11" s="55" t="b">
        <v>1</v>
      </c>
      <c r="O11" s="54" t="e" cm="1">
        <f t="array" ref="O11:Q250">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AVERAGE(INDEX(_xlpm.values, _xlfn.SEQUENCE(_xlpm.n,1,_xlpm.row-_xlpm.n+1), _xlpm.col))))) ), _xlpm.dropParam, 0),
IF(_xlpm.dim=2,
_xlfn.DROP( IF(_xlpm.n=1, _xlpm.values, _xlfn.MAKEARRAY(ROWS(_xlpm.values), COLUMNS(_xlpm.values), _xlfn.LAMBDA(_xlpm.row,_xlpm.col, IF(_xlpm.col &lt; _xlpm.n, NA(), AVERAGE(INDEX(_xlpm.values, _xlpm.row, _xlfn.SEQUENCE(1,_xlpm.n,_xlpm.col-_xlpm.n+1)))))) ), 0, _xlpm.dropParam),
"# dim must be either 1 or 2"
))
) )($G$11:$I$250,$J$11,$K$11,$L$11,$M$11)</f>
        <v>#N/A</v>
      </c>
      <c r="P11" s="54" t="e">
        <v>#N/A</v>
      </c>
      <c r="Q11" s="54" t="e">
        <v>#N/A</v>
      </c>
      <c r="R11" s="54"/>
      <c r="S11" s="54" t="e" cm="1">
        <f t="array" ref="S11:U250">MOVAVG($G$11:$I$250,$J$11,$K$11,$L$11,$M$11)</f>
        <v>#N/A</v>
      </c>
      <c r="T11" s="54" t="e">
        <v>#N/A</v>
      </c>
      <c r="U11" s="54" t="e">
        <v>#N/A</v>
      </c>
    </row>
    <row r="12" spans="1:28" x14ac:dyDescent="0.3">
      <c r="D12" t="s">
        <v>179</v>
      </c>
      <c r="F12" s="50">
        <v>37288</v>
      </c>
      <c r="G12" s="53">
        <v>69.7</v>
      </c>
      <c r="H12" s="53">
        <v>139.4</v>
      </c>
      <c r="I12" s="53">
        <v>69.7</v>
      </c>
      <c r="N12" s="38"/>
      <c r="O12" s="54" t="e">
        <v>#N/A</v>
      </c>
      <c r="P12" s="54" t="e">
        <v>#N/A</v>
      </c>
      <c r="Q12" s="54" t="e">
        <v>#N/A</v>
      </c>
      <c r="R12" s="54"/>
      <c r="S12" s="54" t="e">
        <v>#N/A</v>
      </c>
      <c r="T12" s="54" t="e">
        <v>#N/A</v>
      </c>
      <c r="U12" s="54" t="e">
        <v>#N/A</v>
      </c>
    </row>
    <row r="13" spans="1:28" x14ac:dyDescent="0.3">
      <c r="F13" s="50">
        <v>37316</v>
      </c>
      <c r="G13" s="53">
        <v>77.400000000000006</v>
      </c>
      <c r="H13" s="53">
        <v>154.80000000000001</v>
      </c>
      <c r="I13" s="53">
        <v>77.400000000000006</v>
      </c>
      <c r="N13" s="38"/>
      <c r="O13" s="54">
        <v>73.166666666666671</v>
      </c>
      <c r="P13" s="54">
        <v>146.33333333333334</v>
      </c>
      <c r="Q13" s="54">
        <v>73.166666666666671</v>
      </c>
      <c r="R13" s="54"/>
      <c r="S13" s="54">
        <v>73.166666666666671</v>
      </c>
      <c r="T13" s="54">
        <v>146.33333333333334</v>
      </c>
      <c r="U13" s="54">
        <v>73.166666666666671</v>
      </c>
    </row>
    <row r="14" spans="1:28" ht="18.75" customHeight="1" x14ac:dyDescent="0.3">
      <c r="D14" s="134"/>
      <c r="F14" s="50">
        <v>37347</v>
      </c>
      <c r="G14" s="53">
        <v>79.599999999999994</v>
      </c>
      <c r="H14" s="53">
        <v>159.19999999999999</v>
      </c>
      <c r="I14" s="53">
        <v>79.599999999999994</v>
      </c>
      <c r="N14" s="38"/>
      <c r="O14" s="54">
        <v>75.566666666666677</v>
      </c>
      <c r="P14" s="54">
        <v>151.13333333333335</v>
      </c>
      <c r="Q14" s="54">
        <v>75.566666666666677</v>
      </c>
      <c r="R14" s="54"/>
      <c r="S14" s="54">
        <v>75.566666666666677</v>
      </c>
      <c r="T14" s="54">
        <v>151.13333333333335</v>
      </c>
      <c r="U14" s="54">
        <v>75.566666666666677</v>
      </c>
    </row>
    <row r="15" spans="1:28" x14ac:dyDescent="0.3">
      <c r="D15" s="134"/>
      <c r="F15" s="50">
        <v>37377</v>
      </c>
      <c r="G15" s="53">
        <v>80.400000000000006</v>
      </c>
      <c r="H15" s="53">
        <v>160.80000000000001</v>
      </c>
      <c r="I15" s="53">
        <v>80.400000000000006</v>
      </c>
      <c r="N15" s="38"/>
      <c r="O15" s="54">
        <v>79.13333333333334</v>
      </c>
      <c r="P15" s="54">
        <v>158.26666666666668</v>
      </c>
      <c r="Q15" s="54">
        <v>79.13333333333334</v>
      </c>
      <c r="R15" s="54"/>
      <c r="S15" s="54">
        <v>79.13333333333334</v>
      </c>
      <c r="T15" s="54">
        <v>158.26666666666668</v>
      </c>
      <c r="U15" s="54">
        <v>79.13333333333334</v>
      </c>
    </row>
    <row r="16" spans="1:28" x14ac:dyDescent="0.3">
      <c r="D16" s="47"/>
      <c r="F16" s="50">
        <v>37408</v>
      </c>
      <c r="G16" s="53">
        <v>77.5</v>
      </c>
      <c r="H16" s="53">
        <v>155</v>
      </c>
      <c r="I16" s="53">
        <v>77.5</v>
      </c>
      <c r="N16" s="38"/>
      <c r="O16" s="54">
        <v>79.166666666666671</v>
      </c>
      <c r="P16" s="54">
        <v>158.33333333333334</v>
      </c>
      <c r="Q16" s="54">
        <v>79.166666666666671</v>
      </c>
      <c r="R16" s="54"/>
      <c r="S16" s="54">
        <v>79.166666666666671</v>
      </c>
      <c r="T16" s="54">
        <v>158.33333333333334</v>
      </c>
      <c r="U16" s="54">
        <v>79.166666666666671</v>
      </c>
    </row>
    <row r="17" spans="1:21" x14ac:dyDescent="0.3">
      <c r="F17" s="50">
        <v>37438</v>
      </c>
      <c r="G17" s="53">
        <v>83.3</v>
      </c>
      <c r="H17" s="53">
        <v>166.6</v>
      </c>
      <c r="I17" s="53">
        <v>83.3</v>
      </c>
      <c r="N17" s="38"/>
      <c r="O17" s="54">
        <v>80.399999999999991</v>
      </c>
      <c r="P17" s="54">
        <v>160.79999999999998</v>
      </c>
      <c r="Q17" s="54">
        <v>80.399999999999991</v>
      </c>
      <c r="R17" s="54"/>
      <c r="S17" s="54">
        <v>80.399999999999991</v>
      </c>
      <c r="T17" s="54">
        <v>160.79999999999998</v>
      </c>
      <c r="U17" s="54">
        <v>80.399999999999991</v>
      </c>
    </row>
    <row r="18" spans="1:21" x14ac:dyDescent="0.3">
      <c r="F18" s="50">
        <v>37469</v>
      </c>
      <c r="G18" s="53">
        <v>83.6</v>
      </c>
      <c r="H18" s="53">
        <v>167.2</v>
      </c>
      <c r="I18" s="53">
        <v>83.6</v>
      </c>
      <c r="N18" s="38"/>
      <c r="O18" s="54">
        <v>81.466666666666669</v>
      </c>
      <c r="P18" s="54">
        <v>162.93333333333334</v>
      </c>
      <c r="Q18" s="54">
        <v>81.466666666666669</v>
      </c>
      <c r="R18" s="54"/>
      <c r="S18" s="54">
        <v>81.466666666666669</v>
      </c>
      <c r="T18" s="54">
        <v>162.93333333333334</v>
      </c>
      <c r="U18" s="54">
        <v>81.466666666666669</v>
      </c>
    </row>
    <row r="19" spans="1:21" s="15" customFormat="1" x14ac:dyDescent="0.3">
      <c r="A19" s="17"/>
      <c r="B19"/>
      <c r="C19"/>
      <c r="D19"/>
      <c r="E19"/>
      <c r="F19" s="50">
        <v>37500</v>
      </c>
      <c r="G19" s="53">
        <v>82.1</v>
      </c>
      <c r="H19" s="53">
        <v>164.2</v>
      </c>
      <c r="I19" s="53">
        <v>82.1</v>
      </c>
      <c r="J19"/>
      <c r="K19"/>
      <c r="L19"/>
      <c r="M19"/>
      <c r="N19" s="38"/>
      <c r="O19" s="54">
        <v>82.999999999999986</v>
      </c>
      <c r="P19" s="54">
        <v>165.99999999999997</v>
      </c>
      <c r="Q19" s="54">
        <v>82.999999999999986</v>
      </c>
      <c r="R19" s="54"/>
      <c r="S19" s="54">
        <v>82.999999999999986</v>
      </c>
      <c r="T19" s="54">
        <v>165.99999999999997</v>
      </c>
      <c r="U19" s="54">
        <v>82.999999999999986</v>
      </c>
    </row>
    <row r="20" spans="1:21" s="15" customFormat="1" x14ac:dyDescent="0.3">
      <c r="A20" s="17"/>
      <c r="B20"/>
      <c r="C20"/>
      <c r="D20"/>
      <c r="E20"/>
      <c r="F20" s="50">
        <v>37530</v>
      </c>
      <c r="G20" s="53">
        <v>89.2</v>
      </c>
      <c r="H20" s="53">
        <v>178.4</v>
      </c>
      <c r="I20" s="53">
        <v>89.2</v>
      </c>
      <c r="J20"/>
      <c r="K20"/>
      <c r="L20"/>
      <c r="M20"/>
      <c r="N20" s="38"/>
      <c r="O20" s="54">
        <v>84.966666666666654</v>
      </c>
      <c r="P20" s="54">
        <v>169.93333333333331</v>
      </c>
      <c r="Q20" s="54">
        <v>84.966666666666654</v>
      </c>
      <c r="R20" s="54"/>
      <c r="S20" s="54">
        <v>84.966666666666654</v>
      </c>
      <c r="T20" s="54">
        <v>169.93333333333331</v>
      </c>
      <c r="U20" s="54">
        <v>84.966666666666654</v>
      </c>
    </row>
    <row r="21" spans="1:21" s="15" customFormat="1" x14ac:dyDescent="0.3">
      <c r="A21" s="17"/>
      <c r="B21"/>
      <c r="C21"/>
      <c r="D21"/>
      <c r="E21"/>
      <c r="F21" s="50">
        <v>37561</v>
      </c>
      <c r="G21" s="53">
        <v>83.9</v>
      </c>
      <c r="H21" s="53">
        <v>167.8</v>
      </c>
      <c r="I21" s="53">
        <v>83.9</v>
      </c>
      <c r="J21"/>
      <c r="K21"/>
      <c r="L21"/>
      <c r="M21"/>
      <c r="N21" s="38"/>
      <c r="O21" s="54">
        <v>85.066666666666677</v>
      </c>
      <c r="P21" s="54">
        <v>170.13333333333335</v>
      </c>
      <c r="Q21" s="54">
        <v>85.066666666666677</v>
      </c>
      <c r="R21" s="54"/>
      <c r="S21" s="54">
        <v>85.066666666666677</v>
      </c>
      <c r="T21" s="54">
        <v>170.13333333333335</v>
      </c>
      <c r="U21" s="54">
        <v>85.066666666666677</v>
      </c>
    </row>
    <row r="22" spans="1:21" s="15" customFormat="1" x14ac:dyDescent="0.3">
      <c r="A22" s="17"/>
      <c r="B22"/>
      <c r="C22"/>
      <c r="D22"/>
      <c r="E22"/>
      <c r="F22" s="50">
        <v>37591</v>
      </c>
      <c r="G22" s="53">
        <v>74.599999999999994</v>
      </c>
      <c r="H22" s="53">
        <v>149.19999999999999</v>
      </c>
      <c r="I22" s="53">
        <v>74.599999999999994</v>
      </c>
      <c r="J22"/>
      <c r="K22"/>
      <c r="L22"/>
      <c r="M22"/>
      <c r="N22" s="38"/>
      <c r="O22" s="54">
        <v>82.566666666666677</v>
      </c>
      <c r="P22" s="54">
        <v>165.13333333333335</v>
      </c>
      <c r="Q22" s="54">
        <v>82.566666666666677</v>
      </c>
      <c r="R22" s="54"/>
      <c r="S22" s="54">
        <v>82.566666666666677</v>
      </c>
      <c r="T22" s="54">
        <v>165.13333333333335</v>
      </c>
      <c r="U22" s="54">
        <v>82.566666666666677</v>
      </c>
    </row>
    <row r="23" spans="1:21" s="15" customFormat="1" x14ac:dyDescent="0.3">
      <c r="A23" s="17"/>
      <c r="B23"/>
      <c r="C23"/>
      <c r="D23"/>
      <c r="E23"/>
      <c r="F23" s="50">
        <v>37622</v>
      </c>
      <c r="G23" s="53">
        <v>74</v>
      </c>
      <c r="H23" s="53">
        <v>148</v>
      </c>
      <c r="I23" s="53">
        <v>74</v>
      </c>
      <c r="J23"/>
      <c r="K23"/>
      <c r="L23"/>
      <c r="M23"/>
      <c r="N23" s="38"/>
      <c r="O23" s="54">
        <v>77.5</v>
      </c>
      <c r="P23" s="54">
        <v>155</v>
      </c>
      <c r="Q23" s="54">
        <v>77.5</v>
      </c>
      <c r="R23" s="54"/>
      <c r="S23" s="54">
        <v>77.5</v>
      </c>
      <c r="T23" s="54">
        <v>155</v>
      </c>
      <c r="U23" s="54">
        <v>77.5</v>
      </c>
    </row>
    <row r="24" spans="1:21" s="15" customFormat="1" x14ac:dyDescent="0.3">
      <c r="A24" s="17"/>
      <c r="B24"/>
      <c r="C24"/>
      <c r="D24"/>
      <c r="E24"/>
      <c r="F24" s="50">
        <v>37653</v>
      </c>
      <c r="G24" s="53">
        <v>71.8</v>
      </c>
      <c r="H24" s="53">
        <v>143.6</v>
      </c>
      <c r="I24" s="53">
        <v>71.8</v>
      </c>
      <c r="J24"/>
      <c r="K24"/>
      <c r="L24"/>
      <c r="M24"/>
      <c r="N24" s="38"/>
      <c r="O24" s="54">
        <v>73.466666666666654</v>
      </c>
      <c r="P24" s="54">
        <v>146.93333333333331</v>
      </c>
      <c r="Q24" s="54">
        <v>73.466666666666654</v>
      </c>
      <c r="R24" s="54"/>
      <c r="S24" s="54">
        <v>73.466666666666654</v>
      </c>
      <c r="T24" s="54">
        <v>146.93333333333331</v>
      </c>
      <c r="U24" s="54">
        <v>73.466666666666654</v>
      </c>
    </row>
    <row r="25" spans="1:21" s="15" customFormat="1" x14ac:dyDescent="0.3">
      <c r="A25" s="17"/>
      <c r="B25"/>
      <c r="C25"/>
      <c r="D25"/>
      <c r="E25"/>
      <c r="F25" s="50">
        <v>37681</v>
      </c>
      <c r="G25" s="53">
        <v>77.400000000000006</v>
      </c>
      <c r="H25" s="53">
        <v>154.80000000000001</v>
      </c>
      <c r="I25" s="53">
        <v>77.400000000000006</v>
      </c>
      <c r="J25"/>
      <c r="K25"/>
      <c r="L25"/>
      <c r="M25"/>
      <c r="N25" s="38"/>
      <c r="O25" s="54">
        <v>74.400000000000006</v>
      </c>
      <c r="P25" s="54">
        <v>148.80000000000001</v>
      </c>
      <c r="Q25" s="54">
        <v>74.400000000000006</v>
      </c>
      <c r="R25" s="54"/>
      <c r="S25" s="54">
        <v>74.400000000000006</v>
      </c>
      <c r="T25" s="54">
        <v>148.80000000000001</v>
      </c>
      <c r="U25" s="54">
        <v>74.400000000000006</v>
      </c>
    </row>
    <row r="26" spans="1:21" s="15" customFormat="1" x14ac:dyDescent="0.3">
      <c r="A26" s="17"/>
      <c r="B26"/>
      <c r="C26"/>
      <c r="D26"/>
      <c r="E26"/>
      <c r="F26" s="50">
        <v>37712</v>
      </c>
      <c r="G26" s="53">
        <v>76.5</v>
      </c>
      <c r="H26" s="53">
        <v>153</v>
      </c>
      <c r="I26" s="53">
        <v>76.5</v>
      </c>
      <c r="J26"/>
      <c r="K26"/>
      <c r="L26"/>
      <c r="M26"/>
      <c r="N26" s="38"/>
      <c r="O26" s="54">
        <v>75.233333333333334</v>
      </c>
      <c r="P26" s="54">
        <v>150.46666666666667</v>
      </c>
      <c r="Q26" s="54">
        <v>75.233333333333334</v>
      </c>
      <c r="R26" s="54"/>
      <c r="S26" s="54">
        <v>75.233333333333334</v>
      </c>
      <c r="T26" s="54">
        <v>150.46666666666667</v>
      </c>
      <c r="U26" s="54">
        <v>75.233333333333334</v>
      </c>
    </row>
    <row r="27" spans="1:21" s="15" customFormat="1" x14ac:dyDescent="0.3">
      <c r="A27" s="17"/>
      <c r="B27"/>
      <c r="C27"/>
      <c r="D27"/>
      <c r="E27"/>
      <c r="F27" s="50">
        <v>37742</v>
      </c>
      <c r="G27" s="53">
        <v>79.7</v>
      </c>
      <c r="H27" s="53">
        <v>159.4</v>
      </c>
      <c r="I27" s="53">
        <v>79.7</v>
      </c>
      <c r="J27"/>
      <c r="K27"/>
      <c r="L27"/>
      <c r="M27"/>
      <c r="N27" s="38"/>
      <c r="O27" s="54">
        <v>77.866666666666674</v>
      </c>
      <c r="P27" s="54">
        <v>155.73333333333335</v>
      </c>
      <c r="Q27" s="54">
        <v>77.866666666666674</v>
      </c>
      <c r="R27" s="54"/>
      <c r="S27" s="54">
        <v>77.866666666666674</v>
      </c>
      <c r="T27" s="54">
        <v>155.73333333333335</v>
      </c>
      <c r="U27" s="54">
        <v>77.866666666666674</v>
      </c>
    </row>
    <row r="28" spans="1:21" s="15" customFormat="1" x14ac:dyDescent="0.3">
      <c r="A28" s="17"/>
      <c r="B28"/>
      <c r="C28"/>
      <c r="D28"/>
      <c r="E28"/>
      <c r="F28" s="50">
        <v>37773</v>
      </c>
      <c r="G28" s="53">
        <v>76.3</v>
      </c>
      <c r="H28" s="53">
        <v>152.6</v>
      </c>
      <c r="I28" s="53">
        <v>76.3</v>
      </c>
      <c r="J28"/>
      <c r="K28"/>
      <c r="L28"/>
      <c r="M28"/>
      <c r="N28" s="38"/>
      <c r="O28" s="54">
        <v>77.5</v>
      </c>
      <c r="P28" s="54">
        <v>155</v>
      </c>
      <c r="Q28" s="54">
        <v>77.5</v>
      </c>
      <c r="R28" s="54"/>
      <c r="S28" s="54">
        <v>77.5</v>
      </c>
      <c r="T28" s="54">
        <v>155</v>
      </c>
      <c r="U28" s="54">
        <v>77.5</v>
      </c>
    </row>
    <row r="29" spans="1:21" s="15" customFormat="1" x14ac:dyDescent="0.3">
      <c r="A29" s="17"/>
      <c r="B29"/>
      <c r="C29"/>
      <c r="D29"/>
      <c r="E29"/>
      <c r="F29" s="50">
        <v>37803</v>
      </c>
      <c r="G29" s="53">
        <v>81.3</v>
      </c>
      <c r="H29" s="53">
        <v>162.6</v>
      </c>
      <c r="I29" s="53">
        <v>81.3</v>
      </c>
      <c r="J29"/>
      <c r="K29"/>
      <c r="L29"/>
      <c r="M29"/>
      <c r="N29" s="38"/>
      <c r="O29" s="54">
        <v>79.100000000000009</v>
      </c>
      <c r="P29" s="54">
        <v>158.20000000000002</v>
      </c>
      <c r="Q29" s="54">
        <v>79.100000000000009</v>
      </c>
      <c r="R29" s="54"/>
      <c r="S29" s="54">
        <v>79.100000000000009</v>
      </c>
      <c r="T29" s="54">
        <v>158.20000000000002</v>
      </c>
      <c r="U29" s="54">
        <v>79.100000000000009</v>
      </c>
    </row>
    <row r="30" spans="1:21" s="15" customFormat="1" x14ac:dyDescent="0.3">
      <c r="A30" s="17"/>
      <c r="B30"/>
      <c r="C30"/>
      <c r="D30"/>
      <c r="E30"/>
      <c r="F30" s="50">
        <v>37834</v>
      </c>
      <c r="G30" s="53">
        <v>81.599999999999994</v>
      </c>
      <c r="H30" s="53">
        <v>163.19999999999999</v>
      </c>
      <c r="I30" s="53">
        <v>81.599999999999994</v>
      </c>
      <c r="J30"/>
      <c r="K30"/>
      <c r="L30"/>
      <c r="M30"/>
      <c r="N30" s="38"/>
      <c r="O30" s="54">
        <v>79.733333333333334</v>
      </c>
      <c r="P30" s="54">
        <v>159.46666666666667</v>
      </c>
      <c r="Q30" s="54">
        <v>79.733333333333334</v>
      </c>
      <c r="R30" s="54"/>
      <c r="S30" s="54">
        <v>79.733333333333334</v>
      </c>
      <c r="T30" s="54">
        <v>159.46666666666667</v>
      </c>
      <c r="U30" s="54">
        <v>79.733333333333334</v>
      </c>
    </row>
    <row r="31" spans="1:21" s="15" customFormat="1" x14ac:dyDescent="0.3">
      <c r="A31" s="17"/>
      <c r="B31"/>
      <c r="C31"/>
      <c r="D31"/>
      <c r="E31"/>
      <c r="F31" s="50">
        <v>37865</v>
      </c>
      <c r="G31" s="53">
        <v>85.7</v>
      </c>
      <c r="H31" s="53">
        <v>171.4</v>
      </c>
      <c r="I31" s="53">
        <v>85.7</v>
      </c>
      <c r="J31"/>
      <c r="K31"/>
      <c r="L31"/>
      <c r="M31"/>
      <c r="N31" s="38"/>
      <c r="O31" s="54">
        <v>82.86666666666666</v>
      </c>
      <c r="P31" s="54">
        <v>165.73333333333332</v>
      </c>
      <c r="Q31" s="54">
        <v>82.86666666666666</v>
      </c>
      <c r="R31" s="54"/>
      <c r="S31" s="54">
        <v>82.86666666666666</v>
      </c>
      <c r="T31" s="54">
        <v>165.73333333333332</v>
      </c>
      <c r="U31" s="54">
        <v>82.86666666666666</v>
      </c>
    </row>
    <row r="32" spans="1:21" s="15" customFormat="1" x14ac:dyDescent="0.3">
      <c r="A32" s="17"/>
      <c r="B32"/>
      <c r="C32"/>
      <c r="D32"/>
      <c r="E32"/>
      <c r="F32" s="50">
        <v>37895</v>
      </c>
      <c r="G32" s="53">
        <v>90</v>
      </c>
      <c r="H32" s="53">
        <v>180</v>
      </c>
      <c r="I32" s="53">
        <v>90</v>
      </c>
      <c r="J32"/>
      <c r="K32"/>
      <c r="L32"/>
      <c r="M32"/>
      <c r="N32" s="38"/>
      <c r="O32" s="54">
        <v>85.766666666666666</v>
      </c>
      <c r="P32" s="54">
        <v>171.53333333333333</v>
      </c>
      <c r="Q32" s="54">
        <v>85.766666666666666</v>
      </c>
      <c r="R32" s="54"/>
      <c r="S32" s="54">
        <v>85.766666666666666</v>
      </c>
      <c r="T32" s="54">
        <v>171.53333333333333</v>
      </c>
      <c r="U32" s="54">
        <v>85.766666666666666</v>
      </c>
    </row>
    <row r="33" spans="1:21" s="15" customFormat="1" x14ac:dyDescent="0.3">
      <c r="A33" s="17"/>
      <c r="B33"/>
      <c r="C33"/>
      <c r="D33"/>
      <c r="E33"/>
      <c r="F33" s="50">
        <v>37926</v>
      </c>
      <c r="G33" s="53">
        <v>84.6</v>
      </c>
      <c r="H33" s="53">
        <v>169.2</v>
      </c>
      <c r="I33" s="53">
        <v>84.6</v>
      </c>
      <c r="J33"/>
      <c r="K33"/>
      <c r="L33"/>
      <c r="M33"/>
      <c r="N33" s="38"/>
      <c r="O33" s="54">
        <v>86.766666666666652</v>
      </c>
      <c r="P33" s="54">
        <v>173.5333333333333</v>
      </c>
      <c r="Q33" s="54">
        <v>86.766666666666652</v>
      </c>
      <c r="R33" s="54"/>
      <c r="S33" s="54">
        <v>86.766666666666652</v>
      </c>
      <c r="T33" s="54">
        <v>173.5333333333333</v>
      </c>
      <c r="U33" s="54">
        <v>86.766666666666652</v>
      </c>
    </row>
    <row r="34" spans="1:21" s="15" customFormat="1" x14ac:dyDescent="0.3">
      <c r="A34" s="17"/>
      <c r="B34"/>
      <c r="C34"/>
      <c r="D34"/>
      <c r="E34"/>
      <c r="F34" s="50">
        <v>37956</v>
      </c>
      <c r="G34" s="53">
        <v>77.900000000000006</v>
      </c>
      <c r="H34" s="53">
        <v>155.80000000000001</v>
      </c>
      <c r="I34" s="53">
        <v>77.900000000000006</v>
      </c>
      <c r="J34"/>
      <c r="K34"/>
      <c r="L34"/>
      <c r="M34"/>
      <c r="N34" s="38"/>
      <c r="O34" s="54">
        <v>84.166666666666671</v>
      </c>
      <c r="P34" s="54">
        <v>168.33333333333334</v>
      </c>
      <c r="Q34" s="54">
        <v>84.166666666666671</v>
      </c>
      <c r="R34" s="54"/>
      <c r="S34" s="54">
        <v>84.166666666666671</v>
      </c>
      <c r="T34" s="54">
        <v>168.33333333333334</v>
      </c>
      <c r="U34" s="54">
        <v>84.166666666666671</v>
      </c>
    </row>
    <row r="35" spans="1:21" s="15" customFormat="1" x14ac:dyDescent="0.3">
      <c r="A35" s="17"/>
      <c r="B35"/>
      <c r="C35"/>
      <c r="D35"/>
      <c r="E35"/>
      <c r="F35" s="50">
        <v>37987</v>
      </c>
      <c r="G35" s="53">
        <v>76.8</v>
      </c>
      <c r="H35" s="53">
        <v>153.6</v>
      </c>
      <c r="I35" s="53">
        <v>76.8</v>
      </c>
      <c r="J35"/>
      <c r="K35"/>
      <c r="L35"/>
      <c r="M35"/>
      <c r="N35" s="38"/>
      <c r="O35" s="54">
        <v>79.766666666666666</v>
      </c>
      <c r="P35" s="54">
        <v>159.53333333333333</v>
      </c>
      <c r="Q35" s="54">
        <v>79.766666666666666</v>
      </c>
      <c r="R35" s="54"/>
      <c r="S35" s="54">
        <v>79.766666666666666</v>
      </c>
      <c r="T35" s="54">
        <v>159.53333333333333</v>
      </c>
      <c r="U35" s="54">
        <v>79.766666666666666</v>
      </c>
    </row>
    <row r="36" spans="1:21" s="15" customFormat="1" x14ac:dyDescent="0.3">
      <c r="A36" s="17"/>
      <c r="B36"/>
      <c r="C36"/>
      <c r="D36"/>
      <c r="E36"/>
      <c r="F36" s="50">
        <v>38018</v>
      </c>
      <c r="G36" s="53">
        <v>74</v>
      </c>
      <c r="H36" s="53">
        <v>148</v>
      </c>
      <c r="I36" s="53">
        <v>74</v>
      </c>
      <c r="J36"/>
      <c r="K36"/>
      <c r="L36"/>
      <c r="M36"/>
      <c r="N36" s="38"/>
      <c r="O36" s="54">
        <v>76.233333333333334</v>
      </c>
      <c r="P36" s="54">
        <v>152.46666666666667</v>
      </c>
      <c r="Q36" s="54">
        <v>76.233333333333334</v>
      </c>
      <c r="R36" s="54"/>
      <c r="S36" s="54">
        <v>76.233333333333334</v>
      </c>
      <c r="T36" s="54">
        <v>152.46666666666667</v>
      </c>
      <c r="U36" s="54">
        <v>76.233333333333334</v>
      </c>
    </row>
    <row r="37" spans="1:21" s="15" customFormat="1" x14ac:dyDescent="0.3">
      <c r="A37" s="17"/>
      <c r="B37"/>
      <c r="C37"/>
      <c r="D37"/>
      <c r="E37"/>
      <c r="F37" s="50">
        <v>38047</v>
      </c>
      <c r="G37" s="53">
        <v>86.9</v>
      </c>
      <c r="H37" s="53">
        <v>173.8</v>
      </c>
      <c r="I37" s="53">
        <v>86.9</v>
      </c>
      <c r="J37"/>
      <c r="K37"/>
      <c r="L37"/>
      <c r="M37"/>
      <c r="N37" s="38"/>
      <c r="O37" s="54">
        <v>79.233333333333334</v>
      </c>
      <c r="P37" s="54">
        <v>158.46666666666667</v>
      </c>
      <c r="Q37" s="54">
        <v>79.233333333333334</v>
      </c>
      <c r="R37" s="54"/>
      <c r="S37" s="54">
        <v>79.233333333333334</v>
      </c>
      <c r="T37" s="54">
        <v>158.46666666666667</v>
      </c>
      <c r="U37" s="54">
        <v>79.233333333333334</v>
      </c>
    </row>
    <row r="38" spans="1:21" s="15" customFormat="1" x14ac:dyDescent="0.3">
      <c r="A38" s="17"/>
      <c r="B38"/>
      <c r="C38"/>
      <c r="D38"/>
      <c r="E38"/>
      <c r="F38" s="50">
        <v>38078</v>
      </c>
      <c r="G38" s="53">
        <v>82.2</v>
      </c>
      <c r="H38" s="53">
        <v>164.4</v>
      </c>
      <c r="I38" s="53">
        <v>82.2</v>
      </c>
      <c r="J38"/>
      <c r="K38"/>
      <c r="L38"/>
      <c r="M38"/>
      <c r="N38" s="38"/>
      <c r="O38" s="54">
        <v>81.033333333333346</v>
      </c>
      <c r="P38" s="54">
        <v>162.06666666666669</v>
      </c>
      <c r="Q38" s="54">
        <v>81.033333333333346</v>
      </c>
      <c r="R38" s="54"/>
      <c r="S38" s="54">
        <v>81.033333333333346</v>
      </c>
      <c r="T38" s="54">
        <v>162.06666666666669</v>
      </c>
      <c r="U38" s="54">
        <v>81.033333333333346</v>
      </c>
    </row>
    <row r="39" spans="1:21" s="15" customFormat="1" x14ac:dyDescent="0.3">
      <c r="A39" s="17"/>
      <c r="B39"/>
      <c r="C39"/>
      <c r="D39"/>
      <c r="E39"/>
      <c r="F39" s="50">
        <v>38108</v>
      </c>
      <c r="G39" s="53">
        <v>86.3</v>
      </c>
      <c r="H39" s="53">
        <v>172.6</v>
      </c>
      <c r="I39" s="53">
        <v>86.3</v>
      </c>
      <c r="J39"/>
      <c r="K39"/>
      <c r="L39"/>
      <c r="M39"/>
      <c r="N39" s="38"/>
      <c r="O39" s="54">
        <v>85.13333333333334</v>
      </c>
      <c r="P39" s="54">
        <v>170.26666666666668</v>
      </c>
      <c r="Q39" s="54">
        <v>85.13333333333334</v>
      </c>
      <c r="R39" s="54"/>
      <c r="S39" s="54">
        <v>85.13333333333334</v>
      </c>
      <c r="T39" s="54">
        <v>170.26666666666668</v>
      </c>
      <c r="U39" s="54">
        <v>85.13333333333334</v>
      </c>
    </row>
    <row r="40" spans="1:21" s="15" customFormat="1" x14ac:dyDescent="0.3">
      <c r="A40" s="17"/>
      <c r="B40"/>
      <c r="C40"/>
      <c r="D40"/>
      <c r="E40"/>
      <c r="F40" s="50">
        <v>38139</v>
      </c>
      <c r="G40" s="53">
        <v>86.1</v>
      </c>
      <c r="H40" s="53">
        <v>172.2</v>
      </c>
      <c r="I40" s="53">
        <v>86.1</v>
      </c>
      <c r="J40"/>
      <c r="K40"/>
      <c r="L40"/>
      <c r="M40"/>
      <c r="N40" s="38"/>
      <c r="O40" s="54">
        <v>84.86666666666666</v>
      </c>
      <c r="P40" s="54">
        <v>169.73333333333332</v>
      </c>
      <c r="Q40" s="54">
        <v>84.86666666666666</v>
      </c>
      <c r="R40" s="54"/>
      <c r="S40" s="54">
        <v>84.86666666666666</v>
      </c>
      <c r="T40" s="54">
        <v>169.73333333333332</v>
      </c>
      <c r="U40" s="54">
        <v>84.86666666666666</v>
      </c>
    </row>
    <row r="41" spans="1:21" s="15" customFormat="1" x14ac:dyDescent="0.3">
      <c r="A41" s="17"/>
      <c r="B41"/>
      <c r="C41"/>
      <c r="D41"/>
      <c r="E41"/>
      <c r="F41" s="50">
        <v>38169</v>
      </c>
      <c r="G41" s="53">
        <v>90.1</v>
      </c>
      <c r="H41" s="53">
        <v>180.2</v>
      </c>
      <c r="I41" s="53">
        <v>90.1</v>
      </c>
      <c r="J41"/>
      <c r="K41"/>
      <c r="L41"/>
      <c r="M41"/>
      <c r="N41" s="38"/>
      <c r="O41" s="54">
        <v>87.5</v>
      </c>
      <c r="P41" s="54">
        <v>175</v>
      </c>
      <c r="Q41" s="54">
        <v>87.5</v>
      </c>
      <c r="R41" s="54"/>
      <c r="S41" s="54">
        <v>87.5</v>
      </c>
      <c r="T41" s="54">
        <v>175</v>
      </c>
      <c r="U41" s="54">
        <v>87.5</v>
      </c>
    </row>
    <row r="42" spans="1:21" s="15" customFormat="1" x14ac:dyDescent="0.3">
      <c r="A42" s="17"/>
      <c r="B42"/>
      <c r="C42"/>
      <c r="D42"/>
      <c r="E42"/>
      <c r="F42" s="50">
        <v>38200</v>
      </c>
      <c r="G42" s="53">
        <v>92.1</v>
      </c>
      <c r="H42" s="53">
        <v>184.2</v>
      </c>
      <c r="I42" s="53">
        <v>92.1</v>
      </c>
      <c r="J42"/>
      <c r="K42"/>
      <c r="L42"/>
      <c r="M42"/>
      <c r="N42" s="38"/>
      <c r="O42" s="54">
        <v>89.433333333333323</v>
      </c>
      <c r="P42" s="54">
        <v>178.86666666666665</v>
      </c>
      <c r="Q42" s="54">
        <v>89.433333333333323</v>
      </c>
      <c r="R42" s="54"/>
      <c r="S42" s="54">
        <v>89.433333333333323</v>
      </c>
      <c r="T42" s="54">
        <v>178.86666666666665</v>
      </c>
      <c r="U42" s="54">
        <v>89.433333333333323</v>
      </c>
    </row>
    <row r="43" spans="1:21" s="15" customFormat="1" x14ac:dyDescent="0.3">
      <c r="A43" s="17"/>
      <c r="B43"/>
      <c r="C43"/>
      <c r="D43"/>
      <c r="E43"/>
      <c r="F43" s="50">
        <v>38231</v>
      </c>
      <c r="G43" s="53">
        <v>92.1</v>
      </c>
      <c r="H43" s="53">
        <v>184.2</v>
      </c>
      <c r="I43" s="53">
        <v>92.1</v>
      </c>
      <c r="J43"/>
      <c r="K43"/>
      <c r="L43"/>
      <c r="M43"/>
      <c r="N43" s="38"/>
      <c r="O43" s="54">
        <v>91.433333333333323</v>
      </c>
      <c r="P43" s="54">
        <v>182.86666666666665</v>
      </c>
      <c r="Q43" s="54">
        <v>91.433333333333323</v>
      </c>
      <c r="R43" s="54"/>
      <c r="S43" s="54">
        <v>91.433333333333323</v>
      </c>
      <c r="T43" s="54">
        <v>182.86666666666665</v>
      </c>
      <c r="U43" s="54">
        <v>91.433333333333323</v>
      </c>
    </row>
    <row r="44" spans="1:21" s="15" customFormat="1" x14ac:dyDescent="0.3">
      <c r="A44" s="17"/>
      <c r="B44"/>
      <c r="C44"/>
      <c r="D44"/>
      <c r="E44"/>
      <c r="F44" s="50">
        <v>38261</v>
      </c>
      <c r="G44" s="53">
        <v>93.5</v>
      </c>
      <c r="H44" s="53">
        <v>187</v>
      </c>
      <c r="I44" s="53">
        <v>93.5</v>
      </c>
      <c r="J44"/>
      <c r="K44"/>
      <c r="L44"/>
      <c r="M44"/>
      <c r="N44" s="38"/>
      <c r="O44" s="54">
        <v>92.566666666666663</v>
      </c>
      <c r="P44" s="54">
        <v>185.13333333333333</v>
      </c>
      <c r="Q44" s="54">
        <v>92.566666666666663</v>
      </c>
      <c r="R44" s="54"/>
      <c r="S44" s="54">
        <v>92.566666666666663</v>
      </c>
      <c r="T44" s="54">
        <v>185.13333333333333</v>
      </c>
      <c r="U44" s="54">
        <v>92.566666666666663</v>
      </c>
    </row>
    <row r="45" spans="1:21" s="15" customFormat="1" x14ac:dyDescent="0.3">
      <c r="A45" s="17"/>
      <c r="B45"/>
      <c r="C45"/>
      <c r="D45"/>
      <c r="E45"/>
      <c r="F45" s="50">
        <v>38292</v>
      </c>
      <c r="G45" s="53">
        <v>91.8</v>
      </c>
      <c r="H45" s="53">
        <v>183.6</v>
      </c>
      <c r="I45" s="53">
        <v>91.8</v>
      </c>
      <c r="J45"/>
      <c r="K45"/>
      <c r="L45"/>
      <c r="M45"/>
      <c r="N45" s="38"/>
      <c r="O45" s="54">
        <v>92.466666666666654</v>
      </c>
      <c r="P45" s="54">
        <v>184.93333333333331</v>
      </c>
      <c r="Q45" s="54">
        <v>92.466666666666654</v>
      </c>
      <c r="R45" s="54"/>
      <c r="S45" s="54">
        <v>92.466666666666654</v>
      </c>
      <c r="T45" s="54">
        <v>184.93333333333331</v>
      </c>
      <c r="U45" s="54">
        <v>92.466666666666654</v>
      </c>
    </row>
    <row r="46" spans="1:21" s="15" customFormat="1" x14ac:dyDescent="0.3">
      <c r="A46" s="17"/>
      <c r="B46"/>
      <c r="C46"/>
      <c r="D46"/>
      <c r="E46"/>
      <c r="F46" s="50">
        <v>38322</v>
      </c>
      <c r="G46" s="53">
        <v>84.7</v>
      </c>
      <c r="H46" s="53">
        <v>169.4</v>
      </c>
      <c r="I46" s="53">
        <v>84.7</v>
      </c>
      <c r="J46"/>
      <c r="K46"/>
      <c r="L46"/>
      <c r="M46"/>
      <c r="N46" s="38"/>
      <c r="O46" s="54">
        <v>90</v>
      </c>
      <c r="P46" s="54">
        <v>180</v>
      </c>
      <c r="Q46" s="54">
        <v>90</v>
      </c>
      <c r="R46" s="54"/>
      <c r="S46" s="54">
        <v>90</v>
      </c>
      <c r="T46" s="54">
        <v>180</v>
      </c>
      <c r="U46" s="54">
        <v>90</v>
      </c>
    </row>
    <row r="47" spans="1:21" s="15" customFormat="1" x14ac:dyDescent="0.3">
      <c r="A47" s="17"/>
      <c r="B47"/>
      <c r="C47"/>
      <c r="D47"/>
      <c r="E47"/>
      <c r="F47" s="50">
        <v>38353</v>
      </c>
      <c r="G47" s="53">
        <v>81</v>
      </c>
      <c r="H47" s="53">
        <v>162</v>
      </c>
      <c r="I47" s="53">
        <v>81</v>
      </c>
      <c r="J47"/>
      <c r="K47"/>
      <c r="L47"/>
      <c r="M47"/>
      <c r="N47" s="38"/>
      <c r="O47" s="54">
        <v>85.833333333333329</v>
      </c>
      <c r="P47" s="54">
        <v>171.66666666666666</v>
      </c>
      <c r="Q47" s="54">
        <v>85.833333333333329</v>
      </c>
      <c r="R47" s="54"/>
      <c r="S47" s="54">
        <v>85.833333333333329</v>
      </c>
      <c r="T47" s="54">
        <v>171.66666666666666</v>
      </c>
      <c r="U47" s="54">
        <v>85.833333333333329</v>
      </c>
    </row>
    <row r="48" spans="1:21" s="15" customFormat="1" x14ac:dyDescent="0.3">
      <c r="A48" s="17"/>
      <c r="B48"/>
      <c r="C48"/>
      <c r="D48"/>
      <c r="E48"/>
      <c r="F48" s="50">
        <v>38384</v>
      </c>
      <c r="G48" s="53">
        <v>76.400000000000006</v>
      </c>
      <c r="H48" s="53">
        <v>152.80000000000001</v>
      </c>
      <c r="I48" s="53">
        <v>76.400000000000006</v>
      </c>
      <c r="J48"/>
      <c r="K48"/>
      <c r="L48"/>
      <c r="M48"/>
      <c r="N48" s="38"/>
      <c r="O48" s="54">
        <v>80.7</v>
      </c>
      <c r="P48" s="54">
        <v>161.4</v>
      </c>
      <c r="Q48" s="54">
        <v>80.7</v>
      </c>
      <c r="R48" s="54"/>
      <c r="S48" s="54">
        <v>80.7</v>
      </c>
      <c r="T48" s="54">
        <v>161.4</v>
      </c>
      <c r="U48" s="54">
        <v>80.7</v>
      </c>
    </row>
    <row r="49" spans="1:21" s="15" customFormat="1" x14ac:dyDescent="0.3">
      <c r="A49" s="17"/>
      <c r="B49"/>
      <c r="C49"/>
      <c r="D49"/>
      <c r="E49"/>
      <c r="F49" s="50">
        <v>38412</v>
      </c>
      <c r="G49" s="53">
        <v>88</v>
      </c>
      <c r="H49" s="53">
        <v>176</v>
      </c>
      <c r="I49" s="53">
        <v>88</v>
      </c>
      <c r="J49"/>
      <c r="K49"/>
      <c r="L49"/>
      <c r="M49"/>
      <c r="N49" s="38"/>
      <c r="O49" s="54">
        <v>81.8</v>
      </c>
      <c r="P49" s="54">
        <v>163.6</v>
      </c>
      <c r="Q49" s="54">
        <v>81.8</v>
      </c>
      <c r="R49" s="54"/>
      <c r="S49" s="54">
        <v>81.8</v>
      </c>
      <c r="T49" s="54">
        <v>163.6</v>
      </c>
      <c r="U49" s="54">
        <v>81.8</v>
      </c>
    </row>
    <row r="50" spans="1:21" s="15" customFormat="1" x14ac:dyDescent="0.3">
      <c r="A50" s="17"/>
      <c r="B50"/>
      <c r="C50"/>
      <c r="D50"/>
      <c r="E50"/>
      <c r="F50" s="50">
        <v>38443</v>
      </c>
      <c r="G50" s="53">
        <v>87</v>
      </c>
      <c r="H50" s="53">
        <v>174</v>
      </c>
      <c r="I50" s="53">
        <v>87</v>
      </c>
      <c r="J50"/>
      <c r="K50"/>
      <c r="L50"/>
      <c r="M50"/>
      <c r="N50" s="38"/>
      <c r="O50" s="54">
        <v>83.8</v>
      </c>
      <c r="P50" s="54">
        <v>167.6</v>
      </c>
      <c r="Q50" s="54">
        <v>83.8</v>
      </c>
      <c r="R50" s="54"/>
      <c r="S50" s="54">
        <v>83.8</v>
      </c>
      <c r="T50" s="54">
        <v>167.6</v>
      </c>
      <c r="U50" s="54">
        <v>83.8</v>
      </c>
    </row>
    <row r="51" spans="1:21" s="15" customFormat="1" x14ac:dyDescent="0.3">
      <c r="A51" s="17"/>
      <c r="B51"/>
      <c r="C51"/>
      <c r="D51"/>
      <c r="E51"/>
      <c r="F51" s="50">
        <v>38473</v>
      </c>
      <c r="G51" s="53">
        <v>91.1</v>
      </c>
      <c r="H51" s="53">
        <v>182.2</v>
      </c>
      <c r="I51" s="53">
        <v>91.1</v>
      </c>
      <c r="J51"/>
      <c r="K51"/>
      <c r="L51"/>
      <c r="M51"/>
      <c r="N51" s="38"/>
      <c r="O51" s="54">
        <v>88.7</v>
      </c>
      <c r="P51" s="54">
        <v>177.4</v>
      </c>
      <c r="Q51" s="54">
        <v>88.7</v>
      </c>
      <c r="R51" s="54"/>
      <c r="S51" s="54">
        <v>88.7</v>
      </c>
      <c r="T51" s="54">
        <v>177.4</v>
      </c>
      <c r="U51" s="54">
        <v>88.7</v>
      </c>
    </row>
    <row r="52" spans="1:21" s="15" customFormat="1" x14ac:dyDescent="0.3">
      <c r="A52" s="17"/>
      <c r="B52"/>
      <c r="C52"/>
      <c r="D52"/>
      <c r="E52"/>
      <c r="F52" s="50">
        <v>38504</v>
      </c>
      <c r="G52" s="53">
        <v>91.4</v>
      </c>
      <c r="H52" s="53">
        <v>182.8</v>
      </c>
      <c r="I52" s="53">
        <v>91.4</v>
      </c>
      <c r="J52"/>
      <c r="K52"/>
      <c r="L52"/>
      <c r="M52"/>
      <c r="N52" s="38"/>
      <c r="O52" s="54">
        <v>89.833333333333329</v>
      </c>
      <c r="P52" s="54">
        <v>179.66666666666666</v>
      </c>
      <c r="Q52" s="54">
        <v>89.833333333333329</v>
      </c>
      <c r="R52" s="54"/>
      <c r="S52" s="54">
        <v>89.833333333333329</v>
      </c>
      <c r="T52" s="54">
        <v>179.66666666666666</v>
      </c>
      <c r="U52" s="54">
        <v>89.833333333333329</v>
      </c>
    </row>
    <row r="53" spans="1:21" s="15" customFormat="1" x14ac:dyDescent="0.3">
      <c r="A53" s="17"/>
      <c r="B53"/>
      <c r="C53"/>
      <c r="D53"/>
      <c r="E53"/>
      <c r="F53" s="50">
        <v>38534</v>
      </c>
      <c r="G53" s="53">
        <v>90.5</v>
      </c>
      <c r="H53" s="53">
        <v>181</v>
      </c>
      <c r="I53" s="53">
        <v>90.5</v>
      </c>
      <c r="J53"/>
      <c r="K53"/>
      <c r="L53"/>
      <c r="M53"/>
      <c r="N53" s="38"/>
      <c r="O53" s="54">
        <v>91</v>
      </c>
      <c r="P53" s="54">
        <v>182</v>
      </c>
      <c r="Q53" s="54">
        <v>91</v>
      </c>
      <c r="R53" s="54"/>
      <c r="S53" s="54">
        <v>91</v>
      </c>
      <c r="T53" s="54">
        <v>182</v>
      </c>
      <c r="U53" s="54">
        <v>91</v>
      </c>
    </row>
    <row r="54" spans="1:21" s="15" customFormat="1" x14ac:dyDescent="0.3">
      <c r="A54" s="17"/>
      <c r="B54"/>
      <c r="C54"/>
      <c r="D54"/>
      <c r="E54"/>
      <c r="F54" s="50">
        <v>38565</v>
      </c>
      <c r="G54" s="53">
        <v>95.6</v>
      </c>
      <c r="H54" s="53">
        <v>191.2</v>
      </c>
      <c r="I54" s="53">
        <v>95.6</v>
      </c>
      <c r="J54"/>
      <c r="K54"/>
      <c r="L54"/>
      <c r="M54"/>
      <c r="N54" s="38"/>
      <c r="O54" s="54">
        <v>92.5</v>
      </c>
      <c r="P54" s="54">
        <v>185</v>
      </c>
      <c r="Q54" s="54">
        <v>92.5</v>
      </c>
      <c r="R54" s="54"/>
      <c r="S54" s="54">
        <v>92.5</v>
      </c>
      <c r="T54" s="54">
        <v>185</v>
      </c>
      <c r="U54" s="54">
        <v>92.5</v>
      </c>
    </row>
    <row r="55" spans="1:21" s="15" customFormat="1" x14ac:dyDescent="0.3">
      <c r="A55" s="17"/>
      <c r="B55"/>
      <c r="C55"/>
      <c r="D55"/>
      <c r="E55"/>
      <c r="F55" s="50">
        <v>38596</v>
      </c>
      <c r="G55" s="53">
        <v>92</v>
      </c>
      <c r="H55" s="53">
        <v>184</v>
      </c>
      <c r="I55" s="53">
        <v>92</v>
      </c>
      <c r="J55"/>
      <c r="K55"/>
      <c r="L55"/>
      <c r="M55"/>
      <c r="N55" s="38"/>
      <c r="O55" s="54">
        <v>92.7</v>
      </c>
      <c r="P55" s="54">
        <v>185.4</v>
      </c>
      <c r="Q55" s="54">
        <v>92.7</v>
      </c>
      <c r="R55" s="54"/>
      <c r="S55" s="54">
        <v>92.7</v>
      </c>
      <c r="T55" s="54">
        <v>185.4</v>
      </c>
      <c r="U55" s="54">
        <v>92.7</v>
      </c>
    </row>
    <row r="56" spans="1:21" s="15" customFormat="1" x14ac:dyDescent="0.3">
      <c r="A56" s="17"/>
      <c r="B56"/>
      <c r="C56"/>
      <c r="D56"/>
      <c r="E56"/>
      <c r="F56" s="50">
        <v>38626</v>
      </c>
      <c r="G56" s="53">
        <v>93.7</v>
      </c>
      <c r="H56" s="53">
        <v>187.4</v>
      </c>
      <c r="I56" s="53">
        <v>93.7</v>
      </c>
      <c r="J56"/>
      <c r="K56"/>
      <c r="L56"/>
      <c r="M56"/>
      <c r="N56" s="38"/>
      <c r="O56" s="54">
        <v>93.766666666666666</v>
      </c>
      <c r="P56" s="54">
        <v>187.53333333333333</v>
      </c>
      <c r="Q56" s="54">
        <v>93.766666666666666</v>
      </c>
      <c r="R56" s="54"/>
      <c r="S56" s="54">
        <v>93.766666666666666</v>
      </c>
      <c r="T56" s="54">
        <v>187.53333333333333</v>
      </c>
      <c r="U56" s="54">
        <v>93.766666666666666</v>
      </c>
    </row>
    <row r="57" spans="1:21" s="15" customFormat="1" x14ac:dyDescent="0.3">
      <c r="A57" s="17"/>
      <c r="B57"/>
      <c r="C57"/>
      <c r="D57"/>
      <c r="E57"/>
      <c r="F57" s="50">
        <v>38657</v>
      </c>
      <c r="G57" s="53">
        <v>92.4</v>
      </c>
      <c r="H57" s="53">
        <v>184.8</v>
      </c>
      <c r="I57" s="53">
        <v>92.4</v>
      </c>
      <c r="J57"/>
      <c r="K57"/>
      <c r="L57"/>
      <c r="M57"/>
      <c r="N57" s="38"/>
      <c r="O57" s="54">
        <v>92.7</v>
      </c>
      <c r="P57" s="54">
        <v>185.4</v>
      </c>
      <c r="Q57" s="54">
        <v>92.7</v>
      </c>
      <c r="R57" s="54"/>
      <c r="S57" s="54">
        <v>92.7</v>
      </c>
      <c r="T57" s="54">
        <v>185.4</v>
      </c>
      <c r="U57" s="54">
        <v>92.7</v>
      </c>
    </row>
    <row r="58" spans="1:21" s="15" customFormat="1" x14ac:dyDescent="0.3">
      <c r="A58" s="17"/>
      <c r="B58"/>
      <c r="C58"/>
      <c r="D58"/>
      <c r="E58"/>
      <c r="F58" s="50">
        <v>38687</v>
      </c>
      <c r="G58" s="53">
        <v>86.6</v>
      </c>
      <c r="H58" s="53">
        <v>173.2</v>
      </c>
      <c r="I58" s="53">
        <v>86.6</v>
      </c>
      <c r="J58"/>
      <c r="K58"/>
      <c r="L58"/>
      <c r="M58"/>
      <c r="N58" s="38"/>
      <c r="O58" s="54">
        <v>90.90000000000002</v>
      </c>
      <c r="P58" s="54">
        <v>181.80000000000004</v>
      </c>
      <c r="Q58" s="54">
        <v>90.90000000000002</v>
      </c>
      <c r="R58" s="54"/>
      <c r="S58" s="54">
        <v>90.90000000000002</v>
      </c>
      <c r="T58" s="54">
        <v>181.80000000000004</v>
      </c>
      <c r="U58" s="54">
        <v>90.90000000000002</v>
      </c>
    </row>
    <row r="59" spans="1:21" s="15" customFormat="1" x14ac:dyDescent="0.3">
      <c r="A59" s="17"/>
      <c r="B59"/>
      <c r="C59"/>
      <c r="D59"/>
      <c r="E59"/>
      <c r="F59" s="50">
        <v>38718</v>
      </c>
      <c r="G59" s="53">
        <v>83.7</v>
      </c>
      <c r="H59" s="53">
        <v>167.4</v>
      </c>
      <c r="I59" s="53">
        <v>83.7</v>
      </c>
      <c r="J59"/>
      <c r="K59"/>
      <c r="L59"/>
      <c r="M59"/>
      <c r="N59" s="38"/>
      <c r="O59" s="54">
        <v>87.566666666666663</v>
      </c>
      <c r="P59" s="54">
        <v>175.13333333333333</v>
      </c>
      <c r="Q59" s="54">
        <v>87.566666666666663</v>
      </c>
      <c r="R59" s="54"/>
      <c r="S59" s="54">
        <v>87.566666666666663</v>
      </c>
      <c r="T59" s="54">
        <v>175.13333333333333</v>
      </c>
      <c r="U59" s="54">
        <v>87.566666666666663</v>
      </c>
    </row>
    <row r="60" spans="1:21" s="15" customFormat="1" x14ac:dyDescent="0.3">
      <c r="A60" s="17"/>
      <c r="B60"/>
      <c r="C60"/>
      <c r="D60"/>
      <c r="E60"/>
      <c r="F60" s="50">
        <v>38749</v>
      </c>
      <c r="G60" s="53">
        <v>80.2</v>
      </c>
      <c r="H60" s="53">
        <v>160.4</v>
      </c>
      <c r="I60" s="53">
        <v>80.2</v>
      </c>
      <c r="J60"/>
      <c r="K60"/>
      <c r="L60"/>
      <c r="M60"/>
      <c r="N60" s="38"/>
      <c r="O60" s="54">
        <v>83.5</v>
      </c>
      <c r="P60" s="54">
        <v>167</v>
      </c>
      <c r="Q60" s="54">
        <v>83.5</v>
      </c>
      <c r="R60" s="54"/>
      <c r="S60" s="54">
        <v>83.5</v>
      </c>
      <c r="T60" s="54">
        <v>167</v>
      </c>
      <c r="U60" s="54">
        <v>83.5</v>
      </c>
    </row>
    <row r="61" spans="1:21" s="15" customFormat="1" x14ac:dyDescent="0.3">
      <c r="A61" s="17"/>
      <c r="B61"/>
      <c r="C61"/>
      <c r="D61"/>
      <c r="E61"/>
      <c r="F61" s="50">
        <v>38777</v>
      </c>
      <c r="G61" s="53">
        <v>92.4</v>
      </c>
      <c r="H61" s="53">
        <v>184.8</v>
      </c>
      <c r="I61" s="53">
        <v>92.4</v>
      </c>
      <c r="J61"/>
      <c r="K61"/>
      <c r="L61"/>
      <c r="M61"/>
      <c r="N61" s="38"/>
      <c r="O61" s="54">
        <v>85.433333333333337</v>
      </c>
      <c r="P61" s="54">
        <v>170.86666666666667</v>
      </c>
      <c r="Q61" s="54">
        <v>85.433333333333337</v>
      </c>
      <c r="R61" s="54"/>
      <c r="S61" s="54">
        <v>85.433333333333337</v>
      </c>
      <c r="T61" s="54">
        <v>170.86666666666667</v>
      </c>
      <c r="U61" s="54">
        <v>85.433333333333337</v>
      </c>
    </row>
    <row r="62" spans="1:21" s="15" customFormat="1" x14ac:dyDescent="0.3">
      <c r="A62" s="17"/>
      <c r="B62"/>
      <c r="C62"/>
      <c r="D62"/>
      <c r="E62"/>
      <c r="F62" s="50">
        <v>38808</v>
      </c>
      <c r="G62" s="53">
        <v>85.7</v>
      </c>
      <c r="H62" s="53">
        <v>171.4</v>
      </c>
      <c r="I62" s="53">
        <v>85.7</v>
      </c>
      <c r="J62"/>
      <c r="K62"/>
      <c r="L62"/>
      <c r="M62"/>
      <c r="N62" s="38"/>
      <c r="O62" s="54">
        <v>86.100000000000009</v>
      </c>
      <c r="P62" s="54">
        <v>172.20000000000002</v>
      </c>
      <c r="Q62" s="54">
        <v>86.100000000000009</v>
      </c>
      <c r="R62" s="54"/>
      <c r="S62" s="54">
        <v>86.100000000000009</v>
      </c>
      <c r="T62" s="54">
        <v>172.20000000000002</v>
      </c>
      <c r="U62" s="54">
        <v>86.100000000000009</v>
      </c>
    </row>
    <row r="63" spans="1:21" s="15" customFormat="1" x14ac:dyDescent="0.3">
      <c r="A63" s="17"/>
      <c r="B63"/>
      <c r="C63"/>
      <c r="D63"/>
      <c r="E63"/>
      <c r="F63" s="50">
        <v>38838</v>
      </c>
      <c r="G63" s="53">
        <v>95.4</v>
      </c>
      <c r="H63" s="53">
        <v>190.8</v>
      </c>
      <c r="I63" s="53">
        <v>95.4</v>
      </c>
      <c r="J63"/>
      <c r="K63"/>
      <c r="L63"/>
      <c r="M63"/>
      <c r="N63" s="38"/>
      <c r="O63" s="54">
        <v>91.166666666666671</v>
      </c>
      <c r="P63" s="54">
        <v>182.33333333333334</v>
      </c>
      <c r="Q63" s="54">
        <v>91.166666666666671</v>
      </c>
      <c r="R63" s="54"/>
      <c r="S63" s="54">
        <v>91.166666666666671</v>
      </c>
      <c r="T63" s="54">
        <v>182.33333333333334</v>
      </c>
      <c r="U63" s="54">
        <v>91.166666666666671</v>
      </c>
    </row>
    <row r="64" spans="1:21" s="15" customFormat="1" x14ac:dyDescent="0.3">
      <c r="A64" s="17"/>
      <c r="B64"/>
      <c r="C64"/>
      <c r="D64"/>
      <c r="E64"/>
      <c r="F64" s="50">
        <v>38869</v>
      </c>
      <c r="G64" s="53">
        <v>91.1</v>
      </c>
      <c r="H64" s="53">
        <v>182.2</v>
      </c>
      <c r="I64" s="53">
        <v>91.1</v>
      </c>
      <c r="J64"/>
      <c r="K64"/>
      <c r="L64"/>
      <c r="M64"/>
      <c r="N64" s="38"/>
      <c r="O64" s="54">
        <v>90.733333333333348</v>
      </c>
      <c r="P64" s="54">
        <v>181.4666666666667</v>
      </c>
      <c r="Q64" s="54">
        <v>90.733333333333348</v>
      </c>
      <c r="R64" s="54"/>
      <c r="S64" s="54">
        <v>90.733333333333348</v>
      </c>
      <c r="T64" s="54">
        <v>181.4666666666667</v>
      </c>
      <c r="U64" s="54">
        <v>90.733333333333348</v>
      </c>
    </row>
    <row r="65" spans="1:21" s="15" customFormat="1" x14ac:dyDescent="0.3">
      <c r="A65" s="17"/>
      <c r="B65"/>
      <c r="C65"/>
      <c r="D65"/>
      <c r="E65"/>
      <c r="F65" s="50">
        <v>38899</v>
      </c>
      <c r="G65" s="53">
        <v>93.8</v>
      </c>
      <c r="H65" s="53">
        <v>187.6</v>
      </c>
      <c r="I65" s="53">
        <v>93.8</v>
      </c>
      <c r="J65"/>
      <c r="K65"/>
      <c r="L65"/>
      <c r="M65"/>
      <c r="N65" s="38"/>
      <c r="O65" s="54">
        <v>93.433333333333337</v>
      </c>
      <c r="P65" s="54">
        <v>186.86666666666667</v>
      </c>
      <c r="Q65" s="54">
        <v>93.433333333333337</v>
      </c>
      <c r="R65" s="54"/>
      <c r="S65" s="54">
        <v>93.433333333333337</v>
      </c>
      <c r="T65" s="54">
        <v>186.86666666666667</v>
      </c>
      <c r="U65" s="54">
        <v>93.433333333333337</v>
      </c>
    </row>
    <row r="66" spans="1:21" s="15" customFormat="1" x14ac:dyDescent="0.3">
      <c r="A66" s="17"/>
      <c r="B66"/>
      <c r="C66"/>
      <c r="D66"/>
      <c r="E66"/>
      <c r="F66" s="50">
        <v>38930</v>
      </c>
      <c r="G66" s="53">
        <v>98.6</v>
      </c>
      <c r="H66" s="53">
        <v>197.2</v>
      </c>
      <c r="I66" s="53">
        <v>98.6</v>
      </c>
      <c r="J66"/>
      <c r="K66"/>
      <c r="L66"/>
      <c r="M66"/>
      <c r="N66" s="38"/>
      <c r="O66" s="54">
        <v>94.5</v>
      </c>
      <c r="P66" s="54">
        <v>189</v>
      </c>
      <c r="Q66" s="54">
        <v>94.5</v>
      </c>
      <c r="R66" s="54"/>
      <c r="S66" s="54">
        <v>94.5</v>
      </c>
      <c r="T66" s="54">
        <v>189</v>
      </c>
      <c r="U66" s="54">
        <v>94.5</v>
      </c>
    </row>
    <row r="67" spans="1:21" s="15" customFormat="1" x14ac:dyDescent="0.3">
      <c r="A67" s="17"/>
      <c r="B67"/>
      <c r="C67"/>
      <c r="D67"/>
      <c r="E67"/>
      <c r="F67" s="50">
        <v>38961</v>
      </c>
      <c r="G67" s="53">
        <v>93.2</v>
      </c>
      <c r="H67" s="53">
        <v>186.4</v>
      </c>
      <c r="I67" s="53">
        <v>93.2</v>
      </c>
      <c r="J67"/>
      <c r="K67"/>
      <c r="L67"/>
      <c r="M67"/>
      <c r="N67" s="38"/>
      <c r="O67" s="54">
        <v>95.199999999999989</v>
      </c>
      <c r="P67" s="54">
        <v>190.39999999999998</v>
      </c>
      <c r="Q67" s="54">
        <v>95.199999999999989</v>
      </c>
      <c r="R67" s="54"/>
      <c r="S67" s="54">
        <v>95.199999999999989</v>
      </c>
      <c r="T67" s="54">
        <v>190.39999999999998</v>
      </c>
      <c r="U67" s="54">
        <v>95.199999999999989</v>
      </c>
    </row>
    <row r="68" spans="1:21" s="15" customFormat="1" x14ac:dyDescent="0.3">
      <c r="A68" s="17"/>
      <c r="B68"/>
      <c r="C68"/>
      <c r="D68"/>
      <c r="E68"/>
      <c r="F68" s="50">
        <v>38991</v>
      </c>
      <c r="G68" s="53">
        <v>97.5</v>
      </c>
      <c r="H68" s="53">
        <v>195</v>
      </c>
      <c r="I68" s="53">
        <v>97.5</v>
      </c>
      <c r="J68"/>
      <c r="K68"/>
      <c r="L68"/>
      <c r="M68"/>
      <c r="N68" s="38"/>
      <c r="O68" s="54">
        <v>96.433333333333337</v>
      </c>
      <c r="P68" s="54">
        <v>192.86666666666667</v>
      </c>
      <c r="Q68" s="54">
        <v>96.433333333333337</v>
      </c>
      <c r="R68" s="54"/>
      <c r="S68" s="54">
        <v>96.433333333333337</v>
      </c>
      <c r="T68" s="54">
        <v>192.86666666666667</v>
      </c>
      <c r="U68" s="54">
        <v>96.433333333333337</v>
      </c>
    </row>
    <row r="69" spans="1:21" s="15" customFormat="1" x14ac:dyDescent="0.3">
      <c r="A69" s="17"/>
      <c r="B69"/>
      <c r="C69"/>
      <c r="D69"/>
      <c r="E69"/>
      <c r="F69" s="50">
        <v>39022</v>
      </c>
      <c r="G69" s="53">
        <v>95.9</v>
      </c>
      <c r="H69" s="53">
        <v>191.8</v>
      </c>
      <c r="I69" s="53">
        <v>95.9</v>
      </c>
      <c r="J69"/>
      <c r="K69"/>
      <c r="L69"/>
      <c r="M69"/>
      <c r="N69" s="38"/>
      <c r="O69" s="54">
        <v>95.533333333333346</v>
      </c>
      <c r="P69" s="54">
        <v>191.06666666666669</v>
      </c>
      <c r="Q69" s="54">
        <v>95.533333333333346</v>
      </c>
      <c r="R69" s="54"/>
      <c r="S69" s="54">
        <v>95.533333333333346</v>
      </c>
      <c r="T69" s="54">
        <v>191.06666666666669</v>
      </c>
      <c r="U69" s="54">
        <v>95.533333333333346</v>
      </c>
    </row>
    <row r="70" spans="1:21" s="15" customFormat="1" x14ac:dyDescent="0.3">
      <c r="A70" s="17"/>
      <c r="B70"/>
      <c r="C70"/>
      <c r="D70"/>
      <c r="E70"/>
      <c r="F70" s="50">
        <v>39052</v>
      </c>
      <c r="G70" s="53">
        <v>87</v>
      </c>
      <c r="H70" s="53">
        <v>174</v>
      </c>
      <c r="I70" s="53">
        <v>87</v>
      </c>
      <c r="J70"/>
      <c r="K70"/>
      <c r="L70"/>
      <c r="M70"/>
      <c r="N70" s="38"/>
      <c r="O70" s="54">
        <v>93.466666666666654</v>
      </c>
      <c r="P70" s="54">
        <v>186.93333333333331</v>
      </c>
      <c r="Q70" s="54">
        <v>93.466666666666654</v>
      </c>
      <c r="R70" s="54"/>
      <c r="S70" s="54">
        <v>93.466666666666654</v>
      </c>
      <c r="T70" s="54">
        <v>186.93333333333331</v>
      </c>
      <c r="U70" s="54">
        <v>93.466666666666654</v>
      </c>
    </row>
    <row r="71" spans="1:21" s="15" customFormat="1" x14ac:dyDescent="0.3">
      <c r="A71" s="17"/>
      <c r="B71"/>
      <c r="C71"/>
      <c r="D71"/>
      <c r="E71"/>
      <c r="F71" s="50">
        <v>39083</v>
      </c>
      <c r="G71" s="53">
        <v>87</v>
      </c>
      <c r="H71" s="53">
        <v>174</v>
      </c>
      <c r="I71" s="53">
        <v>87</v>
      </c>
      <c r="J71"/>
      <c r="K71"/>
      <c r="L71"/>
      <c r="M71"/>
      <c r="N71" s="38"/>
      <c r="O71" s="54">
        <v>89.966666666666654</v>
      </c>
      <c r="P71" s="54">
        <v>179.93333333333331</v>
      </c>
      <c r="Q71" s="54">
        <v>89.966666666666654</v>
      </c>
      <c r="R71" s="54"/>
      <c r="S71" s="54">
        <v>89.966666666666654</v>
      </c>
      <c r="T71" s="54">
        <v>179.93333333333331</v>
      </c>
      <c r="U71" s="54">
        <v>89.966666666666654</v>
      </c>
    </row>
    <row r="72" spans="1:21" s="15" customFormat="1" x14ac:dyDescent="0.3">
      <c r="A72" s="17"/>
      <c r="B72"/>
      <c r="C72"/>
      <c r="D72"/>
      <c r="E72"/>
      <c r="F72" s="50">
        <v>39114</v>
      </c>
      <c r="G72" s="53">
        <v>82.6</v>
      </c>
      <c r="H72" s="53">
        <v>165.2</v>
      </c>
      <c r="I72" s="53">
        <v>82.6</v>
      </c>
      <c r="J72"/>
      <c r="K72"/>
      <c r="L72"/>
      <c r="M72"/>
      <c r="N72" s="38"/>
      <c r="O72" s="54">
        <v>85.533333333333346</v>
      </c>
      <c r="P72" s="54">
        <v>171.06666666666669</v>
      </c>
      <c r="Q72" s="54">
        <v>85.533333333333346</v>
      </c>
      <c r="R72" s="54"/>
      <c r="S72" s="54">
        <v>85.533333333333346</v>
      </c>
      <c r="T72" s="54">
        <v>171.06666666666669</v>
      </c>
      <c r="U72" s="54">
        <v>85.533333333333346</v>
      </c>
    </row>
    <row r="73" spans="1:21" s="15" customFormat="1" x14ac:dyDescent="0.3">
      <c r="A73" s="17"/>
      <c r="B73"/>
      <c r="C73"/>
      <c r="D73"/>
      <c r="E73"/>
      <c r="F73" s="50">
        <v>39142</v>
      </c>
      <c r="G73" s="53">
        <v>96.4</v>
      </c>
      <c r="H73" s="53">
        <v>192.8</v>
      </c>
      <c r="I73" s="53">
        <v>96.4</v>
      </c>
      <c r="J73"/>
      <c r="K73"/>
      <c r="L73"/>
      <c r="M73"/>
      <c r="N73" s="38"/>
      <c r="O73" s="54">
        <v>88.666666666666671</v>
      </c>
      <c r="P73" s="54">
        <v>177.33333333333334</v>
      </c>
      <c r="Q73" s="54">
        <v>88.666666666666671</v>
      </c>
      <c r="R73" s="54"/>
      <c r="S73" s="54">
        <v>88.666666666666671</v>
      </c>
      <c r="T73" s="54">
        <v>177.33333333333334</v>
      </c>
      <c r="U73" s="54">
        <v>88.666666666666671</v>
      </c>
    </row>
    <row r="74" spans="1:21" s="15" customFormat="1" x14ac:dyDescent="0.3">
      <c r="A74" s="17"/>
      <c r="B74"/>
      <c r="C74"/>
      <c r="D74"/>
      <c r="E74"/>
      <c r="F74" s="50">
        <v>39173</v>
      </c>
      <c r="G74" s="53">
        <v>90.6</v>
      </c>
      <c r="H74" s="53">
        <v>181.2</v>
      </c>
      <c r="I74" s="53">
        <v>90.6</v>
      </c>
      <c r="J74"/>
      <c r="K74"/>
      <c r="L74"/>
      <c r="M74"/>
      <c r="N74" s="38"/>
      <c r="O74" s="54">
        <v>89.866666666666674</v>
      </c>
      <c r="P74" s="54">
        <v>179.73333333333335</v>
      </c>
      <c r="Q74" s="54">
        <v>89.866666666666674</v>
      </c>
      <c r="R74" s="54"/>
      <c r="S74" s="54">
        <v>89.866666666666674</v>
      </c>
      <c r="T74" s="54">
        <v>179.73333333333335</v>
      </c>
      <c r="U74" s="54">
        <v>89.866666666666674</v>
      </c>
    </row>
    <row r="75" spans="1:21" s="15" customFormat="1" x14ac:dyDescent="0.3">
      <c r="A75" s="17"/>
      <c r="B75"/>
      <c r="C75"/>
      <c r="D75"/>
      <c r="E75"/>
      <c r="F75" s="50">
        <v>39203</v>
      </c>
      <c r="G75" s="53">
        <v>99.9</v>
      </c>
      <c r="H75" s="53">
        <v>199.8</v>
      </c>
      <c r="I75" s="53">
        <v>99.9</v>
      </c>
      <c r="J75"/>
      <c r="K75"/>
      <c r="L75"/>
      <c r="M75"/>
      <c r="N75" s="38"/>
      <c r="O75" s="54">
        <v>95.633333333333326</v>
      </c>
      <c r="P75" s="54">
        <v>191.26666666666665</v>
      </c>
      <c r="Q75" s="54">
        <v>95.633333333333326</v>
      </c>
      <c r="R75" s="54"/>
      <c r="S75" s="54">
        <v>95.633333333333326</v>
      </c>
      <c r="T75" s="54">
        <v>191.26666666666665</v>
      </c>
      <c r="U75" s="54">
        <v>95.633333333333326</v>
      </c>
    </row>
    <row r="76" spans="1:21" s="15" customFormat="1" x14ac:dyDescent="0.3">
      <c r="A76" s="17"/>
      <c r="B76"/>
      <c r="C76"/>
      <c r="D76"/>
      <c r="E76"/>
      <c r="F76" s="50">
        <v>39234</v>
      </c>
      <c r="G76" s="53">
        <v>96.9</v>
      </c>
      <c r="H76" s="53">
        <v>193.8</v>
      </c>
      <c r="I76" s="53">
        <v>96.9</v>
      </c>
      <c r="J76"/>
      <c r="K76"/>
      <c r="L76"/>
      <c r="M76"/>
      <c r="N76" s="38"/>
      <c r="O76" s="54">
        <v>95.8</v>
      </c>
      <c r="P76" s="54">
        <v>191.6</v>
      </c>
      <c r="Q76" s="54">
        <v>95.8</v>
      </c>
      <c r="R76" s="54"/>
      <c r="S76" s="54">
        <v>95.8</v>
      </c>
      <c r="T76" s="54">
        <v>191.6</v>
      </c>
      <c r="U76" s="54">
        <v>95.8</v>
      </c>
    </row>
    <row r="77" spans="1:21" s="15" customFormat="1" x14ac:dyDescent="0.3">
      <c r="A77" s="17"/>
      <c r="B77"/>
      <c r="C77"/>
      <c r="D77"/>
      <c r="E77"/>
      <c r="F77" s="50">
        <v>39264</v>
      </c>
      <c r="G77" s="53">
        <v>99.8</v>
      </c>
      <c r="H77" s="53">
        <v>199.6</v>
      </c>
      <c r="I77" s="53">
        <v>99.8</v>
      </c>
      <c r="J77"/>
      <c r="K77"/>
      <c r="L77"/>
      <c r="M77"/>
      <c r="N77" s="38"/>
      <c r="O77" s="54">
        <v>98.866666666666674</v>
      </c>
      <c r="P77" s="54">
        <v>197.73333333333335</v>
      </c>
      <c r="Q77" s="54">
        <v>98.866666666666674</v>
      </c>
      <c r="R77" s="54"/>
      <c r="S77" s="54">
        <v>98.866666666666674</v>
      </c>
      <c r="T77" s="54">
        <v>197.73333333333335</v>
      </c>
      <c r="U77" s="54">
        <v>98.866666666666674</v>
      </c>
    </row>
    <row r="78" spans="1:21" s="15" customFormat="1" x14ac:dyDescent="0.3">
      <c r="A78" s="17"/>
      <c r="B78"/>
      <c r="C78"/>
      <c r="D78"/>
      <c r="E78"/>
      <c r="F78" s="50">
        <v>39295</v>
      </c>
      <c r="G78" s="53">
        <v>104.9</v>
      </c>
      <c r="H78" s="53">
        <v>209.8</v>
      </c>
      <c r="I78" s="53">
        <v>104.9</v>
      </c>
      <c r="J78"/>
      <c r="K78"/>
      <c r="L78"/>
      <c r="M78"/>
      <c r="N78" s="38"/>
      <c r="O78" s="54">
        <v>100.53333333333335</v>
      </c>
      <c r="P78" s="54">
        <v>201.06666666666669</v>
      </c>
      <c r="Q78" s="54">
        <v>100.53333333333335</v>
      </c>
      <c r="R78" s="54"/>
      <c r="S78" s="54">
        <v>100.53333333333335</v>
      </c>
      <c r="T78" s="54">
        <v>201.06666666666669</v>
      </c>
      <c r="U78" s="54">
        <v>100.53333333333335</v>
      </c>
    </row>
    <row r="79" spans="1:21" s="15" customFormat="1" x14ac:dyDescent="0.3">
      <c r="A79" s="17"/>
      <c r="B79"/>
      <c r="C79"/>
      <c r="D79"/>
      <c r="E79"/>
      <c r="F79" s="50">
        <v>39326</v>
      </c>
      <c r="G79" s="53">
        <v>98.4</v>
      </c>
      <c r="H79" s="53">
        <v>196.8</v>
      </c>
      <c r="I79" s="53">
        <v>98.4</v>
      </c>
      <c r="J79"/>
      <c r="K79"/>
      <c r="L79"/>
      <c r="M79"/>
      <c r="N79" s="38"/>
      <c r="O79" s="54">
        <v>101.03333333333335</v>
      </c>
      <c r="P79" s="54">
        <v>202.06666666666669</v>
      </c>
      <c r="Q79" s="54">
        <v>101.03333333333335</v>
      </c>
      <c r="R79" s="54"/>
      <c r="S79" s="54">
        <v>101.03333333333335</v>
      </c>
      <c r="T79" s="54">
        <v>202.06666666666669</v>
      </c>
      <c r="U79" s="54">
        <v>101.03333333333335</v>
      </c>
    </row>
    <row r="80" spans="1:21" s="15" customFormat="1" x14ac:dyDescent="0.3">
      <c r="A80" s="17"/>
      <c r="B80"/>
      <c r="C80"/>
      <c r="D80"/>
      <c r="E80"/>
      <c r="F80" s="50">
        <v>39356</v>
      </c>
      <c r="G80" s="53">
        <v>107.8</v>
      </c>
      <c r="H80" s="53">
        <v>215.6</v>
      </c>
      <c r="I80" s="53">
        <v>107.8</v>
      </c>
      <c r="J80"/>
      <c r="K80"/>
      <c r="L80"/>
      <c r="M80"/>
      <c r="N80" s="38"/>
      <c r="O80" s="54">
        <v>103.7</v>
      </c>
      <c r="P80" s="54">
        <v>207.4</v>
      </c>
      <c r="Q80" s="54">
        <v>103.7</v>
      </c>
      <c r="R80" s="54"/>
      <c r="S80" s="54">
        <v>103.7</v>
      </c>
      <c r="T80" s="54">
        <v>207.4</v>
      </c>
      <c r="U80" s="54">
        <v>103.7</v>
      </c>
    </row>
    <row r="81" spans="1:21" s="15" customFormat="1" x14ac:dyDescent="0.3">
      <c r="A81" s="17"/>
      <c r="B81"/>
      <c r="C81"/>
      <c r="D81"/>
      <c r="E81"/>
      <c r="F81" s="50">
        <v>39387</v>
      </c>
      <c r="G81" s="53">
        <v>102.4</v>
      </c>
      <c r="H81" s="53">
        <v>204.8</v>
      </c>
      <c r="I81" s="53">
        <v>102.4</v>
      </c>
      <c r="J81"/>
      <c r="K81"/>
      <c r="L81"/>
      <c r="M81"/>
      <c r="N81" s="38"/>
      <c r="O81" s="54">
        <v>102.86666666666667</v>
      </c>
      <c r="P81" s="54">
        <v>205.73333333333335</v>
      </c>
      <c r="Q81" s="54">
        <v>102.86666666666667</v>
      </c>
      <c r="R81" s="54"/>
      <c r="S81" s="54">
        <v>102.86666666666667</v>
      </c>
      <c r="T81" s="54">
        <v>205.73333333333335</v>
      </c>
      <c r="U81" s="54">
        <v>102.86666666666667</v>
      </c>
    </row>
    <row r="82" spans="1:21" s="15" customFormat="1" x14ac:dyDescent="0.3">
      <c r="A82" s="17"/>
      <c r="B82"/>
      <c r="C82"/>
      <c r="D82"/>
      <c r="E82"/>
      <c r="F82" s="50">
        <v>39417</v>
      </c>
      <c r="G82" s="53">
        <v>92.6</v>
      </c>
      <c r="H82" s="53">
        <v>185.2</v>
      </c>
      <c r="I82" s="53">
        <v>92.6</v>
      </c>
      <c r="J82"/>
      <c r="K82"/>
      <c r="L82"/>
      <c r="M82"/>
      <c r="N82" s="38"/>
      <c r="O82" s="54">
        <v>100.93333333333332</v>
      </c>
      <c r="P82" s="54">
        <v>201.86666666666665</v>
      </c>
      <c r="Q82" s="54">
        <v>100.93333333333332</v>
      </c>
      <c r="R82" s="54"/>
      <c r="S82" s="54">
        <v>100.93333333333332</v>
      </c>
      <c r="T82" s="54">
        <v>201.86666666666665</v>
      </c>
      <c r="U82" s="54">
        <v>100.93333333333332</v>
      </c>
    </row>
    <row r="83" spans="1:21" s="15" customFormat="1" x14ac:dyDescent="0.3">
      <c r="A83" s="17"/>
      <c r="B83"/>
      <c r="C83"/>
      <c r="D83"/>
      <c r="E83"/>
      <c r="F83" s="50">
        <v>39448</v>
      </c>
      <c r="G83" s="53">
        <v>94.8</v>
      </c>
      <c r="H83" s="53">
        <v>189.6</v>
      </c>
      <c r="I83" s="53">
        <v>94.8</v>
      </c>
      <c r="J83"/>
      <c r="K83"/>
      <c r="L83"/>
      <c r="M83"/>
      <c r="N83" s="38"/>
      <c r="O83" s="54">
        <v>96.600000000000009</v>
      </c>
      <c r="P83" s="54">
        <v>193.20000000000002</v>
      </c>
      <c r="Q83" s="54">
        <v>96.600000000000009</v>
      </c>
      <c r="R83" s="54"/>
      <c r="S83" s="54">
        <v>96.600000000000009</v>
      </c>
      <c r="T83" s="54">
        <v>193.20000000000002</v>
      </c>
      <c r="U83" s="54">
        <v>96.600000000000009</v>
      </c>
    </row>
    <row r="84" spans="1:21" s="15" customFormat="1" x14ac:dyDescent="0.3">
      <c r="A84" s="17"/>
      <c r="B84"/>
      <c r="C84"/>
      <c r="D84"/>
      <c r="E84"/>
      <c r="F84" s="50">
        <v>39479</v>
      </c>
      <c r="G84" s="53">
        <v>91.1</v>
      </c>
      <c r="H84" s="53">
        <v>182.2</v>
      </c>
      <c r="I84" s="53">
        <v>91.1</v>
      </c>
      <c r="J84"/>
      <c r="K84"/>
      <c r="L84"/>
      <c r="M84"/>
      <c r="N84" s="38"/>
      <c r="O84" s="54">
        <v>92.833333333333329</v>
      </c>
      <c r="P84" s="54">
        <v>185.66666666666666</v>
      </c>
      <c r="Q84" s="54">
        <v>92.833333333333329</v>
      </c>
      <c r="R84" s="54"/>
      <c r="S84" s="54">
        <v>92.833333333333329</v>
      </c>
      <c r="T84" s="54">
        <v>185.66666666666666</v>
      </c>
      <c r="U84" s="54">
        <v>92.833333333333329</v>
      </c>
    </row>
    <row r="85" spans="1:21" s="15" customFormat="1" x14ac:dyDescent="0.3">
      <c r="A85" s="17"/>
      <c r="B85"/>
      <c r="C85"/>
      <c r="D85"/>
      <c r="E85"/>
      <c r="F85" s="50">
        <v>39508</v>
      </c>
      <c r="G85" s="53">
        <v>97.7</v>
      </c>
      <c r="H85" s="53">
        <v>195.4</v>
      </c>
      <c r="I85" s="53">
        <v>97.7</v>
      </c>
      <c r="J85"/>
      <c r="K85"/>
      <c r="L85"/>
      <c r="M85"/>
      <c r="N85" s="38"/>
      <c r="O85" s="54">
        <v>94.533333333333317</v>
      </c>
      <c r="P85" s="54">
        <v>189.06666666666663</v>
      </c>
      <c r="Q85" s="54">
        <v>94.533333333333317</v>
      </c>
      <c r="R85" s="54"/>
      <c r="S85" s="54">
        <v>94.533333333333317</v>
      </c>
      <c r="T85" s="54">
        <v>189.06666666666663</v>
      </c>
      <c r="U85" s="54">
        <v>94.533333333333317</v>
      </c>
    </row>
    <row r="86" spans="1:21" s="15" customFormat="1" x14ac:dyDescent="0.3">
      <c r="A86" s="17"/>
      <c r="B86"/>
      <c r="C86"/>
      <c r="D86"/>
      <c r="E86"/>
      <c r="F86" s="50">
        <v>39539</v>
      </c>
      <c r="G86" s="53">
        <v>99.2</v>
      </c>
      <c r="H86" s="53">
        <v>198.4</v>
      </c>
      <c r="I86" s="53">
        <v>99.2</v>
      </c>
      <c r="J86"/>
      <c r="K86"/>
      <c r="L86"/>
      <c r="M86"/>
      <c r="N86" s="38"/>
      <c r="O86" s="54">
        <v>96</v>
      </c>
      <c r="P86" s="54">
        <v>192</v>
      </c>
      <c r="Q86" s="54">
        <v>96</v>
      </c>
      <c r="R86" s="54"/>
      <c r="S86" s="54">
        <v>96</v>
      </c>
      <c r="T86" s="54">
        <v>192</v>
      </c>
      <c r="U86" s="54">
        <v>96</v>
      </c>
    </row>
    <row r="87" spans="1:21" s="15" customFormat="1" x14ac:dyDescent="0.3">
      <c r="A87" s="17"/>
      <c r="B87"/>
      <c r="C87"/>
      <c r="D87"/>
      <c r="E87"/>
      <c r="F87" s="50">
        <v>39569</v>
      </c>
      <c r="G87" s="53">
        <v>102.5</v>
      </c>
      <c r="H87" s="53">
        <v>205</v>
      </c>
      <c r="I87" s="53">
        <v>102.5</v>
      </c>
      <c r="J87"/>
      <c r="K87"/>
      <c r="L87"/>
      <c r="M87"/>
      <c r="N87" s="38"/>
      <c r="O87" s="54">
        <v>99.8</v>
      </c>
      <c r="P87" s="54">
        <v>199.6</v>
      </c>
      <c r="Q87" s="54">
        <v>99.8</v>
      </c>
      <c r="R87" s="54"/>
      <c r="S87" s="54">
        <v>99.8</v>
      </c>
      <c r="T87" s="54">
        <v>199.6</v>
      </c>
      <c r="U87" s="54">
        <v>99.8</v>
      </c>
    </row>
    <row r="88" spans="1:21" s="15" customFormat="1" x14ac:dyDescent="0.3">
      <c r="A88" s="17"/>
      <c r="B88"/>
      <c r="C88"/>
      <c r="D88"/>
      <c r="E88"/>
      <c r="F88" s="50">
        <v>39600</v>
      </c>
      <c r="G88" s="53">
        <v>103.3</v>
      </c>
      <c r="H88" s="53">
        <v>206.6</v>
      </c>
      <c r="I88" s="53">
        <v>103.3</v>
      </c>
      <c r="J88"/>
      <c r="K88"/>
      <c r="L88"/>
      <c r="M88"/>
      <c r="N88" s="38"/>
      <c r="O88" s="54">
        <v>101.66666666666667</v>
      </c>
      <c r="P88" s="54">
        <v>203.33333333333334</v>
      </c>
      <c r="Q88" s="54">
        <v>101.66666666666667</v>
      </c>
      <c r="R88" s="54"/>
      <c r="S88" s="54">
        <v>101.66666666666667</v>
      </c>
      <c r="T88" s="54">
        <v>203.33333333333334</v>
      </c>
      <c r="U88" s="54">
        <v>101.66666666666667</v>
      </c>
    </row>
    <row r="89" spans="1:21" s="15" customFormat="1" x14ac:dyDescent="0.3">
      <c r="A89" s="17"/>
      <c r="B89"/>
      <c r="C89"/>
      <c r="D89"/>
      <c r="E89"/>
      <c r="F89" s="50">
        <v>39630</v>
      </c>
      <c r="G89" s="53">
        <v>108.5</v>
      </c>
      <c r="H89" s="53">
        <v>217</v>
      </c>
      <c r="I89" s="53">
        <v>108.5</v>
      </c>
      <c r="J89"/>
      <c r="K89"/>
      <c r="L89"/>
      <c r="M89"/>
      <c r="N89" s="38"/>
      <c r="O89" s="54">
        <v>104.76666666666667</v>
      </c>
      <c r="P89" s="54">
        <v>209.53333333333333</v>
      </c>
      <c r="Q89" s="54">
        <v>104.76666666666667</v>
      </c>
      <c r="R89" s="54"/>
      <c r="S89" s="54">
        <v>104.76666666666667</v>
      </c>
      <c r="T89" s="54">
        <v>209.53333333333333</v>
      </c>
      <c r="U89" s="54">
        <v>104.76666666666667</v>
      </c>
    </row>
    <row r="90" spans="1:21" s="15" customFormat="1" x14ac:dyDescent="0.3">
      <c r="A90" s="17"/>
      <c r="B90"/>
      <c r="C90"/>
      <c r="D90"/>
      <c r="E90"/>
      <c r="F90" s="50">
        <v>39661</v>
      </c>
      <c r="G90" s="53">
        <v>106.9</v>
      </c>
      <c r="H90" s="53">
        <v>213.8</v>
      </c>
      <c r="I90" s="53">
        <v>106.9</v>
      </c>
      <c r="J90"/>
      <c r="K90"/>
      <c r="L90"/>
      <c r="M90"/>
      <c r="N90" s="38"/>
      <c r="O90" s="54">
        <v>106.23333333333335</v>
      </c>
      <c r="P90" s="54">
        <v>212.4666666666667</v>
      </c>
      <c r="Q90" s="54">
        <v>106.23333333333335</v>
      </c>
      <c r="R90" s="54"/>
      <c r="S90" s="54">
        <v>106.23333333333335</v>
      </c>
      <c r="T90" s="54">
        <v>212.4666666666667</v>
      </c>
      <c r="U90" s="54">
        <v>106.23333333333335</v>
      </c>
    </row>
    <row r="91" spans="1:21" s="15" customFormat="1" x14ac:dyDescent="0.3">
      <c r="A91" s="17"/>
      <c r="B91"/>
      <c r="C91"/>
      <c r="D91"/>
      <c r="E91"/>
      <c r="F91" s="50">
        <v>39692</v>
      </c>
      <c r="G91" s="53">
        <v>107.3</v>
      </c>
      <c r="H91" s="53">
        <v>214.6</v>
      </c>
      <c r="I91" s="53">
        <v>107.3</v>
      </c>
      <c r="J91"/>
      <c r="K91"/>
      <c r="L91"/>
      <c r="M91"/>
      <c r="N91" s="38"/>
      <c r="O91" s="54">
        <v>107.56666666666666</v>
      </c>
      <c r="P91" s="54">
        <v>215.13333333333333</v>
      </c>
      <c r="Q91" s="54">
        <v>107.56666666666666</v>
      </c>
      <c r="R91" s="54"/>
      <c r="S91" s="54">
        <v>107.56666666666666</v>
      </c>
      <c r="T91" s="54">
        <v>215.13333333333333</v>
      </c>
      <c r="U91" s="54">
        <v>107.56666666666666</v>
      </c>
    </row>
    <row r="92" spans="1:21" s="15" customFormat="1" x14ac:dyDescent="0.3">
      <c r="A92" s="17"/>
      <c r="B92"/>
      <c r="C92"/>
      <c r="D92"/>
      <c r="E92"/>
      <c r="F92" s="50">
        <v>39722</v>
      </c>
      <c r="G92" s="53">
        <v>108.4</v>
      </c>
      <c r="H92" s="53">
        <v>216.8</v>
      </c>
      <c r="I92" s="53">
        <v>108.4</v>
      </c>
      <c r="J92"/>
      <c r="K92"/>
      <c r="L92"/>
      <c r="M92"/>
      <c r="N92" s="38"/>
      <c r="O92" s="54">
        <v>107.53333333333335</v>
      </c>
      <c r="P92" s="54">
        <v>215.06666666666669</v>
      </c>
      <c r="Q92" s="54">
        <v>107.53333333333335</v>
      </c>
      <c r="R92" s="54"/>
      <c r="S92" s="54">
        <v>107.53333333333335</v>
      </c>
      <c r="T92" s="54">
        <v>215.06666666666669</v>
      </c>
      <c r="U92" s="54">
        <v>107.53333333333335</v>
      </c>
    </row>
    <row r="93" spans="1:21" s="15" customFormat="1" x14ac:dyDescent="0.3">
      <c r="A93" s="17"/>
      <c r="B93"/>
      <c r="C93"/>
      <c r="D93"/>
      <c r="E93"/>
      <c r="F93" s="50">
        <v>39753</v>
      </c>
      <c r="G93" s="53">
        <v>96.2</v>
      </c>
      <c r="H93" s="53">
        <v>192.4</v>
      </c>
      <c r="I93" s="53">
        <v>96.2</v>
      </c>
      <c r="J93"/>
      <c r="K93"/>
      <c r="L93"/>
      <c r="M93"/>
      <c r="N93" s="38"/>
      <c r="O93" s="54">
        <v>103.96666666666665</v>
      </c>
      <c r="P93" s="54">
        <v>207.93333333333331</v>
      </c>
      <c r="Q93" s="54">
        <v>103.96666666666665</v>
      </c>
      <c r="R93" s="54"/>
      <c r="S93" s="54">
        <v>103.96666666666665</v>
      </c>
      <c r="T93" s="54">
        <v>207.93333333333331</v>
      </c>
      <c r="U93" s="54">
        <v>103.96666666666665</v>
      </c>
    </row>
    <row r="94" spans="1:21" s="15" customFormat="1" x14ac:dyDescent="0.3">
      <c r="A94" s="17"/>
      <c r="B94"/>
      <c r="C94"/>
      <c r="D94"/>
      <c r="E94"/>
      <c r="F94" s="50">
        <v>39783</v>
      </c>
      <c r="G94" s="53">
        <v>79.099999999999994</v>
      </c>
      <c r="H94" s="53">
        <v>158.19999999999999</v>
      </c>
      <c r="I94" s="53">
        <v>79.099999999999994</v>
      </c>
      <c r="J94"/>
      <c r="K94"/>
      <c r="L94"/>
      <c r="M94"/>
      <c r="N94" s="38"/>
      <c r="O94" s="54">
        <v>94.566666666666677</v>
      </c>
      <c r="P94" s="54">
        <v>189.13333333333335</v>
      </c>
      <c r="Q94" s="54">
        <v>94.566666666666677</v>
      </c>
      <c r="R94" s="54"/>
      <c r="S94" s="54">
        <v>94.566666666666677</v>
      </c>
      <c r="T94" s="54">
        <v>189.13333333333335</v>
      </c>
      <c r="U94" s="54">
        <v>94.566666666666677</v>
      </c>
    </row>
    <row r="95" spans="1:21" s="15" customFormat="1" x14ac:dyDescent="0.3">
      <c r="A95" s="17"/>
      <c r="B95"/>
      <c r="C95"/>
      <c r="D95"/>
      <c r="E95"/>
      <c r="F95" s="50">
        <v>39814</v>
      </c>
      <c r="G95" s="53">
        <v>78.7</v>
      </c>
      <c r="H95" s="53">
        <v>157.4</v>
      </c>
      <c r="I95" s="53">
        <v>78.7</v>
      </c>
      <c r="J95"/>
      <c r="K95"/>
      <c r="L95"/>
      <c r="M95"/>
      <c r="N95" s="38"/>
      <c r="O95" s="54">
        <v>84.666666666666671</v>
      </c>
      <c r="P95" s="54">
        <v>169.33333333333334</v>
      </c>
      <c r="Q95" s="54">
        <v>84.666666666666671</v>
      </c>
      <c r="R95" s="54"/>
      <c r="S95" s="54">
        <v>84.666666666666671</v>
      </c>
      <c r="T95" s="54">
        <v>169.33333333333334</v>
      </c>
      <c r="U95" s="54">
        <v>84.666666666666671</v>
      </c>
    </row>
    <row r="96" spans="1:21" s="15" customFormat="1" x14ac:dyDescent="0.3">
      <c r="A96" s="17"/>
      <c r="B96"/>
      <c r="C96"/>
      <c r="D96"/>
      <c r="E96"/>
      <c r="F96" s="50">
        <v>39845</v>
      </c>
      <c r="G96" s="53">
        <v>76.099999999999994</v>
      </c>
      <c r="H96" s="53">
        <v>152.19999999999999</v>
      </c>
      <c r="I96" s="53">
        <v>76.099999999999994</v>
      </c>
      <c r="J96"/>
      <c r="K96"/>
      <c r="L96"/>
      <c r="M96"/>
      <c r="N96" s="38"/>
      <c r="O96" s="54">
        <v>77.966666666666669</v>
      </c>
      <c r="P96" s="54">
        <v>155.93333333333334</v>
      </c>
      <c r="Q96" s="54">
        <v>77.966666666666669</v>
      </c>
      <c r="R96" s="54"/>
      <c r="S96" s="54">
        <v>77.966666666666669</v>
      </c>
      <c r="T96" s="54">
        <v>155.93333333333334</v>
      </c>
      <c r="U96" s="54">
        <v>77.966666666666669</v>
      </c>
    </row>
    <row r="97" spans="1:21" s="15" customFormat="1" x14ac:dyDescent="0.3">
      <c r="A97" s="17"/>
      <c r="B97"/>
      <c r="C97"/>
      <c r="D97"/>
      <c r="E97"/>
      <c r="F97" s="50">
        <v>39873</v>
      </c>
      <c r="G97" s="53">
        <v>88.6</v>
      </c>
      <c r="H97" s="53">
        <v>177.2</v>
      </c>
      <c r="I97" s="53">
        <v>88.6</v>
      </c>
      <c r="J97"/>
      <c r="K97"/>
      <c r="L97"/>
      <c r="M97"/>
      <c r="N97" s="38"/>
      <c r="O97" s="54">
        <v>81.13333333333334</v>
      </c>
      <c r="P97" s="54">
        <v>162.26666666666668</v>
      </c>
      <c r="Q97" s="54">
        <v>81.13333333333334</v>
      </c>
      <c r="R97" s="54"/>
      <c r="S97" s="54">
        <v>81.13333333333334</v>
      </c>
      <c r="T97" s="54">
        <v>162.26666666666668</v>
      </c>
      <c r="U97" s="54">
        <v>81.13333333333334</v>
      </c>
    </row>
    <row r="98" spans="1:21" s="15" customFormat="1" x14ac:dyDescent="0.3">
      <c r="A98" s="17"/>
      <c r="B98"/>
      <c r="C98"/>
      <c r="D98"/>
      <c r="E98"/>
      <c r="F98" s="50">
        <v>39904</v>
      </c>
      <c r="G98" s="53">
        <v>85.2</v>
      </c>
      <c r="H98" s="53">
        <v>170.4</v>
      </c>
      <c r="I98" s="53">
        <v>85.2</v>
      </c>
      <c r="J98"/>
      <c r="K98"/>
      <c r="L98"/>
      <c r="M98"/>
      <c r="N98" s="38"/>
      <c r="O98" s="54">
        <v>83.3</v>
      </c>
      <c r="P98" s="54">
        <v>166.6</v>
      </c>
      <c r="Q98" s="54">
        <v>83.3</v>
      </c>
      <c r="R98" s="54"/>
      <c r="S98" s="54">
        <v>83.3</v>
      </c>
      <c r="T98" s="54">
        <v>166.6</v>
      </c>
      <c r="U98" s="54">
        <v>83.3</v>
      </c>
    </row>
    <row r="99" spans="1:21" s="15" customFormat="1" x14ac:dyDescent="0.3">
      <c r="A99" s="17"/>
      <c r="B99"/>
      <c r="C99"/>
      <c r="D99"/>
      <c r="E99"/>
      <c r="F99" s="50">
        <v>39934</v>
      </c>
      <c r="G99" s="53">
        <v>91.3</v>
      </c>
      <c r="H99" s="53">
        <v>182.6</v>
      </c>
      <c r="I99" s="53">
        <v>91.3</v>
      </c>
      <c r="J99"/>
      <c r="K99"/>
      <c r="L99"/>
      <c r="M99"/>
      <c r="N99" s="38"/>
      <c r="O99" s="54">
        <v>88.366666666666674</v>
      </c>
      <c r="P99" s="54">
        <v>176.73333333333335</v>
      </c>
      <c r="Q99" s="54">
        <v>88.366666666666674</v>
      </c>
      <c r="R99" s="54"/>
      <c r="S99" s="54">
        <v>88.366666666666674</v>
      </c>
      <c r="T99" s="54">
        <v>176.73333333333335</v>
      </c>
      <c r="U99" s="54">
        <v>88.366666666666674</v>
      </c>
    </row>
    <row r="100" spans="1:21" s="15" customFormat="1" x14ac:dyDescent="0.3">
      <c r="A100" s="17"/>
      <c r="B100"/>
      <c r="C100"/>
      <c r="D100"/>
      <c r="E100"/>
      <c r="F100" s="50">
        <v>39965</v>
      </c>
      <c r="G100" s="53">
        <v>92.2</v>
      </c>
      <c r="H100" s="53">
        <v>184.4</v>
      </c>
      <c r="I100" s="53">
        <v>92.2</v>
      </c>
      <c r="J100"/>
      <c r="K100"/>
      <c r="L100"/>
      <c r="M100"/>
      <c r="N100" s="38"/>
      <c r="O100" s="54">
        <v>89.566666666666663</v>
      </c>
      <c r="P100" s="54">
        <v>179.13333333333333</v>
      </c>
      <c r="Q100" s="54">
        <v>89.566666666666663</v>
      </c>
      <c r="R100" s="54"/>
      <c r="S100" s="54">
        <v>89.566666666666663</v>
      </c>
      <c r="T100" s="54">
        <v>179.13333333333333</v>
      </c>
      <c r="U100" s="54">
        <v>89.566666666666663</v>
      </c>
    </row>
    <row r="101" spans="1:21" s="15" customFormat="1" x14ac:dyDescent="0.3">
      <c r="A101" s="17"/>
      <c r="B101"/>
      <c r="C101"/>
      <c r="D101"/>
      <c r="E101"/>
      <c r="F101" s="50">
        <v>39995</v>
      </c>
      <c r="G101" s="53">
        <v>97.7</v>
      </c>
      <c r="H101" s="53">
        <v>195.4</v>
      </c>
      <c r="I101" s="53">
        <v>97.7</v>
      </c>
      <c r="J101"/>
      <c r="K101"/>
      <c r="L101"/>
      <c r="M101"/>
      <c r="N101" s="38"/>
      <c r="O101" s="54">
        <v>93.733333333333334</v>
      </c>
      <c r="P101" s="54">
        <v>187.46666666666667</v>
      </c>
      <c r="Q101" s="54">
        <v>93.733333333333334</v>
      </c>
      <c r="R101" s="54"/>
      <c r="S101" s="54">
        <v>93.733333333333334</v>
      </c>
      <c r="T101" s="54">
        <v>187.46666666666667</v>
      </c>
      <c r="U101" s="54">
        <v>93.733333333333334</v>
      </c>
    </row>
    <row r="102" spans="1:21" s="15" customFormat="1" x14ac:dyDescent="0.3">
      <c r="A102" s="17"/>
      <c r="B102"/>
      <c r="C102"/>
      <c r="D102"/>
      <c r="E102"/>
      <c r="F102" s="50">
        <v>40026</v>
      </c>
      <c r="G102" s="53">
        <v>99.6</v>
      </c>
      <c r="H102" s="53">
        <v>199.2</v>
      </c>
      <c r="I102" s="53">
        <v>99.6</v>
      </c>
      <c r="J102"/>
      <c r="K102"/>
      <c r="L102"/>
      <c r="M102"/>
      <c r="N102" s="38"/>
      <c r="O102" s="54">
        <v>96.5</v>
      </c>
      <c r="P102" s="54">
        <v>193</v>
      </c>
      <c r="Q102" s="54">
        <v>96.5</v>
      </c>
      <c r="R102" s="54"/>
      <c r="S102" s="54">
        <v>96.5</v>
      </c>
      <c r="T102" s="54">
        <v>193</v>
      </c>
      <c r="U102" s="54">
        <v>96.5</v>
      </c>
    </row>
    <row r="103" spans="1:21" s="15" customFormat="1" x14ac:dyDescent="0.3">
      <c r="A103" s="17"/>
      <c r="B103"/>
      <c r="C103"/>
      <c r="D103"/>
      <c r="E103"/>
      <c r="F103" s="50">
        <v>40057</v>
      </c>
      <c r="G103" s="53">
        <v>99.4</v>
      </c>
      <c r="H103" s="53">
        <v>198.8</v>
      </c>
      <c r="I103" s="53">
        <v>99.4</v>
      </c>
      <c r="J103"/>
      <c r="K103"/>
      <c r="L103"/>
      <c r="M103"/>
      <c r="N103" s="38"/>
      <c r="O103" s="54">
        <v>98.90000000000002</v>
      </c>
      <c r="P103" s="54">
        <v>197.80000000000004</v>
      </c>
      <c r="Q103" s="54">
        <v>98.90000000000002</v>
      </c>
      <c r="R103" s="54"/>
      <c r="S103" s="54">
        <v>98.90000000000002</v>
      </c>
      <c r="T103" s="54">
        <v>197.80000000000004</v>
      </c>
      <c r="U103" s="54">
        <v>98.90000000000002</v>
      </c>
    </row>
    <row r="104" spans="1:21" s="15" customFormat="1" x14ac:dyDescent="0.3">
      <c r="A104" s="17"/>
      <c r="B104"/>
      <c r="C104"/>
      <c r="D104"/>
      <c r="E104"/>
      <c r="F104" s="50">
        <v>40087</v>
      </c>
      <c r="G104" s="53">
        <v>105.6</v>
      </c>
      <c r="H104" s="53">
        <v>211.2</v>
      </c>
      <c r="I104" s="53">
        <v>105.6</v>
      </c>
      <c r="J104"/>
      <c r="K104"/>
      <c r="L104"/>
      <c r="M104"/>
      <c r="N104" s="38"/>
      <c r="O104" s="54">
        <v>101.53333333333335</v>
      </c>
      <c r="P104" s="54">
        <v>203.06666666666669</v>
      </c>
      <c r="Q104" s="54">
        <v>101.53333333333335</v>
      </c>
      <c r="R104" s="54"/>
      <c r="S104" s="54">
        <v>101.53333333333335</v>
      </c>
      <c r="T104" s="54">
        <v>203.06666666666669</v>
      </c>
      <c r="U104" s="54">
        <v>101.53333333333335</v>
      </c>
    </row>
    <row r="105" spans="1:21" s="15" customFormat="1" x14ac:dyDescent="0.3">
      <c r="A105" s="17"/>
      <c r="B105"/>
      <c r="C105"/>
      <c r="D105"/>
      <c r="E105"/>
      <c r="F105" s="50">
        <v>40118</v>
      </c>
      <c r="G105" s="53">
        <v>101.4</v>
      </c>
      <c r="H105" s="53">
        <v>202.8</v>
      </c>
      <c r="I105" s="53">
        <v>101.4</v>
      </c>
      <c r="J105"/>
      <c r="K105"/>
      <c r="L105"/>
      <c r="M105"/>
      <c r="N105" s="38"/>
      <c r="O105" s="54">
        <v>102.13333333333333</v>
      </c>
      <c r="P105" s="54">
        <v>204.26666666666665</v>
      </c>
      <c r="Q105" s="54">
        <v>102.13333333333333</v>
      </c>
      <c r="R105" s="54"/>
      <c r="S105" s="54">
        <v>102.13333333333333</v>
      </c>
      <c r="T105" s="54">
        <v>204.26666666666665</v>
      </c>
      <c r="U105" s="54">
        <v>102.13333333333333</v>
      </c>
    </row>
    <row r="106" spans="1:21" s="15" customFormat="1" x14ac:dyDescent="0.3">
      <c r="A106" s="17"/>
      <c r="B106"/>
      <c r="C106"/>
      <c r="D106"/>
      <c r="E106"/>
      <c r="F106" s="50">
        <v>40148</v>
      </c>
      <c r="G106" s="53">
        <v>94.1</v>
      </c>
      <c r="H106" s="53">
        <v>188.2</v>
      </c>
      <c r="I106" s="53">
        <v>94.1</v>
      </c>
      <c r="J106"/>
      <c r="K106"/>
      <c r="L106"/>
      <c r="M106"/>
      <c r="N106" s="38"/>
      <c r="O106" s="54">
        <v>100.36666666666667</v>
      </c>
      <c r="P106" s="54">
        <v>200.73333333333335</v>
      </c>
      <c r="Q106" s="54">
        <v>100.36666666666667</v>
      </c>
      <c r="R106" s="54"/>
      <c r="S106" s="54">
        <v>100.36666666666667</v>
      </c>
      <c r="T106" s="54">
        <v>200.73333333333335</v>
      </c>
      <c r="U106" s="54">
        <v>100.36666666666667</v>
      </c>
    </row>
    <row r="107" spans="1:21" s="15" customFormat="1" x14ac:dyDescent="0.3">
      <c r="A107" s="17"/>
      <c r="B107"/>
      <c r="C107"/>
      <c r="D107"/>
      <c r="E107"/>
      <c r="F107" s="50">
        <v>40179</v>
      </c>
      <c r="G107" s="53">
        <v>91.2</v>
      </c>
      <c r="H107" s="53">
        <v>182.4</v>
      </c>
      <c r="I107" s="53">
        <v>91.2</v>
      </c>
      <c r="J107"/>
      <c r="K107"/>
      <c r="L107"/>
      <c r="M107"/>
      <c r="N107" s="38"/>
      <c r="O107" s="54">
        <v>95.566666666666663</v>
      </c>
      <c r="P107" s="54">
        <v>191.13333333333333</v>
      </c>
      <c r="Q107" s="54">
        <v>95.566666666666663</v>
      </c>
      <c r="R107" s="54"/>
      <c r="S107" s="54">
        <v>95.566666666666663</v>
      </c>
      <c r="T107" s="54">
        <v>191.13333333333333</v>
      </c>
      <c r="U107" s="54">
        <v>95.566666666666663</v>
      </c>
    </row>
    <row r="108" spans="1:21" s="15" customFormat="1" x14ac:dyDescent="0.3">
      <c r="A108" s="17"/>
      <c r="B108"/>
      <c r="C108"/>
      <c r="D108"/>
      <c r="E108"/>
      <c r="F108" s="50">
        <v>40210</v>
      </c>
      <c r="G108" s="53">
        <v>89</v>
      </c>
      <c r="H108" s="53">
        <v>178</v>
      </c>
      <c r="I108" s="53">
        <v>89</v>
      </c>
      <c r="J108"/>
      <c r="K108"/>
      <c r="L108"/>
      <c r="M108"/>
      <c r="N108" s="38"/>
      <c r="O108" s="54">
        <v>91.433333333333337</v>
      </c>
      <c r="P108" s="54">
        <v>182.86666666666667</v>
      </c>
      <c r="Q108" s="54">
        <v>91.433333333333337</v>
      </c>
      <c r="R108" s="54"/>
      <c r="S108" s="54">
        <v>91.433333333333337</v>
      </c>
      <c r="T108" s="54">
        <v>182.86666666666667</v>
      </c>
      <c r="U108" s="54">
        <v>91.433333333333337</v>
      </c>
    </row>
    <row r="109" spans="1:21" s="15" customFormat="1" x14ac:dyDescent="0.3">
      <c r="A109" s="17"/>
      <c r="B109"/>
      <c r="C109"/>
      <c r="D109"/>
      <c r="E109"/>
      <c r="F109" s="50">
        <v>40238</v>
      </c>
      <c r="G109" s="53">
        <v>105.1</v>
      </c>
      <c r="H109" s="53">
        <v>210.2</v>
      </c>
      <c r="I109" s="53">
        <v>105.1</v>
      </c>
      <c r="J109"/>
      <c r="K109"/>
      <c r="L109"/>
      <c r="M109"/>
      <c r="N109" s="38"/>
      <c r="O109" s="54">
        <v>95.09999999999998</v>
      </c>
      <c r="P109" s="54">
        <v>190.19999999999996</v>
      </c>
      <c r="Q109" s="54">
        <v>95.09999999999998</v>
      </c>
      <c r="R109" s="54"/>
      <c r="S109" s="54">
        <v>95.09999999999998</v>
      </c>
      <c r="T109" s="54">
        <v>190.19999999999996</v>
      </c>
      <c r="U109" s="54">
        <v>95.09999999999998</v>
      </c>
    </row>
    <row r="110" spans="1:21" s="15" customFormat="1" x14ac:dyDescent="0.3">
      <c r="A110" s="17"/>
      <c r="B110"/>
      <c r="C110"/>
      <c r="D110"/>
      <c r="E110"/>
      <c r="F110" s="50">
        <v>40269</v>
      </c>
      <c r="G110" s="53">
        <v>99.3</v>
      </c>
      <c r="H110" s="53">
        <v>198.6</v>
      </c>
      <c r="I110" s="53">
        <v>99.3</v>
      </c>
      <c r="J110"/>
      <c r="K110"/>
      <c r="L110"/>
      <c r="M110"/>
      <c r="N110" s="38"/>
      <c r="O110" s="54">
        <v>97.8</v>
      </c>
      <c r="P110" s="54">
        <v>195.6</v>
      </c>
      <c r="Q110" s="54">
        <v>97.8</v>
      </c>
      <c r="R110" s="54"/>
      <c r="S110" s="54">
        <v>97.8</v>
      </c>
      <c r="T110" s="54">
        <v>195.6</v>
      </c>
      <c r="U110" s="54">
        <v>97.8</v>
      </c>
    </row>
    <row r="111" spans="1:21" s="15" customFormat="1" x14ac:dyDescent="0.3">
      <c r="A111" s="17"/>
      <c r="B111"/>
      <c r="C111"/>
      <c r="D111"/>
      <c r="E111"/>
      <c r="F111" s="50">
        <v>40299</v>
      </c>
      <c r="G111" s="53">
        <v>104.3</v>
      </c>
      <c r="H111" s="53">
        <v>208.6</v>
      </c>
      <c r="I111" s="53">
        <v>104.3</v>
      </c>
      <c r="J111"/>
      <c r="K111"/>
      <c r="L111"/>
      <c r="M111"/>
      <c r="N111" s="38"/>
      <c r="O111" s="54">
        <v>102.89999999999999</v>
      </c>
      <c r="P111" s="54">
        <v>205.79999999999998</v>
      </c>
      <c r="Q111" s="54">
        <v>102.89999999999999</v>
      </c>
      <c r="R111" s="54"/>
      <c r="S111" s="54">
        <v>102.89999999999999</v>
      </c>
      <c r="T111" s="54">
        <v>205.79999999999998</v>
      </c>
      <c r="U111" s="54">
        <v>102.89999999999999</v>
      </c>
    </row>
    <row r="112" spans="1:21" s="15" customFormat="1" x14ac:dyDescent="0.3">
      <c r="A112" s="17"/>
      <c r="B112"/>
      <c r="C112"/>
      <c r="D112"/>
      <c r="E112"/>
      <c r="F112" s="50">
        <v>40330</v>
      </c>
      <c r="G112" s="53">
        <v>102.5</v>
      </c>
      <c r="H112" s="53">
        <v>205</v>
      </c>
      <c r="I112" s="53">
        <v>102.5</v>
      </c>
      <c r="J112"/>
      <c r="K112"/>
      <c r="L112"/>
      <c r="M112"/>
      <c r="N112" s="38"/>
      <c r="O112" s="54">
        <v>102.03333333333335</v>
      </c>
      <c r="P112" s="54">
        <v>204.06666666666669</v>
      </c>
      <c r="Q112" s="54">
        <v>102.03333333333335</v>
      </c>
      <c r="R112" s="54"/>
      <c r="S112" s="54">
        <v>102.03333333333335</v>
      </c>
      <c r="T112" s="54">
        <v>204.06666666666669</v>
      </c>
      <c r="U112" s="54">
        <v>102.03333333333335</v>
      </c>
    </row>
    <row r="113" spans="1:21" s="15" customFormat="1" x14ac:dyDescent="0.3">
      <c r="A113" s="17"/>
      <c r="B113"/>
      <c r="C113"/>
      <c r="D113"/>
      <c r="E113"/>
      <c r="F113" s="50">
        <v>40360</v>
      </c>
      <c r="G113" s="53">
        <v>106.9</v>
      </c>
      <c r="H113" s="53">
        <v>213.8</v>
      </c>
      <c r="I113" s="53">
        <v>106.9</v>
      </c>
      <c r="J113"/>
      <c r="K113"/>
      <c r="L113"/>
      <c r="M113"/>
      <c r="N113" s="38"/>
      <c r="O113" s="54">
        <v>104.56666666666668</v>
      </c>
      <c r="P113" s="54">
        <v>209.13333333333335</v>
      </c>
      <c r="Q113" s="54">
        <v>104.56666666666668</v>
      </c>
      <c r="R113" s="54"/>
      <c r="S113" s="54">
        <v>104.56666666666668</v>
      </c>
      <c r="T113" s="54">
        <v>209.13333333333335</v>
      </c>
      <c r="U113" s="54">
        <v>104.56666666666668</v>
      </c>
    </row>
    <row r="114" spans="1:21" s="15" customFormat="1" x14ac:dyDescent="0.3">
      <c r="A114" s="17"/>
      <c r="B114"/>
      <c r="C114"/>
      <c r="D114"/>
      <c r="E114"/>
      <c r="F114" s="50">
        <v>40391</v>
      </c>
      <c r="G114" s="53">
        <v>108.1</v>
      </c>
      <c r="H114" s="53">
        <v>216.2</v>
      </c>
      <c r="I114" s="53">
        <v>108.1</v>
      </c>
      <c r="J114"/>
      <c r="K114"/>
      <c r="L114"/>
      <c r="M114"/>
      <c r="N114" s="38"/>
      <c r="O114" s="54">
        <v>105.83333333333333</v>
      </c>
      <c r="P114" s="54">
        <v>211.66666666666666</v>
      </c>
      <c r="Q114" s="54">
        <v>105.83333333333333</v>
      </c>
      <c r="R114" s="54"/>
      <c r="S114" s="54">
        <v>105.83333333333333</v>
      </c>
      <c r="T114" s="54">
        <v>211.66666666666666</v>
      </c>
      <c r="U114" s="54">
        <v>105.83333333333333</v>
      </c>
    </row>
    <row r="115" spans="1:21" s="15" customFormat="1" x14ac:dyDescent="0.3">
      <c r="A115" s="17"/>
      <c r="B115"/>
      <c r="C115"/>
      <c r="D115"/>
      <c r="E115"/>
      <c r="F115" s="50">
        <v>40422</v>
      </c>
      <c r="G115" s="53">
        <v>105.8</v>
      </c>
      <c r="H115" s="53">
        <v>211.6</v>
      </c>
      <c r="I115" s="53">
        <v>105.8</v>
      </c>
      <c r="J115"/>
      <c r="K115"/>
      <c r="L115"/>
      <c r="M115"/>
      <c r="N115" s="38"/>
      <c r="O115" s="54">
        <v>106.93333333333334</v>
      </c>
      <c r="P115" s="54">
        <v>213.86666666666667</v>
      </c>
      <c r="Q115" s="54">
        <v>106.93333333333334</v>
      </c>
      <c r="R115" s="54"/>
      <c r="S115" s="54">
        <v>106.93333333333334</v>
      </c>
      <c r="T115" s="54">
        <v>213.86666666666667</v>
      </c>
      <c r="U115" s="54">
        <v>106.93333333333334</v>
      </c>
    </row>
    <row r="116" spans="1:21" s="15" customFormat="1" x14ac:dyDescent="0.3">
      <c r="A116" s="17"/>
      <c r="B116"/>
      <c r="C116"/>
      <c r="D116"/>
      <c r="E116"/>
      <c r="F116" s="50">
        <v>40452</v>
      </c>
      <c r="G116" s="53">
        <v>107.7</v>
      </c>
      <c r="H116" s="53">
        <v>215.4</v>
      </c>
      <c r="I116" s="53">
        <v>107.7</v>
      </c>
      <c r="J116"/>
      <c r="K116"/>
      <c r="L116"/>
      <c r="M116"/>
      <c r="N116" s="38"/>
      <c r="O116" s="54">
        <v>107.19999999999999</v>
      </c>
      <c r="P116" s="54">
        <v>214.39999999999998</v>
      </c>
      <c r="Q116" s="54">
        <v>107.19999999999999</v>
      </c>
      <c r="R116" s="54"/>
      <c r="S116" s="54">
        <v>107.19999999999999</v>
      </c>
      <c r="T116" s="54">
        <v>214.39999999999998</v>
      </c>
      <c r="U116" s="54">
        <v>107.19999999999999</v>
      </c>
    </row>
    <row r="117" spans="1:21" s="15" customFormat="1" x14ac:dyDescent="0.3">
      <c r="A117" s="17"/>
      <c r="B117"/>
      <c r="C117"/>
      <c r="D117"/>
      <c r="E117"/>
      <c r="F117" s="50">
        <v>40483</v>
      </c>
      <c r="G117" s="53">
        <v>106.8</v>
      </c>
      <c r="H117" s="53">
        <v>213.6</v>
      </c>
      <c r="I117" s="53">
        <v>106.8</v>
      </c>
      <c r="J117"/>
      <c r="K117"/>
      <c r="L117"/>
      <c r="M117"/>
      <c r="N117" s="38"/>
      <c r="O117" s="54">
        <v>106.76666666666667</v>
      </c>
      <c r="P117" s="54">
        <v>213.53333333333333</v>
      </c>
      <c r="Q117" s="54">
        <v>106.76666666666667</v>
      </c>
      <c r="R117" s="54"/>
      <c r="S117" s="54">
        <v>106.76666666666667</v>
      </c>
      <c r="T117" s="54">
        <v>213.53333333333333</v>
      </c>
      <c r="U117" s="54">
        <v>106.76666666666667</v>
      </c>
    </row>
    <row r="118" spans="1:21" s="15" customFormat="1" x14ac:dyDescent="0.3">
      <c r="A118" s="17"/>
      <c r="B118"/>
      <c r="C118"/>
      <c r="D118"/>
      <c r="E118"/>
      <c r="F118" s="50">
        <v>40513</v>
      </c>
      <c r="G118" s="53">
        <v>96.6</v>
      </c>
      <c r="H118" s="53">
        <v>193.2</v>
      </c>
      <c r="I118" s="53">
        <v>96.6</v>
      </c>
      <c r="J118"/>
      <c r="K118"/>
      <c r="L118"/>
      <c r="M118"/>
      <c r="N118" s="38"/>
      <c r="O118" s="54">
        <v>103.7</v>
      </c>
      <c r="P118" s="54">
        <v>207.4</v>
      </c>
      <c r="Q118" s="54">
        <v>103.7</v>
      </c>
      <c r="R118" s="54"/>
      <c r="S118" s="54">
        <v>103.7</v>
      </c>
      <c r="T118" s="54">
        <v>207.4</v>
      </c>
      <c r="U118" s="54">
        <v>103.7</v>
      </c>
    </row>
    <row r="119" spans="1:21" s="15" customFormat="1" x14ac:dyDescent="0.3">
      <c r="A119" s="17"/>
      <c r="B119"/>
      <c r="C119"/>
      <c r="D119"/>
      <c r="E119"/>
      <c r="F119" s="50">
        <v>40544</v>
      </c>
      <c r="G119" s="53">
        <v>93.2</v>
      </c>
      <c r="H119" s="53">
        <v>186.4</v>
      </c>
      <c r="I119" s="53">
        <v>93.2</v>
      </c>
      <c r="J119"/>
      <c r="K119"/>
      <c r="L119"/>
      <c r="M119"/>
      <c r="N119" s="38"/>
      <c r="O119" s="54">
        <v>98.86666666666666</v>
      </c>
      <c r="P119" s="54">
        <v>197.73333333333332</v>
      </c>
      <c r="Q119" s="54">
        <v>98.86666666666666</v>
      </c>
      <c r="R119" s="54"/>
      <c r="S119" s="54">
        <v>98.86666666666666</v>
      </c>
      <c r="T119" s="54">
        <v>197.73333333333332</v>
      </c>
      <c r="U119" s="54">
        <v>98.86666666666666</v>
      </c>
    </row>
    <row r="120" spans="1:21" s="15" customFormat="1" x14ac:dyDescent="0.3">
      <c r="A120" s="17"/>
      <c r="B120"/>
      <c r="C120"/>
      <c r="D120"/>
      <c r="E120"/>
      <c r="F120" s="50">
        <v>40575</v>
      </c>
      <c r="G120" s="53">
        <v>95.4</v>
      </c>
      <c r="H120" s="53">
        <v>190.8</v>
      </c>
      <c r="I120" s="53">
        <v>95.4</v>
      </c>
      <c r="J120"/>
      <c r="K120"/>
      <c r="L120"/>
      <c r="M120"/>
      <c r="N120" s="38"/>
      <c r="O120" s="54">
        <v>95.066666666666677</v>
      </c>
      <c r="P120" s="54">
        <v>190.13333333333335</v>
      </c>
      <c r="Q120" s="54">
        <v>95.066666666666677</v>
      </c>
      <c r="R120" s="54"/>
      <c r="S120" s="54">
        <v>95.066666666666677</v>
      </c>
      <c r="T120" s="54">
        <v>190.13333333333335</v>
      </c>
      <c r="U120" s="54">
        <v>95.066666666666677</v>
      </c>
    </row>
    <row r="121" spans="1:21" s="15" customFormat="1" x14ac:dyDescent="0.3">
      <c r="A121" s="17"/>
      <c r="B121"/>
      <c r="C121"/>
      <c r="D121"/>
      <c r="E121"/>
      <c r="F121" s="50">
        <v>40603</v>
      </c>
      <c r="G121" s="53">
        <v>104.4</v>
      </c>
      <c r="H121" s="53">
        <v>208.8</v>
      </c>
      <c r="I121" s="53">
        <v>104.4</v>
      </c>
      <c r="J121"/>
      <c r="K121"/>
      <c r="L121"/>
      <c r="M121"/>
      <c r="N121" s="38"/>
      <c r="O121" s="54">
        <v>97.666666666666671</v>
      </c>
      <c r="P121" s="54">
        <v>195.33333333333334</v>
      </c>
      <c r="Q121" s="54">
        <v>97.666666666666671</v>
      </c>
      <c r="R121" s="54"/>
      <c r="S121" s="54">
        <v>97.666666666666671</v>
      </c>
      <c r="T121" s="54">
        <v>195.33333333333334</v>
      </c>
      <c r="U121" s="54">
        <v>97.666666666666671</v>
      </c>
    </row>
    <row r="122" spans="1:21" s="15" customFormat="1" x14ac:dyDescent="0.3">
      <c r="A122" s="17"/>
      <c r="B122"/>
      <c r="C122"/>
      <c r="D122"/>
      <c r="E122"/>
      <c r="F122" s="50">
        <v>40634</v>
      </c>
      <c r="G122" s="53">
        <v>97.5</v>
      </c>
      <c r="H122" s="53">
        <v>195</v>
      </c>
      <c r="I122" s="53">
        <v>97.5</v>
      </c>
      <c r="J122"/>
      <c r="K122"/>
      <c r="L122"/>
      <c r="M122"/>
      <c r="N122" s="38"/>
      <c r="O122" s="54">
        <v>99.100000000000009</v>
      </c>
      <c r="P122" s="54">
        <v>198.20000000000002</v>
      </c>
      <c r="Q122" s="54">
        <v>99.100000000000009</v>
      </c>
      <c r="R122" s="54"/>
      <c r="S122" s="54">
        <v>99.100000000000009</v>
      </c>
      <c r="T122" s="54">
        <v>198.20000000000002</v>
      </c>
      <c r="U122" s="54">
        <v>99.100000000000009</v>
      </c>
    </row>
    <row r="123" spans="1:21" s="15" customFormat="1" x14ac:dyDescent="0.3">
      <c r="A123" s="17"/>
      <c r="B123"/>
      <c r="C123"/>
      <c r="D123"/>
      <c r="E123"/>
      <c r="F123" s="50">
        <v>40664</v>
      </c>
      <c r="G123" s="53">
        <v>107.1</v>
      </c>
      <c r="H123" s="53">
        <v>214.2</v>
      </c>
      <c r="I123" s="53">
        <v>107.1</v>
      </c>
      <c r="J123"/>
      <c r="K123"/>
      <c r="L123"/>
      <c r="M123"/>
      <c r="N123" s="38"/>
      <c r="O123" s="54">
        <v>103</v>
      </c>
      <c r="P123" s="54">
        <v>206</v>
      </c>
      <c r="Q123" s="54">
        <v>103</v>
      </c>
      <c r="R123" s="54"/>
      <c r="S123" s="54">
        <v>103</v>
      </c>
      <c r="T123" s="54">
        <v>206</v>
      </c>
      <c r="U123" s="54">
        <v>103</v>
      </c>
    </row>
    <row r="124" spans="1:21" s="15" customFormat="1" x14ac:dyDescent="0.3">
      <c r="A124" s="17"/>
      <c r="B124"/>
      <c r="C124"/>
      <c r="D124"/>
      <c r="E124"/>
      <c r="F124" s="50">
        <v>40695</v>
      </c>
      <c r="G124" s="53">
        <v>102.8</v>
      </c>
      <c r="H124" s="53">
        <v>205.6</v>
      </c>
      <c r="I124" s="53">
        <v>102.8</v>
      </c>
      <c r="J124"/>
      <c r="K124"/>
      <c r="L124"/>
      <c r="M124"/>
      <c r="N124" s="38"/>
      <c r="O124" s="54">
        <v>102.46666666666665</v>
      </c>
      <c r="P124" s="54">
        <v>204.93333333333331</v>
      </c>
      <c r="Q124" s="54">
        <v>102.46666666666665</v>
      </c>
      <c r="R124" s="54"/>
      <c r="S124" s="54">
        <v>102.46666666666665</v>
      </c>
      <c r="T124" s="54">
        <v>204.93333333333331</v>
      </c>
      <c r="U124" s="54">
        <v>102.46666666666665</v>
      </c>
    </row>
    <row r="125" spans="1:21" s="15" customFormat="1" x14ac:dyDescent="0.3">
      <c r="A125" s="17"/>
      <c r="B125"/>
      <c r="C125"/>
      <c r="D125"/>
      <c r="E125"/>
      <c r="F125" s="50">
        <v>40725</v>
      </c>
      <c r="G125" s="53">
        <v>106.1</v>
      </c>
      <c r="H125" s="53">
        <v>212.2</v>
      </c>
      <c r="I125" s="53">
        <v>106.1</v>
      </c>
      <c r="J125"/>
      <c r="K125"/>
      <c r="L125"/>
      <c r="M125"/>
      <c r="N125" s="38"/>
      <c r="O125" s="54">
        <v>105.33333333333333</v>
      </c>
      <c r="P125" s="54">
        <v>210.66666666666666</v>
      </c>
      <c r="Q125" s="54">
        <v>105.33333333333333</v>
      </c>
      <c r="R125" s="54"/>
      <c r="S125" s="54">
        <v>105.33333333333333</v>
      </c>
      <c r="T125" s="54">
        <v>210.66666666666666</v>
      </c>
      <c r="U125" s="54">
        <v>105.33333333333333</v>
      </c>
    </row>
    <row r="126" spans="1:21" s="15" customFormat="1" x14ac:dyDescent="0.3">
      <c r="A126" s="17"/>
      <c r="B126"/>
      <c r="C126"/>
      <c r="D126"/>
      <c r="E126"/>
      <c r="F126" s="50">
        <v>40756</v>
      </c>
      <c r="G126" s="53">
        <v>110.8</v>
      </c>
      <c r="H126" s="53">
        <v>221.6</v>
      </c>
      <c r="I126" s="53">
        <v>110.8</v>
      </c>
      <c r="J126"/>
      <c r="K126"/>
      <c r="L126"/>
      <c r="M126"/>
      <c r="N126" s="38"/>
      <c r="O126" s="54">
        <v>106.56666666666666</v>
      </c>
      <c r="P126" s="54">
        <v>213.13333333333333</v>
      </c>
      <c r="Q126" s="54">
        <v>106.56666666666666</v>
      </c>
      <c r="R126" s="54"/>
      <c r="S126" s="54">
        <v>106.56666666666666</v>
      </c>
      <c r="T126" s="54">
        <v>213.13333333333333</v>
      </c>
      <c r="U126" s="54">
        <v>106.56666666666666</v>
      </c>
    </row>
    <row r="127" spans="1:21" s="15" customFormat="1" x14ac:dyDescent="0.3">
      <c r="A127" s="17"/>
      <c r="B127"/>
      <c r="C127"/>
      <c r="D127"/>
      <c r="E127"/>
      <c r="F127" s="50">
        <v>40787</v>
      </c>
      <c r="G127" s="53">
        <v>104.8</v>
      </c>
      <c r="H127" s="53">
        <v>209.6</v>
      </c>
      <c r="I127" s="53">
        <v>104.8</v>
      </c>
      <c r="J127"/>
      <c r="K127"/>
      <c r="L127"/>
      <c r="M127"/>
      <c r="N127" s="38"/>
      <c r="O127" s="54">
        <v>107.23333333333333</v>
      </c>
      <c r="P127" s="54">
        <v>214.46666666666667</v>
      </c>
      <c r="Q127" s="54">
        <v>107.23333333333333</v>
      </c>
      <c r="R127" s="54"/>
      <c r="S127" s="54">
        <v>107.23333333333333</v>
      </c>
      <c r="T127" s="54">
        <v>214.46666666666667</v>
      </c>
      <c r="U127" s="54">
        <v>107.23333333333333</v>
      </c>
    </row>
    <row r="128" spans="1:21" s="15" customFormat="1" x14ac:dyDescent="0.3">
      <c r="A128" s="17"/>
      <c r="B128"/>
      <c r="C128"/>
      <c r="D128"/>
      <c r="E128"/>
      <c r="F128" s="50">
        <v>40817</v>
      </c>
      <c r="G128" s="53">
        <v>106.3</v>
      </c>
      <c r="H128" s="53">
        <v>212.6</v>
      </c>
      <c r="I128" s="53">
        <v>106.3</v>
      </c>
      <c r="J128"/>
      <c r="K128"/>
      <c r="L128"/>
      <c r="M128"/>
      <c r="N128" s="38"/>
      <c r="O128" s="54">
        <v>107.3</v>
      </c>
      <c r="P128" s="54">
        <v>214.6</v>
      </c>
      <c r="Q128" s="54">
        <v>107.3</v>
      </c>
      <c r="R128" s="54"/>
      <c r="S128" s="54">
        <v>107.3</v>
      </c>
      <c r="T128" s="54">
        <v>214.6</v>
      </c>
      <c r="U128" s="54">
        <v>107.3</v>
      </c>
    </row>
    <row r="129" spans="1:21" s="15" customFormat="1" x14ac:dyDescent="0.3">
      <c r="A129" s="17"/>
      <c r="B129"/>
      <c r="C129"/>
      <c r="D129"/>
      <c r="E129"/>
      <c r="F129" s="50">
        <v>40848</v>
      </c>
      <c r="G129" s="53">
        <v>104.2</v>
      </c>
      <c r="H129" s="53">
        <v>208.4</v>
      </c>
      <c r="I129" s="53">
        <v>104.2</v>
      </c>
      <c r="J129"/>
      <c r="K129"/>
      <c r="L129"/>
      <c r="M129"/>
      <c r="N129" s="38"/>
      <c r="O129" s="54">
        <v>105.10000000000001</v>
      </c>
      <c r="P129" s="54">
        <v>210.20000000000002</v>
      </c>
      <c r="Q129" s="54">
        <v>105.10000000000001</v>
      </c>
      <c r="R129" s="54"/>
      <c r="S129" s="54">
        <v>105.10000000000001</v>
      </c>
      <c r="T129" s="54">
        <v>210.20000000000002</v>
      </c>
      <c r="U129" s="54">
        <v>105.10000000000001</v>
      </c>
    </row>
    <row r="130" spans="1:21" s="15" customFormat="1" x14ac:dyDescent="0.3">
      <c r="A130" s="17"/>
      <c r="B130"/>
      <c r="C130"/>
      <c r="D130"/>
      <c r="E130"/>
      <c r="F130" s="50">
        <v>40878</v>
      </c>
      <c r="G130" s="53">
        <v>95.7</v>
      </c>
      <c r="H130" s="53">
        <v>191.4</v>
      </c>
      <c r="I130" s="53">
        <v>95.7</v>
      </c>
      <c r="J130"/>
      <c r="K130"/>
      <c r="L130"/>
      <c r="M130"/>
      <c r="N130" s="38"/>
      <c r="O130" s="54">
        <v>102.06666666666666</v>
      </c>
      <c r="P130" s="54">
        <v>204.13333333333333</v>
      </c>
      <c r="Q130" s="54">
        <v>102.06666666666666</v>
      </c>
      <c r="R130" s="54"/>
      <c r="S130" s="54">
        <v>102.06666666666666</v>
      </c>
      <c r="T130" s="54">
        <v>204.13333333333333</v>
      </c>
      <c r="U130" s="54">
        <v>102.06666666666666</v>
      </c>
    </row>
    <row r="131" spans="1:21" s="15" customFormat="1" x14ac:dyDescent="0.3">
      <c r="A131" s="17"/>
      <c r="B131"/>
      <c r="C131"/>
      <c r="D131"/>
      <c r="E131"/>
      <c r="F131" s="50">
        <v>40909</v>
      </c>
      <c r="G131" s="53">
        <v>88.7</v>
      </c>
      <c r="H131" s="53">
        <v>177.4</v>
      </c>
      <c r="I131" s="53">
        <v>88.7</v>
      </c>
      <c r="J131"/>
      <c r="K131"/>
      <c r="L131"/>
      <c r="M131"/>
      <c r="N131" s="38"/>
      <c r="O131" s="54">
        <v>96.2</v>
      </c>
      <c r="P131" s="54">
        <v>192.4</v>
      </c>
      <c r="Q131" s="54">
        <v>96.2</v>
      </c>
      <c r="R131" s="54"/>
      <c r="S131" s="54">
        <v>96.2</v>
      </c>
      <c r="T131" s="54">
        <v>192.4</v>
      </c>
      <c r="U131" s="54">
        <v>96.2</v>
      </c>
    </row>
    <row r="132" spans="1:21" s="15" customFormat="1" x14ac:dyDescent="0.3">
      <c r="A132" s="17"/>
      <c r="B132"/>
      <c r="C132"/>
      <c r="D132"/>
      <c r="E132"/>
      <c r="F132" s="50">
        <v>40940</v>
      </c>
      <c r="G132" s="53">
        <v>89.8</v>
      </c>
      <c r="H132" s="53">
        <v>179.6</v>
      </c>
      <c r="I132" s="53">
        <v>89.8</v>
      </c>
      <c r="J132"/>
      <c r="K132"/>
      <c r="L132"/>
      <c r="M132"/>
      <c r="N132" s="38"/>
      <c r="O132" s="54">
        <v>91.399999999999991</v>
      </c>
      <c r="P132" s="54">
        <v>182.79999999999998</v>
      </c>
      <c r="Q132" s="54">
        <v>91.399999999999991</v>
      </c>
      <c r="R132" s="54"/>
      <c r="S132" s="54">
        <v>91.399999999999991</v>
      </c>
      <c r="T132" s="54">
        <v>182.79999999999998</v>
      </c>
      <c r="U132" s="54">
        <v>91.399999999999991</v>
      </c>
    </row>
    <row r="133" spans="1:21" s="15" customFormat="1" x14ac:dyDescent="0.3">
      <c r="A133" s="17"/>
      <c r="B133"/>
      <c r="C133"/>
      <c r="D133"/>
      <c r="E133"/>
      <c r="F133" s="50">
        <v>40969</v>
      </c>
      <c r="G133" s="53">
        <v>99.7</v>
      </c>
      <c r="H133" s="53">
        <v>199.4</v>
      </c>
      <c r="I133" s="53">
        <v>99.7</v>
      </c>
      <c r="J133"/>
      <c r="K133"/>
      <c r="L133"/>
      <c r="M133"/>
      <c r="N133" s="38"/>
      <c r="O133" s="54">
        <v>92.733333333333334</v>
      </c>
      <c r="P133" s="54">
        <v>185.46666666666667</v>
      </c>
      <c r="Q133" s="54">
        <v>92.733333333333334</v>
      </c>
      <c r="R133" s="54"/>
      <c r="S133" s="54">
        <v>92.733333333333334</v>
      </c>
      <c r="T133" s="54">
        <v>185.46666666666667</v>
      </c>
      <c r="U133" s="54">
        <v>92.733333333333334</v>
      </c>
    </row>
    <row r="134" spans="1:21" s="15" customFormat="1" x14ac:dyDescent="0.3">
      <c r="A134" s="17"/>
      <c r="B134"/>
      <c r="C134"/>
      <c r="D134"/>
      <c r="E134"/>
      <c r="F134" s="50">
        <v>41000</v>
      </c>
      <c r="G134" s="53">
        <v>92.8</v>
      </c>
      <c r="H134" s="53">
        <v>185.6</v>
      </c>
      <c r="I134" s="53">
        <v>92.8</v>
      </c>
      <c r="J134"/>
      <c r="K134"/>
      <c r="L134"/>
      <c r="M134"/>
      <c r="N134" s="38"/>
      <c r="O134" s="54">
        <v>94.100000000000009</v>
      </c>
      <c r="P134" s="54">
        <v>188.20000000000002</v>
      </c>
      <c r="Q134" s="54">
        <v>94.100000000000009</v>
      </c>
      <c r="R134" s="54"/>
      <c r="S134" s="54">
        <v>94.100000000000009</v>
      </c>
      <c r="T134" s="54">
        <v>188.20000000000002</v>
      </c>
      <c r="U134" s="54">
        <v>94.100000000000009</v>
      </c>
    </row>
    <row r="135" spans="1:21" s="15" customFormat="1" x14ac:dyDescent="0.3">
      <c r="A135" s="17"/>
      <c r="B135"/>
      <c r="C135"/>
      <c r="D135"/>
      <c r="E135"/>
      <c r="F135" s="50">
        <v>41030</v>
      </c>
      <c r="G135" s="53">
        <v>102.5</v>
      </c>
      <c r="H135" s="53">
        <v>205</v>
      </c>
      <c r="I135" s="53">
        <v>102.5</v>
      </c>
      <c r="J135"/>
      <c r="K135"/>
      <c r="L135"/>
      <c r="M135"/>
      <c r="N135" s="38"/>
      <c r="O135" s="54">
        <v>98.333333333333329</v>
      </c>
      <c r="P135" s="54">
        <v>196.66666666666666</v>
      </c>
      <c r="Q135" s="54">
        <v>98.333333333333329</v>
      </c>
      <c r="R135" s="54"/>
      <c r="S135" s="54">
        <v>98.333333333333329</v>
      </c>
      <c r="T135" s="54">
        <v>196.66666666666666</v>
      </c>
      <c r="U135" s="54">
        <v>98.333333333333329</v>
      </c>
    </row>
    <row r="136" spans="1:21" s="15" customFormat="1" x14ac:dyDescent="0.3">
      <c r="A136" s="17"/>
      <c r="B136"/>
      <c r="C136"/>
      <c r="D136"/>
      <c r="E136"/>
      <c r="F136" s="50">
        <v>41061</v>
      </c>
      <c r="G136" s="53">
        <v>98.3</v>
      </c>
      <c r="H136" s="53">
        <v>196.6</v>
      </c>
      <c r="I136" s="53">
        <v>98.3</v>
      </c>
      <c r="J136"/>
      <c r="K136"/>
      <c r="L136"/>
      <c r="M136"/>
      <c r="N136" s="38"/>
      <c r="O136" s="54">
        <v>97.866666666666674</v>
      </c>
      <c r="P136" s="54">
        <v>195.73333333333335</v>
      </c>
      <c r="Q136" s="54">
        <v>97.866666666666674</v>
      </c>
      <c r="R136" s="54"/>
      <c r="S136" s="54">
        <v>97.866666666666674</v>
      </c>
      <c r="T136" s="54">
        <v>195.73333333333335</v>
      </c>
      <c r="U136" s="54">
        <v>97.866666666666674</v>
      </c>
    </row>
    <row r="137" spans="1:21" s="15" customFormat="1" x14ac:dyDescent="0.3">
      <c r="A137" s="17"/>
      <c r="B137"/>
      <c r="C137"/>
      <c r="D137"/>
      <c r="E137"/>
      <c r="F137" s="50">
        <v>41091</v>
      </c>
      <c r="G137" s="53">
        <v>104.5</v>
      </c>
      <c r="H137" s="53">
        <v>209</v>
      </c>
      <c r="I137" s="53">
        <v>104.5</v>
      </c>
      <c r="J137"/>
      <c r="K137"/>
      <c r="L137"/>
      <c r="M137"/>
      <c r="N137" s="38"/>
      <c r="O137" s="54">
        <v>101.76666666666667</v>
      </c>
      <c r="P137" s="54">
        <v>203.53333333333333</v>
      </c>
      <c r="Q137" s="54">
        <v>101.76666666666667</v>
      </c>
      <c r="R137" s="54"/>
      <c r="S137" s="54">
        <v>101.76666666666667</v>
      </c>
      <c r="T137" s="54">
        <v>203.53333333333333</v>
      </c>
      <c r="U137" s="54">
        <v>101.76666666666667</v>
      </c>
    </row>
    <row r="138" spans="1:21" s="15" customFormat="1" x14ac:dyDescent="0.3">
      <c r="A138" s="17"/>
      <c r="B138"/>
      <c r="C138"/>
      <c r="D138"/>
      <c r="E138"/>
      <c r="F138" s="50">
        <v>41122</v>
      </c>
      <c r="G138" s="53">
        <v>111.5</v>
      </c>
      <c r="H138" s="53">
        <v>223</v>
      </c>
      <c r="I138" s="53">
        <v>111.5</v>
      </c>
      <c r="J138"/>
      <c r="K138"/>
      <c r="L138"/>
      <c r="M138"/>
      <c r="N138" s="38"/>
      <c r="O138" s="54">
        <v>104.76666666666667</v>
      </c>
      <c r="P138" s="54">
        <v>209.53333333333333</v>
      </c>
      <c r="Q138" s="54">
        <v>104.76666666666667</v>
      </c>
      <c r="R138" s="54"/>
      <c r="S138" s="54">
        <v>104.76666666666667</v>
      </c>
      <c r="T138" s="54">
        <v>209.53333333333333</v>
      </c>
      <c r="U138" s="54">
        <v>104.76666666666667</v>
      </c>
    </row>
    <row r="139" spans="1:21" s="15" customFormat="1" x14ac:dyDescent="0.3">
      <c r="A139" s="17"/>
      <c r="B139"/>
      <c r="C139"/>
      <c r="D139"/>
      <c r="E139"/>
      <c r="F139" s="50">
        <v>41153</v>
      </c>
      <c r="G139" s="53">
        <v>103.4</v>
      </c>
      <c r="H139" s="53">
        <v>206.8</v>
      </c>
      <c r="I139" s="53">
        <v>103.4</v>
      </c>
      <c r="J139"/>
      <c r="K139"/>
      <c r="L139"/>
      <c r="M139"/>
      <c r="N139" s="38"/>
      <c r="O139" s="54">
        <v>106.46666666666665</v>
      </c>
      <c r="P139" s="54">
        <v>212.93333333333331</v>
      </c>
      <c r="Q139" s="54">
        <v>106.46666666666665</v>
      </c>
      <c r="R139" s="54"/>
      <c r="S139" s="54">
        <v>106.46666666666665</v>
      </c>
      <c r="T139" s="54">
        <v>212.93333333333331</v>
      </c>
      <c r="U139" s="54">
        <v>106.46666666666665</v>
      </c>
    </row>
    <row r="140" spans="1:21" s="15" customFormat="1" x14ac:dyDescent="0.3">
      <c r="A140" s="17"/>
      <c r="B140"/>
      <c r="C140"/>
      <c r="D140"/>
      <c r="E140"/>
      <c r="F140" s="50">
        <v>41183</v>
      </c>
      <c r="G140" s="53">
        <v>111.8</v>
      </c>
      <c r="H140" s="53">
        <v>223.6</v>
      </c>
      <c r="I140" s="53">
        <v>111.8</v>
      </c>
      <c r="J140"/>
      <c r="K140"/>
      <c r="L140"/>
      <c r="M140"/>
      <c r="N140" s="38"/>
      <c r="O140" s="54">
        <v>108.89999999999999</v>
      </c>
      <c r="P140" s="54">
        <v>217.79999999999998</v>
      </c>
      <c r="Q140" s="54">
        <v>108.89999999999999</v>
      </c>
      <c r="R140" s="54"/>
      <c r="S140" s="54">
        <v>108.89999999999999</v>
      </c>
      <c r="T140" s="54">
        <v>217.79999999999998</v>
      </c>
      <c r="U140" s="54">
        <v>108.89999999999999</v>
      </c>
    </row>
    <row r="141" spans="1:21" s="15" customFormat="1" x14ac:dyDescent="0.3">
      <c r="A141" s="17"/>
      <c r="B141"/>
      <c r="C141"/>
      <c r="D141"/>
      <c r="E141"/>
      <c r="F141" s="50">
        <v>41214</v>
      </c>
      <c r="G141" s="53">
        <v>104.8</v>
      </c>
      <c r="H141" s="53">
        <v>209.6</v>
      </c>
      <c r="I141" s="53">
        <v>104.8</v>
      </c>
      <c r="J141"/>
      <c r="K141"/>
      <c r="L141"/>
      <c r="M141"/>
      <c r="N141" s="38"/>
      <c r="O141" s="54">
        <v>106.66666666666667</v>
      </c>
      <c r="P141" s="54">
        <v>213.33333333333334</v>
      </c>
      <c r="Q141" s="54">
        <v>106.66666666666667</v>
      </c>
      <c r="R141" s="54"/>
      <c r="S141" s="54">
        <v>106.66666666666667</v>
      </c>
      <c r="T141" s="54">
        <v>213.33333333333334</v>
      </c>
      <c r="U141" s="54">
        <v>106.66666666666667</v>
      </c>
    </row>
    <row r="142" spans="1:21" s="15" customFormat="1" x14ac:dyDescent="0.3">
      <c r="A142" s="17"/>
      <c r="B142"/>
      <c r="C142"/>
      <c r="D142"/>
      <c r="E142"/>
      <c r="F142" s="50">
        <v>41244</v>
      </c>
      <c r="G142" s="53">
        <v>92.2</v>
      </c>
      <c r="H142" s="53">
        <v>184.4</v>
      </c>
      <c r="I142" s="53">
        <v>92.2</v>
      </c>
      <c r="J142"/>
      <c r="K142"/>
      <c r="L142"/>
      <c r="M142"/>
      <c r="N142" s="38"/>
      <c r="O142" s="54">
        <v>102.93333333333334</v>
      </c>
      <c r="P142" s="54">
        <v>205.86666666666667</v>
      </c>
      <c r="Q142" s="54">
        <v>102.93333333333334</v>
      </c>
      <c r="R142" s="54"/>
      <c r="S142" s="54">
        <v>102.93333333333334</v>
      </c>
      <c r="T142" s="54">
        <v>205.86666666666667</v>
      </c>
      <c r="U142" s="54">
        <v>102.93333333333334</v>
      </c>
    </row>
    <row r="143" spans="1:21" s="15" customFormat="1" x14ac:dyDescent="0.3">
      <c r="A143" s="17"/>
      <c r="B143"/>
      <c r="C143"/>
      <c r="D143"/>
      <c r="E143"/>
      <c r="F143" s="50">
        <v>41275</v>
      </c>
      <c r="G143" s="53">
        <v>94.5</v>
      </c>
      <c r="H143" s="53">
        <v>189</v>
      </c>
      <c r="I143" s="53">
        <v>94.5</v>
      </c>
      <c r="J143"/>
      <c r="K143"/>
      <c r="L143"/>
      <c r="M143"/>
      <c r="N143" s="38"/>
      <c r="O143" s="54">
        <v>97.166666666666671</v>
      </c>
      <c r="P143" s="54">
        <v>194.33333333333334</v>
      </c>
      <c r="Q143" s="54">
        <v>97.166666666666671</v>
      </c>
      <c r="R143" s="54"/>
      <c r="S143" s="54">
        <v>97.166666666666671</v>
      </c>
      <c r="T143" s="54">
        <v>194.33333333333334</v>
      </c>
      <c r="U143" s="54">
        <v>97.166666666666671</v>
      </c>
    </row>
    <row r="144" spans="1:21" s="15" customFormat="1" x14ac:dyDescent="0.3">
      <c r="A144" s="17"/>
      <c r="B144"/>
      <c r="C144"/>
      <c r="D144"/>
      <c r="E144"/>
      <c r="F144" s="50">
        <v>41306</v>
      </c>
      <c r="G144" s="53">
        <v>88.1</v>
      </c>
      <c r="H144" s="53">
        <v>176.2</v>
      </c>
      <c r="I144" s="53">
        <v>88.1</v>
      </c>
      <c r="J144"/>
      <c r="K144"/>
      <c r="L144"/>
      <c r="M144"/>
      <c r="N144" s="38"/>
      <c r="O144" s="54">
        <v>91.59999999999998</v>
      </c>
      <c r="P144" s="54">
        <v>183.19999999999996</v>
      </c>
      <c r="Q144" s="54">
        <v>91.59999999999998</v>
      </c>
      <c r="R144" s="54"/>
      <c r="S144" s="54">
        <v>91.59999999999998</v>
      </c>
      <c r="T144" s="54">
        <v>183.19999999999996</v>
      </c>
      <c r="U144" s="54">
        <v>91.59999999999998</v>
      </c>
    </row>
    <row r="145" spans="1:21" s="15" customFormat="1" x14ac:dyDescent="0.3">
      <c r="A145" s="17"/>
      <c r="B145"/>
      <c r="C145"/>
      <c r="D145"/>
      <c r="E145"/>
      <c r="F145" s="50">
        <v>41334</v>
      </c>
      <c r="G145" s="53">
        <v>97.7</v>
      </c>
      <c r="H145" s="53">
        <v>195.4</v>
      </c>
      <c r="I145" s="53">
        <v>97.7</v>
      </c>
      <c r="J145"/>
      <c r="K145"/>
      <c r="L145"/>
      <c r="M145"/>
      <c r="N145" s="38"/>
      <c r="O145" s="54">
        <v>93.433333333333337</v>
      </c>
      <c r="P145" s="54">
        <v>186.86666666666667</v>
      </c>
      <c r="Q145" s="54">
        <v>93.433333333333337</v>
      </c>
      <c r="R145" s="54"/>
      <c r="S145" s="54">
        <v>93.433333333333337</v>
      </c>
      <c r="T145" s="54">
        <v>186.86666666666667</v>
      </c>
      <c r="U145" s="54">
        <v>93.433333333333337</v>
      </c>
    </row>
    <row r="146" spans="1:21" s="15" customFormat="1" x14ac:dyDescent="0.3">
      <c r="A146" s="17"/>
      <c r="B146"/>
      <c r="C146"/>
      <c r="D146"/>
      <c r="E146"/>
      <c r="F146" s="50">
        <v>41365</v>
      </c>
      <c r="G146" s="53">
        <v>101.8</v>
      </c>
      <c r="H146" s="53">
        <v>203.6</v>
      </c>
      <c r="I146" s="53">
        <v>101.8</v>
      </c>
      <c r="J146"/>
      <c r="K146"/>
      <c r="L146"/>
      <c r="M146"/>
      <c r="N146" s="38"/>
      <c r="O146" s="54">
        <v>95.866666666666674</v>
      </c>
      <c r="P146" s="54">
        <v>191.73333333333335</v>
      </c>
      <c r="Q146" s="54">
        <v>95.866666666666674</v>
      </c>
      <c r="R146" s="54"/>
      <c r="S146" s="54">
        <v>95.866666666666674</v>
      </c>
      <c r="T146" s="54">
        <v>191.73333333333335</v>
      </c>
      <c r="U146" s="54">
        <v>95.866666666666674</v>
      </c>
    </row>
    <row r="147" spans="1:21" s="15" customFormat="1" x14ac:dyDescent="0.3">
      <c r="A147" s="17"/>
      <c r="B147"/>
      <c r="C147"/>
      <c r="D147"/>
      <c r="E147"/>
      <c r="F147" s="50">
        <v>41395</v>
      </c>
      <c r="G147" s="53">
        <v>105</v>
      </c>
      <c r="H147" s="53">
        <v>210</v>
      </c>
      <c r="I147" s="53">
        <v>105</v>
      </c>
      <c r="J147"/>
      <c r="K147"/>
      <c r="L147"/>
      <c r="M147"/>
      <c r="N147" s="38"/>
      <c r="O147" s="54">
        <v>101.5</v>
      </c>
      <c r="P147" s="54">
        <v>203</v>
      </c>
      <c r="Q147" s="54">
        <v>101.5</v>
      </c>
      <c r="R147" s="54"/>
      <c r="S147" s="54">
        <v>101.5</v>
      </c>
      <c r="T147" s="54">
        <v>203</v>
      </c>
      <c r="U147" s="54">
        <v>101.5</v>
      </c>
    </row>
    <row r="148" spans="1:21" s="15" customFormat="1" x14ac:dyDescent="0.3">
      <c r="A148" s="17"/>
      <c r="B148"/>
      <c r="C148"/>
      <c r="D148"/>
      <c r="E148"/>
      <c r="F148" s="50">
        <v>41426</v>
      </c>
      <c r="G148" s="53">
        <v>101.7</v>
      </c>
      <c r="H148" s="53">
        <v>203.4</v>
      </c>
      <c r="I148" s="53">
        <v>101.7</v>
      </c>
      <c r="J148"/>
      <c r="K148"/>
      <c r="L148"/>
      <c r="M148"/>
      <c r="N148" s="38"/>
      <c r="O148" s="54">
        <v>102.83333333333333</v>
      </c>
      <c r="P148" s="54">
        <v>205.66666666666666</v>
      </c>
      <c r="Q148" s="54">
        <v>102.83333333333333</v>
      </c>
      <c r="R148" s="54"/>
      <c r="S148" s="54">
        <v>102.83333333333333</v>
      </c>
      <c r="T148" s="54">
        <v>205.66666666666666</v>
      </c>
      <c r="U148" s="54">
        <v>102.83333333333333</v>
      </c>
    </row>
    <row r="149" spans="1:21" s="15" customFormat="1" x14ac:dyDescent="0.3">
      <c r="A149" s="17"/>
      <c r="B149"/>
      <c r="C149"/>
      <c r="D149"/>
      <c r="E149"/>
      <c r="F149" s="50">
        <v>41456</v>
      </c>
      <c r="G149" s="53">
        <v>108</v>
      </c>
      <c r="H149" s="53">
        <v>216</v>
      </c>
      <c r="I149" s="53">
        <v>108</v>
      </c>
      <c r="J149"/>
      <c r="K149"/>
      <c r="L149"/>
      <c r="M149"/>
      <c r="N149" s="38"/>
      <c r="O149" s="54">
        <v>104.89999999999999</v>
      </c>
      <c r="P149" s="54">
        <v>209.79999999999998</v>
      </c>
      <c r="Q149" s="54">
        <v>104.89999999999999</v>
      </c>
      <c r="R149" s="54"/>
      <c r="S149" s="54">
        <v>104.89999999999999</v>
      </c>
      <c r="T149" s="54">
        <v>209.79999999999998</v>
      </c>
      <c r="U149" s="54">
        <v>104.89999999999999</v>
      </c>
    </row>
    <row r="150" spans="1:21" s="15" customFormat="1" x14ac:dyDescent="0.3">
      <c r="A150" s="17"/>
      <c r="B150"/>
      <c r="C150"/>
      <c r="D150"/>
      <c r="E150"/>
      <c r="F150" s="50">
        <v>41487</v>
      </c>
      <c r="G150" s="53">
        <v>112</v>
      </c>
      <c r="H150" s="53">
        <v>224</v>
      </c>
      <c r="I150" s="53">
        <v>112</v>
      </c>
      <c r="J150"/>
      <c r="K150"/>
      <c r="L150"/>
      <c r="M150"/>
      <c r="N150" s="38"/>
      <c r="O150" s="54">
        <v>107.23333333333333</v>
      </c>
      <c r="P150" s="54">
        <v>214.46666666666667</v>
      </c>
      <c r="Q150" s="54">
        <v>107.23333333333333</v>
      </c>
      <c r="R150" s="54"/>
      <c r="S150" s="54">
        <v>107.23333333333333</v>
      </c>
      <c r="T150" s="54">
        <v>214.46666666666667</v>
      </c>
      <c r="U150" s="54">
        <v>107.23333333333333</v>
      </c>
    </row>
    <row r="151" spans="1:21" s="15" customFormat="1" x14ac:dyDescent="0.3">
      <c r="A151" s="17"/>
      <c r="B151"/>
      <c r="C151"/>
      <c r="D151"/>
      <c r="E151"/>
      <c r="F151" s="50">
        <v>41518</v>
      </c>
      <c r="G151" s="53">
        <v>107.3</v>
      </c>
      <c r="H151" s="53">
        <v>214.6</v>
      </c>
      <c r="I151" s="53">
        <v>107.3</v>
      </c>
      <c r="J151"/>
      <c r="K151"/>
      <c r="L151"/>
      <c r="M151"/>
      <c r="N151" s="38"/>
      <c r="O151" s="54">
        <v>109.10000000000001</v>
      </c>
      <c r="P151" s="54">
        <v>218.20000000000002</v>
      </c>
      <c r="Q151" s="54">
        <v>109.10000000000001</v>
      </c>
      <c r="R151" s="54"/>
      <c r="S151" s="54">
        <v>109.10000000000001</v>
      </c>
      <c r="T151" s="54">
        <v>218.20000000000002</v>
      </c>
      <c r="U151" s="54">
        <v>109.10000000000001</v>
      </c>
    </row>
    <row r="152" spans="1:21" s="15" customFormat="1" x14ac:dyDescent="0.3">
      <c r="A152" s="17"/>
      <c r="B152"/>
      <c r="C152"/>
      <c r="D152"/>
      <c r="E152"/>
      <c r="F152" s="50">
        <v>41548</v>
      </c>
      <c r="G152" s="53">
        <v>112.6</v>
      </c>
      <c r="H152" s="53">
        <v>225.2</v>
      </c>
      <c r="I152" s="53">
        <v>112.6</v>
      </c>
      <c r="J152"/>
      <c r="K152"/>
      <c r="L152"/>
      <c r="M152"/>
      <c r="N152" s="38"/>
      <c r="O152" s="54">
        <v>110.63333333333333</v>
      </c>
      <c r="P152" s="54">
        <v>221.26666666666665</v>
      </c>
      <c r="Q152" s="54">
        <v>110.63333333333333</v>
      </c>
      <c r="R152" s="54"/>
      <c r="S152" s="54">
        <v>110.63333333333333</v>
      </c>
      <c r="T152" s="54">
        <v>221.26666666666665</v>
      </c>
      <c r="U152" s="54">
        <v>110.63333333333333</v>
      </c>
    </row>
    <row r="153" spans="1:21" s="15" customFormat="1" x14ac:dyDescent="0.3">
      <c r="A153" s="17"/>
      <c r="B153"/>
      <c r="C153"/>
      <c r="D153"/>
      <c r="E153"/>
      <c r="F153" s="50">
        <v>41579</v>
      </c>
      <c r="G153" s="53">
        <v>106.1</v>
      </c>
      <c r="H153" s="53">
        <v>212.2</v>
      </c>
      <c r="I153" s="53">
        <v>106.1</v>
      </c>
      <c r="J153"/>
      <c r="K153"/>
      <c r="L153"/>
      <c r="M153"/>
      <c r="N153" s="38"/>
      <c r="O153" s="54">
        <v>108.66666666666667</v>
      </c>
      <c r="P153" s="54">
        <v>217.33333333333334</v>
      </c>
      <c r="Q153" s="54">
        <v>108.66666666666667</v>
      </c>
      <c r="R153" s="54"/>
      <c r="S153" s="54">
        <v>108.66666666666667</v>
      </c>
      <c r="T153" s="54">
        <v>217.33333333333334</v>
      </c>
      <c r="U153" s="54">
        <v>108.66666666666667</v>
      </c>
    </row>
    <row r="154" spans="1:21" s="15" customFormat="1" x14ac:dyDescent="0.3">
      <c r="A154" s="17"/>
      <c r="B154"/>
      <c r="C154"/>
      <c r="D154"/>
      <c r="E154"/>
      <c r="F154" s="50">
        <v>41609</v>
      </c>
      <c r="G154" s="53">
        <v>90.1</v>
      </c>
      <c r="H154" s="53">
        <v>180.2</v>
      </c>
      <c r="I154" s="53">
        <v>90.1</v>
      </c>
      <c r="J154"/>
      <c r="K154"/>
      <c r="L154"/>
      <c r="M154"/>
      <c r="N154" s="38"/>
      <c r="O154" s="54">
        <v>102.93333333333332</v>
      </c>
      <c r="P154" s="54">
        <v>205.86666666666665</v>
      </c>
      <c r="Q154" s="54">
        <v>102.93333333333332</v>
      </c>
      <c r="R154" s="54"/>
      <c r="S154" s="54">
        <v>102.93333333333332</v>
      </c>
      <c r="T154" s="54">
        <v>205.86666666666665</v>
      </c>
      <c r="U154" s="54">
        <v>102.93333333333332</v>
      </c>
    </row>
    <row r="155" spans="1:21" s="15" customFormat="1" x14ac:dyDescent="0.3">
      <c r="A155" s="17"/>
      <c r="B155"/>
      <c r="C155"/>
      <c r="D155"/>
      <c r="E155"/>
      <c r="F155" s="50">
        <v>41640</v>
      </c>
      <c r="G155" s="53">
        <v>92.6</v>
      </c>
      <c r="H155" s="53">
        <v>185.2</v>
      </c>
      <c r="I155" s="53">
        <v>92.6</v>
      </c>
      <c r="J155"/>
      <c r="K155"/>
      <c r="L155"/>
      <c r="M155"/>
      <c r="N155" s="38"/>
      <c r="O155" s="54">
        <v>96.266666666666652</v>
      </c>
      <c r="P155" s="54">
        <v>192.5333333333333</v>
      </c>
      <c r="Q155" s="54">
        <v>96.266666666666652</v>
      </c>
      <c r="R155" s="54"/>
      <c r="S155" s="54">
        <v>96.266666666666652</v>
      </c>
      <c r="T155" s="54">
        <v>192.5333333333333</v>
      </c>
      <c r="U155" s="54">
        <v>96.266666666666652</v>
      </c>
    </row>
    <row r="156" spans="1:21" s="15" customFormat="1" x14ac:dyDescent="0.3">
      <c r="A156" s="17"/>
      <c r="B156"/>
      <c r="C156"/>
      <c r="D156"/>
      <c r="E156"/>
      <c r="F156" s="50">
        <v>41671</v>
      </c>
      <c r="G156" s="53">
        <v>92.3</v>
      </c>
      <c r="H156" s="53">
        <v>184.6</v>
      </c>
      <c r="I156" s="53">
        <v>92.3</v>
      </c>
      <c r="J156"/>
      <c r="K156"/>
      <c r="L156"/>
      <c r="M156"/>
      <c r="N156" s="38"/>
      <c r="O156" s="54">
        <v>91.666666666666671</v>
      </c>
      <c r="P156" s="54">
        <v>183.33333333333334</v>
      </c>
      <c r="Q156" s="54">
        <v>91.666666666666671</v>
      </c>
      <c r="R156" s="54"/>
      <c r="S156" s="54">
        <v>91.666666666666671</v>
      </c>
      <c r="T156" s="54">
        <v>183.33333333333334</v>
      </c>
      <c r="U156" s="54">
        <v>91.666666666666671</v>
      </c>
    </row>
    <row r="157" spans="1:21" s="15" customFormat="1" x14ac:dyDescent="0.3">
      <c r="A157" s="17"/>
      <c r="B157"/>
      <c r="C157"/>
      <c r="D157"/>
      <c r="E157"/>
      <c r="F157" s="50">
        <v>41699</v>
      </c>
      <c r="G157" s="53">
        <v>97.3</v>
      </c>
      <c r="H157" s="53">
        <v>194.6</v>
      </c>
      <c r="I157" s="53">
        <v>97.3</v>
      </c>
      <c r="J157"/>
      <c r="K157"/>
      <c r="L157"/>
      <c r="M157"/>
      <c r="N157" s="38"/>
      <c r="O157" s="54">
        <v>94.066666666666663</v>
      </c>
      <c r="P157" s="54">
        <v>188.13333333333333</v>
      </c>
      <c r="Q157" s="54">
        <v>94.066666666666663</v>
      </c>
      <c r="R157" s="54"/>
      <c r="S157" s="54">
        <v>94.066666666666663</v>
      </c>
      <c r="T157" s="54">
        <v>188.13333333333333</v>
      </c>
      <c r="U157" s="54">
        <v>94.066666666666663</v>
      </c>
    </row>
    <row r="158" spans="1:21" s="15" customFormat="1" x14ac:dyDescent="0.3">
      <c r="A158" s="17"/>
      <c r="B158"/>
      <c r="C158"/>
      <c r="D158"/>
      <c r="E158"/>
      <c r="F158" s="50">
        <v>41730</v>
      </c>
      <c r="G158" s="53">
        <v>96</v>
      </c>
      <c r="H158" s="53">
        <v>192</v>
      </c>
      <c r="I158" s="53">
        <v>96</v>
      </c>
      <c r="J158"/>
      <c r="K158"/>
      <c r="L158"/>
      <c r="M158"/>
      <c r="N158" s="38"/>
      <c r="O158" s="54">
        <v>95.2</v>
      </c>
      <c r="P158" s="54">
        <v>190.4</v>
      </c>
      <c r="Q158" s="54">
        <v>95.2</v>
      </c>
      <c r="R158" s="54"/>
      <c r="S158" s="54">
        <v>95.2</v>
      </c>
      <c r="T158" s="54">
        <v>190.4</v>
      </c>
      <c r="U158" s="54">
        <v>95.2</v>
      </c>
    </row>
    <row r="159" spans="1:21" s="15" customFormat="1" x14ac:dyDescent="0.3">
      <c r="A159" s="17"/>
      <c r="B159"/>
      <c r="C159"/>
      <c r="D159"/>
      <c r="E159"/>
      <c r="F159" s="50">
        <v>41760</v>
      </c>
      <c r="G159" s="53">
        <v>101.7</v>
      </c>
      <c r="H159" s="53">
        <v>203.4</v>
      </c>
      <c r="I159" s="53">
        <v>101.7</v>
      </c>
      <c r="J159"/>
      <c r="K159"/>
      <c r="L159"/>
      <c r="M159"/>
      <c r="N159" s="38"/>
      <c r="O159" s="54">
        <v>98.333333333333329</v>
      </c>
      <c r="P159" s="54">
        <v>196.66666666666666</v>
      </c>
      <c r="Q159" s="54">
        <v>98.333333333333329</v>
      </c>
      <c r="R159" s="54"/>
      <c r="S159" s="54">
        <v>98.333333333333329</v>
      </c>
      <c r="T159" s="54">
        <v>196.66666666666666</v>
      </c>
      <c r="U159" s="54">
        <v>98.333333333333329</v>
      </c>
    </row>
    <row r="160" spans="1:21" s="15" customFormat="1" x14ac:dyDescent="0.3">
      <c r="A160" s="17"/>
      <c r="B160"/>
      <c r="C160"/>
      <c r="D160"/>
      <c r="E160"/>
      <c r="F160" s="50">
        <v>41791</v>
      </c>
      <c r="G160" s="53">
        <v>94.9</v>
      </c>
      <c r="H160" s="53">
        <v>189.8</v>
      </c>
      <c r="I160" s="53">
        <v>94.9</v>
      </c>
      <c r="J160"/>
      <c r="K160"/>
      <c r="L160"/>
      <c r="M160"/>
      <c r="N160" s="38"/>
      <c r="O160" s="54">
        <v>97.533333333333346</v>
      </c>
      <c r="P160" s="54">
        <v>195.06666666666669</v>
      </c>
      <c r="Q160" s="54">
        <v>97.533333333333346</v>
      </c>
      <c r="R160" s="54"/>
      <c r="S160" s="54">
        <v>97.533333333333346</v>
      </c>
      <c r="T160" s="54">
        <v>195.06666666666669</v>
      </c>
      <c r="U160" s="54">
        <v>97.533333333333346</v>
      </c>
    </row>
    <row r="161" spans="1:21" s="15" customFormat="1" x14ac:dyDescent="0.3">
      <c r="A161" s="17"/>
      <c r="B161"/>
      <c r="C161"/>
      <c r="D161"/>
      <c r="E161"/>
      <c r="F161" s="50">
        <v>41821</v>
      </c>
      <c r="G161" s="53">
        <v>104.4</v>
      </c>
      <c r="H161" s="53">
        <v>208.8</v>
      </c>
      <c r="I161" s="53">
        <v>104.4</v>
      </c>
      <c r="J161"/>
      <c r="K161"/>
      <c r="L161"/>
      <c r="M161"/>
      <c r="N161" s="38"/>
      <c r="O161" s="54">
        <v>100.33333333333333</v>
      </c>
      <c r="P161" s="54">
        <v>200.66666666666666</v>
      </c>
      <c r="Q161" s="54">
        <v>100.33333333333333</v>
      </c>
      <c r="R161" s="54"/>
      <c r="S161" s="54">
        <v>100.33333333333333</v>
      </c>
      <c r="T161" s="54">
        <v>200.66666666666666</v>
      </c>
      <c r="U161" s="54">
        <v>100.33333333333333</v>
      </c>
    </row>
    <row r="162" spans="1:21" s="15" customFormat="1" x14ac:dyDescent="0.3">
      <c r="A162" s="17"/>
      <c r="B162"/>
      <c r="C162"/>
      <c r="D162"/>
      <c r="E162"/>
      <c r="F162" s="50">
        <v>41852</v>
      </c>
      <c r="G162" s="53">
        <v>106.3</v>
      </c>
      <c r="H162" s="53">
        <v>212.6</v>
      </c>
      <c r="I162" s="53">
        <v>106.3</v>
      </c>
      <c r="J162"/>
      <c r="K162"/>
      <c r="L162"/>
      <c r="M162"/>
      <c r="N162" s="38"/>
      <c r="O162" s="54">
        <v>101.86666666666667</v>
      </c>
      <c r="P162" s="54">
        <v>203.73333333333335</v>
      </c>
      <c r="Q162" s="54">
        <v>101.86666666666667</v>
      </c>
      <c r="R162" s="54"/>
      <c r="S162" s="54">
        <v>101.86666666666667</v>
      </c>
      <c r="T162" s="54">
        <v>203.73333333333335</v>
      </c>
      <c r="U162" s="54">
        <v>101.86666666666667</v>
      </c>
    </row>
    <row r="163" spans="1:21" s="15" customFormat="1" x14ac:dyDescent="0.3">
      <c r="A163" s="17"/>
      <c r="B163"/>
      <c r="C163"/>
      <c r="D163"/>
      <c r="E163"/>
      <c r="F163" s="50">
        <v>41883</v>
      </c>
      <c r="G163" s="53">
        <v>105.6</v>
      </c>
      <c r="H163" s="53">
        <v>211.2</v>
      </c>
      <c r="I163" s="53">
        <v>105.6</v>
      </c>
      <c r="J163"/>
      <c r="K163"/>
      <c r="L163"/>
      <c r="M163"/>
      <c r="N163" s="38"/>
      <c r="O163" s="54">
        <v>105.43333333333332</v>
      </c>
      <c r="P163" s="54">
        <v>210.86666666666665</v>
      </c>
      <c r="Q163" s="54">
        <v>105.43333333333332</v>
      </c>
      <c r="R163" s="54"/>
      <c r="S163" s="54">
        <v>105.43333333333332</v>
      </c>
      <c r="T163" s="54">
        <v>210.86666666666665</v>
      </c>
      <c r="U163" s="54">
        <v>105.43333333333332</v>
      </c>
    </row>
    <row r="164" spans="1:21" s="15" customFormat="1" x14ac:dyDescent="0.3">
      <c r="A164" s="17"/>
      <c r="B164"/>
      <c r="C164"/>
      <c r="D164"/>
      <c r="E164"/>
      <c r="F164" s="50">
        <v>41913</v>
      </c>
      <c r="G164" s="53">
        <v>109.3</v>
      </c>
      <c r="H164" s="53">
        <v>218.6</v>
      </c>
      <c r="I164" s="53">
        <v>109.3</v>
      </c>
      <c r="J164"/>
      <c r="K164"/>
      <c r="L164"/>
      <c r="M164"/>
      <c r="N164" s="38"/>
      <c r="O164" s="54">
        <v>107.06666666666666</v>
      </c>
      <c r="P164" s="54">
        <v>214.13333333333333</v>
      </c>
      <c r="Q164" s="54">
        <v>107.06666666666666</v>
      </c>
      <c r="R164" s="54"/>
      <c r="S164" s="54">
        <v>107.06666666666666</v>
      </c>
      <c r="T164" s="54">
        <v>214.13333333333333</v>
      </c>
      <c r="U164" s="54">
        <v>107.06666666666666</v>
      </c>
    </row>
    <row r="165" spans="1:21" s="15" customFormat="1" x14ac:dyDescent="0.3">
      <c r="A165" s="17"/>
      <c r="B165"/>
      <c r="C165"/>
      <c r="D165"/>
      <c r="E165"/>
      <c r="F165" s="50">
        <v>41944</v>
      </c>
      <c r="G165" s="53">
        <v>99.8</v>
      </c>
      <c r="H165" s="53">
        <v>199.6</v>
      </c>
      <c r="I165" s="53">
        <v>99.8</v>
      </c>
      <c r="J165"/>
      <c r="K165"/>
      <c r="L165"/>
      <c r="M165"/>
      <c r="N165" s="38"/>
      <c r="O165" s="54">
        <v>104.89999999999999</v>
      </c>
      <c r="P165" s="54">
        <v>209.79999999999998</v>
      </c>
      <c r="Q165" s="54">
        <v>104.89999999999999</v>
      </c>
      <c r="R165" s="54"/>
      <c r="S165" s="54">
        <v>104.89999999999999</v>
      </c>
      <c r="T165" s="54">
        <v>209.79999999999998</v>
      </c>
      <c r="U165" s="54">
        <v>104.89999999999999</v>
      </c>
    </row>
    <row r="166" spans="1:21" s="15" customFormat="1" x14ac:dyDescent="0.3">
      <c r="A166" s="17"/>
      <c r="B166"/>
      <c r="C166"/>
      <c r="D166"/>
      <c r="E166"/>
      <c r="F166" s="50">
        <v>41974</v>
      </c>
      <c r="G166" s="53">
        <v>87.7</v>
      </c>
      <c r="H166" s="53">
        <v>175.4</v>
      </c>
      <c r="I166" s="53">
        <v>87.7</v>
      </c>
      <c r="J166"/>
      <c r="K166"/>
      <c r="L166"/>
      <c r="M166"/>
      <c r="N166" s="38"/>
      <c r="O166" s="54">
        <v>98.933333333333337</v>
      </c>
      <c r="P166" s="54">
        <v>197.86666666666667</v>
      </c>
      <c r="Q166" s="54">
        <v>98.933333333333337</v>
      </c>
      <c r="R166" s="54"/>
      <c r="S166" s="54">
        <v>98.933333333333337</v>
      </c>
      <c r="T166" s="54">
        <v>197.86666666666667</v>
      </c>
      <c r="U166" s="54">
        <v>98.933333333333337</v>
      </c>
    </row>
    <row r="167" spans="1:21" s="15" customFormat="1" x14ac:dyDescent="0.3">
      <c r="A167" s="17"/>
      <c r="B167"/>
      <c r="C167"/>
      <c r="D167"/>
      <c r="E167"/>
      <c r="F167" s="50">
        <v>42005</v>
      </c>
      <c r="G167" s="53">
        <v>88.1</v>
      </c>
      <c r="H167" s="53">
        <v>176.2</v>
      </c>
      <c r="I167" s="53">
        <v>88.1</v>
      </c>
      <c r="J167"/>
      <c r="K167"/>
      <c r="L167"/>
      <c r="M167"/>
      <c r="N167" s="38"/>
      <c r="O167" s="54">
        <v>91.866666666666674</v>
      </c>
      <c r="P167" s="54">
        <v>183.73333333333335</v>
      </c>
      <c r="Q167" s="54">
        <v>91.866666666666674</v>
      </c>
      <c r="R167" s="54"/>
      <c r="S167" s="54">
        <v>91.866666666666674</v>
      </c>
      <c r="T167" s="54">
        <v>183.73333333333335</v>
      </c>
      <c r="U167" s="54">
        <v>91.866666666666674</v>
      </c>
    </row>
    <row r="168" spans="1:21" s="15" customFormat="1" x14ac:dyDescent="0.3">
      <c r="A168" s="17"/>
      <c r="B168"/>
      <c r="C168"/>
      <c r="D168"/>
      <c r="E168"/>
      <c r="F168" s="50">
        <v>42036</v>
      </c>
      <c r="G168" s="53">
        <v>83.7</v>
      </c>
      <c r="H168" s="53">
        <v>167.4</v>
      </c>
      <c r="I168" s="53">
        <v>83.7</v>
      </c>
      <c r="J168"/>
      <c r="K168"/>
      <c r="L168"/>
      <c r="M168"/>
      <c r="N168" s="38"/>
      <c r="O168" s="54">
        <v>86.5</v>
      </c>
      <c r="P168" s="54">
        <v>173</v>
      </c>
      <c r="Q168" s="54">
        <v>86.5</v>
      </c>
      <c r="R168" s="54"/>
      <c r="S168" s="54">
        <v>86.5</v>
      </c>
      <c r="T168" s="54">
        <v>173</v>
      </c>
      <c r="U168" s="54">
        <v>86.5</v>
      </c>
    </row>
    <row r="169" spans="1:21" s="15" customFormat="1" x14ac:dyDescent="0.3">
      <c r="A169" s="17"/>
      <c r="B169"/>
      <c r="C169"/>
      <c r="D169"/>
      <c r="E169"/>
      <c r="F169" s="50">
        <v>42064</v>
      </c>
      <c r="G169" s="53">
        <v>94.3</v>
      </c>
      <c r="H169" s="53">
        <v>188.6</v>
      </c>
      <c r="I169" s="53">
        <v>94.3</v>
      </c>
      <c r="J169"/>
      <c r="K169"/>
      <c r="L169"/>
      <c r="M169"/>
      <c r="N169" s="38"/>
      <c r="O169" s="54">
        <v>88.7</v>
      </c>
      <c r="P169" s="54">
        <v>177.4</v>
      </c>
      <c r="Q169" s="54">
        <v>88.7</v>
      </c>
      <c r="R169" s="54"/>
      <c r="S169" s="54">
        <v>88.7</v>
      </c>
      <c r="T169" s="54">
        <v>177.4</v>
      </c>
      <c r="U169" s="54">
        <v>88.7</v>
      </c>
    </row>
    <row r="170" spans="1:21" s="15" customFormat="1" x14ac:dyDescent="0.3">
      <c r="A170" s="17"/>
      <c r="B170"/>
      <c r="C170"/>
      <c r="D170"/>
      <c r="E170"/>
      <c r="F170" s="50">
        <v>42095</v>
      </c>
      <c r="G170" s="53">
        <v>88.8</v>
      </c>
      <c r="H170" s="53">
        <v>177.6</v>
      </c>
      <c r="I170" s="53">
        <v>88.8</v>
      </c>
      <c r="J170"/>
      <c r="K170"/>
      <c r="L170"/>
      <c r="M170"/>
      <c r="N170" s="38"/>
      <c r="O170" s="54">
        <v>88.933333333333337</v>
      </c>
      <c r="P170" s="54">
        <v>177.86666666666667</v>
      </c>
      <c r="Q170" s="54">
        <v>88.933333333333337</v>
      </c>
      <c r="R170" s="54"/>
      <c r="S170" s="54">
        <v>88.933333333333337</v>
      </c>
      <c r="T170" s="54">
        <v>177.86666666666667</v>
      </c>
      <c r="U170" s="54">
        <v>88.933333333333337</v>
      </c>
    </row>
    <row r="171" spans="1:21" s="15" customFormat="1" x14ac:dyDescent="0.3">
      <c r="A171" s="17"/>
      <c r="B171"/>
      <c r="C171"/>
      <c r="D171"/>
      <c r="E171"/>
      <c r="F171" s="50">
        <v>42125</v>
      </c>
      <c r="G171" s="53">
        <v>93.1</v>
      </c>
      <c r="H171" s="53">
        <v>186.2</v>
      </c>
      <c r="I171" s="53">
        <v>93.1</v>
      </c>
      <c r="J171"/>
      <c r="K171"/>
      <c r="L171"/>
      <c r="M171"/>
      <c r="N171" s="38"/>
      <c r="O171" s="54">
        <v>92.066666666666663</v>
      </c>
      <c r="P171" s="54">
        <v>184.13333333333333</v>
      </c>
      <c r="Q171" s="54">
        <v>92.066666666666663</v>
      </c>
      <c r="R171" s="54"/>
      <c r="S171" s="54">
        <v>92.066666666666663</v>
      </c>
      <c r="T171" s="54">
        <v>184.13333333333333</v>
      </c>
      <c r="U171" s="54">
        <v>92.066666666666663</v>
      </c>
    </row>
    <row r="172" spans="1:21" s="15" customFormat="1" x14ac:dyDescent="0.3">
      <c r="A172" s="17"/>
      <c r="B172"/>
      <c r="C172"/>
      <c r="D172"/>
      <c r="E172"/>
      <c r="F172" s="50">
        <v>42156</v>
      </c>
      <c r="G172" s="53">
        <v>92.5</v>
      </c>
      <c r="H172" s="53">
        <v>185</v>
      </c>
      <c r="I172" s="53">
        <v>92.5</v>
      </c>
      <c r="J172"/>
      <c r="K172"/>
      <c r="L172"/>
      <c r="M172"/>
      <c r="N172" s="38"/>
      <c r="O172" s="54">
        <v>91.466666666666654</v>
      </c>
      <c r="P172" s="54">
        <v>182.93333333333331</v>
      </c>
      <c r="Q172" s="54">
        <v>91.466666666666654</v>
      </c>
      <c r="R172" s="54"/>
      <c r="S172" s="54">
        <v>91.466666666666654</v>
      </c>
      <c r="T172" s="54">
        <v>182.93333333333331</v>
      </c>
      <c r="U172" s="54">
        <v>91.466666666666654</v>
      </c>
    </row>
    <row r="173" spans="1:21" s="15" customFormat="1" x14ac:dyDescent="0.3">
      <c r="A173" s="17"/>
      <c r="B173"/>
      <c r="C173"/>
      <c r="D173"/>
      <c r="E173"/>
      <c r="F173" s="50">
        <v>42186</v>
      </c>
      <c r="G173" s="53">
        <v>95.5</v>
      </c>
      <c r="H173" s="53">
        <v>191</v>
      </c>
      <c r="I173" s="53">
        <v>95.5</v>
      </c>
      <c r="J173"/>
      <c r="K173"/>
      <c r="L173"/>
      <c r="M173"/>
      <c r="N173" s="38"/>
      <c r="O173" s="54">
        <v>93.7</v>
      </c>
      <c r="P173" s="54">
        <v>187.4</v>
      </c>
      <c r="Q173" s="54">
        <v>93.7</v>
      </c>
      <c r="R173" s="54"/>
      <c r="S173" s="54">
        <v>93.7</v>
      </c>
      <c r="T173" s="54">
        <v>187.4</v>
      </c>
      <c r="U173" s="54">
        <v>93.7</v>
      </c>
    </row>
    <row r="174" spans="1:21" s="15" customFormat="1" x14ac:dyDescent="0.3">
      <c r="A174" s="17"/>
      <c r="B174"/>
      <c r="C174"/>
      <c r="D174"/>
      <c r="E174"/>
      <c r="F174" s="50">
        <v>42217</v>
      </c>
      <c r="G174" s="53">
        <v>97.6</v>
      </c>
      <c r="H174" s="53">
        <v>195.2</v>
      </c>
      <c r="I174" s="53">
        <v>97.6</v>
      </c>
      <c r="J174"/>
      <c r="K174"/>
      <c r="L174"/>
      <c r="M174"/>
      <c r="N174" s="38"/>
      <c r="O174" s="54">
        <v>95.2</v>
      </c>
      <c r="P174" s="54">
        <v>190.4</v>
      </c>
      <c r="Q174" s="54">
        <v>95.2</v>
      </c>
      <c r="R174" s="54"/>
      <c r="S174" s="54">
        <v>95.2</v>
      </c>
      <c r="T174" s="54">
        <v>190.4</v>
      </c>
      <c r="U174" s="54">
        <v>95.2</v>
      </c>
    </row>
    <row r="175" spans="1:21" s="15" customFormat="1" x14ac:dyDescent="0.3">
      <c r="A175" s="17"/>
      <c r="B175"/>
      <c r="C175"/>
      <c r="D175"/>
      <c r="E175"/>
      <c r="F175" s="50">
        <v>42248</v>
      </c>
      <c r="G175" s="53">
        <v>94.3</v>
      </c>
      <c r="H175" s="53">
        <v>188.6</v>
      </c>
      <c r="I175" s="53">
        <v>94.3</v>
      </c>
      <c r="J175"/>
      <c r="K175"/>
      <c r="L175"/>
      <c r="M175"/>
      <c r="N175" s="38"/>
      <c r="O175" s="54">
        <v>95.8</v>
      </c>
      <c r="P175" s="54">
        <v>191.6</v>
      </c>
      <c r="Q175" s="54">
        <v>95.8</v>
      </c>
      <c r="R175" s="54"/>
      <c r="S175" s="54">
        <v>95.8</v>
      </c>
      <c r="T175" s="54">
        <v>191.6</v>
      </c>
      <c r="U175" s="54">
        <v>95.8</v>
      </c>
    </row>
    <row r="176" spans="1:21" s="15" customFormat="1" x14ac:dyDescent="0.3">
      <c r="A176" s="17"/>
      <c r="B176"/>
      <c r="C176"/>
      <c r="D176"/>
      <c r="E176"/>
      <c r="F176" s="50">
        <v>42278</v>
      </c>
      <c r="G176" s="53">
        <v>97.2</v>
      </c>
      <c r="H176" s="53">
        <v>194.4</v>
      </c>
      <c r="I176" s="53">
        <v>97.2</v>
      </c>
      <c r="J176"/>
      <c r="K176"/>
      <c r="L176"/>
      <c r="M176"/>
      <c r="N176" s="38"/>
      <c r="O176" s="54">
        <v>96.36666666666666</v>
      </c>
      <c r="P176" s="54">
        <v>192.73333333333332</v>
      </c>
      <c r="Q176" s="54">
        <v>96.36666666666666</v>
      </c>
      <c r="R176" s="54"/>
      <c r="S176" s="54">
        <v>96.36666666666666</v>
      </c>
      <c r="T176" s="54">
        <v>192.73333333333332</v>
      </c>
      <c r="U176" s="54">
        <v>96.36666666666666</v>
      </c>
    </row>
    <row r="177" spans="1:21" s="15" customFormat="1" x14ac:dyDescent="0.3">
      <c r="A177" s="17"/>
      <c r="B177"/>
      <c r="C177"/>
      <c r="D177"/>
      <c r="E177"/>
      <c r="F177" s="50">
        <v>42309</v>
      </c>
      <c r="G177" s="53">
        <v>87.6</v>
      </c>
      <c r="H177" s="53">
        <v>175.2</v>
      </c>
      <c r="I177" s="53">
        <v>87.6</v>
      </c>
      <c r="J177"/>
      <c r="K177"/>
      <c r="L177"/>
      <c r="M177"/>
      <c r="N177" s="38"/>
      <c r="O177" s="54">
        <v>93.033333333333346</v>
      </c>
      <c r="P177" s="54">
        <v>186.06666666666669</v>
      </c>
      <c r="Q177" s="54">
        <v>93.033333333333346</v>
      </c>
      <c r="R177" s="54"/>
      <c r="S177" s="54">
        <v>93.033333333333346</v>
      </c>
      <c r="T177" s="54">
        <v>186.06666666666669</v>
      </c>
      <c r="U177" s="54">
        <v>93.033333333333346</v>
      </c>
    </row>
    <row r="178" spans="1:21" s="15" customFormat="1" x14ac:dyDescent="0.3">
      <c r="A178" s="17"/>
      <c r="B178"/>
      <c r="C178"/>
      <c r="D178"/>
      <c r="E178"/>
      <c r="F178" s="50">
        <v>42339</v>
      </c>
      <c r="G178" s="53">
        <v>77.2</v>
      </c>
      <c r="H178" s="53">
        <v>154.4</v>
      </c>
      <c r="I178" s="53">
        <v>77.2</v>
      </c>
      <c r="J178"/>
      <c r="K178"/>
      <c r="L178"/>
      <c r="M178"/>
      <c r="N178" s="38"/>
      <c r="O178" s="54">
        <v>87.333333333333329</v>
      </c>
      <c r="P178" s="54">
        <v>174.66666666666666</v>
      </c>
      <c r="Q178" s="54">
        <v>87.333333333333329</v>
      </c>
      <c r="R178" s="54"/>
      <c r="S178" s="54">
        <v>87.333333333333329</v>
      </c>
      <c r="T178" s="54">
        <v>174.66666666666666</v>
      </c>
      <c r="U178" s="54">
        <v>87.333333333333329</v>
      </c>
    </row>
    <row r="179" spans="1:21" s="15" customFormat="1" x14ac:dyDescent="0.3">
      <c r="A179" s="17"/>
      <c r="B179"/>
      <c r="C179"/>
      <c r="D179"/>
      <c r="E179"/>
      <c r="F179" s="50">
        <v>42370</v>
      </c>
      <c r="G179" s="53">
        <v>76.3</v>
      </c>
      <c r="H179" s="53">
        <v>152.6</v>
      </c>
      <c r="I179" s="53">
        <v>76.3</v>
      </c>
      <c r="J179"/>
      <c r="K179"/>
      <c r="L179"/>
      <c r="M179"/>
      <c r="N179" s="38"/>
      <c r="O179" s="54">
        <v>80.366666666666674</v>
      </c>
      <c r="P179" s="54">
        <v>160.73333333333335</v>
      </c>
      <c r="Q179" s="54">
        <v>80.366666666666674</v>
      </c>
      <c r="R179" s="54"/>
      <c r="S179" s="54">
        <v>80.366666666666674</v>
      </c>
      <c r="T179" s="54">
        <v>160.73333333333335</v>
      </c>
      <c r="U179" s="54">
        <v>80.366666666666674</v>
      </c>
    </row>
    <row r="180" spans="1:21" s="15" customFormat="1" x14ac:dyDescent="0.3">
      <c r="A180" s="17"/>
      <c r="B180"/>
      <c r="C180"/>
      <c r="D180"/>
      <c r="E180"/>
      <c r="F180" s="50">
        <v>42401</v>
      </c>
      <c r="G180" s="53">
        <v>75.8</v>
      </c>
      <c r="H180" s="53">
        <v>151.6</v>
      </c>
      <c r="I180" s="53">
        <v>75.8</v>
      </c>
      <c r="J180"/>
      <c r="K180"/>
      <c r="L180"/>
      <c r="M180"/>
      <c r="N180" s="38"/>
      <c r="O180" s="54">
        <v>76.433333333333337</v>
      </c>
      <c r="P180" s="54">
        <v>152.86666666666667</v>
      </c>
      <c r="Q180" s="54">
        <v>76.433333333333337</v>
      </c>
      <c r="R180" s="54"/>
      <c r="S180" s="54">
        <v>76.433333333333337</v>
      </c>
      <c r="T180" s="54">
        <v>152.86666666666667</v>
      </c>
      <c r="U180" s="54">
        <v>76.433333333333337</v>
      </c>
    </row>
    <row r="181" spans="1:21" s="15" customFormat="1" x14ac:dyDescent="0.3">
      <c r="A181" s="17"/>
      <c r="B181"/>
      <c r="C181"/>
      <c r="D181"/>
      <c r="E181"/>
      <c r="F181" s="50">
        <v>42430</v>
      </c>
      <c r="G181" s="53">
        <v>83.7</v>
      </c>
      <c r="H181" s="53">
        <v>167.4</v>
      </c>
      <c r="I181" s="53">
        <v>83.7</v>
      </c>
      <c r="J181"/>
      <c r="K181"/>
      <c r="L181"/>
      <c r="M181"/>
      <c r="N181" s="38"/>
      <c r="O181" s="54">
        <v>78.600000000000009</v>
      </c>
      <c r="P181" s="54">
        <v>157.20000000000002</v>
      </c>
      <c r="Q181" s="54">
        <v>78.600000000000009</v>
      </c>
      <c r="R181" s="54"/>
      <c r="S181" s="54">
        <v>78.600000000000009</v>
      </c>
      <c r="T181" s="54">
        <v>157.20000000000002</v>
      </c>
      <c r="U181" s="54">
        <v>78.600000000000009</v>
      </c>
    </row>
    <row r="182" spans="1:21" s="15" customFormat="1" x14ac:dyDescent="0.3">
      <c r="A182" s="17"/>
      <c r="B182"/>
      <c r="C182"/>
      <c r="D182"/>
      <c r="E182"/>
      <c r="F182" s="50">
        <v>42461</v>
      </c>
      <c r="G182" s="53">
        <v>83</v>
      </c>
      <c r="H182" s="53">
        <v>166</v>
      </c>
      <c r="I182" s="53">
        <v>83</v>
      </c>
      <c r="J182"/>
      <c r="K182"/>
      <c r="L182"/>
      <c r="M182"/>
      <c r="N182" s="38"/>
      <c r="O182" s="54">
        <v>80.833333333333329</v>
      </c>
      <c r="P182" s="54">
        <v>161.66666666666666</v>
      </c>
      <c r="Q182" s="54">
        <v>80.833333333333329</v>
      </c>
      <c r="R182" s="54"/>
      <c r="S182" s="54">
        <v>80.833333333333329</v>
      </c>
      <c r="T182" s="54">
        <v>161.66666666666666</v>
      </c>
      <c r="U182" s="54">
        <v>80.833333333333329</v>
      </c>
    </row>
    <row r="183" spans="1:21" s="15" customFormat="1" x14ac:dyDescent="0.3">
      <c r="A183" s="17"/>
      <c r="B183"/>
      <c r="C183"/>
      <c r="D183"/>
      <c r="E183"/>
      <c r="F183" s="50">
        <v>42491</v>
      </c>
      <c r="G183" s="53">
        <v>86.3</v>
      </c>
      <c r="H183" s="53">
        <v>172.6</v>
      </c>
      <c r="I183" s="53">
        <v>86.3</v>
      </c>
      <c r="J183"/>
      <c r="K183"/>
      <c r="L183"/>
      <c r="M183"/>
      <c r="N183" s="38"/>
      <c r="O183" s="54">
        <v>84.333333333333329</v>
      </c>
      <c r="P183" s="54">
        <v>168.66666666666666</v>
      </c>
      <c r="Q183" s="54">
        <v>84.333333333333329</v>
      </c>
      <c r="R183" s="54"/>
      <c r="S183" s="54">
        <v>84.333333333333329</v>
      </c>
      <c r="T183" s="54">
        <v>168.66666666666666</v>
      </c>
      <c r="U183" s="54">
        <v>84.333333333333329</v>
      </c>
    </row>
    <row r="184" spans="1:21" s="15" customFormat="1" x14ac:dyDescent="0.3">
      <c r="A184" s="17"/>
      <c r="B184"/>
      <c r="C184"/>
      <c r="D184"/>
      <c r="E184"/>
      <c r="F184" s="50">
        <v>42522</v>
      </c>
      <c r="G184" s="53">
        <v>87.7</v>
      </c>
      <c r="H184" s="53">
        <v>175.4</v>
      </c>
      <c r="I184" s="53">
        <v>87.7</v>
      </c>
      <c r="J184"/>
      <c r="K184"/>
      <c r="L184"/>
      <c r="M184"/>
      <c r="N184" s="38"/>
      <c r="O184" s="54">
        <v>85.666666666666671</v>
      </c>
      <c r="P184" s="54">
        <v>171.33333333333334</v>
      </c>
      <c r="Q184" s="54">
        <v>85.666666666666671</v>
      </c>
      <c r="R184" s="54"/>
      <c r="S184" s="54">
        <v>85.666666666666671</v>
      </c>
      <c r="T184" s="54">
        <v>171.33333333333334</v>
      </c>
      <c r="U184" s="54">
        <v>85.666666666666671</v>
      </c>
    </row>
    <row r="185" spans="1:21" s="15" customFormat="1" x14ac:dyDescent="0.3">
      <c r="A185" s="17"/>
      <c r="B185"/>
      <c r="C185"/>
      <c r="D185"/>
      <c r="E185"/>
      <c r="F185" s="50">
        <v>42552</v>
      </c>
      <c r="G185" s="53">
        <v>89.6</v>
      </c>
      <c r="H185" s="53">
        <v>179.2</v>
      </c>
      <c r="I185" s="53">
        <v>89.6</v>
      </c>
      <c r="J185"/>
      <c r="K185"/>
      <c r="L185"/>
      <c r="M185"/>
      <c r="N185" s="38"/>
      <c r="O185" s="54">
        <v>87.866666666666674</v>
      </c>
      <c r="P185" s="54">
        <v>175.73333333333335</v>
      </c>
      <c r="Q185" s="54">
        <v>87.866666666666674</v>
      </c>
      <c r="R185" s="54"/>
      <c r="S185" s="54">
        <v>87.866666666666674</v>
      </c>
      <c r="T185" s="54">
        <v>175.73333333333335</v>
      </c>
      <c r="U185" s="54">
        <v>87.866666666666674</v>
      </c>
    </row>
    <row r="186" spans="1:21" s="15" customFormat="1" x14ac:dyDescent="0.3">
      <c r="A186" s="17"/>
      <c r="B186"/>
      <c r="C186"/>
      <c r="D186"/>
      <c r="E186"/>
      <c r="F186" s="50">
        <v>42583</v>
      </c>
      <c r="G186" s="53">
        <v>93</v>
      </c>
      <c r="H186" s="53">
        <v>186</v>
      </c>
      <c r="I186" s="53">
        <v>93</v>
      </c>
      <c r="J186"/>
      <c r="K186"/>
      <c r="L186"/>
      <c r="M186"/>
      <c r="N186" s="38"/>
      <c r="O186" s="54">
        <v>90.100000000000009</v>
      </c>
      <c r="P186" s="54">
        <v>180.20000000000002</v>
      </c>
      <c r="Q186" s="54">
        <v>90.100000000000009</v>
      </c>
      <c r="R186" s="54"/>
      <c r="S186" s="54">
        <v>90.100000000000009</v>
      </c>
      <c r="T186" s="54">
        <v>180.20000000000002</v>
      </c>
      <c r="U186" s="54">
        <v>90.100000000000009</v>
      </c>
    </row>
    <row r="187" spans="1:21" s="15" customFormat="1" x14ac:dyDescent="0.3">
      <c r="A187" s="17"/>
      <c r="B187"/>
      <c r="C187"/>
      <c r="D187"/>
      <c r="E187"/>
      <c r="F187" s="50">
        <v>42614</v>
      </c>
      <c r="G187" s="53">
        <v>90.7</v>
      </c>
      <c r="H187" s="53">
        <v>181.4</v>
      </c>
      <c r="I187" s="53">
        <v>90.7</v>
      </c>
      <c r="J187"/>
      <c r="K187"/>
      <c r="L187"/>
      <c r="M187"/>
      <c r="N187" s="38"/>
      <c r="O187" s="54">
        <v>91.100000000000009</v>
      </c>
      <c r="P187" s="54">
        <v>182.20000000000002</v>
      </c>
      <c r="Q187" s="54">
        <v>91.100000000000009</v>
      </c>
      <c r="R187" s="54"/>
      <c r="S187" s="54">
        <v>91.100000000000009</v>
      </c>
      <c r="T187" s="54">
        <v>182.20000000000002</v>
      </c>
      <c r="U187" s="54">
        <v>91.100000000000009</v>
      </c>
    </row>
    <row r="188" spans="1:21" s="15" customFormat="1" x14ac:dyDescent="0.3">
      <c r="A188" s="17"/>
      <c r="B188"/>
      <c r="C188"/>
      <c r="D188"/>
      <c r="E188"/>
      <c r="F188" s="50">
        <v>42644</v>
      </c>
      <c r="G188" s="53">
        <v>90.2</v>
      </c>
      <c r="H188" s="53">
        <v>180.4</v>
      </c>
      <c r="I188" s="53">
        <v>90.2</v>
      </c>
      <c r="J188"/>
      <c r="K188"/>
      <c r="L188"/>
      <c r="M188"/>
      <c r="N188" s="38"/>
      <c r="O188" s="54">
        <v>91.3</v>
      </c>
      <c r="P188" s="54">
        <v>182.6</v>
      </c>
      <c r="Q188" s="54">
        <v>91.3</v>
      </c>
      <c r="R188" s="54"/>
      <c r="S188" s="54">
        <v>91.3</v>
      </c>
      <c r="T188" s="54">
        <v>182.6</v>
      </c>
      <c r="U188" s="54">
        <v>91.3</v>
      </c>
    </row>
    <row r="189" spans="1:21" s="15" customFormat="1" x14ac:dyDescent="0.3">
      <c r="A189" s="17"/>
      <c r="B189"/>
      <c r="C189"/>
      <c r="D189"/>
      <c r="E189"/>
      <c r="F189" s="50">
        <v>42675</v>
      </c>
      <c r="G189" s="53">
        <v>86.5</v>
      </c>
      <c r="H189" s="53">
        <v>173</v>
      </c>
      <c r="I189" s="53">
        <v>86.5</v>
      </c>
      <c r="J189"/>
      <c r="K189"/>
      <c r="L189"/>
      <c r="M189"/>
      <c r="N189" s="38"/>
      <c r="O189" s="54">
        <v>89.133333333333326</v>
      </c>
      <c r="P189" s="54">
        <v>178.26666666666665</v>
      </c>
      <c r="Q189" s="54">
        <v>89.133333333333326</v>
      </c>
      <c r="R189" s="54"/>
      <c r="S189" s="54">
        <v>89.133333333333326</v>
      </c>
      <c r="T189" s="54">
        <v>178.26666666666665</v>
      </c>
      <c r="U189" s="54">
        <v>89.133333333333326</v>
      </c>
    </row>
    <row r="190" spans="1:21" s="15" customFormat="1" x14ac:dyDescent="0.3">
      <c r="A190" s="17"/>
      <c r="B190"/>
      <c r="C190"/>
      <c r="D190"/>
      <c r="E190"/>
      <c r="F190" s="50">
        <v>42705</v>
      </c>
      <c r="G190" s="53">
        <v>77.2</v>
      </c>
      <c r="H190" s="53">
        <v>154.4</v>
      </c>
      <c r="I190" s="53">
        <v>77.2</v>
      </c>
      <c r="J190"/>
      <c r="K190"/>
      <c r="L190"/>
      <c r="M190"/>
      <c r="N190" s="38"/>
      <c r="O190" s="54">
        <v>84.633333333333326</v>
      </c>
      <c r="P190" s="54">
        <v>169.26666666666665</v>
      </c>
      <c r="Q190" s="54">
        <v>84.633333333333326</v>
      </c>
      <c r="R190" s="54"/>
      <c r="S190" s="54">
        <v>84.633333333333326</v>
      </c>
      <c r="T190" s="54">
        <v>169.26666666666665</v>
      </c>
      <c r="U190" s="54">
        <v>84.633333333333326</v>
      </c>
    </row>
    <row r="191" spans="1:21" s="15" customFormat="1" x14ac:dyDescent="0.3">
      <c r="A191" s="17"/>
      <c r="B191"/>
      <c r="C191"/>
      <c r="D191"/>
      <c r="E191"/>
      <c r="F191" s="50">
        <v>42736</v>
      </c>
      <c r="G191" s="53">
        <v>77.900000000000006</v>
      </c>
      <c r="H191" s="53">
        <v>155.80000000000001</v>
      </c>
      <c r="I191" s="53">
        <v>77.900000000000006</v>
      </c>
      <c r="J191"/>
      <c r="K191"/>
      <c r="L191"/>
      <c r="M191"/>
      <c r="N191" s="38"/>
      <c r="O191" s="54">
        <v>80.533333333333331</v>
      </c>
      <c r="P191" s="54">
        <v>161.06666666666666</v>
      </c>
      <c r="Q191" s="54">
        <v>80.533333333333331</v>
      </c>
      <c r="R191" s="54"/>
      <c r="S191" s="54">
        <v>80.533333333333331</v>
      </c>
      <c r="T191" s="54">
        <v>161.06666666666666</v>
      </c>
      <c r="U191" s="54">
        <v>80.533333333333331</v>
      </c>
    </row>
    <row r="192" spans="1:21" s="15" customFormat="1" x14ac:dyDescent="0.3">
      <c r="A192" s="17"/>
      <c r="B192"/>
      <c r="C192"/>
      <c r="D192"/>
      <c r="E192"/>
      <c r="F192" s="50">
        <v>42767</v>
      </c>
      <c r="G192" s="53">
        <v>75.900000000000006</v>
      </c>
      <c r="H192" s="53">
        <v>151.80000000000001</v>
      </c>
      <c r="I192" s="53">
        <v>75.900000000000006</v>
      </c>
      <c r="J192"/>
      <c r="K192"/>
      <c r="L192"/>
      <c r="M192"/>
      <c r="N192" s="38"/>
      <c r="O192" s="54">
        <v>77.000000000000014</v>
      </c>
      <c r="P192" s="54">
        <v>154.00000000000003</v>
      </c>
      <c r="Q192" s="54">
        <v>77.000000000000014</v>
      </c>
      <c r="R192" s="54"/>
      <c r="S192" s="54">
        <v>77.000000000000014</v>
      </c>
      <c r="T192" s="54">
        <v>154.00000000000003</v>
      </c>
      <c r="U192" s="54">
        <v>77.000000000000014</v>
      </c>
    </row>
    <row r="193" spans="1:21" s="15" customFormat="1" x14ac:dyDescent="0.3">
      <c r="A193" s="17"/>
      <c r="B193"/>
      <c r="C193"/>
      <c r="D193"/>
      <c r="E193"/>
      <c r="F193" s="50">
        <v>42795</v>
      </c>
      <c r="G193" s="53">
        <v>85.4</v>
      </c>
      <c r="H193" s="53">
        <v>170.8</v>
      </c>
      <c r="I193" s="53">
        <v>85.4</v>
      </c>
      <c r="J193"/>
      <c r="K193"/>
      <c r="L193"/>
      <c r="M193"/>
      <c r="N193" s="38"/>
      <c r="O193" s="54">
        <v>79.733333333333334</v>
      </c>
      <c r="P193" s="54">
        <v>159.46666666666667</v>
      </c>
      <c r="Q193" s="54">
        <v>79.733333333333334</v>
      </c>
      <c r="R193" s="54"/>
      <c r="S193" s="54">
        <v>79.733333333333334</v>
      </c>
      <c r="T193" s="54">
        <v>159.46666666666667</v>
      </c>
      <c r="U193" s="54">
        <v>79.733333333333334</v>
      </c>
    </row>
    <row r="194" spans="1:21" s="15" customFormat="1" x14ac:dyDescent="0.3">
      <c r="A194" s="17"/>
      <c r="B194"/>
      <c r="C194"/>
      <c r="D194"/>
      <c r="E194"/>
      <c r="F194" s="50">
        <v>42826</v>
      </c>
      <c r="G194" s="53">
        <v>79.3</v>
      </c>
      <c r="H194" s="53">
        <v>158.6</v>
      </c>
      <c r="I194" s="53">
        <v>79.3</v>
      </c>
      <c r="J194"/>
      <c r="K194"/>
      <c r="L194"/>
      <c r="M194"/>
      <c r="N194" s="38"/>
      <c r="O194" s="54">
        <v>80.2</v>
      </c>
      <c r="P194" s="54">
        <v>160.4</v>
      </c>
      <c r="Q194" s="54">
        <v>80.2</v>
      </c>
      <c r="R194" s="54"/>
      <c r="S194" s="54">
        <v>80.2</v>
      </c>
      <c r="T194" s="54">
        <v>160.4</v>
      </c>
      <c r="U194" s="54">
        <v>80.2</v>
      </c>
    </row>
    <row r="195" spans="1:21" s="15" customFormat="1" x14ac:dyDescent="0.3">
      <c r="A195" s="17"/>
      <c r="B195"/>
      <c r="C195"/>
      <c r="D195"/>
      <c r="E195"/>
      <c r="F195" s="50">
        <v>42856</v>
      </c>
      <c r="G195" s="53">
        <v>90.1</v>
      </c>
      <c r="H195" s="53">
        <v>180.2</v>
      </c>
      <c r="I195" s="53">
        <v>90.1</v>
      </c>
      <c r="J195"/>
      <c r="K195"/>
      <c r="L195"/>
      <c r="M195"/>
      <c r="N195" s="38"/>
      <c r="O195" s="54">
        <v>84.933333333333323</v>
      </c>
      <c r="P195" s="54">
        <v>169.86666666666665</v>
      </c>
      <c r="Q195" s="54">
        <v>84.933333333333323</v>
      </c>
      <c r="R195" s="54"/>
      <c r="S195" s="54">
        <v>84.933333333333323</v>
      </c>
      <c r="T195" s="54">
        <v>169.86666666666665</v>
      </c>
      <c r="U195" s="54">
        <v>84.933333333333323</v>
      </c>
    </row>
    <row r="196" spans="1:21" s="15" customFormat="1" x14ac:dyDescent="0.3">
      <c r="A196" s="17"/>
      <c r="B196"/>
      <c r="C196"/>
      <c r="D196"/>
      <c r="E196"/>
      <c r="F196" s="50">
        <v>42887</v>
      </c>
      <c r="G196" s="53">
        <v>88.4</v>
      </c>
      <c r="H196" s="53">
        <v>176.8</v>
      </c>
      <c r="I196" s="53">
        <v>88.4</v>
      </c>
      <c r="J196"/>
      <c r="K196"/>
      <c r="L196"/>
      <c r="M196"/>
      <c r="N196" s="38"/>
      <c r="O196" s="54">
        <v>85.933333333333323</v>
      </c>
      <c r="P196" s="54">
        <v>171.86666666666665</v>
      </c>
      <c r="Q196" s="54">
        <v>85.933333333333323</v>
      </c>
      <c r="R196" s="54"/>
      <c r="S196" s="54">
        <v>85.933333333333323</v>
      </c>
      <c r="T196" s="54">
        <v>171.86666666666665</v>
      </c>
      <c r="U196" s="54">
        <v>85.933333333333323</v>
      </c>
    </row>
    <row r="197" spans="1:21" s="15" customFormat="1" x14ac:dyDescent="0.3">
      <c r="A197" s="17"/>
      <c r="B197"/>
      <c r="C197"/>
      <c r="D197"/>
      <c r="E197"/>
      <c r="F197" s="50">
        <v>42917</v>
      </c>
      <c r="G197" s="53">
        <v>92.1</v>
      </c>
      <c r="H197" s="53">
        <v>184.2</v>
      </c>
      <c r="I197" s="53">
        <v>92.1</v>
      </c>
      <c r="J197"/>
      <c r="K197"/>
      <c r="L197"/>
      <c r="M197"/>
      <c r="N197" s="38"/>
      <c r="O197" s="54">
        <v>90.2</v>
      </c>
      <c r="P197" s="54">
        <v>180.4</v>
      </c>
      <c r="Q197" s="54">
        <v>90.2</v>
      </c>
      <c r="R197" s="54"/>
      <c r="S197" s="54">
        <v>90.2</v>
      </c>
      <c r="T197" s="54">
        <v>180.4</v>
      </c>
      <c r="U197" s="54">
        <v>90.2</v>
      </c>
    </row>
    <row r="198" spans="1:21" s="15" customFormat="1" x14ac:dyDescent="0.3">
      <c r="A198" s="17"/>
      <c r="B198"/>
      <c r="C198"/>
      <c r="D198"/>
      <c r="E198"/>
      <c r="F198" s="50">
        <v>42948</v>
      </c>
      <c r="G198" s="53">
        <v>96.7</v>
      </c>
      <c r="H198" s="53">
        <v>193.4</v>
      </c>
      <c r="I198" s="53">
        <v>96.7</v>
      </c>
      <c r="J198"/>
      <c r="K198"/>
      <c r="L198"/>
      <c r="M198"/>
      <c r="N198" s="38"/>
      <c r="O198" s="54">
        <v>92.399999999999991</v>
      </c>
      <c r="P198" s="54">
        <v>184.79999999999998</v>
      </c>
      <c r="Q198" s="54">
        <v>92.399999999999991</v>
      </c>
      <c r="R198" s="54"/>
      <c r="S198" s="54">
        <v>92.399999999999991</v>
      </c>
      <c r="T198" s="54">
        <v>184.79999999999998</v>
      </c>
      <c r="U198" s="54">
        <v>92.399999999999991</v>
      </c>
    </row>
    <row r="199" spans="1:21" s="15" customFormat="1" x14ac:dyDescent="0.3">
      <c r="A199" s="17"/>
      <c r="B199"/>
      <c r="C199"/>
      <c r="D199"/>
      <c r="E199"/>
      <c r="F199" s="50">
        <v>42979</v>
      </c>
      <c r="G199" s="53">
        <v>93</v>
      </c>
      <c r="H199" s="53">
        <v>186</v>
      </c>
      <c r="I199" s="53">
        <v>93</v>
      </c>
      <c r="J199"/>
      <c r="K199"/>
      <c r="L199"/>
      <c r="M199"/>
      <c r="N199" s="38"/>
      <c r="O199" s="54">
        <v>93.933333333333337</v>
      </c>
      <c r="P199" s="54">
        <v>187.86666666666667</v>
      </c>
      <c r="Q199" s="54">
        <v>93.933333333333337</v>
      </c>
      <c r="R199" s="54"/>
      <c r="S199" s="54">
        <v>93.933333333333337</v>
      </c>
      <c r="T199" s="54">
        <v>187.86666666666667</v>
      </c>
      <c r="U199" s="54">
        <v>93.933333333333337</v>
      </c>
    </row>
    <row r="200" spans="1:21" s="15" customFormat="1" x14ac:dyDescent="0.3">
      <c r="A200" s="17"/>
      <c r="B200"/>
      <c r="C200"/>
      <c r="D200"/>
      <c r="E200"/>
      <c r="F200" s="50">
        <v>43009</v>
      </c>
      <c r="G200" s="53">
        <v>95.1</v>
      </c>
      <c r="H200" s="53">
        <v>190.2</v>
      </c>
      <c r="I200" s="53">
        <v>95.1</v>
      </c>
      <c r="J200"/>
      <c r="K200"/>
      <c r="L200"/>
      <c r="M200"/>
      <c r="N200" s="38"/>
      <c r="O200" s="54">
        <v>94.933333333333323</v>
      </c>
      <c r="P200" s="54">
        <v>189.86666666666665</v>
      </c>
      <c r="Q200" s="54">
        <v>94.933333333333323</v>
      </c>
      <c r="R200" s="54"/>
      <c r="S200" s="54">
        <v>94.933333333333323</v>
      </c>
      <c r="T200" s="54">
        <v>189.86666666666665</v>
      </c>
      <c r="U200" s="54">
        <v>94.933333333333323</v>
      </c>
    </row>
    <row r="201" spans="1:21" s="15" customFormat="1" x14ac:dyDescent="0.3">
      <c r="A201" s="17"/>
      <c r="B201"/>
      <c r="C201"/>
      <c r="D201"/>
      <c r="E201"/>
      <c r="F201" s="50">
        <v>43040</v>
      </c>
      <c r="G201" s="53">
        <v>90.6</v>
      </c>
      <c r="H201" s="53">
        <v>181.2</v>
      </c>
      <c r="I201" s="53">
        <v>90.6</v>
      </c>
      <c r="J201"/>
      <c r="K201"/>
      <c r="L201"/>
      <c r="M201"/>
      <c r="N201" s="38"/>
      <c r="O201" s="54">
        <v>92.899999999999991</v>
      </c>
      <c r="P201" s="54">
        <v>185.79999999999998</v>
      </c>
      <c r="Q201" s="54">
        <v>92.899999999999991</v>
      </c>
      <c r="R201" s="54"/>
      <c r="S201" s="54">
        <v>92.899999999999991</v>
      </c>
      <c r="T201" s="54">
        <v>185.79999999999998</v>
      </c>
      <c r="U201" s="54">
        <v>92.899999999999991</v>
      </c>
    </row>
    <row r="202" spans="1:21" s="15" customFormat="1" x14ac:dyDescent="0.3">
      <c r="A202" s="17"/>
      <c r="B202"/>
      <c r="C202"/>
      <c r="D202"/>
      <c r="E202"/>
      <c r="F202" s="50">
        <v>43070</v>
      </c>
      <c r="G202" s="53">
        <v>81</v>
      </c>
      <c r="H202" s="53">
        <v>162</v>
      </c>
      <c r="I202" s="53">
        <v>81</v>
      </c>
      <c r="J202"/>
      <c r="K202"/>
      <c r="L202"/>
      <c r="M202"/>
      <c r="N202" s="38"/>
      <c r="O202" s="54">
        <v>88.899999999999991</v>
      </c>
      <c r="P202" s="54">
        <v>177.79999999999998</v>
      </c>
      <c r="Q202" s="54">
        <v>88.899999999999991</v>
      </c>
      <c r="R202" s="54"/>
      <c r="S202" s="54">
        <v>88.899999999999991</v>
      </c>
      <c r="T202" s="54">
        <v>177.79999999999998</v>
      </c>
      <c r="U202" s="54">
        <v>88.899999999999991</v>
      </c>
    </row>
    <row r="203" spans="1:21" s="15" customFormat="1" x14ac:dyDescent="0.3">
      <c r="A203" s="17"/>
      <c r="B203"/>
      <c r="C203"/>
      <c r="D203"/>
      <c r="E203"/>
      <c r="F203" s="50">
        <v>43101</v>
      </c>
      <c r="G203" s="53">
        <v>82.3</v>
      </c>
      <c r="H203" s="53">
        <v>164.6</v>
      </c>
      <c r="I203" s="53">
        <v>82.3</v>
      </c>
      <c r="J203"/>
      <c r="K203"/>
      <c r="L203"/>
      <c r="M203"/>
      <c r="N203" s="38"/>
      <c r="O203" s="54">
        <v>84.633333333333326</v>
      </c>
      <c r="P203" s="54">
        <v>169.26666666666665</v>
      </c>
      <c r="Q203" s="54">
        <v>84.633333333333326</v>
      </c>
      <c r="R203" s="54"/>
      <c r="S203" s="54">
        <v>84.633333333333326</v>
      </c>
      <c r="T203" s="54">
        <v>169.26666666666665</v>
      </c>
      <c r="U203" s="54">
        <v>84.633333333333326</v>
      </c>
    </row>
    <row r="204" spans="1:21" s="15" customFormat="1" x14ac:dyDescent="0.3">
      <c r="A204" s="17"/>
      <c r="B204"/>
      <c r="C204"/>
      <c r="D204"/>
      <c r="E204"/>
      <c r="F204" s="50">
        <v>43132</v>
      </c>
      <c r="G204" s="53">
        <v>77.3</v>
      </c>
      <c r="H204" s="53">
        <v>154.6</v>
      </c>
      <c r="I204" s="53">
        <v>77.3</v>
      </c>
      <c r="J204"/>
      <c r="K204"/>
      <c r="L204"/>
      <c r="M204"/>
      <c r="N204" s="38"/>
      <c r="O204" s="54">
        <v>80.2</v>
      </c>
      <c r="P204" s="54">
        <v>160.4</v>
      </c>
      <c r="Q204" s="54">
        <v>80.2</v>
      </c>
      <c r="R204" s="54"/>
      <c r="S204" s="54">
        <v>80.2</v>
      </c>
      <c r="T204" s="54">
        <v>160.4</v>
      </c>
      <c r="U204" s="54">
        <v>80.2</v>
      </c>
    </row>
    <row r="205" spans="1:21" s="15" customFormat="1" x14ac:dyDescent="0.3">
      <c r="A205" s="17"/>
      <c r="B205"/>
      <c r="C205"/>
      <c r="D205"/>
      <c r="E205"/>
      <c r="F205" s="50">
        <v>43160</v>
      </c>
      <c r="G205" s="53">
        <v>86.2</v>
      </c>
      <c r="H205" s="53">
        <v>172.4</v>
      </c>
      <c r="I205" s="53">
        <v>86.2</v>
      </c>
      <c r="J205"/>
      <c r="K205"/>
      <c r="L205"/>
      <c r="M205"/>
      <c r="N205" s="38"/>
      <c r="O205" s="54">
        <v>81.933333333333337</v>
      </c>
      <c r="P205" s="54">
        <v>163.86666666666667</v>
      </c>
      <c r="Q205" s="54">
        <v>81.933333333333337</v>
      </c>
      <c r="R205" s="54"/>
      <c r="S205" s="54">
        <v>81.933333333333337</v>
      </c>
      <c r="T205" s="54">
        <v>163.86666666666667</v>
      </c>
      <c r="U205" s="54">
        <v>81.933333333333337</v>
      </c>
    </row>
    <row r="206" spans="1:21" s="15" customFormat="1" x14ac:dyDescent="0.3">
      <c r="A206" s="17"/>
      <c r="B206"/>
      <c r="C206"/>
      <c r="D206"/>
      <c r="E206"/>
      <c r="F206" s="50">
        <v>43191</v>
      </c>
      <c r="G206" s="53">
        <v>86.5</v>
      </c>
      <c r="H206" s="53">
        <v>173</v>
      </c>
      <c r="I206" s="53">
        <v>86.5</v>
      </c>
      <c r="J206"/>
      <c r="K206"/>
      <c r="L206"/>
      <c r="M206"/>
      <c r="N206" s="38"/>
      <c r="O206" s="54">
        <v>83.333333333333329</v>
      </c>
      <c r="P206" s="54">
        <v>166.66666666666666</v>
      </c>
      <c r="Q206" s="54">
        <v>83.333333333333329</v>
      </c>
      <c r="R206" s="54"/>
      <c r="S206" s="54">
        <v>83.333333333333329</v>
      </c>
      <c r="T206" s="54">
        <v>166.66666666666666</v>
      </c>
      <c r="U206" s="54">
        <v>83.333333333333329</v>
      </c>
    </row>
    <row r="207" spans="1:21" s="15" customFormat="1" x14ac:dyDescent="0.3">
      <c r="A207" s="17"/>
      <c r="B207"/>
      <c r="C207"/>
      <c r="D207"/>
      <c r="E207"/>
      <c r="F207" s="50">
        <v>43221</v>
      </c>
      <c r="G207" s="53">
        <v>84.4</v>
      </c>
      <c r="H207" s="53">
        <v>168.8</v>
      </c>
      <c r="I207" s="53">
        <v>84.4</v>
      </c>
      <c r="J207"/>
      <c r="K207"/>
      <c r="L207"/>
      <c r="M207"/>
      <c r="N207" s="38"/>
      <c r="O207" s="54">
        <v>85.7</v>
      </c>
      <c r="P207" s="54">
        <v>171.4</v>
      </c>
      <c r="Q207" s="54">
        <v>85.7</v>
      </c>
      <c r="R207" s="54"/>
      <c r="S207" s="54">
        <v>85.7</v>
      </c>
      <c r="T207" s="54">
        <v>171.4</v>
      </c>
      <c r="U207" s="54">
        <v>85.7</v>
      </c>
    </row>
    <row r="208" spans="1:21" s="15" customFormat="1" x14ac:dyDescent="0.3">
      <c r="A208" s="17"/>
      <c r="B208"/>
      <c r="C208"/>
      <c r="D208"/>
      <c r="E208"/>
      <c r="F208" s="50">
        <v>43252</v>
      </c>
      <c r="G208" s="53">
        <v>91.1</v>
      </c>
      <c r="H208" s="53">
        <v>182.2</v>
      </c>
      <c r="I208" s="53">
        <v>91.1</v>
      </c>
      <c r="J208"/>
      <c r="K208"/>
      <c r="L208"/>
      <c r="M208"/>
      <c r="N208" s="38"/>
      <c r="O208" s="54">
        <v>87.333333333333329</v>
      </c>
      <c r="P208" s="54">
        <v>174.66666666666666</v>
      </c>
      <c r="Q208" s="54">
        <v>87.333333333333329</v>
      </c>
      <c r="R208" s="54"/>
      <c r="S208" s="54">
        <v>87.333333333333329</v>
      </c>
      <c r="T208" s="54">
        <v>174.66666666666666</v>
      </c>
      <c r="U208" s="54">
        <v>87.333333333333329</v>
      </c>
    </row>
    <row r="209" spans="1:21" s="15" customFormat="1" x14ac:dyDescent="0.3">
      <c r="A209" s="17"/>
      <c r="B209"/>
      <c r="C209"/>
      <c r="D209"/>
      <c r="E209"/>
      <c r="F209" s="50">
        <v>43282</v>
      </c>
      <c r="G209" s="53">
        <v>95.8</v>
      </c>
      <c r="H209" s="53">
        <v>191.6</v>
      </c>
      <c r="I209" s="53">
        <v>95.8</v>
      </c>
      <c r="J209"/>
      <c r="K209"/>
      <c r="L209"/>
      <c r="M209"/>
      <c r="N209" s="38"/>
      <c r="O209" s="54">
        <v>90.433333333333337</v>
      </c>
      <c r="P209" s="54">
        <v>180.86666666666667</v>
      </c>
      <c r="Q209" s="54">
        <v>90.433333333333337</v>
      </c>
      <c r="R209" s="54"/>
      <c r="S209" s="54">
        <v>90.433333333333337</v>
      </c>
      <c r="T209" s="54">
        <v>180.86666666666667</v>
      </c>
      <c r="U209" s="54">
        <v>90.433333333333337</v>
      </c>
    </row>
    <row r="210" spans="1:21" s="15" customFormat="1" x14ac:dyDescent="0.3">
      <c r="A210" s="17"/>
      <c r="B210"/>
      <c r="C210"/>
      <c r="D210"/>
      <c r="E210"/>
      <c r="F210" s="50">
        <v>43313</v>
      </c>
      <c r="G210" s="53">
        <v>98.2</v>
      </c>
      <c r="H210" s="53">
        <v>196.4</v>
      </c>
      <c r="I210" s="53">
        <v>98.2</v>
      </c>
      <c r="J210"/>
      <c r="K210"/>
      <c r="L210"/>
      <c r="M210"/>
      <c r="N210" s="38"/>
      <c r="O210" s="54">
        <v>95.033333333333317</v>
      </c>
      <c r="P210" s="54">
        <v>190.06666666666663</v>
      </c>
      <c r="Q210" s="54">
        <v>95.033333333333317</v>
      </c>
      <c r="R210" s="54"/>
      <c r="S210" s="54">
        <v>95.033333333333317</v>
      </c>
      <c r="T210" s="54">
        <v>190.06666666666663</v>
      </c>
      <c r="U210" s="54">
        <v>95.033333333333317</v>
      </c>
    </row>
    <row r="211" spans="1:21" s="15" customFormat="1" x14ac:dyDescent="0.3">
      <c r="A211" s="17"/>
      <c r="B211"/>
      <c r="C211"/>
      <c r="D211"/>
      <c r="E211"/>
      <c r="F211" s="50">
        <v>43344</v>
      </c>
      <c r="G211" s="53">
        <v>90.7</v>
      </c>
      <c r="H211" s="53">
        <v>181.4</v>
      </c>
      <c r="I211" s="53">
        <v>90.7</v>
      </c>
      <c r="J211"/>
      <c r="K211"/>
      <c r="L211"/>
      <c r="M211"/>
      <c r="N211" s="38"/>
      <c r="O211" s="54">
        <v>94.899999999999991</v>
      </c>
      <c r="P211" s="54">
        <v>189.79999999999998</v>
      </c>
      <c r="Q211" s="54">
        <v>94.899999999999991</v>
      </c>
      <c r="R211" s="54"/>
      <c r="S211" s="54">
        <v>94.899999999999991</v>
      </c>
      <c r="T211" s="54">
        <v>189.79999999999998</v>
      </c>
      <c r="U211" s="54">
        <v>94.899999999999991</v>
      </c>
    </row>
    <row r="212" spans="1:21" s="15" customFormat="1" x14ac:dyDescent="0.3">
      <c r="A212" s="17"/>
      <c r="B212"/>
      <c r="C212"/>
      <c r="D212"/>
      <c r="E212"/>
      <c r="F212" s="50">
        <v>43374</v>
      </c>
      <c r="G212" s="53">
        <v>95.8</v>
      </c>
      <c r="H212" s="53">
        <v>191.6</v>
      </c>
      <c r="I212" s="53">
        <v>95.8</v>
      </c>
      <c r="J212"/>
      <c r="K212"/>
      <c r="L212"/>
      <c r="M212"/>
      <c r="N212" s="38"/>
      <c r="O212" s="54">
        <v>94.899999999999991</v>
      </c>
      <c r="P212" s="54">
        <v>189.79999999999998</v>
      </c>
      <c r="Q212" s="54">
        <v>94.899999999999991</v>
      </c>
      <c r="R212" s="54"/>
      <c r="S212" s="54">
        <v>94.899999999999991</v>
      </c>
      <c r="T212" s="54">
        <v>189.79999999999998</v>
      </c>
      <c r="U212" s="54">
        <v>94.899999999999991</v>
      </c>
    </row>
    <row r="213" spans="1:21" s="15" customFormat="1" x14ac:dyDescent="0.3">
      <c r="A213" s="17"/>
      <c r="B213"/>
      <c r="C213"/>
      <c r="D213"/>
      <c r="E213"/>
      <c r="F213" s="50">
        <v>43405</v>
      </c>
      <c r="G213" s="53">
        <v>89.5</v>
      </c>
      <c r="H213" s="53">
        <v>179</v>
      </c>
      <c r="I213" s="53">
        <v>89.5</v>
      </c>
      <c r="J213"/>
      <c r="K213"/>
      <c r="L213"/>
      <c r="M213"/>
      <c r="N213" s="38"/>
      <c r="O213" s="54">
        <v>92</v>
      </c>
      <c r="P213" s="54">
        <v>184</v>
      </c>
      <c r="Q213" s="54">
        <v>92</v>
      </c>
      <c r="R213" s="54"/>
      <c r="S213" s="54">
        <v>92</v>
      </c>
      <c r="T213" s="54">
        <v>184</v>
      </c>
      <c r="U213" s="54">
        <v>92</v>
      </c>
    </row>
    <row r="214" spans="1:21" s="15" customFormat="1" x14ac:dyDescent="0.3">
      <c r="A214" s="17"/>
      <c r="B214"/>
      <c r="C214"/>
      <c r="D214"/>
      <c r="E214"/>
      <c r="F214" s="50">
        <v>43435</v>
      </c>
      <c r="G214" s="53">
        <v>78</v>
      </c>
      <c r="H214" s="53">
        <v>156</v>
      </c>
      <c r="I214" s="53">
        <v>78</v>
      </c>
      <c r="J214"/>
      <c r="K214"/>
      <c r="L214"/>
      <c r="M214"/>
      <c r="N214" s="38"/>
      <c r="O214" s="54">
        <v>87.766666666666666</v>
      </c>
      <c r="P214" s="54">
        <v>175.53333333333333</v>
      </c>
      <c r="Q214" s="54">
        <v>87.766666666666666</v>
      </c>
      <c r="R214" s="54"/>
      <c r="S214" s="54">
        <v>87.766666666666666</v>
      </c>
      <c r="T214" s="54">
        <v>175.53333333333333</v>
      </c>
      <c r="U214" s="54">
        <v>87.766666666666666</v>
      </c>
    </row>
    <row r="215" spans="1:21" s="15" customFormat="1" x14ac:dyDescent="0.3">
      <c r="A215" s="17"/>
      <c r="B215"/>
      <c r="C215"/>
      <c r="D215"/>
      <c r="E215"/>
      <c r="F215" s="50">
        <v>43466</v>
      </c>
      <c r="G215" s="53">
        <v>80.7</v>
      </c>
      <c r="H215" s="53">
        <v>161.4</v>
      </c>
      <c r="I215" s="53">
        <v>80.7</v>
      </c>
      <c r="J215"/>
      <c r="K215"/>
      <c r="L215"/>
      <c r="M215"/>
      <c r="N215" s="38"/>
      <c r="O215" s="54">
        <v>82.733333333333334</v>
      </c>
      <c r="P215" s="54">
        <v>165.46666666666667</v>
      </c>
      <c r="Q215" s="54">
        <v>82.733333333333334</v>
      </c>
      <c r="R215" s="54"/>
      <c r="S215" s="54">
        <v>82.733333333333334</v>
      </c>
      <c r="T215" s="54">
        <v>165.46666666666667</v>
      </c>
      <c r="U215" s="54">
        <v>82.733333333333334</v>
      </c>
    </row>
    <row r="216" spans="1:21" s="15" customFormat="1" x14ac:dyDescent="0.3">
      <c r="A216" s="17"/>
      <c r="B216"/>
      <c r="C216"/>
      <c r="D216"/>
      <c r="E216"/>
      <c r="F216" s="50">
        <v>43497</v>
      </c>
      <c r="G216" s="53">
        <v>79.099999999999994</v>
      </c>
      <c r="H216" s="53">
        <v>158.19999999999999</v>
      </c>
      <c r="I216" s="53">
        <v>79.099999999999994</v>
      </c>
      <c r="J216"/>
      <c r="K216"/>
      <c r="L216"/>
      <c r="M216"/>
      <c r="N216" s="38"/>
      <c r="O216" s="54">
        <v>79.266666666666666</v>
      </c>
      <c r="P216" s="54">
        <v>158.53333333333333</v>
      </c>
      <c r="Q216" s="54">
        <v>79.266666666666666</v>
      </c>
      <c r="R216" s="54"/>
      <c r="S216" s="54">
        <v>79.266666666666666</v>
      </c>
      <c r="T216" s="54">
        <v>158.53333333333333</v>
      </c>
      <c r="U216" s="54">
        <v>79.266666666666666</v>
      </c>
    </row>
    <row r="217" spans="1:21" s="15" customFormat="1" x14ac:dyDescent="0.3">
      <c r="A217" s="17"/>
      <c r="B217"/>
      <c r="C217"/>
      <c r="D217"/>
      <c r="E217"/>
      <c r="F217" s="50">
        <v>43525</v>
      </c>
      <c r="G217" s="53">
        <v>81</v>
      </c>
      <c r="H217" s="53">
        <v>162</v>
      </c>
      <c r="I217" s="53">
        <v>81</v>
      </c>
      <c r="J217"/>
      <c r="K217"/>
      <c r="L217"/>
      <c r="M217"/>
      <c r="N217" s="38"/>
      <c r="O217" s="54">
        <v>80.266666666666666</v>
      </c>
      <c r="P217" s="54">
        <v>160.53333333333333</v>
      </c>
      <c r="Q217" s="54">
        <v>80.266666666666666</v>
      </c>
      <c r="R217" s="54"/>
      <c r="S217" s="54">
        <v>80.266666666666666</v>
      </c>
      <c r="T217" s="54">
        <v>160.53333333333333</v>
      </c>
      <c r="U217" s="54">
        <v>80.266666666666666</v>
      </c>
    </row>
    <row r="218" spans="1:21" s="15" customFormat="1" x14ac:dyDescent="0.3">
      <c r="A218" s="17"/>
      <c r="B218"/>
      <c r="C218"/>
      <c r="D218"/>
      <c r="E218"/>
      <c r="F218" s="50">
        <v>43556</v>
      </c>
      <c r="G218" s="53">
        <v>83.3</v>
      </c>
      <c r="H218" s="53">
        <v>166.6</v>
      </c>
      <c r="I218" s="53">
        <v>83.3</v>
      </c>
      <c r="J218"/>
      <c r="K218"/>
      <c r="L218"/>
      <c r="M218"/>
      <c r="N218" s="38"/>
      <c r="O218" s="54">
        <v>81.133333333333326</v>
      </c>
      <c r="P218" s="54">
        <v>162.26666666666665</v>
      </c>
      <c r="Q218" s="54">
        <v>81.133333333333326</v>
      </c>
      <c r="R218" s="54"/>
      <c r="S218" s="54">
        <v>81.133333333333326</v>
      </c>
      <c r="T218" s="54">
        <v>162.26666666666665</v>
      </c>
      <c r="U218" s="54">
        <v>81.133333333333326</v>
      </c>
    </row>
    <row r="219" spans="1:21" s="15" customFormat="1" x14ac:dyDescent="0.3">
      <c r="A219" s="17"/>
      <c r="B219"/>
      <c r="C219"/>
      <c r="D219"/>
      <c r="E219"/>
      <c r="F219" s="50">
        <v>43586</v>
      </c>
      <c r="G219" s="53">
        <v>91</v>
      </c>
      <c r="H219" s="53">
        <v>182</v>
      </c>
      <c r="I219" s="53">
        <v>91</v>
      </c>
      <c r="J219"/>
      <c r="K219"/>
      <c r="L219"/>
      <c r="M219"/>
      <c r="N219" s="38"/>
      <c r="O219" s="54">
        <v>85.100000000000009</v>
      </c>
      <c r="P219" s="54">
        <v>170.20000000000002</v>
      </c>
      <c r="Q219" s="54">
        <v>85.100000000000009</v>
      </c>
      <c r="R219" s="54"/>
      <c r="S219" s="54">
        <v>85.100000000000009</v>
      </c>
      <c r="T219" s="54">
        <v>170.20000000000002</v>
      </c>
      <c r="U219" s="54">
        <v>85.100000000000009</v>
      </c>
    </row>
    <row r="220" spans="1:21" s="15" customFormat="1" x14ac:dyDescent="0.3">
      <c r="A220" s="17"/>
      <c r="B220"/>
      <c r="C220"/>
      <c r="D220"/>
      <c r="E220"/>
      <c r="F220" s="50">
        <v>43617</v>
      </c>
      <c r="G220" s="53">
        <v>85.8</v>
      </c>
      <c r="H220" s="53">
        <v>171.6</v>
      </c>
      <c r="I220" s="53">
        <v>85.8</v>
      </c>
      <c r="J220"/>
      <c r="K220"/>
      <c r="L220"/>
      <c r="M220"/>
      <c r="N220" s="38"/>
      <c r="O220" s="54">
        <v>86.7</v>
      </c>
      <c r="P220" s="54">
        <v>173.4</v>
      </c>
      <c r="Q220" s="54">
        <v>86.7</v>
      </c>
      <c r="R220" s="54"/>
      <c r="S220" s="54">
        <v>86.7</v>
      </c>
      <c r="T220" s="54">
        <v>173.4</v>
      </c>
      <c r="U220" s="54">
        <v>86.7</v>
      </c>
    </row>
    <row r="221" spans="1:21" s="15" customFormat="1" x14ac:dyDescent="0.3">
      <c r="A221" s="17"/>
      <c r="B221"/>
      <c r="C221"/>
      <c r="D221"/>
      <c r="E221"/>
      <c r="F221" s="50">
        <v>43647</v>
      </c>
      <c r="G221" s="53">
        <v>93.4</v>
      </c>
      <c r="H221" s="53">
        <v>186.8</v>
      </c>
      <c r="I221" s="53">
        <v>93.4</v>
      </c>
      <c r="J221"/>
      <c r="K221"/>
      <c r="L221"/>
      <c r="M221"/>
      <c r="N221" s="38"/>
      <c r="O221" s="54">
        <v>90.066666666666677</v>
      </c>
      <c r="P221" s="54">
        <v>180.13333333333335</v>
      </c>
      <c r="Q221" s="54">
        <v>90.066666666666677</v>
      </c>
      <c r="R221" s="54"/>
      <c r="S221" s="54">
        <v>90.066666666666677</v>
      </c>
      <c r="T221" s="54">
        <v>180.13333333333335</v>
      </c>
      <c r="U221" s="54">
        <v>90.066666666666677</v>
      </c>
    </row>
    <row r="222" spans="1:21" s="15" customFormat="1" x14ac:dyDescent="0.3">
      <c r="A222" s="17"/>
      <c r="B222"/>
      <c r="C222"/>
      <c r="D222"/>
      <c r="E222"/>
      <c r="F222" s="50">
        <v>43678</v>
      </c>
      <c r="G222" s="53">
        <v>96.2</v>
      </c>
      <c r="H222" s="53">
        <v>192.4</v>
      </c>
      <c r="I222" s="53">
        <v>96.2</v>
      </c>
      <c r="J222"/>
      <c r="K222"/>
      <c r="L222"/>
      <c r="M222"/>
      <c r="N222" s="38"/>
      <c r="O222" s="54">
        <v>91.8</v>
      </c>
      <c r="P222" s="54">
        <v>183.6</v>
      </c>
      <c r="Q222" s="54">
        <v>91.8</v>
      </c>
      <c r="R222" s="54"/>
      <c r="S222" s="54">
        <v>91.8</v>
      </c>
      <c r="T222" s="54">
        <v>183.6</v>
      </c>
      <c r="U222" s="54">
        <v>91.8</v>
      </c>
    </row>
    <row r="223" spans="1:21" s="15" customFormat="1" x14ac:dyDescent="0.3">
      <c r="A223" s="17"/>
      <c r="B223"/>
      <c r="C223"/>
      <c r="D223"/>
      <c r="E223"/>
      <c r="F223" s="50">
        <v>43709</v>
      </c>
      <c r="G223" s="53">
        <v>91.8</v>
      </c>
      <c r="H223" s="53">
        <v>183.6</v>
      </c>
      <c r="I223" s="53">
        <v>91.8</v>
      </c>
      <c r="J223"/>
      <c r="K223"/>
      <c r="L223"/>
      <c r="M223"/>
      <c r="N223" s="38"/>
      <c r="O223" s="54">
        <v>93.800000000000011</v>
      </c>
      <c r="P223" s="54">
        <v>187.60000000000002</v>
      </c>
      <c r="Q223" s="54">
        <v>93.800000000000011</v>
      </c>
      <c r="R223" s="54"/>
      <c r="S223" s="54">
        <v>93.800000000000011</v>
      </c>
      <c r="T223" s="54">
        <v>187.60000000000002</v>
      </c>
      <c r="U223" s="54">
        <v>93.800000000000011</v>
      </c>
    </row>
    <row r="224" spans="1:21" s="15" customFormat="1" x14ac:dyDescent="0.3">
      <c r="A224" s="17"/>
      <c r="B224"/>
      <c r="C224"/>
      <c r="D224"/>
      <c r="E224"/>
      <c r="F224" s="50">
        <v>43739</v>
      </c>
      <c r="G224" s="53">
        <v>97</v>
      </c>
      <c r="H224" s="53">
        <v>194</v>
      </c>
      <c r="I224" s="53">
        <v>97</v>
      </c>
      <c r="J224"/>
      <c r="K224"/>
      <c r="L224"/>
      <c r="M224"/>
      <c r="N224" s="38"/>
      <c r="O224" s="54">
        <v>95</v>
      </c>
      <c r="P224" s="54">
        <v>190</v>
      </c>
      <c r="Q224" s="54">
        <v>95</v>
      </c>
      <c r="R224" s="54"/>
      <c r="S224" s="54">
        <v>95</v>
      </c>
      <c r="T224" s="54">
        <v>190</v>
      </c>
      <c r="U224" s="54">
        <v>95</v>
      </c>
    </row>
    <row r="225" spans="1:21" s="15" customFormat="1" x14ac:dyDescent="0.3">
      <c r="A225" s="17"/>
      <c r="B225"/>
      <c r="C225"/>
      <c r="D225"/>
      <c r="E225"/>
      <c r="F225" s="50">
        <v>43770</v>
      </c>
      <c r="G225" s="53">
        <v>88</v>
      </c>
      <c r="H225" s="53">
        <v>176</v>
      </c>
      <c r="I225" s="53">
        <v>88</v>
      </c>
      <c r="J225"/>
      <c r="K225"/>
      <c r="L225"/>
      <c r="M225"/>
      <c r="N225" s="38"/>
      <c r="O225" s="54">
        <v>92.266666666666666</v>
      </c>
      <c r="P225" s="54">
        <v>184.53333333333333</v>
      </c>
      <c r="Q225" s="54">
        <v>92.266666666666666</v>
      </c>
      <c r="R225" s="54"/>
      <c r="S225" s="54">
        <v>92.266666666666666</v>
      </c>
      <c r="T225" s="54">
        <v>184.53333333333333</v>
      </c>
      <c r="U225" s="54">
        <v>92.266666666666666</v>
      </c>
    </row>
    <row r="226" spans="1:21" s="15" customFormat="1" x14ac:dyDescent="0.3">
      <c r="A226" s="17"/>
      <c r="B226"/>
      <c r="C226"/>
      <c r="D226"/>
      <c r="E226"/>
      <c r="F226" s="50">
        <v>43800</v>
      </c>
      <c r="G226" s="53">
        <v>76.900000000000006</v>
      </c>
      <c r="H226" s="53">
        <v>153.80000000000001</v>
      </c>
      <c r="I226" s="53">
        <v>76.900000000000006</v>
      </c>
      <c r="J226"/>
      <c r="K226"/>
      <c r="L226"/>
      <c r="M226"/>
      <c r="N226" s="38"/>
      <c r="O226" s="54">
        <v>87.3</v>
      </c>
      <c r="P226" s="54">
        <v>174.6</v>
      </c>
      <c r="Q226" s="54">
        <v>87.3</v>
      </c>
      <c r="R226" s="54"/>
      <c r="S226" s="54">
        <v>87.3</v>
      </c>
      <c r="T226" s="54">
        <v>174.6</v>
      </c>
      <c r="U226" s="54">
        <v>87.3</v>
      </c>
    </row>
    <row r="227" spans="1:21" s="15" customFormat="1" x14ac:dyDescent="0.3">
      <c r="A227" s="17"/>
      <c r="B227"/>
      <c r="C227"/>
      <c r="D227"/>
      <c r="E227"/>
      <c r="F227" s="50">
        <v>43831</v>
      </c>
      <c r="G227" s="53">
        <v>80</v>
      </c>
      <c r="H227" s="53">
        <v>160</v>
      </c>
      <c r="I227" s="53">
        <v>80</v>
      </c>
      <c r="J227"/>
      <c r="K227"/>
      <c r="L227"/>
      <c r="M227"/>
      <c r="N227" s="38"/>
      <c r="O227" s="54">
        <v>81.63333333333334</v>
      </c>
      <c r="P227" s="54">
        <v>163.26666666666668</v>
      </c>
      <c r="Q227" s="54">
        <v>81.63333333333334</v>
      </c>
      <c r="R227" s="54"/>
      <c r="S227" s="54">
        <v>81.63333333333334</v>
      </c>
      <c r="T227" s="54">
        <v>163.26666666666668</v>
      </c>
      <c r="U227" s="54">
        <v>81.63333333333334</v>
      </c>
    </row>
    <row r="228" spans="1:21" s="15" customFormat="1" x14ac:dyDescent="0.3">
      <c r="A228" s="17"/>
      <c r="B228"/>
      <c r="C228"/>
      <c r="D228"/>
      <c r="E228"/>
      <c r="F228" s="50">
        <v>43862</v>
      </c>
      <c r="G228" s="53">
        <v>78.900000000000006</v>
      </c>
      <c r="H228" s="53">
        <v>157.80000000000001</v>
      </c>
      <c r="I228" s="53">
        <v>78.900000000000006</v>
      </c>
      <c r="J228"/>
      <c r="K228"/>
      <c r="L228"/>
      <c r="M228"/>
      <c r="N228" s="38"/>
      <c r="O228" s="54">
        <v>78.600000000000009</v>
      </c>
      <c r="P228" s="54">
        <v>157.20000000000002</v>
      </c>
      <c r="Q228" s="54">
        <v>78.600000000000009</v>
      </c>
      <c r="R228" s="54"/>
      <c r="S228" s="54">
        <v>78.600000000000009</v>
      </c>
      <c r="T228" s="54">
        <v>157.20000000000002</v>
      </c>
      <c r="U228" s="54">
        <v>78.600000000000009</v>
      </c>
    </row>
    <row r="229" spans="1:21" s="15" customFormat="1" x14ac:dyDescent="0.3">
      <c r="A229" s="17"/>
      <c r="B229"/>
      <c r="C229"/>
      <c r="D229"/>
      <c r="E229"/>
      <c r="F229" s="50">
        <v>43891</v>
      </c>
      <c r="G229" s="53">
        <v>77.900000000000006</v>
      </c>
      <c r="H229" s="53">
        <v>155.80000000000001</v>
      </c>
      <c r="I229" s="53">
        <v>77.900000000000006</v>
      </c>
      <c r="J229"/>
      <c r="K229"/>
      <c r="L229"/>
      <c r="M229"/>
      <c r="N229" s="38"/>
      <c r="O229" s="54">
        <v>78.933333333333337</v>
      </c>
      <c r="P229" s="54">
        <v>157.86666666666667</v>
      </c>
      <c r="Q229" s="54">
        <v>78.933333333333337</v>
      </c>
      <c r="R229" s="54"/>
      <c r="S229" s="54">
        <v>78.933333333333337</v>
      </c>
      <c r="T229" s="54">
        <v>157.86666666666667</v>
      </c>
      <c r="U229" s="54">
        <v>78.933333333333337</v>
      </c>
    </row>
    <row r="230" spans="1:21" s="15" customFormat="1" x14ac:dyDescent="0.3">
      <c r="A230" s="17"/>
      <c r="B230"/>
      <c r="C230"/>
      <c r="D230"/>
      <c r="E230"/>
      <c r="F230" s="50">
        <v>43922</v>
      </c>
      <c r="G230" s="53">
        <v>60.3</v>
      </c>
      <c r="H230" s="53">
        <v>120.6</v>
      </c>
      <c r="I230" s="53">
        <v>60.3</v>
      </c>
      <c r="J230"/>
      <c r="K230"/>
      <c r="L230"/>
      <c r="M230"/>
      <c r="N230" s="38"/>
      <c r="O230" s="54">
        <v>72.366666666666674</v>
      </c>
      <c r="P230" s="54">
        <v>144.73333333333335</v>
      </c>
      <c r="Q230" s="54">
        <v>72.366666666666674</v>
      </c>
      <c r="R230" s="54"/>
      <c r="S230" s="54">
        <v>72.366666666666674</v>
      </c>
      <c r="T230" s="54">
        <v>144.73333333333335</v>
      </c>
      <c r="U230" s="54">
        <v>72.366666666666674</v>
      </c>
    </row>
    <row r="231" spans="1:21" s="15" customFormat="1" x14ac:dyDescent="0.3">
      <c r="A231" s="17"/>
      <c r="B231"/>
      <c r="C231"/>
      <c r="D231"/>
      <c r="E231"/>
      <c r="F231" s="50">
        <v>43952</v>
      </c>
      <c r="G231" s="53">
        <v>71.2</v>
      </c>
      <c r="H231" s="53">
        <v>142.4</v>
      </c>
      <c r="I231" s="53">
        <v>71.2</v>
      </c>
      <c r="J231"/>
      <c r="K231"/>
      <c r="L231"/>
      <c r="M231"/>
      <c r="N231" s="38"/>
      <c r="O231" s="54">
        <v>69.8</v>
      </c>
      <c r="P231" s="54">
        <v>139.6</v>
      </c>
      <c r="Q231" s="54">
        <v>69.8</v>
      </c>
      <c r="R231" s="54"/>
      <c r="S231" s="54">
        <v>69.8</v>
      </c>
      <c r="T231" s="54">
        <v>139.6</v>
      </c>
      <c r="U231" s="54">
        <v>69.8</v>
      </c>
    </row>
    <row r="232" spans="1:21" s="15" customFormat="1" x14ac:dyDescent="0.3">
      <c r="A232" s="17"/>
      <c r="B232"/>
      <c r="C232"/>
      <c r="D232"/>
      <c r="E232"/>
      <c r="F232" s="50">
        <v>43983</v>
      </c>
      <c r="G232" s="53">
        <v>78.400000000000006</v>
      </c>
      <c r="H232" s="53">
        <v>156.80000000000001</v>
      </c>
      <c r="I232" s="53">
        <v>78.400000000000006</v>
      </c>
      <c r="J232"/>
      <c r="K232"/>
      <c r="L232"/>
      <c r="M232"/>
      <c r="N232" s="38"/>
      <c r="O232" s="54">
        <v>69.966666666666669</v>
      </c>
      <c r="P232" s="54">
        <v>139.93333333333334</v>
      </c>
      <c r="Q232" s="54">
        <v>69.966666666666669</v>
      </c>
      <c r="R232" s="54"/>
      <c r="S232" s="54">
        <v>69.966666666666669</v>
      </c>
      <c r="T232" s="54">
        <v>139.93333333333334</v>
      </c>
      <c r="U232" s="54">
        <v>69.966666666666669</v>
      </c>
    </row>
    <row r="233" spans="1:21" s="15" customFormat="1" x14ac:dyDescent="0.3">
      <c r="A233" s="17"/>
      <c r="B233"/>
      <c r="C233"/>
      <c r="D233"/>
      <c r="E233"/>
      <c r="F233" s="50">
        <v>44013</v>
      </c>
      <c r="G233" s="53">
        <v>91</v>
      </c>
      <c r="H233" s="53">
        <v>182</v>
      </c>
      <c r="I233" s="53">
        <v>91</v>
      </c>
      <c r="J233"/>
      <c r="K233"/>
      <c r="L233"/>
      <c r="M233"/>
      <c r="N233" s="38"/>
      <c r="O233" s="54">
        <v>80.2</v>
      </c>
      <c r="P233" s="54">
        <v>160.4</v>
      </c>
      <c r="Q233" s="54">
        <v>80.2</v>
      </c>
      <c r="R233" s="54"/>
      <c r="S233" s="54">
        <v>80.2</v>
      </c>
      <c r="T233" s="54">
        <v>160.4</v>
      </c>
      <c r="U233" s="54">
        <v>80.2</v>
      </c>
    </row>
    <row r="234" spans="1:21" s="15" customFormat="1" x14ac:dyDescent="0.3">
      <c r="A234" s="17"/>
      <c r="B234"/>
      <c r="C234"/>
      <c r="D234"/>
      <c r="E234"/>
      <c r="F234" s="50">
        <v>44044</v>
      </c>
      <c r="G234" s="53">
        <v>93.9</v>
      </c>
      <c r="H234" s="53">
        <v>187.8</v>
      </c>
      <c r="I234" s="53">
        <v>93.9</v>
      </c>
      <c r="J234"/>
      <c r="K234"/>
      <c r="L234"/>
      <c r="M234"/>
      <c r="N234" s="38"/>
      <c r="O234" s="54">
        <v>87.766666666666666</v>
      </c>
      <c r="P234" s="54">
        <v>175.53333333333333</v>
      </c>
      <c r="Q234" s="54">
        <v>87.766666666666666</v>
      </c>
      <c r="R234" s="54"/>
      <c r="S234" s="54">
        <v>87.766666666666666</v>
      </c>
      <c r="T234" s="54">
        <v>175.53333333333333</v>
      </c>
      <c r="U234" s="54">
        <v>87.766666666666666</v>
      </c>
    </row>
    <row r="235" spans="1:21" s="15" customFormat="1" x14ac:dyDescent="0.3">
      <c r="A235" s="17"/>
      <c r="B235"/>
      <c r="C235"/>
      <c r="D235"/>
      <c r="E235"/>
      <c r="F235" s="50">
        <v>44075</v>
      </c>
      <c r="G235" s="53">
        <v>95.4</v>
      </c>
      <c r="H235" s="53">
        <v>190.8</v>
      </c>
      <c r="I235" s="53">
        <v>95.4</v>
      </c>
      <c r="J235"/>
      <c r="K235"/>
      <c r="L235"/>
      <c r="M235"/>
      <c r="N235" s="38"/>
      <c r="O235" s="54">
        <v>93.433333333333337</v>
      </c>
      <c r="P235" s="54">
        <v>186.86666666666667</v>
      </c>
      <c r="Q235" s="54">
        <v>93.433333333333337</v>
      </c>
      <c r="R235" s="54"/>
      <c r="S235" s="54">
        <v>93.433333333333337</v>
      </c>
      <c r="T235" s="54">
        <v>186.86666666666667</v>
      </c>
      <c r="U235" s="54">
        <v>93.433333333333337</v>
      </c>
    </row>
    <row r="236" spans="1:21" s="15" customFormat="1" x14ac:dyDescent="0.3">
      <c r="A236" s="17"/>
      <c r="B236"/>
      <c r="C236"/>
      <c r="D236"/>
      <c r="E236"/>
      <c r="F236" s="50">
        <v>44105</v>
      </c>
      <c r="G236" s="53">
        <v>97.3</v>
      </c>
      <c r="H236" s="53">
        <v>194.6</v>
      </c>
      <c r="I236" s="53">
        <v>97.3</v>
      </c>
      <c r="J236"/>
      <c r="K236"/>
      <c r="L236"/>
      <c r="M236"/>
      <c r="N236" s="38"/>
      <c r="O236" s="54">
        <v>95.533333333333346</v>
      </c>
      <c r="P236" s="54">
        <v>191.06666666666669</v>
      </c>
      <c r="Q236" s="54">
        <v>95.533333333333346</v>
      </c>
      <c r="R236" s="54"/>
      <c r="S236" s="54">
        <v>95.533333333333346</v>
      </c>
      <c r="T236" s="54">
        <v>191.06666666666669</v>
      </c>
      <c r="U236" s="54">
        <v>95.533333333333346</v>
      </c>
    </row>
    <row r="237" spans="1:21" s="15" customFormat="1" x14ac:dyDescent="0.3">
      <c r="A237" s="17"/>
      <c r="B237"/>
      <c r="C237"/>
      <c r="D237"/>
      <c r="E237"/>
      <c r="F237" s="50">
        <v>44136</v>
      </c>
      <c r="G237" s="53">
        <v>90.2</v>
      </c>
      <c r="H237" s="53">
        <v>180.4</v>
      </c>
      <c r="I237" s="53">
        <v>90.2</v>
      </c>
      <c r="J237"/>
      <c r="K237"/>
      <c r="L237"/>
      <c r="M237"/>
      <c r="N237" s="38"/>
      <c r="O237" s="54">
        <v>94.3</v>
      </c>
      <c r="P237" s="54">
        <v>188.6</v>
      </c>
      <c r="Q237" s="54">
        <v>94.3</v>
      </c>
      <c r="R237" s="54"/>
      <c r="S237" s="54">
        <v>94.3</v>
      </c>
      <c r="T237" s="54">
        <v>188.6</v>
      </c>
      <c r="U237" s="54">
        <v>94.3</v>
      </c>
    </row>
    <row r="238" spans="1:21" s="15" customFormat="1" x14ac:dyDescent="0.3">
      <c r="A238" s="17"/>
      <c r="B238"/>
      <c r="C238"/>
      <c r="D238"/>
      <c r="E238"/>
      <c r="F238" s="50">
        <v>44166</v>
      </c>
      <c r="G238" s="53">
        <v>83.3</v>
      </c>
      <c r="H238" s="53">
        <v>166.6</v>
      </c>
      <c r="I238" s="53">
        <v>83.3</v>
      </c>
      <c r="J238"/>
      <c r="K238"/>
      <c r="L238"/>
      <c r="M238"/>
      <c r="N238" s="38"/>
      <c r="O238" s="54">
        <v>90.266666666666666</v>
      </c>
      <c r="P238" s="54">
        <v>180.53333333333333</v>
      </c>
      <c r="Q238" s="54">
        <v>90.266666666666666</v>
      </c>
      <c r="R238" s="54"/>
      <c r="S238" s="54">
        <v>90.266666666666666</v>
      </c>
      <c r="T238" s="54">
        <v>180.53333333333333</v>
      </c>
      <c r="U238" s="54">
        <v>90.266666666666666</v>
      </c>
    </row>
    <row r="239" spans="1:21" s="15" customFormat="1" x14ac:dyDescent="0.3">
      <c r="A239" s="17"/>
      <c r="B239"/>
      <c r="C239"/>
      <c r="D239"/>
      <c r="E239"/>
      <c r="F239" s="50">
        <v>44197</v>
      </c>
      <c r="G239" s="53">
        <v>81.900000000000006</v>
      </c>
      <c r="H239" s="53">
        <v>163.80000000000001</v>
      </c>
      <c r="I239" s="53">
        <v>81.900000000000006</v>
      </c>
      <c r="J239"/>
      <c r="K239"/>
      <c r="L239"/>
      <c r="M239"/>
      <c r="N239" s="38"/>
      <c r="O239" s="54">
        <v>85.13333333333334</v>
      </c>
      <c r="P239" s="54">
        <v>170.26666666666668</v>
      </c>
      <c r="Q239" s="54">
        <v>85.13333333333334</v>
      </c>
      <c r="R239" s="54"/>
      <c r="S239" s="54">
        <v>85.13333333333334</v>
      </c>
      <c r="T239" s="54">
        <v>170.26666666666668</v>
      </c>
      <c r="U239" s="54">
        <v>85.13333333333334</v>
      </c>
    </row>
    <row r="240" spans="1:21" s="15" customFormat="1" x14ac:dyDescent="0.3">
      <c r="A240" s="17"/>
      <c r="B240"/>
      <c r="C240"/>
      <c r="D240"/>
      <c r="E240"/>
      <c r="F240" s="50">
        <v>44228</v>
      </c>
      <c r="G240" s="53">
        <v>79.099999999999994</v>
      </c>
      <c r="H240" s="53">
        <v>158.19999999999999</v>
      </c>
      <c r="I240" s="53">
        <v>79.099999999999994</v>
      </c>
      <c r="J240"/>
      <c r="K240"/>
      <c r="L240"/>
      <c r="M240"/>
      <c r="N240" s="38"/>
      <c r="O240" s="54">
        <v>81.433333333333323</v>
      </c>
      <c r="P240" s="54">
        <v>162.86666666666665</v>
      </c>
      <c r="Q240" s="54">
        <v>81.433333333333323</v>
      </c>
      <c r="R240" s="54"/>
      <c r="S240" s="54">
        <v>81.433333333333323</v>
      </c>
      <c r="T240" s="54">
        <v>162.86666666666665</v>
      </c>
      <c r="U240" s="54">
        <v>81.433333333333323</v>
      </c>
    </row>
    <row r="241" spans="1:21" s="15" customFormat="1" x14ac:dyDescent="0.3">
      <c r="A241" s="17"/>
      <c r="B241"/>
      <c r="C241"/>
      <c r="D241"/>
      <c r="E241"/>
      <c r="F241" s="50">
        <v>44256</v>
      </c>
      <c r="G241" s="53">
        <v>86.1</v>
      </c>
      <c r="H241" s="53">
        <v>172.2</v>
      </c>
      <c r="I241" s="53">
        <v>86.1</v>
      </c>
      <c r="J241"/>
      <c r="K241"/>
      <c r="L241"/>
      <c r="M241"/>
      <c r="N241" s="38"/>
      <c r="O241" s="54">
        <v>82.36666666666666</v>
      </c>
      <c r="P241" s="54">
        <v>164.73333333333332</v>
      </c>
      <c r="Q241" s="54">
        <v>82.36666666666666</v>
      </c>
      <c r="R241" s="54"/>
      <c r="S241" s="54">
        <v>82.36666666666666</v>
      </c>
      <c r="T241" s="54">
        <v>164.73333333333332</v>
      </c>
      <c r="U241" s="54">
        <v>82.36666666666666</v>
      </c>
    </row>
    <row r="242" spans="1:21" s="15" customFormat="1" x14ac:dyDescent="0.3">
      <c r="A242" s="17"/>
      <c r="B242"/>
      <c r="C242"/>
      <c r="D242"/>
      <c r="E242"/>
      <c r="F242" s="50">
        <v>44287</v>
      </c>
      <c r="G242" s="53">
        <v>81.3</v>
      </c>
      <c r="H242" s="53">
        <v>162.6</v>
      </c>
      <c r="I242" s="53">
        <v>81.3</v>
      </c>
      <c r="J242"/>
      <c r="K242"/>
      <c r="L242"/>
      <c r="M242"/>
      <c r="N242" s="38"/>
      <c r="O242" s="54">
        <v>82.166666666666671</v>
      </c>
      <c r="P242" s="54">
        <v>164.33333333333334</v>
      </c>
      <c r="Q242" s="54">
        <v>82.166666666666671</v>
      </c>
      <c r="R242" s="54"/>
      <c r="S242" s="54">
        <v>82.166666666666671</v>
      </c>
      <c r="T242" s="54">
        <v>164.33333333333334</v>
      </c>
      <c r="U242" s="54">
        <v>82.166666666666671</v>
      </c>
    </row>
    <row r="243" spans="1:21" s="15" customFormat="1" x14ac:dyDescent="0.3">
      <c r="A243" s="17"/>
      <c r="B243"/>
      <c r="C243"/>
      <c r="D243"/>
      <c r="E243"/>
      <c r="F243" s="50">
        <v>44317</v>
      </c>
      <c r="G243" s="53">
        <v>88.4</v>
      </c>
      <c r="H243" s="53">
        <v>176.8</v>
      </c>
      <c r="I243" s="53">
        <v>88.4</v>
      </c>
      <c r="J243"/>
      <c r="K243"/>
      <c r="L243"/>
      <c r="M243"/>
      <c r="N243" s="38"/>
      <c r="O243" s="54">
        <v>85.266666666666666</v>
      </c>
      <c r="P243" s="54">
        <v>170.53333333333333</v>
      </c>
      <c r="Q243" s="54">
        <v>85.266666666666666</v>
      </c>
      <c r="R243" s="54"/>
      <c r="S243" s="54">
        <v>85.266666666666666</v>
      </c>
      <c r="T243" s="54">
        <v>170.53333333333333</v>
      </c>
      <c r="U243" s="54">
        <v>85.266666666666666</v>
      </c>
    </row>
    <row r="244" spans="1:21" s="15" customFormat="1" x14ac:dyDescent="0.3">
      <c r="A244" s="17"/>
      <c r="B244"/>
      <c r="C244"/>
      <c r="D244"/>
      <c r="E244"/>
      <c r="F244" s="50">
        <v>44348</v>
      </c>
      <c r="G244" s="53">
        <v>87.9</v>
      </c>
      <c r="H244" s="53">
        <v>175.8</v>
      </c>
      <c r="I244" s="53">
        <v>87.9</v>
      </c>
      <c r="J244"/>
      <c r="K244"/>
      <c r="L244"/>
      <c r="M244"/>
      <c r="N244" s="38"/>
      <c r="O244" s="54">
        <v>85.866666666666674</v>
      </c>
      <c r="P244" s="54">
        <v>171.73333333333335</v>
      </c>
      <c r="Q244" s="54">
        <v>85.866666666666674</v>
      </c>
      <c r="R244" s="54"/>
      <c r="S244" s="54">
        <v>85.866666666666674</v>
      </c>
      <c r="T244" s="54">
        <v>171.73333333333335</v>
      </c>
      <c r="U244" s="54">
        <v>85.866666666666674</v>
      </c>
    </row>
    <row r="245" spans="1:21" s="15" customFormat="1" x14ac:dyDescent="0.3">
      <c r="A245" s="17"/>
      <c r="B245"/>
      <c r="C245"/>
      <c r="D245"/>
      <c r="E245"/>
      <c r="F245" s="50">
        <v>44378</v>
      </c>
      <c r="G245" s="53">
        <v>92.2</v>
      </c>
      <c r="H245" s="53">
        <v>184.4</v>
      </c>
      <c r="I245" s="53">
        <v>92.2</v>
      </c>
      <c r="J245"/>
      <c r="K245"/>
      <c r="L245"/>
      <c r="M245"/>
      <c r="N245" s="38"/>
      <c r="O245" s="54">
        <v>89.5</v>
      </c>
      <c r="P245" s="54">
        <v>179</v>
      </c>
      <c r="Q245" s="54">
        <v>89.5</v>
      </c>
      <c r="R245" s="54"/>
      <c r="S245" s="54">
        <v>89.5</v>
      </c>
      <c r="T245" s="54">
        <v>179</v>
      </c>
      <c r="U245" s="54">
        <v>89.5</v>
      </c>
    </row>
    <row r="246" spans="1:21" s="15" customFormat="1" x14ac:dyDescent="0.3">
      <c r="A246" s="17"/>
      <c r="B246"/>
      <c r="C246"/>
      <c r="D246"/>
      <c r="E246"/>
      <c r="F246" s="50">
        <v>44409</v>
      </c>
      <c r="G246" s="53">
        <v>93.4</v>
      </c>
      <c r="H246" s="53">
        <v>186.8</v>
      </c>
      <c r="I246" s="53">
        <v>93.4</v>
      </c>
      <c r="J246"/>
      <c r="K246"/>
      <c r="L246"/>
      <c r="M246"/>
      <c r="N246" s="38"/>
      <c r="O246" s="54">
        <v>91.166666666666671</v>
      </c>
      <c r="P246" s="54">
        <v>182.33333333333334</v>
      </c>
      <c r="Q246" s="54">
        <v>91.166666666666671</v>
      </c>
      <c r="R246" s="54"/>
      <c r="S246" s="54">
        <v>91.166666666666671</v>
      </c>
      <c r="T246" s="54">
        <v>182.33333333333334</v>
      </c>
      <c r="U246" s="54">
        <v>91.166666666666671</v>
      </c>
    </row>
    <row r="247" spans="1:21" s="15" customFormat="1" x14ac:dyDescent="0.3">
      <c r="A247" s="17"/>
      <c r="B247"/>
      <c r="C247"/>
      <c r="D247"/>
      <c r="E247"/>
      <c r="F247" s="50">
        <v>44440</v>
      </c>
      <c r="G247" s="53">
        <v>91.5</v>
      </c>
      <c r="H247" s="53">
        <v>183</v>
      </c>
      <c r="I247" s="53">
        <v>91.5</v>
      </c>
      <c r="J247"/>
      <c r="K247"/>
      <c r="L247"/>
      <c r="M247"/>
      <c r="N247" s="38"/>
      <c r="O247" s="54">
        <v>92.366666666666674</v>
      </c>
      <c r="P247" s="54">
        <v>184.73333333333335</v>
      </c>
      <c r="Q247" s="54">
        <v>92.366666666666674</v>
      </c>
      <c r="R247" s="54"/>
      <c r="S247" s="54">
        <v>92.366666666666674</v>
      </c>
      <c r="T247" s="54">
        <v>184.73333333333335</v>
      </c>
      <c r="U247" s="54">
        <v>92.366666666666674</v>
      </c>
    </row>
    <row r="248" spans="1:21" s="15" customFormat="1" x14ac:dyDescent="0.3">
      <c r="A248" s="17"/>
      <c r="B248"/>
      <c r="C248"/>
      <c r="D248"/>
      <c r="E248"/>
      <c r="F248" s="50">
        <v>44470</v>
      </c>
      <c r="G248" s="53">
        <v>89.7</v>
      </c>
      <c r="H248" s="53">
        <v>179.4</v>
      </c>
      <c r="I248" s="53">
        <v>89.7</v>
      </c>
      <c r="J248"/>
      <c r="K248"/>
      <c r="L248"/>
      <c r="M248"/>
      <c r="N248" s="38"/>
      <c r="O248" s="54">
        <v>91.533333333333346</v>
      </c>
      <c r="P248" s="54">
        <v>183.06666666666669</v>
      </c>
      <c r="Q248" s="54">
        <v>91.533333333333346</v>
      </c>
      <c r="R248" s="54"/>
      <c r="S248" s="54">
        <v>91.533333333333346</v>
      </c>
      <c r="T248" s="54">
        <v>183.06666666666669</v>
      </c>
      <c r="U248" s="54">
        <v>91.533333333333346</v>
      </c>
    </row>
    <row r="249" spans="1:21" s="15" customFormat="1" x14ac:dyDescent="0.3">
      <c r="A249" s="17"/>
      <c r="B249"/>
      <c r="C249"/>
      <c r="D249"/>
      <c r="E249"/>
      <c r="F249" s="50">
        <v>44501</v>
      </c>
      <c r="G249" s="53">
        <v>86.3</v>
      </c>
      <c r="H249" s="53">
        <v>172.6</v>
      </c>
      <c r="I249" s="53">
        <v>86.3</v>
      </c>
      <c r="J249"/>
      <c r="K249"/>
      <c r="L249"/>
      <c r="M249"/>
      <c r="N249" s="38"/>
      <c r="O249" s="54">
        <v>89.166666666666671</v>
      </c>
      <c r="P249" s="54">
        <v>178.33333333333334</v>
      </c>
      <c r="Q249" s="54">
        <v>89.166666666666671</v>
      </c>
      <c r="R249" s="54"/>
      <c r="S249" s="54">
        <v>89.166666666666671</v>
      </c>
      <c r="T249" s="54">
        <v>178.33333333333334</v>
      </c>
      <c r="U249" s="54">
        <v>89.166666666666671</v>
      </c>
    </row>
    <row r="250" spans="1:21" s="15" customFormat="1" x14ac:dyDescent="0.3">
      <c r="A250" s="17"/>
      <c r="B250"/>
      <c r="C250"/>
      <c r="D250"/>
      <c r="E250"/>
      <c r="F250" s="50">
        <v>44531</v>
      </c>
      <c r="G250" s="53">
        <v>79.2</v>
      </c>
      <c r="H250" s="53">
        <v>158.4</v>
      </c>
      <c r="I250" s="53">
        <v>79.2</v>
      </c>
      <c r="J250"/>
      <c r="K250"/>
      <c r="L250"/>
      <c r="M250"/>
      <c r="N250" s="38"/>
      <c r="O250" s="54">
        <v>85.066666666666663</v>
      </c>
      <c r="P250" s="54">
        <v>170.13333333333333</v>
      </c>
      <c r="Q250" s="54">
        <v>85.066666666666663</v>
      </c>
      <c r="R250" s="54"/>
      <c r="S250" s="54">
        <v>85.066666666666663</v>
      </c>
      <c r="T250" s="54">
        <v>170.13333333333333</v>
      </c>
      <c r="U250" s="54">
        <v>85.066666666666663</v>
      </c>
    </row>
    <row r="251" spans="1:21" s="15" customFormat="1" x14ac:dyDescent="0.3">
      <c r="A251" s="17"/>
      <c r="B251"/>
      <c r="C251"/>
      <c r="D251"/>
      <c r="E251"/>
      <c r="F251"/>
      <c r="G251"/>
      <c r="H251"/>
      <c r="I251"/>
      <c r="J251"/>
      <c r="K251"/>
      <c r="L251"/>
      <c r="M251"/>
      <c r="N251"/>
      <c r="O251" s="27"/>
      <c r="P251" s="27"/>
      <c r="Q251" s="27"/>
      <c r="R251" s="27"/>
      <c r="S251" s="27"/>
      <c r="T251" s="27"/>
      <c r="U251" s="27"/>
    </row>
    <row r="252" spans="1:21" s="15" customFormat="1" x14ac:dyDescent="0.3">
      <c r="A252" s="17"/>
      <c r="B252"/>
      <c r="C252"/>
      <c r="D252"/>
      <c r="E252"/>
      <c r="F252"/>
      <c r="G252"/>
      <c r="H252"/>
      <c r="I252"/>
      <c r="J252"/>
      <c r="K252"/>
      <c r="L252"/>
      <c r="M252"/>
      <c r="N252"/>
      <c r="O252" s="27"/>
      <c r="P252" s="27"/>
      <c r="Q252" s="27"/>
      <c r="R252" s="27"/>
      <c r="S252" s="27"/>
      <c r="T252" s="27"/>
      <c r="U252" s="27"/>
    </row>
    <row r="253" spans="1:21" s="15" customFormat="1" x14ac:dyDescent="0.3">
      <c r="A253" s="17"/>
      <c r="B253"/>
      <c r="C253"/>
      <c r="D253"/>
      <c r="E253"/>
      <c r="F253"/>
      <c r="G253"/>
      <c r="H253"/>
      <c r="I253"/>
      <c r="J253"/>
      <c r="K253"/>
      <c r="L253"/>
      <c r="M253"/>
      <c r="N253"/>
      <c r="O253" s="27"/>
      <c r="P253" s="27"/>
      <c r="Q253" s="27"/>
      <c r="R253" s="27"/>
      <c r="S253" s="27"/>
      <c r="T253" s="27"/>
      <c r="U253" s="27"/>
    </row>
    <row r="254" spans="1:21" s="15" customFormat="1" x14ac:dyDescent="0.3">
      <c r="A254" s="17"/>
      <c r="B254"/>
      <c r="C254"/>
      <c r="D254"/>
      <c r="E254"/>
      <c r="F254"/>
      <c r="G254"/>
      <c r="H254"/>
      <c r="I254"/>
      <c r="J254"/>
      <c r="K254"/>
      <c r="L254"/>
      <c r="M254"/>
      <c r="N254"/>
      <c r="O254" s="27"/>
      <c r="P254" s="27"/>
      <c r="Q254" s="27"/>
      <c r="R254" s="27"/>
      <c r="S254" s="27"/>
      <c r="T254" s="27"/>
      <c r="U254" s="27"/>
    </row>
    <row r="255" spans="1:21" s="15" customFormat="1" x14ac:dyDescent="0.3">
      <c r="A255" s="17"/>
      <c r="B255"/>
      <c r="C255"/>
      <c r="D255"/>
      <c r="E255"/>
      <c r="F255"/>
      <c r="G255"/>
      <c r="H255"/>
      <c r="I255"/>
      <c r="J255"/>
      <c r="K255"/>
      <c r="L255"/>
      <c r="M255"/>
      <c r="N255"/>
      <c r="O255" s="27"/>
      <c r="P255" s="27"/>
      <c r="Q255" s="27"/>
      <c r="R255" s="27"/>
      <c r="S255" s="27"/>
      <c r="T255" s="27"/>
      <c r="U255" s="27"/>
    </row>
    <row r="256" spans="1:21" s="15" customFormat="1" x14ac:dyDescent="0.3">
      <c r="A256" s="17"/>
      <c r="B256"/>
      <c r="C256"/>
      <c r="D256"/>
      <c r="E256"/>
      <c r="F256"/>
      <c r="G256"/>
      <c r="H256"/>
      <c r="I256"/>
      <c r="J256"/>
      <c r="K256"/>
      <c r="L256"/>
      <c r="M256"/>
      <c r="N256"/>
      <c r="O256" s="27"/>
      <c r="P256" s="27"/>
      <c r="Q256" s="27"/>
      <c r="R256" s="27"/>
      <c r="S256" s="27"/>
      <c r="T256" s="27"/>
      <c r="U256" s="27"/>
    </row>
    <row r="257" spans="1:21" s="15" customFormat="1" x14ac:dyDescent="0.3">
      <c r="A257" s="17"/>
      <c r="B257"/>
      <c r="C257"/>
      <c r="D257"/>
      <c r="E257"/>
      <c r="F257"/>
      <c r="G257"/>
      <c r="H257"/>
      <c r="I257"/>
      <c r="J257"/>
      <c r="K257"/>
      <c r="L257"/>
      <c r="M257"/>
      <c r="N257"/>
      <c r="O257" s="27"/>
      <c r="P257" s="27"/>
      <c r="Q257" s="27"/>
      <c r="R257" s="27"/>
      <c r="S257" s="27"/>
      <c r="T257" s="27"/>
      <c r="U257" s="27"/>
    </row>
    <row r="258" spans="1:21" s="15" customFormat="1" x14ac:dyDescent="0.3">
      <c r="A258" s="17"/>
      <c r="B258"/>
      <c r="C258"/>
      <c r="D258"/>
      <c r="E258"/>
      <c r="F258"/>
      <c r="G258"/>
      <c r="H258"/>
      <c r="I258"/>
      <c r="J258"/>
      <c r="K258"/>
      <c r="L258"/>
      <c r="M258"/>
      <c r="N258"/>
      <c r="O258" s="27"/>
      <c r="P258" s="27"/>
      <c r="Q258" s="27"/>
      <c r="R258" s="27"/>
      <c r="S258" s="27"/>
      <c r="T258" s="27"/>
      <c r="U258" s="27"/>
    </row>
    <row r="259" spans="1:21" s="15" customFormat="1" x14ac:dyDescent="0.3">
      <c r="A259" s="17"/>
      <c r="B259"/>
      <c r="C259"/>
      <c r="D259"/>
      <c r="E259"/>
      <c r="F259"/>
      <c r="G259"/>
      <c r="H259"/>
      <c r="I259"/>
      <c r="J259"/>
      <c r="K259"/>
      <c r="L259"/>
      <c r="M259"/>
      <c r="N259"/>
      <c r="O259" s="27"/>
      <c r="P259" s="27"/>
      <c r="Q259" s="27"/>
      <c r="R259" s="27"/>
      <c r="S259" s="27"/>
      <c r="T259" s="27"/>
      <c r="U259" s="27"/>
    </row>
    <row r="260" spans="1:21" s="15" customFormat="1" x14ac:dyDescent="0.3">
      <c r="A260" s="17"/>
      <c r="B260"/>
      <c r="C260"/>
      <c r="D260"/>
      <c r="E260"/>
      <c r="F260"/>
      <c r="G260"/>
      <c r="H260"/>
      <c r="I260"/>
      <c r="J260"/>
      <c r="K260"/>
      <c r="L260"/>
      <c r="M260"/>
      <c r="N260"/>
      <c r="O260" s="27"/>
      <c r="P260" s="27"/>
      <c r="Q260" s="27"/>
      <c r="R260" s="27"/>
      <c r="S260" s="27"/>
      <c r="T260" s="27"/>
      <c r="U260" s="27"/>
    </row>
    <row r="261" spans="1:21" s="15" customFormat="1" x14ac:dyDescent="0.3">
      <c r="A261" s="17"/>
      <c r="B261"/>
      <c r="C261"/>
      <c r="D261"/>
      <c r="E261"/>
      <c r="F261"/>
      <c r="G261"/>
      <c r="H261"/>
      <c r="I261"/>
      <c r="J261"/>
      <c r="K261"/>
      <c r="L261"/>
      <c r="M261"/>
      <c r="N261"/>
      <c r="O261" s="27"/>
      <c r="P261" s="27"/>
      <c r="Q261" s="27"/>
      <c r="R261" s="27"/>
      <c r="S261" s="27"/>
      <c r="T261" s="27"/>
      <c r="U261" s="27"/>
    </row>
    <row r="262" spans="1:21" s="15" customFormat="1" x14ac:dyDescent="0.3">
      <c r="A262" s="17"/>
      <c r="B262"/>
      <c r="C262"/>
      <c r="D262"/>
      <c r="E262"/>
      <c r="F262"/>
      <c r="G262"/>
      <c r="H262"/>
      <c r="I262"/>
      <c r="J262"/>
      <c r="K262"/>
      <c r="L262"/>
      <c r="M262"/>
      <c r="N262"/>
      <c r="O262" s="27"/>
      <c r="P262" s="27"/>
      <c r="Q262" s="27"/>
      <c r="R262" s="27"/>
      <c r="S262" s="27"/>
      <c r="T262" s="27"/>
      <c r="U262" s="27"/>
    </row>
    <row r="263" spans="1:21" s="15" customFormat="1" x14ac:dyDescent="0.3">
      <c r="A263" s="17"/>
      <c r="B263"/>
      <c r="C263"/>
      <c r="D263"/>
      <c r="E263"/>
      <c r="F263"/>
      <c r="G263"/>
      <c r="H263"/>
      <c r="I263"/>
      <c r="J263"/>
      <c r="K263"/>
      <c r="L263"/>
      <c r="M263"/>
      <c r="N263"/>
      <c r="O263" s="27"/>
      <c r="P263" s="27"/>
      <c r="Q263" s="27"/>
      <c r="R263" s="27"/>
      <c r="S263" s="27"/>
      <c r="T263" s="27"/>
      <c r="U263" s="27"/>
    </row>
    <row r="264" spans="1:21" s="15" customFormat="1" x14ac:dyDescent="0.3">
      <c r="A264" s="17"/>
      <c r="B264"/>
      <c r="C264"/>
      <c r="D264"/>
      <c r="E264"/>
      <c r="F264"/>
      <c r="G264"/>
      <c r="H264"/>
      <c r="I264"/>
      <c r="J264"/>
      <c r="K264"/>
      <c r="L264"/>
      <c r="M264"/>
      <c r="N264"/>
      <c r="O264" s="27"/>
      <c r="P264" s="27"/>
      <c r="Q264" s="27"/>
      <c r="R264" s="27"/>
      <c r="S264" s="27"/>
      <c r="T264" s="27"/>
      <c r="U264" s="27"/>
    </row>
    <row r="265" spans="1:21" s="15" customFormat="1" x14ac:dyDescent="0.3">
      <c r="A265" s="17"/>
      <c r="B265"/>
      <c r="C265"/>
      <c r="D265"/>
      <c r="E265"/>
      <c r="F265"/>
      <c r="G265"/>
      <c r="H265"/>
      <c r="I265"/>
      <c r="J265"/>
      <c r="K265"/>
      <c r="L265"/>
      <c r="M265"/>
      <c r="N265"/>
      <c r="O265" s="27"/>
      <c r="P265" s="27"/>
      <c r="Q265" s="27"/>
      <c r="R265" s="27"/>
      <c r="S265" s="27"/>
      <c r="T265" s="27"/>
      <c r="U265" s="27"/>
    </row>
    <row r="266" spans="1:21" s="15" customFormat="1" x14ac:dyDescent="0.3">
      <c r="A266" s="17"/>
      <c r="B266"/>
      <c r="C266"/>
      <c r="D266"/>
      <c r="E266"/>
      <c r="F266"/>
      <c r="G266"/>
      <c r="H266"/>
      <c r="I266"/>
      <c r="J266"/>
      <c r="K266"/>
      <c r="L266"/>
      <c r="M266"/>
      <c r="N266"/>
      <c r="O266" s="27"/>
      <c r="P266" s="27"/>
      <c r="Q266" s="27"/>
      <c r="R266" s="27"/>
      <c r="S266" s="27"/>
      <c r="T266" s="27"/>
      <c r="U266" s="27"/>
    </row>
    <row r="267" spans="1:21" s="15" customFormat="1" x14ac:dyDescent="0.3">
      <c r="A267" s="17"/>
      <c r="B267"/>
      <c r="C267"/>
      <c r="D267"/>
      <c r="E267"/>
      <c r="F267"/>
      <c r="G267"/>
      <c r="H267"/>
      <c r="I267"/>
      <c r="J267"/>
      <c r="K267"/>
      <c r="L267"/>
      <c r="M267"/>
      <c r="N267"/>
      <c r="O267" s="27"/>
      <c r="P267" s="27"/>
      <c r="Q267" s="27"/>
      <c r="R267" s="27"/>
      <c r="S267" s="27"/>
      <c r="T267" s="27"/>
      <c r="U267" s="27"/>
    </row>
    <row r="268" spans="1:21" s="15" customFormat="1" x14ac:dyDescent="0.3">
      <c r="A268" s="17"/>
      <c r="B268"/>
      <c r="C268"/>
      <c r="D268"/>
      <c r="E268"/>
      <c r="F268"/>
      <c r="G268"/>
      <c r="H268"/>
      <c r="I268"/>
      <c r="J268"/>
      <c r="K268"/>
      <c r="L268"/>
      <c r="M268"/>
      <c r="N268"/>
      <c r="O268" s="27"/>
      <c r="P268" s="27"/>
      <c r="Q268" s="27"/>
      <c r="R268" s="27"/>
      <c r="S268" s="27"/>
      <c r="T268" s="27"/>
      <c r="U268" s="27"/>
    </row>
    <row r="269" spans="1:21" s="15" customFormat="1" x14ac:dyDescent="0.3">
      <c r="A269" s="17"/>
      <c r="B269"/>
      <c r="C269"/>
      <c r="D269"/>
      <c r="E269"/>
      <c r="F269"/>
      <c r="G269"/>
      <c r="H269"/>
      <c r="I269"/>
      <c r="J269"/>
      <c r="K269"/>
      <c r="L269"/>
      <c r="M269"/>
      <c r="N269"/>
      <c r="O269" s="27"/>
      <c r="P269" s="27"/>
      <c r="Q269" s="27"/>
      <c r="R269" s="27"/>
      <c r="S269" s="27"/>
      <c r="T269" s="27"/>
      <c r="U269" s="27"/>
    </row>
    <row r="270" spans="1:21" s="15" customFormat="1" x14ac:dyDescent="0.3">
      <c r="A270" s="17"/>
      <c r="B270"/>
      <c r="C270"/>
      <c r="D270"/>
      <c r="E270"/>
      <c r="F270"/>
      <c r="G270"/>
      <c r="H270"/>
      <c r="I270"/>
      <c r="J270"/>
      <c r="K270"/>
      <c r="L270"/>
      <c r="M270"/>
      <c r="N270"/>
      <c r="O270" s="27"/>
      <c r="P270" s="27"/>
      <c r="Q270" s="27"/>
      <c r="R270" s="27"/>
      <c r="S270" s="27"/>
      <c r="T270" s="27"/>
      <c r="U270" s="27"/>
    </row>
    <row r="271" spans="1:21" s="15" customFormat="1" x14ac:dyDescent="0.3">
      <c r="A271" s="17"/>
      <c r="B271"/>
      <c r="C271"/>
      <c r="D271"/>
      <c r="E271"/>
      <c r="F271"/>
      <c r="G271"/>
      <c r="H271"/>
      <c r="I271"/>
      <c r="J271"/>
      <c r="K271"/>
      <c r="L271"/>
      <c r="M271"/>
      <c r="N271"/>
      <c r="O271" s="27"/>
      <c r="P271" s="27"/>
      <c r="Q271" s="27"/>
      <c r="R271" s="27"/>
      <c r="S271" s="27"/>
      <c r="T271" s="27"/>
      <c r="U271" s="27"/>
    </row>
    <row r="272" spans="1:21" s="15" customFormat="1" x14ac:dyDescent="0.3">
      <c r="A272" s="17"/>
      <c r="B272"/>
      <c r="C272"/>
      <c r="D272"/>
      <c r="E272"/>
      <c r="F272"/>
      <c r="G272"/>
      <c r="H272"/>
      <c r="I272"/>
      <c r="J272"/>
      <c r="K272"/>
      <c r="L272"/>
      <c r="M272"/>
      <c r="N272"/>
      <c r="O272" s="27"/>
      <c r="P272" s="27"/>
      <c r="Q272" s="27"/>
      <c r="R272" s="27"/>
      <c r="S272" s="27"/>
      <c r="T272" s="27"/>
      <c r="U272" s="27"/>
    </row>
    <row r="273" spans="1:21" s="15" customFormat="1" x14ac:dyDescent="0.3">
      <c r="A273" s="17"/>
      <c r="B273"/>
      <c r="C273"/>
      <c r="D273"/>
      <c r="E273"/>
      <c r="F273"/>
      <c r="G273"/>
      <c r="H273"/>
      <c r="I273"/>
      <c r="J273"/>
      <c r="K273"/>
      <c r="L273"/>
      <c r="M273"/>
      <c r="N273"/>
      <c r="O273" s="27"/>
      <c r="P273" s="27"/>
      <c r="Q273" s="27"/>
      <c r="R273" s="27"/>
      <c r="S273" s="27"/>
      <c r="T273" s="27"/>
      <c r="U273" s="27"/>
    </row>
    <row r="274" spans="1:21" s="15" customFormat="1" x14ac:dyDescent="0.3">
      <c r="A274" s="17"/>
      <c r="B274"/>
      <c r="C274"/>
      <c r="D274"/>
      <c r="E274"/>
      <c r="F274"/>
      <c r="G274"/>
      <c r="H274"/>
      <c r="I274"/>
      <c r="J274"/>
      <c r="K274"/>
      <c r="L274"/>
      <c r="M274"/>
      <c r="N274"/>
      <c r="O274" s="27"/>
      <c r="P274" s="27"/>
      <c r="Q274" s="27"/>
      <c r="R274" s="27"/>
      <c r="S274" s="27"/>
      <c r="T274" s="27"/>
      <c r="U274" s="27"/>
    </row>
    <row r="275" spans="1:21" s="15" customFormat="1" x14ac:dyDescent="0.3">
      <c r="A275" s="17"/>
      <c r="B275"/>
      <c r="C275"/>
      <c r="D275"/>
      <c r="E275"/>
      <c r="F275"/>
      <c r="G275"/>
      <c r="H275"/>
      <c r="I275"/>
      <c r="J275"/>
      <c r="K275"/>
      <c r="L275"/>
      <c r="M275"/>
      <c r="N275"/>
      <c r="O275" s="27"/>
      <c r="P275" s="27"/>
      <c r="Q275" s="27"/>
      <c r="R275" s="27"/>
      <c r="S275" s="27"/>
      <c r="T275" s="27"/>
      <c r="U275" s="27"/>
    </row>
    <row r="276" spans="1:21" s="15" customFormat="1" x14ac:dyDescent="0.3">
      <c r="A276" s="17"/>
      <c r="B276"/>
      <c r="C276"/>
      <c r="D276"/>
      <c r="E276"/>
      <c r="F276"/>
      <c r="G276"/>
      <c r="H276"/>
      <c r="I276"/>
      <c r="J276"/>
      <c r="K276"/>
      <c r="L276"/>
      <c r="M276"/>
      <c r="N276"/>
      <c r="O276" s="27"/>
      <c r="P276" s="27"/>
      <c r="Q276" s="27"/>
      <c r="R276" s="27"/>
      <c r="S276" s="27"/>
      <c r="T276" s="27"/>
      <c r="U276" s="27"/>
    </row>
    <row r="277" spans="1:21" s="15" customFormat="1" x14ac:dyDescent="0.3">
      <c r="A277" s="17"/>
      <c r="B277"/>
      <c r="C277"/>
      <c r="D277"/>
      <c r="E277"/>
      <c r="F277"/>
      <c r="G277"/>
      <c r="H277"/>
      <c r="I277"/>
      <c r="J277"/>
      <c r="K277"/>
      <c r="L277"/>
      <c r="M277"/>
      <c r="N277"/>
      <c r="O277" s="27"/>
      <c r="P277" s="27"/>
      <c r="Q277" s="27"/>
      <c r="R277" s="27"/>
      <c r="S277" s="27"/>
      <c r="T277" s="27"/>
      <c r="U277" s="27"/>
    </row>
    <row r="278" spans="1:21" s="15" customFormat="1" x14ac:dyDescent="0.3">
      <c r="A278" s="17"/>
      <c r="B278"/>
      <c r="C278"/>
      <c r="D278"/>
      <c r="E278"/>
      <c r="F278"/>
      <c r="G278"/>
      <c r="H278"/>
      <c r="I278"/>
      <c r="J278"/>
      <c r="K278"/>
      <c r="L278"/>
      <c r="M278"/>
      <c r="N278"/>
      <c r="O278" s="27"/>
      <c r="P278" s="27"/>
      <c r="Q278" s="27"/>
      <c r="R278" s="27"/>
      <c r="S278" s="27"/>
      <c r="T278" s="27"/>
      <c r="U278" s="27"/>
    </row>
    <row r="279" spans="1:21" s="15" customFormat="1" x14ac:dyDescent="0.3">
      <c r="A279" s="17"/>
      <c r="B279"/>
      <c r="C279"/>
      <c r="D279"/>
      <c r="E279"/>
      <c r="F279"/>
      <c r="G279"/>
      <c r="H279"/>
      <c r="I279"/>
      <c r="J279"/>
      <c r="K279"/>
      <c r="L279"/>
      <c r="M279"/>
      <c r="N279"/>
      <c r="O279" s="27"/>
      <c r="P279" s="27"/>
      <c r="Q279" s="27"/>
      <c r="R279" s="27"/>
      <c r="S279" s="27"/>
      <c r="T279" s="27"/>
      <c r="U279" s="27"/>
    </row>
    <row r="280" spans="1:21" s="15" customFormat="1" x14ac:dyDescent="0.3">
      <c r="A280" s="17"/>
      <c r="B280"/>
      <c r="C280"/>
      <c r="D280"/>
      <c r="E280"/>
      <c r="F280"/>
      <c r="G280"/>
      <c r="H280"/>
      <c r="I280"/>
      <c r="J280"/>
      <c r="K280"/>
      <c r="L280"/>
      <c r="M280"/>
      <c r="N280"/>
      <c r="O280" s="27"/>
      <c r="P280" s="27"/>
      <c r="Q280" s="27"/>
      <c r="R280" s="27"/>
      <c r="S280" s="27"/>
      <c r="T280" s="27"/>
      <c r="U280" s="27"/>
    </row>
    <row r="281" spans="1:21" s="15" customFormat="1" x14ac:dyDescent="0.3">
      <c r="A281" s="17"/>
      <c r="B281"/>
      <c r="C281"/>
      <c r="D281"/>
      <c r="E281"/>
      <c r="F281"/>
      <c r="G281"/>
      <c r="H281"/>
      <c r="I281"/>
      <c r="J281"/>
      <c r="K281"/>
      <c r="L281"/>
      <c r="M281"/>
      <c r="N281"/>
      <c r="O281" s="27"/>
      <c r="P281" s="27"/>
      <c r="Q281" s="27"/>
      <c r="R281" s="27"/>
      <c r="S281" s="27"/>
      <c r="T281" s="27"/>
      <c r="U281" s="27"/>
    </row>
    <row r="282" spans="1:21" s="15" customFormat="1" x14ac:dyDescent="0.3">
      <c r="A282" s="17"/>
      <c r="B282"/>
      <c r="C282"/>
      <c r="D282"/>
      <c r="E282"/>
      <c r="F282"/>
      <c r="G282"/>
      <c r="H282"/>
      <c r="I282"/>
      <c r="J282"/>
      <c r="K282"/>
      <c r="L282"/>
      <c r="M282"/>
      <c r="N282"/>
      <c r="O282" s="27"/>
      <c r="P282" s="27"/>
      <c r="Q282" s="27"/>
      <c r="R282" s="27"/>
      <c r="S282" s="27"/>
      <c r="T282" s="27"/>
      <c r="U282" s="27"/>
    </row>
    <row r="283" spans="1:21" s="15" customFormat="1" x14ac:dyDescent="0.3">
      <c r="A283" s="17"/>
      <c r="B283"/>
      <c r="C283"/>
      <c r="D283"/>
      <c r="E283"/>
      <c r="F283"/>
      <c r="G283"/>
      <c r="H283"/>
      <c r="I283"/>
      <c r="J283"/>
      <c r="K283"/>
      <c r="L283"/>
      <c r="M283"/>
      <c r="N283"/>
      <c r="O283" s="27"/>
      <c r="P283" s="27"/>
      <c r="Q283" s="27"/>
      <c r="R283" s="27"/>
      <c r="S283" s="27"/>
      <c r="T283" s="27"/>
      <c r="U283" s="27"/>
    </row>
    <row r="284" spans="1:21" s="15" customFormat="1" x14ac:dyDescent="0.3">
      <c r="A284" s="17"/>
      <c r="B284"/>
      <c r="C284"/>
      <c r="D284"/>
      <c r="E284"/>
      <c r="F284"/>
      <c r="G284"/>
      <c r="H284"/>
      <c r="I284"/>
      <c r="J284"/>
      <c r="K284"/>
      <c r="L284"/>
      <c r="M284"/>
      <c r="N284"/>
      <c r="O284" s="27"/>
      <c r="P284" s="27"/>
      <c r="Q284" s="27"/>
      <c r="R284" s="27"/>
      <c r="S284" s="27"/>
      <c r="T284" s="27"/>
      <c r="U284" s="27"/>
    </row>
    <row r="285" spans="1:21" s="15" customFormat="1" x14ac:dyDescent="0.3">
      <c r="A285" s="17"/>
      <c r="B285"/>
      <c r="C285"/>
      <c r="D285"/>
      <c r="E285"/>
      <c r="F285"/>
      <c r="G285"/>
      <c r="H285"/>
      <c r="I285"/>
      <c r="J285"/>
      <c r="K285"/>
      <c r="L285"/>
      <c r="M285"/>
      <c r="N285"/>
      <c r="O285" s="27"/>
      <c r="P285" s="27"/>
      <c r="Q285" s="27"/>
      <c r="R285" s="27"/>
      <c r="S285" s="27"/>
      <c r="T285" s="27"/>
      <c r="U285" s="27"/>
    </row>
    <row r="286" spans="1:21" s="15" customFormat="1" x14ac:dyDescent="0.3">
      <c r="A286" s="17"/>
      <c r="B286"/>
      <c r="C286"/>
      <c r="D286"/>
      <c r="E286"/>
      <c r="F286"/>
      <c r="G286"/>
      <c r="H286"/>
      <c r="I286"/>
      <c r="J286"/>
      <c r="K286"/>
      <c r="L286"/>
      <c r="M286"/>
      <c r="N286"/>
      <c r="O286" s="27"/>
      <c r="P286" s="27"/>
      <c r="Q286" s="27"/>
      <c r="R286" s="27"/>
      <c r="S286" s="27"/>
      <c r="T286" s="27"/>
      <c r="U286" s="27"/>
    </row>
    <row r="287" spans="1:21" s="15" customFormat="1" x14ac:dyDescent="0.3">
      <c r="A287" s="17"/>
      <c r="B287"/>
      <c r="C287"/>
      <c r="D287"/>
      <c r="E287"/>
      <c r="F287"/>
      <c r="G287"/>
      <c r="H287"/>
      <c r="I287"/>
      <c r="J287"/>
      <c r="K287"/>
      <c r="L287"/>
      <c r="M287"/>
      <c r="N287"/>
      <c r="O287" s="27"/>
      <c r="P287" s="27"/>
      <c r="Q287" s="27"/>
      <c r="R287" s="27"/>
      <c r="S287" s="27"/>
      <c r="T287" s="27"/>
      <c r="U287" s="27"/>
    </row>
    <row r="288" spans="1:21" s="15" customFormat="1" x14ac:dyDescent="0.3">
      <c r="A288" s="17"/>
      <c r="B288"/>
      <c r="C288"/>
      <c r="D288"/>
      <c r="E288"/>
      <c r="F288"/>
      <c r="G288"/>
      <c r="H288"/>
      <c r="I288"/>
      <c r="J288"/>
      <c r="K288"/>
      <c r="L288"/>
      <c r="M288"/>
      <c r="N288"/>
      <c r="O288" s="27"/>
      <c r="P288" s="27"/>
      <c r="Q288" s="27"/>
      <c r="R288" s="27"/>
      <c r="S288" s="27"/>
      <c r="T288" s="27"/>
      <c r="U288" s="27"/>
    </row>
    <row r="289" spans="1:21" s="15" customFormat="1" x14ac:dyDescent="0.3">
      <c r="A289" s="17"/>
      <c r="B289"/>
      <c r="C289"/>
      <c r="D289"/>
      <c r="E289"/>
      <c r="F289"/>
      <c r="G289"/>
      <c r="H289"/>
      <c r="I289"/>
      <c r="J289"/>
      <c r="K289"/>
      <c r="L289"/>
      <c r="M289"/>
      <c r="N289"/>
      <c r="O289" s="27"/>
      <c r="P289" s="27"/>
      <c r="Q289" s="27"/>
      <c r="R289" s="27"/>
      <c r="S289" s="27"/>
      <c r="T289" s="27"/>
      <c r="U289" s="27"/>
    </row>
    <row r="290" spans="1:21" s="15" customFormat="1" x14ac:dyDescent="0.3">
      <c r="A290" s="17"/>
      <c r="B290"/>
      <c r="C290"/>
      <c r="D290"/>
      <c r="E290"/>
      <c r="F290"/>
      <c r="G290"/>
      <c r="H290"/>
      <c r="I290"/>
      <c r="J290"/>
      <c r="K290"/>
      <c r="L290"/>
      <c r="M290"/>
      <c r="N290"/>
      <c r="O290" s="27"/>
      <c r="P290" s="27"/>
      <c r="Q290" s="27"/>
      <c r="R290" s="27"/>
      <c r="S290" s="27"/>
      <c r="T290" s="27"/>
      <c r="U290" s="27"/>
    </row>
    <row r="291" spans="1:21" s="15" customFormat="1" x14ac:dyDescent="0.3">
      <c r="A291" s="17"/>
      <c r="B291"/>
      <c r="C291"/>
      <c r="D291"/>
      <c r="E291"/>
      <c r="F291"/>
      <c r="G291"/>
      <c r="H291"/>
      <c r="I291"/>
      <c r="J291"/>
      <c r="K291"/>
      <c r="L291"/>
      <c r="M291"/>
      <c r="N291"/>
      <c r="O291" s="27"/>
      <c r="P291" s="27"/>
      <c r="Q291" s="27"/>
      <c r="R291" s="27"/>
      <c r="S291" s="27"/>
      <c r="T291" s="27"/>
      <c r="U291" s="27"/>
    </row>
    <row r="292" spans="1:21" s="15" customFormat="1" x14ac:dyDescent="0.3">
      <c r="A292" s="17"/>
      <c r="B292"/>
      <c r="C292"/>
      <c r="D292"/>
      <c r="E292"/>
      <c r="F292"/>
      <c r="G292"/>
      <c r="H292"/>
      <c r="I292"/>
      <c r="J292"/>
      <c r="K292"/>
      <c r="L292"/>
      <c r="M292"/>
      <c r="N292"/>
      <c r="O292" s="27"/>
      <c r="P292" s="27"/>
      <c r="Q292" s="27"/>
      <c r="R292" s="27"/>
      <c r="S292" s="27"/>
      <c r="T292" s="27"/>
      <c r="U292" s="27"/>
    </row>
    <row r="293" spans="1:21" s="15" customFormat="1" x14ac:dyDescent="0.3">
      <c r="A293" s="17"/>
      <c r="B293"/>
      <c r="C293"/>
      <c r="D293"/>
      <c r="E293"/>
      <c r="F293"/>
      <c r="G293"/>
      <c r="H293"/>
      <c r="I293"/>
      <c r="J293"/>
      <c r="K293"/>
      <c r="L293"/>
      <c r="M293"/>
      <c r="N293"/>
      <c r="O293" s="27"/>
      <c r="P293" s="27"/>
      <c r="Q293" s="27"/>
      <c r="R293" s="27"/>
      <c r="S293" s="27"/>
      <c r="T293" s="27"/>
      <c r="U293" s="27"/>
    </row>
    <row r="294" spans="1:21" s="15" customFormat="1" x14ac:dyDescent="0.3">
      <c r="A294" s="17"/>
      <c r="B294"/>
      <c r="C294"/>
      <c r="D294"/>
      <c r="E294"/>
      <c r="F294"/>
      <c r="G294"/>
      <c r="H294"/>
      <c r="I294"/>
      <c r="J294"/>
      <c r="K294"/>
      <c r="L294"/>
      <c r="M294"/>
      <c r="N294"/>
      <c r="O294" s="27"/>
      <c r="P294" s="27"/>
      <c r="Q294" s="27"/>
      <c r="R294" s="27"/>
      <c r="S294" s="27"/>
      <c r="T294" s="27"/>
      <c r="U294" s="27"/>
    </row>
    <row r="295" spans="1:21" s="15" customFormat="1" x14ac:dyDescent="0.3">
      <c r="A295" s="17"/>
      <c r="B295"/>
      <c r="C295"/>
      <c r="D295"/>
      <c r="E295"/>
      <c r="F295"/>
      <c r="G295"/>
      <c r="H295"/>
      <c r="I295"/>
      <c r="J295"/>
      <c r="K295"/>
      <c r="L295"/>
      <c r="M295"/>
      <c r="N295"/>
      <c r="O295" s="27"/>
      <c r="P295" s="27"/>
      <c r="Q295" s="27"/>
      <c r="R295" s="27"/>
      <c r="S295" s="27"/>
      <c r="T295" s="27"/>
      <c r="U295" s="27"/>
    </row>
    <row r="296" spans="1:21" s="15" customFormat="1" x14ac:dyDescent="0.3">
      <c r="A296" s="17"/>
      <c r="B296"/>
      <c r="C296"/>
      <c r="D296"/>
      <c r="E296"/>
      <c r="F296"/>
      <c r="G296"/>
      <c r="H296"/>
      <c r="I296"/>
      <c r="J296"/>
      <c r="K296"/>
      <c r="L296"/>
      <c r="M296"/>
      <c r="N296"/>
      <c r="O296" s="27"/>
      <c r="P296" s="27"/>
      <c r="Q296" s="27"/>
      <c r="R296" s="27"/>
      <c r="S296" s="27"/>
      <c r="T296" s="27"/>
      <c r="U296" s="27"/>
    </row>
    <row r="297" spans="1:21" s="15" customFormat="1" x14ac:dyDescent="0.3">
      <c r="A297" s="17"/>
      <c r="B297"/>
      <c r="C297"/>
      <c r="D297"/>
      <c r="E297"/>
      <c r="F297"/>
      <c r="G297"/>
      <c r="H297"/>
      <c r="I297"/>
      <c r="J297"/>
      <c r="K297"/>
      <c r="L297"/>
      <c r="M297"/>
      <c r="N297"/>
      <c r="O297" s="27"/>
      <c r="P297" s="27"/>
      <c r="Q297" s="27"/>
      <c r="R297" s="27"/>
      <c r="S297" s="27"/>
      <c r="T297" s="27"/>
      <c r="U297" s="27"/>
    </row>
    <row r="298" spans="1:21" s="15" customFormat="1" x14ac:dyDescent="0.3">
      <c r="A298" s="17"/>
      <c r="B298"/>
      <c r="C298"/>
      <c r="D298"/>
      <c r="E298"/>
      <c r="F298"/>
      <c r="G298"/>
      <c r="H298"/>
      <c r="I298"/>
      <c r="J298"/>
      <c r="K298"/>
      <c r="L298"/>
      <c r="M298"/>
      <c r="N298"/>
      <c r="O298" s="27"/>
      <c r="P298" s="27"/>
      <c r="Q298" s="27"/>
      <c r="R298" s="27"/>
      <c r="S298" s="27"/>
      <c r="T298" s="27"/>
      <c r="U298" s="27"/>
    </row>
    <row r="299" spans="1:21" s="15" customFormat="1" x14ac:dyDescent="0.3">
      <c r="A299" s="17"/>
      <c r="B299"/>
      <c r="C299"/>
      <c r="D299"/>
      <c r="E299"/>
      <c r="F299"/>
      <c r="G299"/>
      <c r="H299"/>
      <c r="I299"/>
      <c r="J299"/>
      <c r="K299"/>
      <c r="L299"/>
      <c r="M299"/>
      <c r="N299"/>
      <c r="O299" s="27"/>
      <c r="P299" s="27"/>
      <c r="Q299" s="27"/>
      <c r="R299" s="27"/>
      <c r="S299" s="27"/>
      <c r="T299" s="27"/>
      <c r="U299" s="27"/>
    </row>
    <row r="300" spans="1:21" s="15" customFormat="1" x14ac:dyDescent="0.3">
      <c r="A300" s="17"/>
      <c r="B300"/>
      <c r="C300"/>
      <c r="D300"/>
      <c r="E300"/>
      <c r="F300"/>
      <c r="G300"/>
      <c r="H300"/>
      <c r="I300"/>
      <c r="J300"/>
      <c r="K300"/>
      <c r="L300"/>
      <c r="M300"/>
      <c r="N300"/>
      <c r="O300" s="27"/>
      <c r="P300" s="27"/>
      <c r="Q300" s="27"/>
      <c r="R300" s="27"/>
      <c r="S300" s="27"/>
      <c r="T300" s="27"/>
      <c r="U300" s="27"/>
    </row>
  </sheetData>
  <mergeCells count="2">
    <mergeCell ref="D14:D15"/>
    <mergeCell ref="G10:I10"/>
  </mergeCells>
  <pageMargins left="0.511811024" right="0.511811024" top="0.78740157499999996" bottom="0.78740157499999996" header="0.31496062000000002" footer="0.31496062000000002"/>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686F91-B527-4C26-BAD4-E8178C654E06}">
  <sheetPr codeName="Planilha42">
    <tabColor theme="9" tint="0.59999389629810485"/>
  </sheetPr>
  <dimension ref="A1:AB300"/>
  <sheetViews>
    <sheetView showGridLines="0" workbookViewId="0">
      <selection activeCell="A3" sqref="A3"/>
    </sheetView>
  </sheetViews>
  <sheetFormatPr defaultColWidth="8.85546875" defaultRowHeight="18.75" x14ac:dyDescent="0.3"/>
  <cols>
    <col min="1" max="1" width="12.7109375" style="17" customWidth="1"/>
    <col min="2" max="2" width="33.140625" customWidth="1"/>
    <col min="4" max="4" width="44.28515625" bestFit="1" customWidth="1"/>
    <col min="5" max="5" width="4.5703125" customWidth="1"/>
    <col min="6" max="9" width="7.140625" bestFit="1" customWidth="1"/>
    <col min="10" max="11" width="9.28515625" bestFit="1" customWidth="1"/>
    <col min="12" max="13" width="10.5703125" bestFit="1" customWidth="1"/>
    <col min="15" max="17" width="5.5703125" style="15" bestFit="1" customWidth="1"/>
    <col min="18" max="19" width="14.85546875" style="15" customWidth="1"/>
    <col min="20" max="28" width="8.85546875" style="15"/>
  </cols>
  <sheetData>
    <row r="1" spans="1:28" x14ac:dyDescent="0.3">
      <c r="A1" s="16" t="s">
        <v>531</v>
      </c>
      <c r="O1" s="14"/>
      <c r="P1" s="14"/>
      <c r="Q1" s="14"/>
      <c r="R1" s="14"/>
      <c r="S1" s="14"/>
      <c r="T1" s="14"/>
      <c r="U1" s="14"/>
      <c r="V1" s="14"/>
      <c r="W1" s="14"/>
      <c r="X1" s="14"/>
      <c r="Y1" s="14"/>
      <c r="Z1" s="14"/>
      <c r="AA1" s="14"/>
      <c r="AB1" s="14"/>
    </row>
    <row r="2" spans="1:28" x14ac:dyDescent="0.3">
      <c r="A2" s="17" t="s">
        <v>534</v>
      </c>
      <c r="O2" s="14"/>
      <c r="P2" s="14"/>
      <c r="Q2" s="14"/>
      <c r="R2" s="14"/>
      <c r="S2" s="14"/>
      <c r="T2" s="14"/>
      <c r="U2" s="14"/>
      <c r="V2" s="14"/>
      <c r="W2" s="14"/>
      <c r="X2" s="14"/>
      <c r="Y2" s="14"/>
      <c r="Z2" s="14"/>
      <c r="AA2" s="14"/>
      <c r="AB2" s="14"/>
    </row>
    <row r="4" spans="1:28" ht="15.75" x14ac:dyDescent="0.25">
      <c r="A4" s="2" t="s">
        <v>15</v>
      </c>
      <c r="B4" s="2" t="s">
        <v>16</v>
      </c>
    </row>
    <row r="5" spans="1:28" ht="15.75" x14ac:dyDescent="0.25">
      <c r="A5" s="23" t="s">
        <v>167</v>
      </c>
      <c r="B5" s="24" t="s">
        <v>169</v>
      </c>
    </row>
    <row r="6" spans="1:28" ht="31.5" x14ac:dyDescent="0.25">
      <c r="A6" s="23" t="s">
        <v>56</v>
      </c>
      <c r="B6" s="24" t="s">
        <v>526</v>
      </c>
    </row>
    <row r="7" spans="1:28" ht="47.25" x14ac:dyDescent="0.25">
      <c r="A7" s="23" t="s">
        <v>86</v>
      </c>
      <c r="B7" s="24" t="s">
        <v>358</v>
      </c>
    </row>
    <row r="8" spans="1:28" ht="31.5" x14ac:dyDescent="0.25">
      <c r="A8" s="23" t="s">
        <v>527</v>
      </c>
      <c r="B8" s="24" t="s">
        <v>530</v>
      </c>
    </row>
    <row r="9" spans="1:28" ht="47.25" customHeight="1" x14ac:dyDescent="0.25">
      <c r="A9" s="23" t="s">
        <v>211</v>
      </c>
      <c r="B9" s="24" t="s">
        <v>529</v>
      </c>
    </row>
    <row r="10" spans="1:28" x14ac:dyDescent="0.3">
      <c r="D10" s="1" t="s">
        <v>17</v>
      </c>
      <c r="G10" s="132" t="s">
        <v>167</v>
      </c>
      <c r="H10" s="135"/>
      <c r="I10" s="133"/>
      <c r="J10" s="13" t="s">
        <v>36</v>
      </c>
      <c r="K10" s="13" t="s">
        <v>138</v>
      </c>
      <c r="L10" s="13" t="s">
        <v>522</v>
      </c>
      <c r="M10" s="13" t="s">
        <v>214</v>
      </c>
    </row>
    <row r="11" spans="1:28" x14ac:dyDescent="0.3">
      <c r="D11" t="s">
        <v>178</v>
      </c>
      <c r="F11" s="50">
        <v>37257</v>
      </c>
      <c r="G11" s="53">
        <v>72.400000000000006</v>
      </c>
      <c r="H11" s="53">
        <v>144.80000000000001</v>
      </c>
      <c r="I11" s="53">
        <v>72.400000000000006</v>
      </c>
      <c r="J11" s="55">
        <v>3</v>
      </c>
      <c r="K11" s="55">
        <v>1</v>
      </c>
      <c r="L11" s="55" t="s">
        <v>528</v>
      </c>
      <c r="M11" s="55" t="b">
        <v>1</v>
      </c>
      <c r="O11" s="54" t="e" cm="1">
        <f t="array" ref="O11:Q250">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SUM(INDEX(_xlpm.values, _xlfn.SEQUENCE(_xlpm.n,1,_xlpm.row-_xlpm.n+1), _xlpm.col))))) ), _xlpm.dropParam, 0),
IF(_xlpm.dim=2,
_xlfn.DROP( IF(_xlpm.n=1, _xlpm.values, _xlfn.MAKEARRAY(ROWS(_xlpm.values), COLUMNS(_xlpm.values), _xlfn.LAMBDA(_xlpm.row,_xlpm.col, IF(_xlpm.col &lt; _xlpm.n, NA(), SUM(INDEX(_xlpm.values, _xlpm.row, _xlfn.SEQUENCE(1,_xlpm.n,_xlpm.col-_xlpm.n+1)))))) ), 0, _xlpm.dropParam),
"# dim must be either 1 or 2"
))
) )($G$11:$I$250,$J$11,$K$11,$L$11,$M$11)</f>
        <v>#N/A</v>
      </c>
      <c r="P11" s="54" t="e">
        <v>#N/A</v>
      </c>
      <c r="Q11" s="54" t="e">
        <v>#N/A</v>
      </c>
      <c r="R11" s="54"/>
      <c r="S11" s="54" t="e" cm="1">
        <f t="array" ref="S11:U250">MOVSUM($G$11:$I$250,$J$11,$K$11,$L$11,$M$11)</f>
        <v>#N/A</v>
      </c>
      <c r="T11" s="15" t="e">
        <v>#N/A</v>
      </c>
      <c r="U11" s="15" t="e">
        <v>#N/A</v>
      </c>
    </row>
    <row r="12" spans="1:28" x14ac:dyDescent="0.3">
      <c r="D12" t="s">
        <v>179</v>
      </c>
      <c r="F12" s="50">
        <v>37288</v>
      </c>
      <c r="G12" s="53">
        <v>69.7</v>
      </c>
      <c r="H12" s="53">
        <v>139.4</v>
      </c>
      <c r="I12" s="53">
        <v>69.7</v>
      </c>
      <c r="N12" s="38"/>
      <c r="O12" s="54" t="e">
        <v>#N/A</v>
      </c>
      <c r="P12" s="54" t="e">
        <v>#N/A</v>
      </c>
      <c r="Q12" s="54" t="e">
        <v>#N/A</v>
      </c>
      <c r="R12" s="54"/>
      <c r="S12" s="54" t="e">
        <v>#N/A</v>
      </c>
      <c r="T12" s="15" t="e">
        <v>#N/A</v>
      </c>
      <c r="U12" s="15" t="e">
        <v>#N/A</v>
      </c>
    </row>
    <row r="13" spans="1:28" x14ac:dyDescent="0.3">
      <c r="F13" s="50">
        <v>37316</v>
      </c>
      <c r="G13" s="53">
        <v>77.400000000000006</v>
      </c>
      <c r="H13" s="53">
        <v>154.80000000000001</v>
      </c>
      <c r="I13" s="53">
        <v>77.400000000000006</v>
      </c>
      <c r="N13" s="38"/>
      <c r="O13" s="54">
        <v>219.50000000000003</v>
      </c>
      <c r="P13" s="54">
        <v>439.00000000000006</v>
      </c>
      <c r="Q13" s="54">
        <v>219.50000000000003</v>
      </c>
      <c r="R13" s="54"/>
      <c r="S13" s="54">
        <v>219.50000000000003</v>
      </c>
      <c r="T13" s="15">
        <v>439.00000000000006</v>
      </c>
      <c r="U13" s="15">
        <v>219.50000000000003</v>
      </c>
    </row>
    <row r="14" spans="1:28" ht="18.75" customHeight="1" x14ac:dyDescent="0.3">
      <c r="D14" s="134"/>
      <c r="F14" s="50">
        <v>37347</v>
      </c>
      <c r="G14" s="53">
        <v>79.599999999999994</v>
      </c>
      <c r="H14" s="53">
        <v>159.19999999999999</v>
      </c>
      <c r="I14" s="53">
        <v>79.599999999999994</v>
      </c>
      <c r="N14" s="38"/>
      <c r="O14" s="54">
        <v>226.70000000000002</v>
      </c>
      <c r="P14" s="54">
        <v>453.40000000000003</v>
      </c>
      <c r="Q14" s="54">
        <v>226.70000000000002</v>
      </c>
      <c r="R14" s="54"/>
      <c r="S14" s="54">
        <v>226.70000000000002</v>
      </c>
      <c r="T14" s="15">
        <v>453.40000000000003</v>
      </c>
      <c r="U14" s="15">
        <v>226.70000000000002</v>
      </c>
    </row>
    <row r="15" spans="1:28" x14ac:dyDescent="0.3">
      <c r="D15" s="134"/>
      <c r="F15" s="50">
        <v>37377</v>
      </c>
      <c r="G15" s="53">
        <v>80.400000000000006</v>
      </c>
      <c r="H15" s="53">
        <v>160.80000000000001</v>
      </c>
      <c r="I15" s="53">
        <v>80.400000000000006</v>
      </c>
      <c r="N15" s="38"/>
      <c r="O15" s="54">
        <v>237.4</v>
      </c>
      <c r="P15" s="54">
        <v>474.8</v>
      </c>
      <c r="Q15" s="54">
        <v>237.4</v>
      </c>
      <c r="R15" s="54"/>
      <c r="S15" s="54">
        <v>237.4</v>
      </c>
      <c r="T15" s="15">
        <v>474.8</v>
      </c>
      <c r="U15" s="15">
        <v>237.4</v>
      </c>
    </row>
    <row r="16" spans="1:28" x14ac:dyDescent="0.3">
      <c r="D16" s="47"/>
      <c r="F16" s="50">
        <v>37408</v>
      </c>
      <c r="G16" s="53">
        <v>77.5</v>
      </c>
      <c r="H16" s="53">
        <v>155</v>
      </c>
      <c r="I16" s="53">
        <v>77.5</v>
      </c>
      <c r="N16" s="38"/>
      <c r="O16" s="54">
        <v>237.5</v>
      </c>
      <c r="P16" s="54">
        <v>475</v>
      </c>
      <c r="Q16" s="54">
        <v>237.5</v>
      </c>
      <c r="R16" s="54"/>
      <c r="S16" s="54">
        <v>237.5</v>
      </c>
      <c r="T16" s="15">
        <v>475</v>
      </c>
      <c r="U16" s="15">
        <v>237.5</v>
      </c>
    </row>
    <row r="17" spans="1:21" x14ac:dyDescent="0.3">
      <c r="F17" s="50">
        <v>37438</v>
      </c>
      <c r="G17" s="53">
        <v>83.3</v>
      </c>
      <c r="H17" s="53">
        <v>166.6</v>
      </c>
      <c r="I17" s="53">
        <v>83.3</v>
      </c>
      <c r="N17" s="38"/>
      <c r="O17" s="54">
        <v>241.2</v>
      </c>
      <c r="P17" s="54">
        <v>482.4</v>
      </c>
      <c r="Q17" s="54">
        <v>241.2</v>
      </c>
      <c r="R17" s="54"/>
      <c r="S17" s="54">
        <v>241.2</v>
      </c>
      <c r="T17" s="15">
        <v>482.4</v>
      </c>
      <c r="U17" s="15">
        <v>241.2</v>
      </c>
    </row>
    <row r="18" spans="1:21" x14ac:dyDescent="0.3">
      <c r="F18" s="50">
        <v>37469</v>
      </c>
      <c r="G18" s="53">
        <v>83.6</v>
      </c>
      <c r="H18" s="53">
        <v>167.2</v>
      </c>
      <c r="I18" s="53">
        <v>83.6</v>
      </c>
      <c r="N18" s="38"/>
      <c r="O18" s="54">
        <v>244.4</v>
      </c>
      <c r="P18" s="54">
        <v>488.8</v>
      </c>
      <c r="Q18" s="54">
        <v>244.4</v>
      </c>
      <c r="R18" s="54"/>
      <c r="S18" s="54">
        <v>244.4</v>
      </c>
      <c r="T18" s="15">
        <v>488.8</v>
      </c>
      <c r="U18" s="15">
        <v>244.4</v>
      </c>
    </row>
    <row r="19" spans="1:21" s="15" customFormat="1" x14ac:dyDescent="0.3">
      <c r="A19" s="17"/>
      <c r="B19"/>
      <c r="C19"/>
      <c r="D19"/>
      <c r="E19"/>
      <c r="F19" s="50">
        <v>37500</v>
      </c>
      <c r="G19" s="53">
        <v>82.1</v>
      </c>
      <c r="H19" s="53">
        <v>164.2</v>
      </c>
      <c r="I19" s="53">
        <v>82.1</v>
      </c>
      <c r="J19"/>
      <c r="K19"/>
      <c r="L19"/>
      <c r="M19"/>
      <c r="N19" s="38"/>
      <c r="O19" s="54">
        <v>248.99999999999997</v>
      </c>
      <c r="P19" s="54">
        <v>497.99999999999994</v>
      </c>
      <c r="Q19" s="54">
        <v>248.99999999999997</v>
      </c>
      <c r="R19" s="54"/>
      <c r="S19" s="54">
        <v>248.99999999999997</v>
      </c>
      <c r="T19" s="15">
        <v>497.99999999999994</v>
      </c>
      <c r="U19" s="15">
        <v>248.99999999999997</v>
      </c>
    </row>
    <row r="20" spans="1:21" s="15" customFormat="1" x14ac:dyDescent="0.3">
      <c r="A20" s="17"/>
      <c r="B20"/>
      <c r="C20"/>
      <c r="D20"/>
      <c r="E20"/>
      <c r="F20" s="50">
        <v>37530</v>
      </c>
      <c r="G20" s="53">
        <v>89.2</v>
      </c>
      <c r="H20" s="53">
        <v>178.4</v>
      </c>
      <c r="I20" s="53">
        <v>89.2</v>
      </c>
      <c r="J20"/>
      <c r="K20"/>
      <c r="L20"/>
      <c r="M20"/>
      <c r="N20" s="38"/>
      <c r="O20" s="54">
        <v>254.89999999999998</v>
      </c>
      <c r="P20" s="54">
        <v>509.79999999999995</v>
      </c>
      <c r="Q20" s="54">
        <v>254.89999999999998</v>
      </c>
      <c r="R20" s="54"/>
      <c r="S20" s="54">
        <v>254.89999999999998</v>
      </c>
      <c r="T20" s="15">
        <v>509.79999999999995</v>
      </c>
      <c r="U20" s="15">
        <v>254.89999999999998</v>
      </c>
    </row>
    <row r="21" spans="1:21" s="15" customFormat="1" x14ac:dyDescent="0.3">
      <c r="A21" s="17"/>
      <c r="B21"/>
      <c r="C21"/>
      <c r="D21"/>
      <c r="E21"/>
      <c r="F21" s="50">
        <v>37561</v>
      </c>
      <c r="G21" s="53">
        <v>83.9</v>
      </c>
      <c r="H21" s="53">
        <v>167.8</v>
      </c>
      <c r="I21" s="53">
        <v>83.9</v>
      </c>
      <c r="J21"/>
      <c r="K21"/>
      <c r="L21"/>
      <c r="M21"/>
      <c r="N21" s="38"/>
      <c r="O21" s="54">
        <v>255.20000000000002</v>
      </c>
      <c r="P21" s="54">
        <v>510.40000000000003</v>
      </c>
      <c r="Q21" s="54">
        <v>255.20000000000002</v>
      </c>
      <c r="R21" s="54"/>
      <c r="S21" s="54">
        <v>255.20000000000002</v>
      </c>
      <c r="T21" s="15">
        <v>510.40000000000003</v>
      </c>
      <c r="U21" s="15">
        <v>255.20000000000002</v>
      </c>
    </row>
    <row r="22" spans="1:21" s="15" customFormat="1" x14ac:dyDescent="0.3">
      <c r="A22" s="17"/>
      <c r="B22"/>
      <c r="C22"/>
      <c r="D22"/>
      <c r="E22"/>
      <c r="F22" s="50">
        <v>37591</v>
      </c>
      <c r="G22" s="53">
        <v>74.599999999999994</v>
      </c>
      <c r="H22" s="53">
        <v>149.19999999999999</v>
      </c>
      <c r="I22" s="53">
        <v>74.599999999999994</v>
      </c>
      <c r="J22"/>
      <c r="K22"/>
      <c r="L22"/>
      <c r="M22"/>
      <c r="N22" s="38"/>
      <c r="O22" s="54">
        <v>247.70000000000002</v>
      </c>
      <c r="P22" s="54">
        <v>495.40000000000003</v>
      </c>
      <c r="Q22" s="54">
        <v>247.70000000000002</v>
      </c>
      <c r="R22" s="54"/>
      <c r="S22" s="54">
        <v>247.70000000000002</v>
      </c>
      <c r="T22" s="15">
        <v>495.40000000000003</v>
      </c>
      <c r="U22" s="15">
        <v>247.70000000000002</v>
      </c>
    </row>
    <row r="23" spans="1:21" s="15" customFormat="1" x14ac:dyDescent="0.3">
      <c r="A23" s="17"/>
      <c r="B23"/>
      <c r="C23"/>
      <c r="D23"/>
      <c r="E23"/>
      <c r="F23" s="50">
        <v>37622</v>
      </c>
      <c r="G23" s="53">
        <v>74</v>
      </c>
      <c r="H23" s="53">
        <v>148</v>
      </c>
      <c r="I23" s="53">
        <v>74</v>
      </c>
      <c r="J23"/>
      <c r="K23"/>
      <c r="L23"/>
      <c r="M23"/>
      <c r="N23" s="38"/>
      <c r="O23" s="54">
        <v>232.5</v>
      </c>
      <c r="P23" s="54">
        <v>465</v>
      </c>
      <c r="Q23" s="54">
        <v>232.5</v>
      </c>
      <c r="R23" s="54"/>
      <c r="S23" s="54">
        <v>232.5</v>
      </c>
      <c r="T23" s="15">
        <v>465</v>
      </c>
      <c r="U23" s="15">
        <v>232.5</v>
      </c>
    </row>
    <row r="24" spans="1:21" s="15" customFormat="1" x14ac:dyDescent="0.3">
      <c r="A24" s="17"/>
      <c r="B24"/>
      <c r="C24"/>
      <c r="D24"/>
      <c r="E24"/>
      <c r="F24" s="50">
        <v>37653</v>
      </c>
      <c r="G24" s="53">
        <v>71.8</v>
      </c>
      <c r="H24" s="53">
        <v>143.6</v>
      </c>
      <c r="I24" s="53">
        <v>71.8</v>
      </c>
      <c r="J24"/>
      <c r="K24"/>
      <c r="L24"/>
      <c r="M24"/>
      <c r="N24" s="38"/>
      <c r="O24" s="54">
        <v>220.39999999999998</v>
      </c>
      <c r="P24" s="54">
        <v>440.79999999999995</v>
      </c>
      <c r="Q24" s="54">
        <v>220.39999999999998</v>
      </c>
      <c r="R24" s="54"/>
      <c r="S24" s="54">
        <v>220.39999999999998</v>
      </c>
      <c r="T24" s="15">
        <v>440.79999999999995</v>
      </c>
      <c r="U24" s="15">
        <v>220.39999999999998</v>
      </c>
    </row>
    <row r="25" spans="1:21" s="15" customFormat="1" x14ac:dyDescent="0.3">
      <c r="A25" s="17"/>
      <c r="B25"/>
      <c r="C25"/>
      <c r="D25"/>
      <c r="E25"/>
      <c r="F25" s="50">
        <v>37681</v>
      </c>
      <c r="G25" s="53">
        <v>77.400000000000006</v>
      </c>
      <c r="H25" s="53">
        <v>154.80000000000001</v>
      </c>
      <c r="I25" s="53">
        <v>77.400000000000006</v>
      </c>
      <c r="J25"/>
      <c r="K25"/>
      <c r="L25"/>
      <c r="M25"/>
      <c r="N25" s="38"/>
      <c r="O25" s="54">
        <v>223.20000000000002</v>
      </c>
      <c r="P25" s="54">
        <v>446.40000000000003</v>
      </c>
      <c r="Q25" s="54">
        <v>223.20000000000002</v>
      </c>
      <c r="R25" s="54"/>
      <c r="S25" s="54">
        <v>223.20000000000002</v>
      </c>
      <c r="T25" s="15">
        <v>446.40000000000003</v>
      </c>
      <c r="U25" s="15">
        <v>223.20000000000002</v>
      </c>
    </row>
    <row r="26" spans="1:21" s="15" customFormat="1" x14ac:dyDescent="0.3">
      <c r="A26" s="17"/>
      <c r="B26"/>
      <c r="C26"/>
      <c r="D26"/>
      <c r="E26"/>
      <c r="F26" s="50">
        <v>37712</v>
      </c>
      <c r="G26" s="53">
        <v>76.5</v>
      </c>
      <c r="H26" s="53">
        <v>153</v>
      </c>
      <c r="I26" s="53">
        <v>76.5</v>
      </c>
      <c r="J26"/>
      <c r="K26"/>
      <c r="L26"/>
      <c r="M26"/>
      <c r="N26" s="38"/>
      <c r="O26" s="54">
        <v>225.7</v>
      </c>
      <c r="P26" s="54">
        <v>451.4</v>
      </c>
      <c r="Q26" s="54">
        <v>225.7</v>
      </c>
      <c r="R26" s="54"/>
      <c r="S26" s="54">
        <v>225.7</v>
      </c>
      <c r="T26" s="15">
        <v>451.4</v>
      </c>
      <c r="U26" s="15">
        <v>225.7</v>
      </c>
    </row>
    <row r="27" spans="1:21" s="15" customFormat="1" x14ac:dyDescent="0.3">
      <c r="A27" s="17"/>
      <c r="B27"/>
      <c r="C27"/>
      <c r="D27"/>
      <c r="E27"/>
      <c r="F27" s="50">
        <v>37742</v>
      </c>
      <c r="G27" s="53">
        <v>79.7</v>
      </c>
      <c r="H27" s="53">
        <v>159.4</v>
      </c>
      <c r="I27" s="53">
        <v>79.7</v>
      </c>
      <c r="J27"/>
      <c r="K27"/>
      <c r="L27"/>
      <c r="M27"/>
      <c r="N27" s="38"/>
      <c r="O27" s="54">
        <v>233.60000000000002</v>
      </c>
      <c r="P27" s="54">
        <v>467.20000000000005</v>
      </c>
      <c r="Q27" s="54">
        <v>233.60000000000002</v>
      </c>
      <c r="R27" s="54"/>
      <c r="S27" s="54">
        <v>233.60000000000002</v>
      </c>
      <c r="T27" s="15">
        <v>467.20000000000005</v>
      </c>
      <c r="U27" s="15">
        <v>233.60000000000002</v>
      </c>
    </row>
    <row r="28" spans="1:21" s="15" customFormat="1" x14ac:dyDescent="0.3">
      <c r="A28" s="17"/>
      <c r="B28"/>
      <c r="C28"/>
      <c r="D28"/>
      <c r="E28"/>
      <c r="F28" s="50">
        <v>37773</v>
      </c>
      <c r="G28" s="53">
        <v>76.3</v>
      </c>
      <c r="H28" s="53">
        <v>152.6</v>
      </c>
      <c r="I28" s="53">
        <v>76.3</v>
      </c>
      <c r="J28"/>
      <c r="K28"/>
      <c r="L28"/>
      <c r="M28"/>
      <c r="N28" s="38"/>
      <c r="O28" s="54">
        <v>232.5</v>
      </c>
      <c r="P28" s="54">
        <v>465</v>
      </c>
      <c r="Q28" s="54">
        <v>232.5</v>
      </c>
      <c r="R28" s="54"/>
      <c r="S28" s="54">
        <v>232.5</v>
      </c>
      <c r="T28" s="15">
        <v>465</v>
      </c>
      <c r="U28" s="15">
        <v>232.5</v>
      </c>
    </row>
    <row r="29" spans="1:21" s="15" customFormat="1" x14ac:dyDescent="0.3">
      <c r="A29" s="17"/>
      <c r="B29"/>
      <c r="C29"/>
      <c r="D29"/>
      <c r="E29"/>
      <c r="F29" s="50">
        <v>37803</v>
      </c>
      <c r="G29" s="53">
        <v>81.3</v>
      </c>
      <c r="H29" s="53">
        <v>162.6</v>
      </c>
      <c r="I29" s="53">
        <v>81.3</v>
      </c>
      <c r="J29"/>
      <c r="K29"/>
      <c r="L29"/>
      <c r="M29"/>
      <c r="N29" s="38"/>
      <c r="O29" s="54">
        <v>237.3</v>
      </c>
      <c r="P29" s="54">
        <v>474.6</v>
      </c>
      <c r="Q29" s="54">
        <v>237.3</v>
      </c>
      <c r="R29" s="54"/>
      <c r="S29" s="54">
        <v>237.3</v>
      </c>
      <c r="T29" s="15">
        <v>474.6</v>
      </c>
      <c r="U29" s="15">
        <v>237.3</v>
      </c>
    </row>
    <row r="30" spans="1:21" s="15" customFormat="1" x14ac:dyDescent="0.3">
      <c r="A30" s="17"/>
      <c r="B30"/>
      <c r="C30"/>
      <c r="D30"/>
      <c r="E30"/>
      <c r="F30" s="50">
        <v>37834</v>
      </c>
      <c r="G30" s="53">
        <v>81.599999999999994</v>
      </c>
      <c r="H30" s="53">
        <v>163.19999999999999</v>
      </c>
      <c r="I30" s="53">
        <v>81.599999999999994</v>
      </c>
      <c r="J30"/>
      <c r="K30"/>
      <c r="L30"/>
      <c r="M30"/>
      <c r="N30" s="38"/>
      <c r="O30" s="54">
        <v>239.2</v>
      </c>
      <c r="P30" s="54">
        <v>478.4</v>
      </c>
      <c r="Q30" s="54">
        <v>239.2</v>
      </c>
      <c r="R30" s="54"/>
      <c r="S30" s="54">
        <v>239.2</v>
      </c>
      <c r="T30" s="15">
        <v>478.4</v>
      </c>
      <c r="U30" s="15">
        <v>239.2</v>
      </c>
    </row>
    <row r="31" spans="1:21" s="15" customFormat="1" x14ac:dyDescent="0.3">
      <c r="A31" s="17"/>
      <c r="B31"/>
      <c r="C31"/>
      <c r="D31"/>
      <c r="E31"/>
      <c r="F31" s="50">
        <v>37865</v>
      </c>
      <c r="G31" s="53">
        <v>85.7</v>
      </c>
      <c r="H31" s="53">
        <v>171.4</v>
      </c>
      <c r="I31" s="53">
        <v>85.7</v>
      </c>
      <c r="J31"/>
      <c r="K31"/>
      <c r="L31"/>
      <c r="M31"/>
      <c r="N31" s="38"/>
      <c r="O31" s="54">
        <v>248.59999999999997</v>
      </c>
      <c r="P31" s="54">
        <v>497.19999999999993</v>
      </c>
      <c r="Q31" s="54">
        <v>248.59999999999997</v>
      </c>
      <c r="R31" s="54"/>
      <c r="S31" s="54">
        <v>248.59999999999997</v>
      </c>
      <c r="T31" s="15">
        <v>497.19999999999993</v>
      </c>
      <c r="U31" s="15">
        <v>248.59999999999997</v>
      </c>
    </row>
    <row r="32" spans="1:21" s="15" customFormat="1" x14ac:dyDescent="0.3">
      <c r="A32" s="17"/>
      <c r="B32"/>
      <c r="C32"/>
      <c r="D32"/>
      <c r="E32"/>
      <c r="F32" s="50">
        <v>37895</v>
      </c>
      <c r="G32" s="53">
        <v>90</v>
      </c>
      <c r="H32" s="53">
        <v>180</v>
      </c>
      <c r="I32" s="53">
        <v>90</v>
      </c>
      <c r="J32"/>
      <c r="K32"/>
      <c r="L32"/>
      <c r="M32"/>
      <c r="N32" s="38"/>
      <c r="O32" s="54">
        <v>257.3</v>
      </c>
      <c r="P32" s="54">
        <v>514.6</v>
      </c>
      <c r="Q32" s="54">
        <v>257.3</v>
      </c>
      <c r="R32" s="54"/>
      <c r="S32" s="54">
        <v>257.3</v>
      </c>
      <c r="T32" s="15">
        <v>514.6</v>
      </c>
      <c r="U32" s="15">
        <v>257.3</v>
      </c>
    </row>
    <row r="33" spans="1:21" s="15" customFormat="1" x14ac:dyDescent="0.3">
      <c r="A33" s="17"/>
      <c r="B33"/>
      <c r="C33"/>
      <c r="D33"/>
      <c r="E33"/>
      <c r="F33" s="50">
        <v>37926</v>
      </c>
      <c r="G33" s="53">
        <v>84.6</v>
      </c>
      <c r="H33" s="53">
        <v>169.2</v>
      </c>
      <c r="I33" s="53">
        <v>84.6</v>
      </c>
      <c r="J33"/>
      <c r="K33"/>
      <c r="L33"/>
      <c r="M33"/>
      <c r="N33" s="38"/>
      <c r="O33" s="54">
        <v>260.29999999999995</v>
      </c>
      <c r="P33" s="54">
        <v>520.59999999999991</v>
      </c>
      <c r="Q33" s="54">
        <v>260.29999999999995</v>
      </c>
      <c r="R33" s="54"/>
      <c r="S33" s="54">
        <v>260.29999999999995</v>
      </c>
      <c r="T33" s="15">
        <v>520.59999999999991</v>
      </c>
      <c r="U33" s="15">
        <v>260.29999999999995</v>
      </c>
    </row>
    <row r="34" spans="1:21" s="15" customFormat="1" x14ac:dyDescent="0.3">
      <c r="A34" s="17"/>
      <c r="B34"/>
      <c r="C34"/>
      <c r="D34"/>
      <c r="E34"/>
      <c r="F34" s="50">
        <v>37956</v>
      </c>
      <c r="G34" s="53">
        <v>77.900000000000006</v>
      </c>
      <c r="H34" s="53">
        <v>155.80000000000001</v>
      </c>
      <c r="I34" s="53">
        <v>77.900000000000006</v>
      </c>
      <c r="J34"/>
      <c r="K34"/>
      <c r="L34"/>
      <c r="M34"/>
      <c r="N34" s="38"/>
      <c r="O34" s="54">
        <v>252.5</v>
      </c>
      <c r="P34" s="54">
        <v>505</v>
      </c>
      <c r="Q34" s="54">
        <v>252.5</v>
      </c>
      <c r="R34" s="54"/>
      <c r="S34" s="54">
        <v>252.5</v>
      </c>
      <c r="T34" s="15">
        <v>505</v>
      </c>
      <c r="U34" s="15">
        <v>252.5</v>
      </c>
    </row>
    <row r="35" spans="1:21" s="15" customFormat="1" x14ac:dyDescent="0.3">
      <c r="A35" s="17"/>
      <c r="B35"/>
      <c r="C35"/>
      <c r="D35"/>
      <c r="E35"/>
      <c r="F35" s="50">
        <v>37987</v>
      </c>
      <c r="G35" s="53">
        <v>76.8</v>
      </c>
      <c r="H35" s="53">
        <v>153.6</v>
      </c>
      <c r="I35" s="53">
        <v>76.8</v>
      </c>
      <c r="J35"/>
      <c r="K35"/>
      <c r="L35"/>
      <c r="M35"/>
      <c r="N35" s="38"/>
      <c r="O35" s="54">
        <v>239.3</v>
      </c>
      <c r="P35" s="54">
        <v>478.6</v>
      </c>
      <c r="Q35" s="54">
        <v>239.3</v>
      </c>
      <c r="R35" s="54"/>
      <c r="S35" s="54">
        <v>239.3</v>
      </c>
      <c r="T35" s="15">
        <v>478.6</v>
      </c>
      <c r="U35" s="15">
        <v>239.3</v>
      </c>
    </row>
    <row r="36" spans="1:21" s="15" customFormat="1" x14ac:dyDescent="0.3">
      <c r="A36" s="17"/>
      <c r="B36"/>
      <c r="C36"/>
      <c r="D36"/>
      <c r="E36"/>
      <c r="F36" s="50">
        <v>38018</v>
      </c>
      <c r="G36" s="53">
        <v>74</v>
      </c>
      <c r="H36" s="53">
        <v>148</v>
      </c>
      <c r="I36" s="53">
        <v>74</v>
      </c>
      <c r="J36"/>
      <c r="K36"/>
      <c r="L36"/>
      <c r="M36"/>
      <c r="N36" s="38"/>
      <c r="O36" s="54">
        <v>228.7</v>
      </c>
      <c r="P36" s="54">
        <v>457.4</v>
      </c>
      <c r="Q36" s="54">
        <v>228.7</v>
      </c>
      <c r="R36" s="54"/>
      <c r="S36" s="54">
        <v>228.7</v>
      </c>
      <c r="T36" s="15">
        <v>457.4</v>
      </c>
      <c r="U36" s="15">
        <v>228.7</v>
      </c>
    </row>
    <row r="37" spans="1:21" s="15" customFormat="1" x14ac:dyDescent="0.3">
      <c r="A37" s="17"/>
      <c r="B37"/>
      <c r="C37"/>
      <c r="D37"/>
      <c r="E37"/>
      <c r="F37" s="50">
        <v>38047</v>
      </c>
      <c r="G37" s="53">
        <v>86.9</v>
      </c>
      <c r="H37" s="53">
        <v>173.8</v>
      </c>
      <c r="I37" s="53">
        <v>86.9</v>
      </c>
      <c r="J37"/>
      <c r="K37"/>
      <c r="L37"/>
      <c r="M37"/>
      <c r="N37" s="38"/>
      <c r="O37" s="54">
        <v>237.70000000000002</v>
      </c>
      <c r="P37" s="54">
        <v>475.40000000000003</v>
      </c>
      <c r="Q37" s="54">
        <v>237.70000000000002</v>
      </c>
      <c r="R37" s="54"/>
      <c r="S37" s="54">
        <v>237.70000000000002</v>
      </c>
      <c r="T37" s="15">
        <v>475.40000000000003</v>
      </c>
      <c r="U37" s="15">
        <v>237.70000000000002</v>
      </c>
    </row>
    <row r="38" spans="1:21" s="15" customFormat="1" x14ac:dyDescent="0.3">
      <c r="A38" s="17"/>
      <c r="B38"/>
      <c r="C38"/>
      <c r="D38"/>
      <c r="E38"/>
      <c r="F38" s="50">
        <v>38078</v>
      </c>
      <c r="G38" s="53">
        <v>82.2</v>
      </c>
      <c r="H38" s="53">
        <v>164.4</v>
      </c>
      <c r="I38" s="53">
        <v>82.2</v>
      </c>
      <c r="J38"/>
      <c r="K38"/>
      <c r="L38"/>
      <c r="M38"/>
      <c r="N38" s="38"/>
      <c r="O38" s="54">
        <v>243.10000000000002</v>
      </c>
      <c r="P38" s="54">
        <v>486.20000000000005</v>
      </c>
      <c r="Q38" s="54">
        <v>243.10000000000002</v>
      </c>
      <c r="R38" s="54"/>
      <c r="S38" s="54">
        <v>243.10000000000002</v>
      </c>
      <c r="T38" s="15">
        <v>486.20000000000005</v>
      </c>
      <c r="U38" s="15">
        <v>243.10000000000002</v>
      </c>
    </row>
    <row r="39" spans="1:21" s="15" customFormat="1" x14ac:dyDescent="0.3">
      <c r="A39" s="17"/>
      <c r="B39"/>
      <c r="C39"/>
      <c r="D39"/>
      <c r="E39"/>
      <c r="F39" s="50">
        <v>38108</v>
      </c>
      <c r="G39" s="53">
        <v>86.3</v>
      </c>
      <c r="H39" s="53">
        <v>172.6</v>
      </c>
      <c r="I39" s="53">
        <v>86.3</v>
      </c>
      <c r="J39"/>
      <c r="K39"/>
      <c r="L39"/>
      <c r="M39"/>
      <c r="N39" s="38"/>
      <c r="O39" s="54">
        <v>255.40000000000003</v>
      </c>
      <c r="P39" s="54">
        <v>510.80000000000007</v>
      </c>
      <c r="Q39" s="54">
        <v>255.40000000000003</v>
      </c>
      <c r="R39" s="54"/>
      <c r="S39" s="54">
        <v>255.40000000000003</v>
      </c>
      <c r="T39" s="15">
        <v>510.80000000000007</v>
      </c>
      <c r="U39" s="15">
        <v>255.40000000000003</v>
      </c>
    </row>
    <row r="40" spans="1:21" s="15" customFormat="1" x14ac:dyDescent="0.3">
      <c r="A40" s="17"/>
      <c r="B40"/>
      <c r="C40"/>
      <c r="D40"/>
      <c r="E40"/>
      <c r="F40" s="50">
        <v>38139</v>
      </c>
      <c r="G40" s="53">
        <v>86.1</v>
      </c>
      <c r="H40" s="53">
        <v>172.2</v>
      </c>
      <c r="I40" s="53">
        <v>86.1</v>
      </c>
      <c r="J40"/>
      <c r="K40"/>
      <c r="L40"/>
      <c r="M40"/>
      <c r="N40" s="38"/>
      <c r="O40" s="54">
        <v>254.6</v>
      </c>
      <c r="P40" s="54">
        <v>509.2</v>
      </c>
      <c r="Q40" s="54">
        <v>254.6</v>
      </c>
      <c r="R40" s="54"/>
      <c r="S40" s="54">
        <v>254.6</v>
      </c>
      <c r="T40" s="15">
        <v>509.2</v>
      </c>
      <c r="U40" s="15">
        <v>254.6</v>
      </c>
    </row>
    <row r="41" spans="1:21" s="15" customFormat="1" x14ac:dyDescent="0.3">
      <c r="A41" s="17"/>
      <c r="B41"/>
      <c r="C41"/>
      <c r="D41"/>
      <c r="E41"/>
      <c r="F41" s="50">
        <v>38169</v>
      </c>
      <c r="G41" s="53">
        <v>90.1</v>
      </c>
      <c r="H41" s="53">
        <v>180.2</v>
      </c>
      <c r="I41" s="53">
        <v>90.1</v>
      </c>
      <c r="J41"/>
      <c r="K41"/>
      <c r="L41"/>
      <c r="M41"/>
      <c r="N41" s="38"/>
      <c r="O41" s="54">
        <v>262.5</v>
      </c>
      <c r="P41" s="54">
        <v>525</v>
      </c>
      <c r="Q41" s="54">
        <v>262.5</v>
      </c>
      <c r="R41" s="54"/>
      <c r="S41" s="54">
        <v>262.5</v>
      </c>
      <c r="T41" s="15">
        <v>525</v>
      </c>
      <c r="U41" s="15">
        <v>262.5</v>
      </c>
    </row>
    <row r="42" spans="1:21" s="15" customFormat="1" x14ac:dyDescent="0.3">
      <c r="A42" s="17"/>
      <c r="B42"/>
      <c r="C42"/>
      <c r="D42"/>
      <c r="E42"/>
      <c r="F42" s="50">
        <v>38200</v>
      </c>
      <c r="G42" s="53">
        <v>92.1</v>
      </c>
      <c r="H42" s="53">
        <v>184.2</v>
      </c>
      <c r="I42" s="53">
        <v>92.1</v>
      </c>
      <c r="J42"/>
      <c r="K42"/>
      <c r="L42"/>
      <c r="M42"/>
      <c r="N42" s="38"/>
      <c r="O42" s="54">
        <v>268.29999999999995</v>
      </c>
      <c r="P42" s="54">
        <v>536.59999999999991</v>
      </c>
      <c r="Q42" s="54">
        <v>268.29999999999995</v>
      </c>
      <c r="R42" s="54"/>
      <c r="S42" s="54">
        <v>268.29999999999995</v>
      </c>
      <c r="T42" s="15">
        <v>536.59999999999991</v>
      </c>
      <c r="U42" s="15">
        <v>268.29999999999995</v>
      </c>
    </row>
    <row r="43" spans="1:21" s="15" customFormat="1" x14ac:dyDescent="0.3">
      <c r="A43" s="17"/>
      <c r="B43"/>
      <c r="C43"/>
      <c r="D43"/>
      <c r="E43"/>
      <c r="F43" s="50">
        <v>38231</v>
      </c>
      <c r="G43" s="53">
        <v>92.1</v>
      </c>
      <c r="H43" s="53">
        <v>184.2</v>
      </c>
      <c r="I43" s="53">
        <v>92.1</v>
      </c>
      <c r="J43"/>
      <c r="K43"/>
      <c r="L43"/>
      <c r="M43"/>
      <c r="N43" s="38"/>
      <c r="O43" s="54">
        <v>274.29999999999995</v>
      </c>
      <c r="P43" s="54">
        <v>548.59999999999991</v>
      </c>
      <c r="Q43" s="54">
        <v>274.29999999999995</v>
      </c>
      <c r="R43" s="54"/>
      <c r="S43" s="54">
        <v>274.29999999999995</v>
      </c>
      <c r="T43" s="15">
        <v>548.59999999999991</v>
      </c>
      <c r="U43" s="15">
        <v>274.29999999999995</v>
      </c>
    </row>
    <row r="44" spans="1:21" s="15" customFormat="1" x14ac:dyDescent="0.3">
      <c r="A44" s="17"/>
      <c r="B44"/>
      <c r="C44"/>
      <c r="D44"/>
      <c r="E44"/>
      <c r="F44" s="50">
        <v>38261</v>
      </c>
      <c r="G44" s="53">
        <v>93.5</v>
      </c>
      <c r="H44" s="53">
        <v>187</v>
      </c>
      <c r="I44" s="53">
        <v>93.5</v>
      </c>
      <c r="J44"/>
      <c r="K44"/>
      <c r="L44"/>
      <c r="M44"/>
      <c r="N44" s="38"/>
      <c r="O44" s="54">
        <v>277.7</v>
      </c>
      <c r="P44" s="54">
        <v>555.4</v>
      </c>
      <c r="Q44" s="54">
        <v>277.7</v>
      </c>
      <c r="R44" s="54"/>
      <c r="S44" s="54">
        <v>277.7</v>
      </c>
      <c r="T44" s="15">
        <v>555.4</v>
      </c>
      <c r="U44" s="15">
        <v>277.7</v>
      </c>
    </row>
    <row r="45" spans="1:21" s="15" customFormat="1" x14ac:dyDescent="0.3">
      <c r="A45" s="17"/>
      <c r="B45"/>
      <c r="C45"/>
      <c r="D45"/>
      <c r="E45"/>
      <c r="F45" s="50">
        <v>38292</v>
      </c>
      <c r="G45" s="53">
        <v>91.8</v>
      </c>
      <c r="H45" s="53">
        <v>183.6</v>
      </c>
      <c r="I45" s="53">
        <v>91.8</v>
      </c>
      <c r="J45"/>
      <c r="K45"/>
      <c r="L45"/>
      <c r="M45"/>
      <c r="N45" s="38"/>
      <c r="O45" s="54">
        <v>277.39999999999998</v>
      </c>
      <c r="P45" s="54">
        <v>554.79999999999995</v>
      </c>
      <c r="Q45" s="54">
        <v>277.39999999999998</v>
      </c>
      <c r="R45" s="54"/>
      <c r="S45" s="54">
        <v>277.39999999999998</v>
      </c>
      <c r="T45" s="15">
        <v>554.79999999999995</v>
      </c>
      <c r="U45" s="15">
        <v>277.39999999999998</v>
      </c>
    </row>
    <row r="46" spans="1:21" s="15" customFormat="1" x14ac:dyDescent="0.3">
      <c r="A46" s="17"/>
      <c r="B46"/>
      <c r="C46"/>
      <c r="D46"/>
      <c r="E46"/>
      <c r="F46" s="50">
        <v>38322</v>
      </c>
      <c r="G46" s="53">
        <v>84.7</v>
      </c>
      <c r="H46" s="53">
        <v>169.4</v>
      </c>
      <c r="I46" s="53">
        <v>84.7</v>
      </c>
      <c r="J46"/>
      <c r="K46"/>
      <c r="L46"/>
      <c r="M46"/>
      <c r="N46" s="38"/>
      <c r="O46" s="54">
        <v>270</v>
      </c>
      <c r="P46" s="54">
        <v>540</v>
      </c>
      <c r="Q46" s="54">
        <v>270</v>
      </c>
      <c r="R46" s="54"/>
      <c r="S46" s="54">
        <v>270</v>
      </c>
      <c r="T46" s="15">
        <v>540</v>
      </c>
      <c r="U46" s="15">
        <v>270</v>
      </c>
    </row>
    <row r="47" spans="1:21" s="15" customFormat="1" x14ac:dyDescent="0.3">
      <c r="A47" s="17"/>
      <c r="B47"/>
      <c r="C47"/>
      <c r="D47"/>
      <c r="E47"/>
      <c r="F47" s="50">
        <v>38353</v>
      </c>
      <c r="G47" s="53">
        <v>81</v>
      </c>
      <c r="H47" s="53">
        <v>162</v>
      </c>
      <c r="I47" s="53">
        <v>81</v>
      </c>
      <c r="J47"/>
      <c r="K47"/>
      <c r="L47"/>
      <c r="M47"/>
      <c r="N47" s="38"/>
      <c r="O47" s="54">
        <v>257.5</v>
      </c>
      <c r="P47" s="54">
        <v>515</v>
      </c>
      <c r="Q47" s="54">
        <v>257.5</v>
      </c>
      <c r="R47" s="54"/>
      <c r="S47" s="54">
        <v>257.5</v>
      </c>
      <c r="T47" s="15">
        <v>515</v>
      </c>
      <c r="U47" s="15">
        <v>257.5</v>
      </c>
    </row>
    <row r="48" spans="1:21" s="15" customFormat="1" x14ac:dyDescent="0.3">
      <c r="A48" s="17"/>
      <c r="B48"/>
      <c r="C48"/>
      <c r="D48"/>
      <c r="E48"/>
      <c r="F48" s="50">
        <v>38384</v>
      </c>
      <c r="G48" s="53">
        <v>76.400000000000006</v>
      </c>
      <c r="H48" s="53">
        <v>152.80000000000001</v>
      </c>
      <c r="I48" s="53">
        <v>76.400000000000006</v>
      </c>
      <c r="J48"/>
      <c r="K48"/>
      <c r="L48"/>
      <c r="M48"/>
      <c r="N48" s="38"/>
      <c r="O48" s="54">
        <v>242.1</v>
      </c>
      <c r="P48" s="54">
        <v>484.2</v>
      </c>
      <c r="Q48" s="54">
        <v>242.1</v>
      </c>
      <c r="R48" s="54"/>
      <c r="S48" s="54">
        <v>242.1</v>
      </c>
      <c r="T48" s="15">
        <v>484.2</v>
      </c>
      <c r="U48" s="15">
        <v>242.1</v>
      </c>
    </row>
    <row r="49" spans="1:21" s="15" customFormat="1" x14ac:dyDescent="0.3">
      <c r="A49" s="17"/>
      <c r="B49"/>
      <c r="C49"/>
      <c r="D49"/>
      <c r="E49"/>
      <c r="F49" s="50">
        <v>38412</v>
      </c>
      <c r="G49" s="53">
        <v>88</v>
      </c>
      <c r="H49" s="53">
        <v>176</v>
      </c>
      <c r="I49" s="53">
        <v>88</v>
      </c>
      <c r="J49"/>
      <c r="K49"/>
      <c r="L49"/>
      <c r="M49"/>
      <c r="N49" s="38"/>
      <c r="O49" s="54">
        <v>245.4</v>
      </c>
      <c r="P49" s="54">
        <v>490.8</v>
      </c>
      <c r="Q49" s="54">
        <v>245.4</v>
      </c>
      <c r="R49" s="54"/>
      <c r="S49" s="54">
        <v>245.4</v>
      </c>
      <c r="T49" s="15">
        <v>490.8</v>
      </c>
      <c r="U49" s="15">
        <v>245.4</v>
      </c>
    </row>
    <row r="50" spans="1:21" s="15" customFormat="1" x14ac:dyDescent="0.3">
      <c r="A50" s="17"/>
      <c r="B50"/>
      <c r="C50"/>
      <c r="D50"/>
      <c r="E50"/>
      <c r="F50" s="50">
        <v>38443</v>
      </c>
      <c r="G50" s="53">
        <v>87</v>
      </c>
      <c r="H50" s="53">
        <v>174</v>
      </c>
      <c r="I50" s="53">
        <v>87</v>
      </c>
      <c r="J50"/>
      <c r="K50"/>
      <c r="L50"/>
      <c r="M50"/>
      <c r="N50" s="38"/>
      <c r="O50" s="54">
        <v>251.4</v>
      </c>
      <c r="P50" s="54">
        <v>502.8</v>
      </c>
      <c r="Q50" s="54">
        <v>251.4</v>
      </c>
      <c r="R50" s="54"/>
      <c r="S50" s="54">
        <v>251.4</v>
      </c>
      <c r="T50" s="15">
        <v>502.8</v>
      </c>
      <c r="U50" s="15">
        <v>251.4</v>
      </c>
    </row>
    <row r="51" spans="1:21" s="15" customFormat="1" x14ac:dyDescent="0.3">
      <c r="A51" s="17"/>
      <c r="B51"/>
      <c r="C51"/>
      <c r="D51"/>
      <c r="E51"/>
      <c r="F51" s="50">
        <v>38473</v>
      </c>
      <c r="G51" s="53">
        <v>91.1</v>
      </c>
      <c r="H51" s="53">
        <v>182.2</v>
      </c>
      <c r="I51" s="53">
        <v>91.1</v>
      </c>
      <c r="J51"/>
      <c r="K51"/>
      <c r="L51"/>
      <c r="M51"/>
      <c r="N51" s="38"/>
      <c r="O51" s="54">
        <v>266.10000000000002</v>
      </c>
      <c r="P51" s="54">
        <v>532.20000000000005</v>
      </c>
      <c r="Q51" s="54">
        <v>266.10000000000002</v>
      </c>
      <c r="R51" s="54"/>
      <c r="S51" s="54">
        <v>266.10000000000002</v>
      </c>
      <c r="T51" s="15">
        <v>532.20000000000005</v>
      </c>
      <c r="U51" s="15">
        <v>266.10000000000002</v>
      </c>
    </row>
    <row r="52" spans="1:21" s="15" customFormat="1" x14ac:dyDescent="0.3">
      <c r="A52" s="17"/>
      <c r="B52"/>
      <c r="C52"/>
      <c r="D52"/>
      <c r="E52"/>
      <c r="F52" s="50">
        <v>38504</v>
      </c>
      <c r="G52" s="53">
        <v>91.4</v>
      </c>
      <c r="H52" s="53">
        <v>182.8</v>
      </c>
      <c r="I52" s="53">
        <v>91.4</v>
      </c>
      <c r="J52"/>
      <c r="K52"/>
      <c r="L52"/>
      <c r="M52"/>
      <c r="N52" s="38"/>
      <c r="O52" s="54">
        <v>269.5</v>
      </c>
      <c r="P52" s="54">
        <v>539</v>
      </c>
      <c r="Q52" s="54">
        <v>269.5</v>
      </c>
      <c r="R52" s="54"/>
      <c r="S52" s="54">
        <v>269.5</v>
      </c>
      <c r="T52" s="15">
        <v>539</v>
      </c>
      <c r="U52" s="15">
        <v>269.5</v>
      </c>
    </row>
    <row r="53" spans="1:21" s="15" customFormat="1" x14ac:dyDescent="0.3">
      <c r="A53" s="17"/>
      <c r="B53"/>
      <c r="C53"/>
      <c r="D53"/>
      <c r="E53"/>
      <c r="F53" s="50">
        <v>38534</v>
      </c>
      <c r="G53" s="53">
        <v>90.5</v>
      </c>
      <c r="H53" s="53">
        <v>181</v>
      </c>
      <c r="I53" s="53">
        <v>90.5</v>
      </c>
      <c r="J53"/>
      <c r="K53"/>
      <c r="L53"/>
      <c r="M53"/>
      <c r="N53" s="38"/>
      <c r="O53" s="54">
        <v>273</v>
      </c>
      <c r="P53" s="54">
        <v>546</v>
      </c>
      <c r="Q53" s="54">
        <v>273</v>
      </c>
      <c r="R53" s="54"/>
      <c r="S53" s="54">
        <v>273</v>
      </c>
      <c r="T53" s="15">
        <v>546</v>
      </c>
      <c r="U53" s="15">
        <v>273</v>
      </c>
    </row>
    <row r="54" spans="1:21" s="15" customFormat="1" x14ac:dyDescent="0.3">
      <c r="A54" s="17"/>
      <c r="B54"/>
      <c r="C54"/>
      <c r="D54"/>
      <c r="E54"/>
      <c r="F54" s="50">
        <v>38565</v>
      </c>
      <c r="G54" s="53">
        <v>95.6</v>
      </c>
      <c r="H54" s="53">
        <v>191.2</v>
      </c>
      <c r="I54" s="53">
        <v>95.6</v>
      </c>
      <c r="J54"/>
      <c r="K54"/>
      <c r="L54"/>
      <c r="M54"/>
      <c r="N54" s="38"/>
      <c r="O54" s="54">
        <v>277.5</v>
      </c>
      <c r="P54" s="54">
        <v>555</v>
      </c>
      <c r="Q54" s="54">
        <v>277.5</v>
      </c>
      <c r="R54" s="54"/>
      <c r="S54" s="54">
        <v>277.5</v>
      </c>
      <c r="T54" s="15">
        <v>555</v>
      </c>
      <c r="U54" s="15">
        <v>277.5</v>
      </c>
    </row>
    <row r="55" spans="1:21" s="15" customFormat="1" x14ac:dyDescent="0.3">
      <c r="A55" s="17"/>
      <c r="B55"/>
      <c r="C55"/>
      <c r="D55"/>
      <c r="E55"/>
      <c r="F55" s="50">
        <v>38596</v>
      </c>
      <c r="G55" s="53">
        <v>92</v>
      </c>
      <c r="H55" s="53">
        <v>184</v>
      </c>
      <c r="I55" s="53">
        <v>92</v>
      </c>
      <c r="J55"/>
      <c r="K55"/>
      <c r="L55"/>
      <c r="M55"/>
      <c r="N55" s="38"/>
      <c r="O55" s="54">
        <v>278.10000000000002</v>
      </c>
      <c r="P55" s="54">
        <v>556.20000000000005</v>
      </c>
      <c r="Q55" s="54">
        <v>278.10000000000002</v>
      </c>
      <c r="R55" s="54"/>
      <c r="S55" s="54">
        <v>278.10000000000002</v>
      </c>
      <c r="T55" s="15">
        <v>556.20000000000005</v>
      </c>
      <c r="U55" s="15">
        <v>278.10000000000002</v>
      </c>
    </row>
    <row r="56" spans="1:21" s="15" customFormat="1" x14ac:dyDescent="0.3">
      <c r="A56" s="17"/>
      <c r="B56"/>
      <c r="C56"/>
      <c r="D56"/>
      <c r="E56"/>
      <c r="F56" s="50">
        <v>38626</v>
      </c>
      <c r="G56" s="53">
        <v>93.7</v>
      </c>
      <c r="H56" s="53">
        <v>187.4</v>
      </c>
      <c r="I56" s="53">
        <v>93.7</v>
      </c>
      <c r="J56"/>
      <c r="K56"/>
      <c r="L56"/>
      <c r="M56"/>
      <c r="N56" s="38"/>
      <c r="O56" s="54">
        <v>281.3</v>
      </c>
      <c r="P56" s="54">
        <v>562.6</v>
      </c>
      <c r="Q56" s="54">
        <v>281.3</v>
      </c>
      <c r="R56" s="54"/>
      <c r="S56" s="54">
        <v>281.3</v>
      </c>
      <c r="T56" s="15">
        <v>562.6</v>
      </c>
      <c r="U56" s="15">
        <v>281.3</v>
      </c>
    </row>
    <row r="57" spans="1:21" s="15" customFormat="1" x14ac:dyDescent="0.3">
      <c r="A57" s="17"/>
      <c r="B57"/>
      <c r="C57"/>
      <c r="D57"/>
      <c r="E57"/>
      <c r="F57" s="50">
        <v>38657</v>
      </c>
      <c r="G57" s="53">
        <v>92.4</v>
      </c>
      <c r="H57" s="53">
        <v>184.8</v>
      </c>
      <c r="I57" s="53">
        <v>92.4</v>
      </c>
      <c r="J57"/>
      <c r="K57"/>
      <c r="L57"/>
      <c r="M57"/>
      <c r="N57" s="38"/>
      <c r="O57" s="54">
        <v>278.10000000000002</v>
      </c>
      <c r="P57" s="54">
        <v>556.20000000000005</v>
      </c>
      <c r="Q57" s="54">
        <v>278.10000000000002</v>
      </c>
      <c r="R57" s="54"/>
      <c r="S57" s="54">
        <v>278.10000000000002</v>
      </c>
      <c r="T57" s="15">
        <v>556.20000000000005</v>
      </c>
      <c r="U57" s="15">
        <v>278.10000000000002</v>
      </c>
    </row>
    <row r="58" spans="1:21" s="15" customFormat="1" x14ac:dyDescent="0.3">
      <c r="A58" s="17"/>
      <c r="B58"/>
      <c r="C58"/>
      <c r="D58"/>
      <c r="E58"/>
      <c r="F58" s="50">
        <v>38687</v>
      </c>
      <c r="G58" s="53">
        <v>86.6</v>
      </c>
      <c r="H58" s="53">
        <v>173.2</v>
      </c>
      <c r="I58" s="53">
        <v>86.6</v>
      </c>
      <c r="J58"/>
      <c r="K58"/>
      <c r="L58"/>
      <c r="M58"/>
      <c r="N58" s="38"/>
      <c r="O58" s="54">
        <v>272.70000000000005</v>
      </c>
      <c r="P58" s="54">
        <v>545.40000000000009</v>
      </c>
      <c r="Q58" s="54">
        <v>272.70000000000005</v>
      </c>
      <c r="R58" s="54"/>
      <c r="S58" s="54">
        <v>272.70000000000005</v>
      </c>
      <c r="T58" s="15">
        <v>545.40000000000009</v>
      </c>
      <c r="U58" s="15">
        <v>272.70000000000005</v>
      </c>
    </row>
    <row r="59" spans="1:21" s="15" customFormat="1" x14ac:dyDescent="0.3">
      <c r="A59" s="17"/>
      <c r="B59"/>
      <c r="C59"/>
      <c r="D59"/>
      <c r="E59"/>
      <c r="F59" s="50">
        <v>38718</v>
      </c>
      <c r="G59" s="53">
        <v>83.7</v>
      </c>
      <c r="H59" s="53">
        <v>167.4</v>
      </c>
      <c r="I59" s="53">
        <v>83.7</v>
      </c>
      <c r="J59"/>
      <c r="K59"/>
      <c r="L59"/>
      <c r="M59"/>
      <c r="N59" s="38"/>
      <c r="O59" s="54">
        <v>262.7</v>
      </c>
      <c r="P59" s="54">
        <v>525.4</v>
      </c>
      <c r="Q59" s="54">
        <v>262.7</v>
      </c>
      <c r="R59" s="54"/>
      <c r="S59" s="54">
        <v>262.7</v>
      </c>
      <c r="T59" s="15">
        <v>525.4</v>
      </c>
      <c r="U59" s="15">
        <v>262.7</v>
      </c>
    </row>
    <row r="60" spans="1:21" s="15" customFormat="1" x14ac:dyDescent="0.3">
      <c r="A60" s="17"/>
      <c r="B60"/>
      <c r="C60"/>
      <c r="D60"/>
      <c r="E60"/>
      <c r="F60" s="50">
        <v>38749</v>
      </c>
      <c r="G60" s="53">
        <v>80.2</v>
      </c>
      <c r="H60" s="53">
        <v>160.4</v>
      </c>
      <c r="I60" s="53">
        <v>80.2</v>
      </c>
      <c r="J60"/>
      <c r="K60"/>
      <c r="L60"/>
      <c r="M60"/>
      <c r="N60" s="38"/>
      <c r="O60" s="54">
        <v>250.5</v>
      </c>
      <c r="P60" s="54">
        <v>501</v>
      </c>
      <c r="Q60" s="54">
        <v>250.5</v>
      </c>
      <c r="R60" s="54"/>
      <c r="S60" s="54">
        <v>250.5</v>
      </c>
      <c r="T60" s="15">
        <v>501</v>
      </c>
      <c r="U60" s="15">
        <v>250.5</v>
      </c>
    </row>
    <row r="61" spans="1:21" s="15" customFormat="1" x14ac:dyDescent="0.3">
      <c r="A61" s="17"/>
      <c r="B61"/>
      <c r="C61"/>
      <c r="D61"/>
      <c r="E61"/>
      <c r="F61" s="50">
        <v>38777</v>
      </c>
      <c r="G61" s="53">
        <v>92.4</v>
      </c>
      <c r="H61" s="53">
        <v>184.8</v>
      </c>
      <c r="I61" s="53">
        <v>92.4</v>
      </c>
      <c r="J61"/>
      <c r="K61"/>
      <c r="L61"/>
      <c r="M61"/>
      <c r="N61" s="38"/>
      <c r="O61" s="54">
        <v>256.3</v>
      </c>
      <c r="P61" s="54">
        <v>512.6</v>
      </c>
      <c r="Q61" s="54">
        <v>256.3</v>
      </c>
      <c r="R61" s="54"/>
      <c r="S61" s="54">
        <v>256.3</v>
      </c>
      <c r="T61" s="15">
        <v>512.6</v>
      </c>
      <c r="U61" s="15">
        <v>256.3</v>
      </c>
    </row>
    <row r="62" spans="1:21" s="15" customFormat="1" x14ac:dyDescent="0.3">
      <c r="A62" s="17"/>
      <c r="B62"/>
      <c r="C62"/>
      <c r="D62"/>
      <c r="E62"/>
      <c r="F62" s="50">
        <v>38808</v>
      </c>
      <c r="G62" s="53">
        <v>85.7</v>
      </c>
      <c r="H62" s="53">
        <v>171.4</v>
      </c>
      <c r="I62" s="53">
        <v>85.7</v>
      </c>
      <c r="J62"/>
      <c r="K62"/>
      <c r="L62"/>
      <c r="M62"/>
      <c r="N62" s="38"/>
      <c r="O62" s="54">
        <v>258.3</v>
      </c>
      <c r="P62" s="54">
        <v>516.6</v>
      </c>
      <c r="Q62" s="54">
        <v>258.3</v>
      </c>
      <c r="R62" s="54"/>
      <c r="S62" s="54">
        <v>258.3</v>
      </c>
      <c r="T62" s="15">
        <v>516.6</v>
      </c>
      <c r="U62" s="15">
        <v>258.3</v>
      </c>
    </row>
    <row r="63" spans="1:21" s="15" customFormat="1" x14ac:dyDescent="0.3">
      <c r="A63" s="17"/>
      <c r="B63"/>
      <c r="C63"/>
      <c r="D63"/>
      <c r="E63"/>
      <c r="F63" s="50">
        <v>38838</v>
      </c>
      <c r="G63" s="53">
        <v>95.4</v>
      </c>
      <c r="H63" s="53">
        <v>190.8</v>
      </c>
      <c r="I63" s="53">
        <v>95.4</v>
      </c>
      <c r="J63"/>
      <c r="K63"/>
      <c r="L63"/>
      <c r="M63"/>
      <c r="N63" s="38"/>
      <c r="O63" s="54">
        <v>273.5</v>
      </c>
      <c r="P63" s="54">
        <v>547</v>
      </c>
      <c r="Q63" s="54">
        <v>273.5</v>
      </c>
      <c r="R63" s="54"/>
      <c r="S63" s="54">
        <v>273.5</v>
      </c>
      <c r="T63" s="15">
        <v>547</v>
      </c>
      <c r="U63" s="15">
        <v>273.5</v>
      </c>
    </row>
    <row r="64" spans="1:21" s="15" customFormat="1" x14ac:dyDescent="0.3">
      <c r="A64" s="17"/>
      <c r="B64"/>
      <c r="C64"/>
      <c r="D64"/>
      <c r="E64"/>
      <c r="F64" s="50">
        <v>38869</v>
      </c>
      <c r="G64" s="53">
        <v>91.1</v>
      </c>
      <c r="H64" s="53">
        <v>182.2</v>
      </c>
      <c r="I64" s="53">
        <v>91.1</v>
      </c>
      <c r="J64"/>
      <c r="K64"/>
      <c r="L64"/>
      <c r="M64"/>
      <c r="N64" s="38"/>
      <c r="O64" s="54">
        <v>272.20000000000005</v>
      </c>
      <c r="P64" s="54">
        <v>544.40000000000009</v>
      </c>
      <c r="Q64" s="54">
        <v>272.20000000000005</v>
      </c>
      <c r="R64" s="54"/>
      <c r="S64" s="54">
        <v>272.20000000000005</v>
      </c>
      <c r="T64" s="15">
        <v>544.40000000000009</v>
      </c>
      <c r="U64" s="15">
        <v>272.20000000000005</v>
      </c>
    </row>
    <row r="65" spans="1:21" s="15" customFormat="1" x14ac:dyDescent="0.3">
      <c r="A65" s="17"/>
      <c r="B65"/>
      <c r="C65"/>
      <c r="D65"/>
      <c r="E65"/>
      <c r="F65" s="50">
        <v>38899</v>
      </c>
      <c r="G65" s="53">
        <v>93.8</v>
      </c>
      <c r="H65" s="53">
        <v>187.6</v>
      </c>
      <c r="I65" s="53">
        <v>93.8</v>
      </c>
      <c r="J65"/>
      <c r="K65"/>
      <c r="L65"/>
      <c r="M65"/>
      <c r="N65" s="38"/>
      <c r="O65" s="54">
        <v>280.3</v>
      </c>
      <c r="P65" s="54">
        <v>560.6</v>
      </c>
      <c r="Q65" s="54">
        <v>280.3</v>
      </c>
      <c r="R65" s="54"/>
      <c r="S65" s="54">
        <v>280.3</v>
      </c>
      <c r="T65" s="15">
        <v>560.6</v>
      </c>
      <c r="U65" s="15">
        <v>280.3</v>
      </c>
    </row>
    <row r="66" spans="1:21" s="15" customFormat="1" x14ac:dyDescent="0.3">
      <c r="A66" s="17"/>
      <c r="B66"/>
      <c r="C66"/>
      <c r="D66"/>
      <c r="E66"/>
      <c r="F66" s="50">
        <v>38930</v>
      </c>
      <c r="G66" s="53">
        <v>98.6</v>
      </c>
      <c r="H66" s="53">
        <v>197.2</v>
      </c>
      <c r="I66" s="53">
        <v>98.6</v>
      </c>
      <c r="J66"/>
      <c r="K66"/>
      <c r="L66"/>
      <c r="M66"/>
      <c r="N66" s="38"/>
      <c r="O66" s="54">
        <v>283.5</v>
      </c>
      <c r="P66" s="54">
        <v>567</v>
      </c>
      <c r="Q66" s="54">
        <v>283.5</v>
      </c>
      <c r="R66" s="54"/>
      <c r="S66" s="54">
        <v>283.5</v>
      </c>
      <c r="T66" s="15">
        <v>567</v>
      </c>
      <c r="U66" s="15">
        <v>283.5</v>
      </c>
    </row>
    <row r="67" spans="1:21" s="15" customFormat="1" x14ac:dyDescent="0.3">
      <c r="A67" s="17"/>
      <c r="B67"/>
      <c r="C67"/>
      <c r="D67"/>
      <c r="E67"/>
      <c r="F67" s="50">
        <v>38961</v>
      </c>
      <c r="G67" s="53">
        <v>93.2</v>
      </c>
      <c r="H67" s="53">
        <v>186.4</v>
      </c>
      <c r="I67" s="53">
        <v>93.2</v>
      </c>
      <c r="J67"/>
      <c r="K67"/>
      <c r="L67"/>
      <c r="M67"/>
      <c r="N67" s="38"/>
      <c r="O67" s="54">
        <v>285.59999999999997</v>
      </c>
      <c r="P67" s="54">
        <v>571.19999999999993</v>
      </c>
      <c r="Q67" s="54">
        <v>285.59999999999997</v>
      </c>
      <c r="R67" s="54"/>
      <c r="S67" s="54">
        <v>285.59999999999997</v>
      </c>
      <c r="T67" s="15">
        <v>571.19999999999993</v>
      </c>
      <c r="U67" s="15">
        <v>285.59999999999997</v>
      </c>
    </row>
    <row r="68" spans="1:21" s="15" customFormat="1" x14ac:dyDescent="0.3">
      <c r="A68" s="17"/>
      <c r="B68"/>
      <c r="C68"/>
      <c r="D68"/>
      <c r="E68"/>
      <c r="F68" s="50">
        <v>38991</v>
      </c>
      <c r="G68" s="53">
        <v>97.5</v>
      </c>
      <c r="H68" s="53">
        <v>195</v>
      </c>
      <c r="I68" s="53">
        <v>97.5</v>
      </c>
      <c r="J68"/>
      <c r="K68"/>
      <c r="L68"/>
      <c r="M68"/>
      <c r="N68" s="38"/>
      <c r="O68" s="54">
        <v>289.3</v>
      </c>
      <c r="P68" s="54">
        <v>578.6</v>
      </c>
      <c r="Q68" s="54">
        <v>289.3</v>
      </c>
      <c r="R68" s="54"/>
      <c r="S68" s="54">
        <v>289.3</v>
      </c>
      <c r="T68" s="15">
        <v>578.6</v>
      </c>
      <c r="U68" s="15">
        <v>289.3</v>
      </c>
    </row>
    <row r="69" spans="1:21" s="15" customFormat="1" x14ac:dyDescent="0.3">
      <c r="A69" s="17"/>
      <c r="B69"/>
      <c r="C69"/>
      <c r="D69"/>
      <c r="E69"/>
      <c r="F69" s="50">
        <v>39022</v>
      </c>
      <c r="G69" s="53">
        <v>95.9</v>
      </c>
      <c r="H69" s="53">
        <v>191.8</v>
      </c>
      <c r="I69" s="53">
        <v>95.9</v>
      </c>
      <c r="J69"/>
      <c r="K69"/>
      <c r="L69"/>
      <c r="M69"/>
      <c r="N69" s="38"/>
      <c r="O69" s="54">
        <v>286.60000000000002</v>
      </c>
      <c r="P69" s="54">
        <v>573.20000000000005</v>
      </c>
      <c r="Q69" s="54">
        <v>286.60000000000002</v>
      </c>
      <c r="R69" s="54"/>
      <c r="S69" s="54">
        <v>286.60000000000002</v>
      </c>
      <c r="T69" s="15">
        <v>573.20000000000005</v>
      </c>
      <c r="U69" s="15">
        <v>286.60000000000002</v>
      </c>
    </row>
    <row r="70" spans="1:21" s="15" customFormat="1" x14ac:dyDescent="0.3">
      <c r="A70" s="17"/>
      <c r="B70"/>
      <c r="C70"/>
      <c r="D70"/>
      <c r="E70"/>
      <c r="F70" s="50">
        <v>39052</v>
      </c>
      <c r="G70" s="53">
        <v>87</v>
      </c>
      <c r="H70" s="53">
        <v>174</v>
      </c>
      <c r="I70" s="53">
        <v>87</v>
      </c>
      <c r="J70"/>
      <c r="K70"/>
      <c r="L70"/>
      <c r="M70"/>
      <c r="N70" s="38"/>
      <c r="O70" s="54">
        <v>280.39999999999998</v>
      </c>
      <c r="P70" s="54">
        <v>560.79999999999995</v>
      </c>
      <c r="Q70" s="54">
        <v>280.39999999999998</v>
      </c>
      <c r="R70" s="54"/>
      <c r="S70" s="54">
        <v>280.39999999999998</v>
      </c>
      <c r="T70" s="15">
        <v>560.79999999999995</v>
      </c>
      <c r="U70" s="15">
        <v>280.39999999999998</v>
      </c>
    </row>
    <row r="71" spans="1:21" s="15" customFormat="1" x14ac:dyDescent="0.3">
      <c r="A71" s="17"/>
      <c r="B71"/>
      <c r="C71"/>
      <c r="D71"/>
      <c r="E71"/>
      <c r="F71" s="50">
        <v>39083</v>
      </c>
      <c r="G71" s="53">
        <v>87</v>
      </c>
      <c r="H71" s="53">
        <v>174</v>
      </c>
      <c r="I71" s="53">
        <v>87</v>
      </c>
      <c r="J71"/>
      <c r="K71"/>
      <c r="L71"/>
      <c r="M71"/>
      <c r="N71" s="38"/>
      <c r="O71" s="54">
        <v>269.89999999999998</v>
      </c>
      <c r="P71" s="54">
        <v>539.79999999999995</v>
      </c>
      <c r="Q71" s="54">
        <v>269.89999999999998</v>
      </c>
      <c r="R71" s="54"/>
      <c r="S71" s="54">
        <v>269.89999999999998</v>
      </c>
      <c r="T71" s="15">
        <v>539.79999999999995</v>
      </c>
      <c r="U71" s="15">
        <v>269.89999999999998</v>
      </c>
    </row>
    <row r="72" spans="1:21" s="15" customFormat="1" x14ac:dyDescent="0.3">
      <c r="A72" s="17"/>
      <c r="B72"/>
      <c r="C72"/>
      <c r="D72"/>
      <c r="E72"/>
      <c r="F72" s="50">
        <v>39114</v>
      </c>
      <c r="G72" s="53">
        <v>82.6</v>
      </c>
      <c r="H72" s="53">
        <v>165.2</v>
      </c>
      <c r="I72" s="53">
        <v>82.6</v>
      </c>
      <c r="J72"/>
      <c r="K72"/>
      <c r="L72"/>
      <c r="M72"/>
      <c r="N72" s="38"/>
      <c r="O72" s="54">
        <v>256.60000000000002</v>
      </c>
      <c r="P72" s="54">
        <v>513.20000000000005</v>
      </c>
      <c r="Q72" s="54">
        <v>256.60000000000002</v>
      </c>
      <c r="R72" s="54"/>
      <c r="S72" s="54">
        <v>256.60000000000002</v>
      </c>
      <c r="T72" s="15">
        <v>513.20000000000005</v>
      </c>
      <c r="U72" s="15">
        <v>256.60000000000002</v>
      </c>
    </row>
    <row r="73" spans="1:21" s="15" customFormat="1" x14ac:dyDescent="0.3">
      <c r="A73" s="17"/>
      <c r="B73"/>
      <c r="C73"/>
      <c r="D73"/>
      <c r="E73"/>
      <c r="F73" s="50">
        <v>39142</v>
      </c>
      <c r="G73" s="53">
        <v>96.4</v>
      </c>
      <c r="H73" s="53">
        <v>192.8</v>
      </c>
      <c r="I73" s="53">
        <v>96.4</v>
      </c>
      <c r="J73"/>
      <c r="K73"/>
      <c r="L73"/>
      <c r="M73"/>
      <c r="N73" s="38"/>
      <c r="O73" s="54">
        <v>266</v>
      </c>
      <c r="P73" s="54">
        <v>532</v>
      </c>
      <c r="Q73" s="54">
        <v>266</v>
      </c>
      <c r="R73" s="54"/>
      <c r="S73" s="54">
        <v>266</v>
      </c>
      <c r="T73" s="15">
        <v>532</v>
      </c>
      <c r="U73" s="15">
        <v>266</v>
      </c>
    </row>
    <row r="74" spans="1:21" s="15" customFormat="1" x14ac:dyDescent="0.3">
      <c r="A74" s="17"/>
      <c r="B74"/>
      <c r="C74"/>
      <c r="D74"/>
      <c r="E74"/>
      <c r="F74" s="50">
        <v>39173</v>
      </c>
      <c r="G74" s="53">
        <v>90.6</v>
      </c>
      <c r="H74" s="53">
        <v>181.2</v>
      </c>
      <c r="I74" s="53">
        <v>90.6</v>
      </c>
      <c r="J74"/>
      <c r="K74"/>
      <c r="L74"/>
      <c r="M74"/>
      <c r="N74" s="38"/>
      <c r="O74" s="54">
        <v>269.60000000000002</v>
      </c>
      <c r="P74" s="54">
        <v>539.20000000000005</v>
      </c>
      <c r="Q74" s="54">
        <v>269.60000000000002</v>
      </c>
      <c r="R74" s="54"/>
      <c r="S74" s="54">
        <v>269.60000000000002</v>
      </c>
      <c r="T74" s="15">
        <v>539.20000000000005</v>
      </c>
      <c r="U74" s="15">
        <v>269.60000000000002</v>
      </c>
    </row>
    <row r="75" spans="1:21" s="15" customFormat="1" x14ac:dyDescent="0.3">
      <c r="A75" s="17"/>
      <c r="B75"/>
      <c r="C75"/>
      <c r="D75"/>
      <c r="E75"/>
      <c r="F75" s="50">
        <v>39203</v>
      </c>
      <c r="G75" s="53">
        <v>99.9</v>
      </c>
      <c r="H75" s="53">
        <v>199.8</v>
      </c>
      <c r="I75" s="53">
        <v>99.9</v>
      </c>
      <c r="J75"/>
      <c r="K75"/>
      <c r="L75"/>
      <c r="M75"/>
      <c r="N75" s="38"/>
      <c r="O75" s="54">
        <v>286.89999999999998</v>
      </c>
      <c r="P75" s="54">
        <v>573.79999999999995</v>
      </c>
      <c r="Q75" s="54">
        <v>286.89999999999998</v>
      </c>
      <c r="R75" s="54"/>
      <c r="S75" s="54">
        <v>286.89999999999998</v>
      </c>
      <c r="T75" s="15">
        <v>573.79999999999995</v>
      </c>
      <c r="U75" s="15">
        <v>286.89999999999998</v>
      </c>
    </row>
    <row r="76" spans="1:21" s="15" customFormat="1" x14ac:dyDescent="0.3">
      <c r="A76" s="17"/>
      <c r="B76"/>
      <c r="C76"/>
      <c r="D76"/>
      <c r="E76"/>
      <c r="F76" s="50">
        <v>39234</v>
      </c>
      <c r="G76" s="53">
        <v>96.9</v>
      </c>
      <c r="H76" s="53">
        <v>193.8</v>
      </c>
      <c r="I76" s="53">
        <v>96.9</v>
      </c>
      <c r="J76"/>
      <c r="K76"/>
      <c r="L76"/>
      <c r="M76"/>
      <c r="N76" s="38"/>
      <c r="O76" s="54">
        <v>287.39999999999998</v>
      </c>
      <c r="P76" s="54">
        <v>574.79999999999995</v>
      </c>
      <c r="Q76" s="54">
        <v>287.39999999999998</v>
      </c>
      <c r="R76" s="54"/>
      <c r="S76" s="54">
        <v>287.39999999999998</v>
      </c>
      <c r="T76" s="15">
        <v>574.79999999999995</v>
      </c>
      <c r="U76" s="15">
        <v>287.39999999999998</v>
      </c>
    </row>
    <row r="77" spans="1:21" s="15" customFormat="1" x14ac:dyDescent="0.3">
      <c r="A77" s="17"/>
      <c r="B77"/>
      <c r="C77"/>
      <c r="D77"/>
      <c r="E77"/>
      <c r="F77" s="50">
        <v>39264</v>
      </c>
      <c r="G77" s="53">
        <v>99.8</v>
      </c>
      <c r="H77" s="53">
        <v>199.6</v>
      </c>
      <c r="I77" s="53">
        <v>99.8</v>
      </c>
      <c r="J77"/>
      <c r="K77"/>
      <c r="L77"/>
      <c r="M77"/>
      <c r="N77" s="38"/>
      <c r="O77" s="54">
        <v>296.60000000000002</v>
      </c>
      <c r="P77" s="54">
        <v>593.20000000000005</v>
      </c>
      <c r="Q77" s="54">
        <v>296.60000000000002</v>
      </c>
      <c r="R77" s="54"/>
      <c r="S77" s="54">
        <v>296.60000000000002</v>
      </c>
      <c r="T77" s="15">
        <v>593.20000000000005</v>
      </c>
      <c r="U77" s="15">
        <v>296.60000000000002</v>
      </c>
    </row>
    <row r="78" spans="1:21" s="15" customFormat="1" x14ac:dyDescent="0.3">
      <c r="A78" s="17"/>
      <c r="B78"/>
      <c r="C78"/>
      <c r="D78"/>
      <c r="E78"/>
      <c r="F78" s="50">
        <v>39295</v>
      </c>
      <c r="G78" s="53">
        <v>104.9</v>
      </c>
      <c r="H78" s="53">
        <v>209.8</v>
      </c>
      <c r="I78" s="53">
        <v>104.9</v>
      </c>
      <c r="J78"/>
      <c r="K78"/>
      <c r="L78"/>
      <c r="M78"/>
      <c r="N78" s="38"/>
      <c r="O78" s="54">
        <v>301.60000000000002</v>
      </c>
      <c r="P78" s="54">
        <v>603.20000000000005</v>
      </c>
      <c r="Q78" s="54">
        <v>301.60000000000002</v>
      </c>
      <c r="R78" s="54"/>
      <c r="S78" s="54">
        <v>301.60000000000002</v>
      </c>
      <c r="T78" s="15">
        <v>603.20000000000005</v>
      </c>
      <c r="U78" s="15">
        <v>301.60000000000002</v>
      </c>
    </row>
    <row r="79" spans="1:21" s="15" customFormat="1" x14ac:dyDescent="0.3">
      <c r="A79" s="17"/>
      <c r="B79"/>
      <c r="C79"/>
      <c r="D79"/>
      <c r="E79"/>
      <c r="F79" s="50">
        <v>39326</v>
      </c>
      <c r="G79" s="53">
        <v>98.4</v>
      </c>
      <c r="H79" s="53">
        <v>196.8</v>
      </c>
      <c r="I79" s="53">
        <v>98.4</v>
      </c>
      <c r="J79"/>
      <c r="K79"/>
      <c r="L79"/>
      <c r="M79"/>
      <c r="N79" s="38"/>
      <c r="O79" s="54">
        <v>303.10000000000002</v>
      </c>
      <c r="P79" s="54">
        <v>606.20000000000005</v>
      </c>
      <c r="Q79" s="54">
        <v>303.10000000000002</v>
      </c>
      <c r="R79" s="54"/>
      <c r="S79" s="54">
        <v>303.10000000000002</v>
      </c>
      <c r="T79" s="15">
        <v>606.20000000000005</v>
      </c>
      <c r="U79" s="15">
        <v>303.10000000000002</v>
      </c>
    </row>
    <row r="80" spans="1:21" s="15" customFormat="1" x14ac:dyDescent="0.3">
      <c r="A80" s="17"/>
      <c r="B80"/>
      <c r="C80"/>
      <c r="D80"/>
      <c r="E80"/>
      <c r="F80" s="50">
        <v>39356</v>
      </c>
      <c r="G80" s="53">
        <v>107.8</v>
      </c>
      <c r="H80" s="53">
        <v>215.6</v>
      </c>
      <c r="I80" s="53">
        <v>107.8</v>
      </c>
      <c r="J80"/>
      <c r="K80"/>
      <c r="L80"/>
      <c r="M80"/>
      <c r="N80" s="38"/>
      <c r="O80" s="54">
        <v>311.10000000000002</v>
      </c>
      <c r="P80" s="54">
        <v>622.20000000000005</v>
      </c>
      <c r="Q80" s="54">
        <v>311.10000000000002</v>
      </c>
      <c r="R80" s="54"/>
      <c r="S80" s="54">
        <v>311.10000000000002</v>
      </c>
      <c r="T80" s="15">
        <v>622.20000000000005</v>
      </c>
      <c r="U80" s="15">
        <v>311.10000000000002</v>
      </c>
    </row>
    <row r="81" spans="1:21" s="15" customFormat="1" x14ac:dyDescent="0.3">
      <c r="A81" s="17"/>
      <c r="B81"/>
      <c r="C81"/>
      <c r="D81"/>
      <c r="E81"/>
      <c r="F81" s="50">
        <v>39387</v>
      </c>
      <c r="G81" s="53">
        <v>102.4</v>
      </c>
      <c r="H81" s="53">
        <v>204.8</v>
      </c>
      <c r="I81" s="53">
        <v>102.4</v>
      </c>
      <c r="J81"/>
      <c r="K81"/>
      <c r="L81"/>
      <c r="M81"/>
      <c r="N81" s="38"/>
      <c r="O81" s="54">
        <v>308.60000000000002</v>
      </c>
      <c r="P81" s="54">
        <v>617.20000000000005</v>
      </c>
      <c r="Q81" s="54">
        <v>308.60000000000002</v>
      </c>
      <c r="R81" s="54"/>
      <c r="S81" s="54">
        <v>308.60000000000002</v>
      </c>
      <c r="T81" s="15">
        <v>617.20000000000005</v>
      </c>
      <c r="U81" s="15">
        <v>308.60000000000002</v>
      </c>
    </row>
    <row r="82" spans="1:21" s="15" customFormat="1" x14ac:dyDescent="0.3">
      <c r="A82" s="17"/>
      <c r="B82"/>
      <c r="C82"/>
      <c r="D82"/>
      <c r="E82"/>
      <c r="F82" s="50">
        <v>39417</v>
      </c>
      <c r="G82" s="53">
        <v>92.6</v>
      </c>
      <c r="H82" s="53">
        <v>185.2</v>
      </c>
      <c r="I82" s="53">
        <v>92.6</v>
      </c>
      <c r="J82"/>
      <c r="K82"/>
      <c r="L82"/>
      <c r="M82"/>
      <c r="N82" s="38"/>
      <c r="O82" s="54">
        <v>302.79999999999995</v>
      </c>
      <c r="P82" s="54">
        <v>605.59999999999991</v>
      </c>
      <c r="Q82" s="54">
        <v>302.79999999999995</v>
      </c>
      <c r="R82" s="54"/>
      <c r="S82" s="54">
        <v>302.79999999999995</v>
      </c>
      <c r="T82" s="15">
        <v>605.59999999999991</v>
      </c>
      <c r="U82" s="15">
        <v>302.79999999999995</v>
      </c>
    </row>
    <row r="83" spans="1:21" s="15" customFormat="1" x14ac:dyDescent="0.3">
      <c r="A83" s="17"/>
      <c r="B83"/>
      <c r="C83"/>
      <c r="D83"/>
      <c r="E83"/>
      <c r="F83" s="50">
        <v>39448</v>
      </c>
      <c r="G83" s="53">
        <v>94.8</v>
      </c>
      <c r="H83" s="53">
        <v>189.6</v>
      </c>
      <c r="I83" s="53">
        <v>94.8</v>
      </c>
      <c r="J83"/>
      <c r="K83"/>
      <c r="L83"/>
      <c r="M83"/>
      <c r="N83" s="38"/>
      <c r="O83" s="54">
        <v>289.8</v>
      </c>
      <c r="P83" s="54">
        <v>579.6</v>
      </c>
      <c r="Q83" s="54">
        <v>289.8</v>
      </c>
      <c r="R83" s="54"/>
      <c r="S83" s="54">
        <v>289.8</v>
      </c>
      <c r="T83" s="15">
        <v>579.6</v>
      </c>
      <c r="U83" s="15">
        <v>289.8</v>
      </c>
    </row>
    <row r="84" spans="1:21" s="15" customFormat="1" x14ac:dyDescent="0.3">
      <c r="A84" s="17"/>
      <c r="B84"/>
      <c r="C84"/>
      <c r="D84"/>
      <c r="E84"/>
      <c r="F84" s="50">
        <v>39479</v>
      </c>
      <c r="G84" s="53">
        <v>91.1</v>
      </c>
      <c r="H84" s="53">
        <v>182.2</v>
      </c>
      <c r="I84" s="53">
        <v>91.1</v>
      </c>
      <c r="J84"/>
      <c r="K84"/>
      <c r="L84"/>
      <c r="M84"/>
      <c r="N84" s="38"/>
      <c r="O84" s="54">
        <v>278.5</v>
      </c>
      <c r="P84" s="54">
        <v>557</v>
      </c>
      <c r="Q84" s="54">
        <v>278.5</v>
      </c>
      <c r="R84" s="54"/>
      <c r="S84" s="54">
        <v>278.5</v>
      </c>
      <c r="T84" s="15">
        <v>557</v>
      </c>
      <c r="U84" s="15">
        <v>278.5</v>
      </c>
    </row>
    <row r="85" spans="1:21" s="15" customFormat="1" x14ac:dyDescent="0.3">
      <c r="A85" s="17"/>
      <c r="B85"/>
      <c r="C85"/>
      <c r="D85"/>
      <c r="E85"/>
      <c r="F85" s="50">
        <v>39508</v>
      </c>
      <c r="G85" s="53">
        <v>97.7</v>
      </c>
      <c r="H85" s="53">
        <v>195.4</v>
      </c>
      <c r="I85" s="53">
        <v>97.7</v>
      </c>
      <c r="J85"/>
      <c r="K85"/>
      <c r="L85"/>
      <c r="M85"/>
      <c r="N85" s="38"/>
      <c r="O85" s="54">
        <v>283.59999999999997</v>
      </c>
      <c r="P85" s="54">
        <v>567.19999999999993</v>
      </c>
      <c r="Q85" s="54">
        <v>283.59999999999997</v>
      </c>
      <c r="R85" s="54"/>
      <c r="S85" s="54">
        <v>283.59999999999997</v>
      </c>
      <c r="T85" s="15">
        <v>567.19999999999993</v>
      </c>
      <c r="U85" s="15">
        <v>283.59999999999997</v>
      </c>
    </row>
    <row r="86" spans="1:21" s="15" customFormat="1" x14ac:dyDescent="0.3">
      <c r="A86" s="17"/>
      <c r="B86"/>
      <c r="C86"/>
      <c r="D86"/>
      <c r="E86"/>
      <c r="F86" s="50">
        <v>39539</v>
      </c>
      <c r="G86" s="53">
        <v>99.2</v>
      </c>
      <c r="H86" s="53">
        <v>198.4</v>
      </c>
      <c r="I86" s="53">
        <v>99.2</v>
      </c>
      <c r="J86"/>
      <c r="K86"/>
      <c r="L86"/>
      <c r="M86"/>
      <c r="N86" s="38"/>
      <c r="O86" s="54">
        <v>288</v>
      </c>
      <c r="P86" s="54">
        <v>576</v>
      </c>
      <c r="Q86" s="54">
        <v>288</v>
      </c>
      <c r="R86" s="54"/>
      <c r="S86" s="54">
        <v>288</v>
      </c>
      <c r="T86" s="15">
        <v>576</v>
      </c>
      <c r="U86" s="15">
        <v>288</v>
      </c>
    </row>
    <row r="87" spans="1:21" s="15" customFormat="1" x14ac:dyDescent="0.3">
      <c r="A87" s="17"/>
      <c r="B87"/>
      <c r="C87"/>
      <c r="D87"/>
      <c r="E87"/>
      <c r="F87" s="50">
        <v>39569</v>
      </c>
      <c r="G87" s="53">
        <v>102.5</v>
      </c>
      <c r="H87" s="53">
        <v>205</v>
      </c>
      <c r="I87" s="53">
        <v>102.5</v>
      </c>
      <c r="J87"/>
      <c r="K87"/>
      <c r="L87"/>
      <c r="M87"/>
      <c r="N87" s="38"/>
      <c r="O87" s="54">
        <v>299.39999999999998</v>
      </c>
      <c r="P87" s="54">
        <v>598.79999999999995</v>
      </c>
      <c r="Q87" s="54">
        <v>299.39999999999998</v>
      </c>
      <c r="R87" s="54"/>
      <c r="S87" s="54">
        <v>299.39999999999998</v>
      </c>
      <c r="T87" s="15">
        <v>598.79999999999995</v>
      </c>
      <c r="U87" s="15">
        <v>299.39999999999998</v>
      </c>
    </row>
    <row r="88" spans="1:21" s="15" customFormat="1" x14ac:dyDescent="0.3">
      <c r="A88" s="17"/>
      <c r="B88"/>
      <c r="C88"/>
      <c r="D88"/>
      <c r="E88"/>
      <c r="F88" s="50">
        <v>39600</v>
      </c>
      <c r="G88" s="53">
        <v>103.3</v>
      </c>
      <c r="H88" s="53">
        <v>206.6</v>
      </c>
      <c r="I88" s="53">
        <v>103.3</v>
      </c>
      <c r="J88"/>
      <c r="K88"/>
      <c r="L88"/>
      <c r="M88"/>
      <c r="N88" s="38"/>
      <c r="O88" s="54">
        <v>305</v>
      </c>
      <c r="P88" s="54">
        <v>610</v>
      </c>
      <c r="Q88" s="54">
        <v>305</v>
      </c>
      <c r="R88" s="54"/>
      <c r="S88" s="54">
        <v>305</v>
      </c>
      <c r="T88" s="15">
        <v>610</v>
      </c>
      <c r="U88" s="15">
        <v>305</v>
      </c>
    </row>
    <row r="89" spans="1:21" s="15" customFormat="1" x14ac:dyDescent="0.3">
      <c r="A89" s="17"/>
      <c r="B89"/>
      <c r="C89"/>
      <c r="D89"/>
      <c r="E89"/>
      <c r="F89" s="50">
        <v>39630</v>
      </c>
      <c r="G89" s="53">
        <v>108.5</v>
      </c>
      <c r="H89" s="53">
        <v>217</v>
      </c>
      <c r="I89" s="53">
        <v>108.5</v>
      </c>
      <c r="J89"/>
      <c r="K89"/>
      <c r="L89"/>
      <c r="M89"/>
      <c r="N89" s="38"/>
      <c r="O89" s="54">
        <v>314.3</v>
      </c>
      <c r="P89" s="54">
        <v>628.6</v>
      </c>
      <c r="Q89" s="54">
        <v>314.3</v>
      </c>
      <c r="R89" s="54"/>
      <c r="S89" s="54">
        <v>314.3</v>
      </c>
      <c r="T89" s="15">
        <v>628.6</v>
      </c>
      <c r="U89" s="15">
        <v>314.3</v>
      </c>
    </row>
    <row r="90" spans="1:21" s="15" customFormat="1" x14ac:dyDescent="0.3">
      <c r="A90" s="17"/>
      <c r="B90"/>
      <c r="C90"/>
      <c r="D90"/>
      <c r="E90"/>
      <c r="F90" s="50">
        <v>39661</v>
      </c>
      <c r="G90" s="53">
        <v>106.9</v>
      </c>
      <c r="H90" s="53">
        <v>213.8</v>
      </c>
      <c r="I90" s="53">
        <v>106.9</v>
      </c>
      <c r="J90"/>
      <c r="K90"/>
      <c r="L90"/>
      <c r="M90"/>
      <c r="N90" s="38"/>
      <c r="O90" s="54">
        <v>318.70000000000005</v>
      </c>
      <c r="P90" s="54">
        <v>637.40000000000009</v>
      </c>
      <c r="Q90" s="54">
        <v>318.70000000000005</v>
      </c>
      <c r="R90" s="54"/>
      <c r="S90" s="54">
        <v>318.70000000000005</v>
      </c>
      <c r="T90" s="15">
        <v>637.40000000000009</v>
      </c>
      <c r="U90" s="15">
        <v>318.70000000000005</v>
      </c>
    </row>
    <row r="91" spans="1:21" s="15" customFormat="1" x14ac:dyDescent="0.3">
      <c r="A91" s="17"/>
      <c r="B91"/>
      <c r="C91"/>
      <c r="D91"/>
      <c r="E91"/>
      <c r="F91" s="50">
        <v>39692</v>
      </c>
      <c r="G91" s="53">
        <v>107.3</v>
      </c>
      <c r="H91" s="53">
        <v>214.6</v>
      </c>
      <c r="I91" s="53">
        <v>107.3</v>
      </c>
      <c r="J91"/>
      <c r="K91"/>
      <c r="L91"/>
      <c r="M91"/>
      <c r="N91" s="38"/>
      <c r="O91" s="54">
        <v>322.7</v>
      </c>
      <c r="P91" s="54">
        <v>645.4</v>
      </c>
      <c r="Q91" s="54">
        <v>322.7</v>
      </c>
      <c r="R91" s="54"/>
      <c r="S91" s="54">
        <v>322.7</v>
      </c>
      <c r="T91" s="15">
        <v>645.4</v>
      </c>
      <c r="U91" s="15">
        <v>322.7</v>
      </c>
    </row>
    <row r="92" spans="1:21" s="15" customFormat="1" x14ac:dyDescent="0.3">
      <c r="A92" s="17"/>
      <c r="B92"/>
      <c r="C92"/>
      <c r="D92"/>
      <c r="E92"/>
      <c r="F92" s="50">
        <v>39722</v>
      </c>
      <c r="G92" s="53">
        <v>108.4</v>
      </c>
      <c r="H92" s="53">
        <v>216.8</v>
      </c>
      <c r="I92" s="53">
        <v>108.4</v>
      </c>
      <c r="J92"/>
      <c r="K92"/>
      <c r="L92"/>
      <c r="M92"/>
      <c r="N92" s="38"/>
      <c r="O92" s="54">
        <v>322.60000000000002</v>
      </c>
      <c r="P92" s="54">
        <v>645.20000000000005</v>
      </c>
      <c r="Q92" s="54">
        <v>322.60000000000002</v>
      </c>
      <c r="R92" s="54"/>
      <c r="S92" s="54">
        <v>322.60000000000002</v>
      </c>
      <c r="T92" s="15">
        <v>645.20000000000005</v>
      </c>
      <c r="U92" s="15">
        <v>322.60000000000002</v>
      </c>
    </row>
    <row r="93" spans="1:21" s="15" customFormat="1" x14ac:dyDescent="0.3">
      <c r="A93" s="17"/>
      <c r="B93"/>
      <c r="C93"/>
      <c r="D93"/>
      <c r="E93"/>
      <c r="F93" s="50">
        <v>39753</v>
      </c>
      <c r="G93" s="53">
        <v>96.2</v>
      </c>
      <c r="H93" s="53">
        <v>192.4</v>
      </c>
      <c r="I93" s="53">
        <v>96.2</v>
      </c>
      <c r="J93"/>
      <c r="K93"/>
      <c r="L93"/>
      <c r="M93"/>
      <c r="N93" s="38"/>
      <c r="O93" s="54">
        <v>311.89999999999998</v>
      </c>
      <c r="P93" s="54">
        <v>623.79999999999995</v>
      </c>
      <c r="Q93" s="54">
        <v>311.89999999999998</v>
      </c>
      <c r="R93" s="54"/>
      <c r="S93" s="54">
        <v>311.89999999999998</v>
      </c>
      <c r="T93" s="15">
        <v>623.79999999999995</v>
      </c>
      <c r="U93" s="15">
        <v>311.89999999999998</v>
      </c>
    </row>
    <row r="94" spans="1:21" s="15" customFormat="1" x14ac:dyDescent="0.3">
      <c r="A94" s="17"/>
      <c r="B94"/>
      <c r="C94"/>
      <c r="D94"/>
      <c r="E94"/>
      <c r="F94" s="50">
        <v>39783</v>
      </c>
      <c r="G94" s="53">
        <v>79.099999999999994</v>
      </c>
      <c r="H94" s="53">
        <v>158.19999999999999</v>
      </c>
      <c r="I94" s="53">
        <v>79.099999999999994</v>
      </c>
      <c r="J94"/>
      <c r="K94"/>
      <c r="L94"/>
      <c r="M94"/>
      <c r="N94" s="38"/>
      <c r="O94" s="54">
        <v>283.70000000000005</v>
      </c>
      <c r="P94" s="54">
        <v>567.40000000000009</v>
      </c>
      <c r="Q94" s="54">
        <v>283.70000000000005</v>
      </c>
      <c r="R94" s="54"/>
      <c r="S94" s="54">
        <v>283.70000000000005</v>
      </c>
      <c r="T94" s="15">
        <v>567.40000000000009</v>
      </c>
      <c r="U94" s="15">
        <v>283.70000000000005</v>
      </c>
    </row>
    <row r="95" spans="1:21" s="15" customFormat="1" x14ac:dyDescent="0.3">
      <c r="A95" s="17"/>
      <c r="B95"/>
      <c r="C95"/>
      <c r="D95"/>
      <c r="E95"/>
      <c r="F95" s="50">
        <v>39814</v>
      </c>
      <c r="G95" s="53">
        <v>78.7</v>
      </c>
      <c r="H95" s="53">
        <v>157.4</v>
      </c>
      <c r="I95" s="53">
        <v>78.7</v>
      </c>
      <c r="J95"/>
      <c r="K95"/>
      <c r="L95"/>
      <c r="M95"/>
      <c r="N95" s="38"/>
      <c r="O95" s="54">
        <v>254</v>
      </c>
      <c r="P95" s="54">
        <v>508</v>
      </c>
      <c r="Q95" s="54">
        <v>254</v>
      </c>
      <c r="R95" s="54"/>
      <c r="S95" s="54">
        <v>254</v>
      </c>
      <c r="T95" s="15">
        <v>508</v>
      </c>
      <c r="U95" s="15">
        <v>254</v>
      </c>
    </row>
    <row r="96" spans="1:21" s="15" customFormat="1" x14ac:dyDescent="0.3">
      <c r="A96" s="17"/>
      <c r="B96"/>
      <c r="C96"/>
      <c r="D96"/>
      <c r="E96"/>
      <c r="F96" s="50">
        <v>39845</v>
      </c>
      <c r="G96" s="53">
        <v>76.099999999999994</v>
      </c>
      <c r="H96" s="53">
        <v>152.19999999999999</v>
      </c>
      <c r="I96" s="53">
        <v>76.099999999999994</v>
      </c>
      <c r="J96"/>
      <c r="K96"/>
      <c r="L96"/>
      <c r="M96"/>
      <c r="N96" s="38"/>
      <c r="O96" s="54">
        <v>233.9</v>
      </c>
      <c r="P96" s="54">
        <v>467.8</v>
      </c>
      <c r="Q96" s="54">
        <v>233.9</v>
      </c>
      <c r="R96" s="54"/>
      <c r="S96" s="54">
        <v>233.9</v>
      </c>
      <c r="T96" s="15">
        <v>467.8</v>
      </c>
      <c r="U96" s="15">
        <v>233.9</v>
      </c>
    </row>
    <row r="97" spans="1:21" s="15" customFormat="1" x14ac:dyDescent="0.3">
      <c r="A97" s="17"/>
      <c r="B97"/>
      <c r="C97"/>
      <c r="D97"/>
      <c r="E97"/>
      <c r="F97" s="50">
        <v>39873</v>
      </c>
      <c r="G97" s="53">
        <v>88.6</v>
      </c>
      <c r="H97" s="53">
        <v>177.2</v>
      </c>
      <c r="I97" s="53">
        <v>88.6</v>
      </c>
      <c r="J97"/>
      <c r="K97"/>
      <c r="L97"/>
      <c r="M97"/>
      <c r="N97" s="38"/>
      <c r="O97" s="54">
        <v>243.4</v>
      </c>
      <c r="P97" s="54">
        <v>486.8</v>
      </c>
      <c r="Q97" s="54">
        <v>243.4</v>
      </c>
      <c r="R97" s="54"/>
      <c r="S97" s="54">
        <v>243.4</v>
      </c>
      <c r="T97" s="15">
        <v>486.8</v>
      </c>
      <c r="U97" s="15">
        <v>243.4</v>
      </c>
    </row>
    <row r="98" spans="1:21" s="15" customFormat="1" x14ac:dyDescent="0.3">
      <c r="A98" s="17"/>
      <c r="B98"/>
      <c r="C98"/>
      <c r="D98"/>
      <c r="E98"/>
      <c r="F98" s="50">
        <v>39904</v>
      </c>
      <c r="G98" s="53">
        <v>85.2</v>
      </c>
      <c r="H98" s="53">
        <v>170.4</v>
      </c>
      <c r="I98" s="53">
        <v>85.2</v>
      </c>
      <c r="J98"/>
      <c r="K98"/>
      <c r="L98"/>
      <c r="M98"/>
      <c r="N98" s="38"/>
      <c r="O98" s="54">
        <v>249.89999999999998</v>
      </c>
      <c r="P98" s="54">
        <v>499.79999999999995</v>
      </c>
      <c r="Q98" s="54">
        <v>249.89999999999998</v>
      </c>
      <c r="R98" s="54"/>
      <c r="S98" s="54">
        <v>249.89999999999998</v>
      </c>
      <c r="T98" s="15">
        <v>499.79999999999995</v>
      </c>
      <c r="U98" s="15">
        <v>249.89999999999998</v>
      </c>
    </row>
    <row r="99" spans="1:21" s="15" customFormat="1" x14ac:dyDescent="0.3">
      <c r="A99" s="17"/>
      <c r="B99"/>
      <c r="C99"/>
      <c r="D99"/>
      <c r="E99"/>
      <c r="F99" s="50">
        <v>39934</v>
      </c>
      <c r="G99" s="53">
        <v>91.3</v>
      </c>
      <c r="H99" s="53">
        <v>182.6</v>
      </c>
      <c r="I99" s="53">
        <v>91.3</v>
      </c>
      <c r="J99"/>
      <c r="K99"/>
      <c r="L99"/>
      <c r="M99"/>
      <c r="N99" s="38"/>
      <c r="O99" s="54">
        <v>265.10000000000002</v>
      </c>
      <c r="P99" s="54">
        <v>530.20000000000005</v>
      </c>
      <c r="Q99" s="54">
        <v>265.10000000000002</v>
      </c>
      <c r="R99" s="54"/>
      <c r="S99" s="54">
        <v>265.10000000000002</v>
      </c>
      <c r="T99" s="15">
        <v>530.20000000000005</v>
      </c>
      <c r="U99" s="15">
        <v>265.10000000000002</v>
      </c>
    </row>
    <row r="100" spans="1:21" s="15" customFormat="1" x14ac:dyDescent="0.3">
      <c r="A100" s="17"/>
      <c r="B100"/>
      <c r="C100"/>
      <c r="D100"/>
      <c r="E100"/>
      <c r="F100" s="50">
        <v>39965</v>
      </c>
      <c r="G100" s="53">
        <v>92.2</v>
      </c>
      <c r="H100" s="53">
        <v>184.4</v>
      </c>
      <c r="I100" s="53">
        <v>92.2</v>
      </c>
      <c r="J100"/>
      <c r="K100"/>
      <c r="L100"/>
      <c r="M100"/>
      <c r="N100" s="38"/>
      <c r="O100" s="54">
        <v>268.7</v>
      </c>
      <c r="P100" s="54">
        <v>537.4</v>
      </c>
      <c r="Q100" s="54">
        <v>268.7</v>
      </c>
      <c r="R100" s="54"/>
      <c r="S100" s="54">
        <v>268.7</v>
      </c>
      <c r="T100" s="15">
        <v>537.4</v>
      </c>
      <c r="U100" s="15">
        <v>268.7</v>
      </c>
    </row>
    <row r="101" spans="1:21" s="15" customFormat="1" x14ac:dyDescent="0.3">
      <c r="A101" s="17"/>
      <c r="B101"/>
      <c r="C101"/>
      <c r="D101"/>
      <c r="E101"/>
      <c r="F101" s="50">
        <v>39995</v>
      </c>
      <c r="G101" s="53">
        <v>97.7</v>
      </c>
      <c r="H101" s="53">
        <v>195.4</v>
      </c>
      <c r="I101" s="53">
        <v>97.7</v>
      </c>
      <c r="J101"/>
      <c r="K101"/>
      <c r="L101"/>
      <c r="M101"/>
      <c r="N101" s="38"/>
      <c r="O101" s="54">
        <v>281.2</v>
      </c>
      <c r="P101" s="54">
        <v>562.4</v>
      </c>
      <c r="Q101" s="54">
        <v>281.2</v>
      </c>
      <c r="R101" s="54"/>
      <c r="S101" s="54">
        <v>281.2</v>
      </c>
      <c r="T101" s="15">
        <v>562.4</v>
      </c>
      <c r="U101" s="15">
        <v>281.2</v>
      </c>
    </row>
    <row r="102" spans="1:21" s="15" customFormat="1" x14ac:dyDescent="0.3">
      <c r="A102" s="17"/>
      <c r="B102"/>
      <c r="C102"/>
      <c r="D102"/>
      <c r="E102"/>
      <c r="F102" s="50">
        <v>40026</v>
      </c>
      <c r="G102" s="53">
        <v>99.6</v>
      </c>
      <c r="H102" s="53">
        <v>199.2</v>
      </c>
      <c r="I102" s="53">
        <v>99.6</v>
      </c>
      <c r="J102"/>
      <c r="K102"/>
      <c r="L102"/>
      <c r="M102"/>
      <c r="N102" s="38"/>
      <c r="O102" s="54">
        <v>289.5</v>
      </c>
      <c r="P102" s="54">
        <v>579</v>
      </c>
      <c r="Q102" s="54">
        <v>289.5</v>
      </c>
      <c r="R102" s="54"/>
      <c r="S102" s="54">
        <v>289.5</v>
      </c>
      <c r="T102" s="15">
        <v>579</v>
      </c>
      <c r="U102" s="15">
        <v>289.5</v>
      </c>
    </row>
    <row r="103" spans="1:21" s="15" customFormat="1" x14ac:dyDescent="0.3">
      <c r="A103" s="17"/>
      <c r="B103"/>
      <c r="C103"/>
      <c r="D103"/>
      <c r="E103"/>
      <c r="F103" s="50">
        <v>40057</v>
      </c>
      <c r="G103" s="53">
        <v>99.4</v>
      </c>
      <c r="H103" s="53">
        <v>198.8</v>
      </c>
      <c r="I103" s="53">
        <v>99.4</v>
      </c>
      <c r="J103"/>
      <c r="K103"/>
      <c r="L103"/>
      <c r="M103"/>
      <c r="N103" s="38"/>
      <c r="O103" s="54">
        <v>296.70000000000005</v>
      </c>
      <c r="P103" s="54">
        <v>593.40000000000009</v>
      </c>
      <c r="Q103" s="54">
        <v>296.70000000000005</v>
      </c>
      <c r="R103" s="54"/>
      <c r="S103" s="54">
        <v>296.70000000000005</v>
      </c>
      <c r="T103" s="15">
        <v>593.40000000000009</v>
      </c>
      <c r="U103" s="15">
        <v>296.70000000000005</v>
      </c>
    </row>
    <row r="104" spans="1:21" s="15" customFormat="1" x14ac:dyDescent="0.3">
      <c r="A104" s="17"/>
      <c r="B104"/>
      <c r="C104"/>
      <c r="D104"/>
      <c r="E104"/>
      <c r="F104" s="50">
        <v>40087</v>
      </c>
      <c r="G104" s="53">
        <v>105.6</v>
      </c>
      <c r="H104" s="53">
        <v>211.2</v>
      </c>
      <c r="I104" s="53">
        <v>105.6</v>
      </c>
      <c r="J104"/>
      <c r="K104"/>
      <c r="L104"/>
      <c r="M104"/>
      <c r="N104" s="38"/>
      <c r="O104" s="54">
        <v>304.60000000000002</v>
      </c>
      <c r="P104" s="54">
        <v>609.20000000000005</v>
      </c>
      <c r="Q104" s="54">
        <v>304.60000000000002</v>
      </c>
      <c r="R104" s="54"/>
      <c r="S104" s="54">
        <v>304.60000000000002</v>
      </c>
      <c r="T104" s="15">
        <v>609.20000000000005</v>
      </c>
      <c r="U104" s="15">
        <v>304.60000000000002</v>
      </c>
    </row>
    <row r="105" spans="1:21" s="15" customFormat="1" x14ac:dyDescent="0.3">
      <c r="A105" s="17"/>
      <c r="B105"/>
      <c r="C105"/>
      <c r="D105"/>
      <c r="E105"/>
      <c r="F105" s="50">
        <v>40118</v>
      </c>
      <c r="G105" s="53">
        <v>101.4</v>
      </c>
      <c r="H105" s="53">
        <v>202.8</v>
      </c>
      <c r="I105" s="53">
        <v>101.4</v>
      </c>
      <c r="J105"/>
      <c r="K105"/>
      <c r="L105"/>
      <c r="M105"/>
      <c r="N105" s="38"/>
      <c r="O105" s="54">
        <v>306.39999999999998</v>
      </c>
      <c r="P105" s="54">
        <v>612.79999999999995</v>
      </c>
      <c r="Q105" s="54">
        <v>306.39999999999998</v>
      </c>
      <c r="R105" s="54"/>
      <c r="S105" s="54">
        <v>306.39999999999998</v>
      </c>
      <c r="T105" s="15">
        <v>612.79999999999995</v>
      </c>
      <c r="U105" s="15">
        <v>306.39999999999998</v>
      </c>
    </row>
    <row r="106" spans="1:21" s="15" customFormat="1" x14ac:dyDescent="0.3">
      <c r="A106" s="17"/>
      <c r="B106"/>
      <c r="C106"/>
      <c r="D106"/>
      <c r="E106"/>
      <c r="F106" s="50">
        <v>40148</v>
      </c>
      <c r="G106" s="53">
        <v>94.1</v>
      </c>
      <c r="H106" s="53">
        <v>188.2</v>
      </c>
      <c r="I106" s="53">
        <v>94.1</v>
      </c>
      <c r="J106"/>
      <c r="K106"/>
      <c r="L106"/>
      <c r="M106"/>
      <c r="N106" s="38"/>
      <c r="O106" s="54">
        <v>301.10000000000002</v>
      </c>
      <c r="P106" s="54">
        <v>602.20000000000005</v>
      </c>
      <c r="Q106" s="54">
        <v>301.10000000000002</v>
      </c>
      <c r="R106" s="54"/>
      <c r="S106" s="54">
        <v>301.10000000000002</v>
      </c>
      <c r="T106" s="15">
        <v>602.20000000000005</v>
      </c>
      <c r="U106" s="15">
        <v>301.10000000000002</v>
      </c>
    </row>
    <row r="107" spans="1:21" s="15" customFormat="1" x14ac:dyDescent="0.3">
      <c r="A107" s="17"/>
      <c r="B107"/>
      <c r="C107"/>
      <c r="D107"/>
      <c r="E107"/>
      <c r="F107" s="50">
        <v>40179</v>
      </c>
      <c r="G107" s="53">
        <v>91.2</v>
      </c>
      <c r="H107" s="53">
        <v>182.4</v>
      </c>
      <c r="I107" s="53">
        <v>91.2</v>
      </c>
      <c r="J107"/>
      <c r="K107"/>
      <c r="L107"/>
      <c r="M107"/>
      <c r="N107" s="38"/>
      <c r="O107" s="54">
        <v>286.7</v>
      </c>
      <c r="P107" s="54">
        <v>573.4</v>
      </c>
      <c r="Q107" s="54">
        <v>286.7</v>
      </c>
      <c r="R107" s="54"/>
      <c r="S107" s="54">
        <v>286.7</v>
      </c>
      <c r="T107" s="15">
        <v>573.4</v>
      </c>
      <c r="U107" s="15">
        <v>286.7</v>
      </c>
    </row>
    <row r="108" spans="1:21" s="15" customFormat="1" x14ac:dyDescent="0.3">
      <c r="A108" s="17"/>
      <c r="B108"/>
      <c r="C108"/>
      <c r="D108"/>
      <c r="E108"/>
      <c r="F108" s="50">
        <v>40210</v>
      </c>
      <c r="G108" s="53">
        <v>89</v>
      </c>
      <c r="H108" s="53">
        <v>178</v>
      </c>
      <c r="I108" s="53">
        <v>89</v>
      </c>
      <c r="J108"/>
      <c r="K108"/>
      <c r="L108"/>
      <c r="M108"/>
      <c r="N108" s="38"/>
      <c r="O108" s="54">
        <v>274.3</v>
      </c>
      <c r="P108" s="54">
        <v>548.6</v>
      </c>
      <c r="Q108" s="54">
        <v>274.3</v>
      </c>
      <c r="R108" s="54"/>
      <c r="S108" s="54">
        <v>274.3</v>
      </c>
      <c r="T108" s="15">
        <v>548.6</v>
      </c>
      <c r="U108" s="15">
        <v>274.3</v>
      </c>
    </row>
    <row r="109" spans="1:21" s="15" customFormat="1" x14ac:dyDescent="0.3">
      <c r="A109" s="17"/>
      <c r="B109"/>
      <c r="C109"/>
      <c r="D109"/>
      <c r="E109"/>
      <c r="F109" s="50">
        <v>40238</v>
      </c>
      <c r="G109" s="53">
        <v>105.1</v>
      </c>
      <c r="H109" s="53">
        <v>210.2</v>
      </c>
      <c r="I109" s="53">
        <v>105.1</v>
      </c>
      <c r="J109"/>
      <c r="K109"/>
      <c r="L109"/>
      <c r="M109"/>
      <c r="N109" s="38"/>
      <c r="O109" s="54">
        <v>285.29999999999995</v>
      </c>
      <c r="P109" s="54">
        <v>570.59999999999991</v>
      </c>
      <c r="Q109" s="54">
        <v>285.29999999999995</v>
      </c>
      <c r="R109" s="54"/>
      <c r="S109" s="54">
        <v>285.29999999999995</v>
      </c>
      <c r="T109" s="15">
        <v>570.59999999999991</v>
      </c>
      <c r="U109" s="15">
        <v>285.29999999999995</v>
      </c>
    </row>
    <row r="110" spans="1:21" s="15" customFormat="1" x14ac:dyDescent="0.3">
      <c r="A110" s="17"/>
      <c r="B110"/>
      <c r="C110"/>
      <c r="D110"/>
      <c r="E110"/>
      <c r="F110" s="50">
        <v>40269</v>
      </c>
      <c r="G110" s="53">
        <v>99.3</v>
      </c>
      <c r="H110" s="53">
        <v>198.6</v>
      </c>
      <c r="I110" s="53">
        <v>99.3</v>
      </c>
      <c r="J110"/>
      <c r="K110"/>
      <c r="L110"/>
      <c r="M110"/>
      <c r="N110" s="38"/>
      <c r="O110" s="54">
        <v>293.39999999999998</v>
      </c>
      <c r="P110" s="54">
        <v>586.79999999999995</v>
      </c>
      <c r="Q110" s="54">
        <v>293.39999999999998</v>
      </c>
      <c r="R110" s="54"/>
      <c r="S110" s="54">
        <v>293.39999999999998</v>
      </c>
      <c r="T110" s="15">
        <v>586.79999999999995</v>
      </c>
      <c r="U110" s="15">
        <v>293.39999999999998</v>
      </c>
    </row>
    <row r="111" spans="1:21" s="15" customFormat="1" x14ac:dyDescent="0.3">
      <c r="A111" s="17"/>
      <c r="B111"/>
      <c r="C111"/>
      <c r="D111"/>
      <c r="E111"/>
      <c r="F111" s="50">
        <v>40299</v>
      </c>
      <c r="G111" s="53">
        <v>104.3</v>
      </c>
      <c r="H111" s="53">
        <v>208.6</v>
      </c>
      <c r="I111" s="53">
        <v>104.3</v>
      </c>
      <c r="J111"/>
      <c r="K111"/>
      <c r="L111"/>
      <c r="M111"/>
      <c r="N111" s="38"/>
      <c r="O111" s="54">
        <v>308.7</v>
      </c>
      <c r="P111" s="54">
        <v>617.4</v>
      </c>
      <c r="Q111" s="54">
        <v>308.7</v>
      </c>
      <c r="R111" s="54"/>
      <c r="S111" s="54">
        <v>308.7</v>
      </c>
      <c r="T111" s="15">
        <v>617.4</v>
      </c>
      <c r="U111" s="15">
        <v>308.7</v>
      </c>
    </row>
    <row r="112" spans="1:21" s="15" customFormat="1" x14ac:dyDescent="0.3">
      <c r="A112" s="17"/>
      <c r="B112"/>
      <c r="C112"/>
      <c r="D112"/>
      <c r="E112"/>
      <c r="F112" s="50">
        <v>40330</v>
      </c>
      <c r="G112" s="53">
        <v>102.5</v>
      </c>
      <c r="H112" s="53">
        <v>205</v>
      </c>
      <c r="I112" s="53">
        <v>102.5</v>
      </c>
      <c r="J112"/>
      <c r="K112"/>
      <c r="L112"/>
      <c r="M112"/>
      <c r="N112" s="38"/>
      <c r="O112" s="54">
        <v>306.10000000000002</v>
      </c>
      <c r="P112" s="54">
        <v>612.20000000000005</v>
      </c>
      <c r="Q112" s="54">
        <v>306.10000000000002</v>
      </c>
      <c r="R112" s="54"/>
      <c r="S112" s="54">
        <v>306.10000000000002</v>
      </c>
      <c r="T112" s="15">
        <v>612.20000000000005</v>
      </c>
      <c r="U112" s="15">
        <v>306.10000000000002</v>
      </c>
    </row>
    <row r="113" spans="1:21" s="15" customFormat="1" x14ac:dyDescent="0.3">
      <c r="A113" s="17"/>
      <c r="B113"/>
      <c r="C113"/>
      <c r="D113"/>
      <c r="E113"/>
      <c r="F113" s="50">
        <v>40360</v>
      </c>
      <c r="G113" s="53">
        <v>106.9</v>
      </c>
      <c r="H113" s="53">
        <v>213.8</v>
      </c>
      <c r="I113" s="53">
        <v>106.9</v>
      </c>
      <c r="J113"/>
      <c r="K113"/>
      <c r="L113"/>
      <c r="M113"/>
      <c r="N113" s="38"/>
      <c r="O113" s="54">
        <v>313.70000000000005</v>
      </c>
      <c r="P113" s="54">
        <v>627.40000000000009</v>
      </c>
      <c r="Q113" s="54">
        <v>313.70000000000005</v>
      </c>
      <c r="R113" s="54"/>
      <c r="S113" s="54">
        <v>313.70000000000005</v>
      </c>
      <c r="T113" s="15">
        <v>627.40000000000009</v>
      </c>
      <c r="U113" s="15">
        <v>313.70000000000005</v>
      </c>
    </row>
    <row r="114" spans="1:21" s="15" customFormat="1" x14ac:dyDescent="0.3">
      <c r="A114" s="17"/>
      <c r="B114"/>
      <c r="C114"/>
      <c r="D114"/>
      <c r="E114"/>
      <c r="F114" s="50">
        <v>40391</v>
      </c>
      <c r="G114" s="53">
        <v>108.1</v>
      </c>
      <c r="H114" s="53">
        <v>216.2</v>
      </c>
      <c r="I114" s="53">
        <v>108.1</v>
      </c>
      <c r="J114"/>
      <c r="K114"/>
      <c r="L114"/>
      <c r="M114"/>
      <c r="N114" s="38"/>
      <c r="O114" s="54">
        <v>317.5</v>
      </c>
      <c r="P114" s="54">
        <v>635</v>
      </c>
      <c r="Q114" s="54">
        <v>317.5</v>
      </c>
      <c r="R114" s="54"/>
      <c r="S114" s="54">
        <v>317.5</v>
      </c>
      <c r="T114" s="15">
        <v>635</v>
      </c>
      <c r="U114" s="15">
        <v>317.5</v>
      </c>
    </row>
    <row r="115" spans="1:21" s="15" customFormat="1" x14ac:dyDescent="0.3">
      <c r="A115" s="17"/>
      <c r="B115"/>
      <c r="C115"/>
      <c r="D115"/>
      <c r="E115"/>
      <c r="F115" s="50">
        <v>40422</v>
      </c>
      <c r="G115" s="53">
        <v>105.8</v>
      </c>
      <c r="H115" s="53">
        <v>211.6</v>
      </c>
      <c r="I115" s="53">
        <v>105.8</v>
      </c>
      <c r="J115"/>
      <c r="K115"/>
      <c r="L115"/>
      <c r="M115"/>
      <c r="N115" s="38"/>
      <c r="O115" s="54">
        <v>320.8</v>
      </c>
      <c r="P115" s="54">
        <v>641.6</v>
      </c>
      <c r="Q115" s="54">
        <v>320.8</v>
      </c>
      <c r="R115" s="54"/>
      <c r="S115" s="54">
        <v>320.8</v>
      </c>
      <c r="T115" s="15">
        <v>641.6</v>
      </c>
      <c r="U115" s="15">
        <v>320.8</v>
      </c>
    </row>
    <row r="116" spans="1:21" s="15" customFormat="1" x14ac:dyDescent="0.3">
      <c r="A116" s="17"/>
      <c r="B116"/>
      <c r="C116"/>
      <c r="D116"/>
      <c r="E116"/>
      <c r="F116" s="50">
        <v>40452</v>
      </c>
      <c r="G116" s="53">
        <v>107.7</v>
      </c>
      <c r="H116" s="53">
        <v>215.4</v>
      </c>
      <c r="I116" s="53">
        <v>107.7</v>
      </c>
      <c r="J116"/>
      <c r="K116"/>
      <c r="L116"/>
      <c r="M116"/>
      <c r="N116" s="38"/>
      <c r="O116" s="54">
        <v>321.59999999999997</v>
      </c>
      <c r="P116" s="54">
        <v>643.19999999999993</v>
      </c>
      <c r="Q116" s="54">
        <v>321.59999999999997</v>
      </c>
      <c r="R116" s="54"/>
      <c r="S116" s="54">
        <v>321.59999999999997</v>
      </c>
      <c r="T116" s="15">
        <v>643.19999999999993</v>
      </c>
      <c r="U116" s="15">
        <v>321.59999999999997</v>
      </c>
    </row>
    <row r="117" spans="1:21" s="15" customFormat="1" x14ac:dyDescent="0.3">
      <c r="A117" s="17"/>
      <c r="B117"/>
      <c r="C117"/>
      <c r="D117"/>
      <c r="E117"/>
      <c r="F117" s="50">
        <v>40483</v>
      </c>
      <c r="G117" s="53">
        <v>106.8</v>
      </c>
      <c r="H117" s="53">
        <v>213.6</v>
      </c>
      <c r="I117" s="53">
        <v>106.8</v>
      </c>
      <c r="J117"/>
      <c r="K117"/>
      <c r="L117"/>
      <c r="M117"/>
      <c r="N117" s="38"/>
      <c r="O117" s="54">
        <v>320.3</v>
      </c>
      <c r="P117" s="54">
        <v>640.6</v>
      </c>
      <c r="Q117" s="54">
        <v>320.3</v>
      </c>
      <c r="R117" s="54"/>
      <c r="S117" s="54">
        <v>320.3</v>
      </c>
      <c r="T117" s="15">
        <v>640.6</v>
      </c>
      <c r="U117" s="15">
        <v>320.3</v>
      </c>
    </row>
    <row r="118" spans="1:21" s="15" customFormat="1" x14ac:dyDescent="0.3">
      <c r="A118" s="17"/>
      <c r="B118"/>
      <c r="C118"/>
      <c r="D118"/>
      <c r="E118"/>
      <c r="F118" s="50">
        <v>40513</v>
      </c>
      <c r="G118" s="53">
        <v>96.6</v>
      </c>
      <c r="H118" s="53">
        <v>193.2</v>
      </c>
      <c r="I118" s="53">
        <v>96.6</v>
      </c>
      <c r="J118"/>
      <c r="K118"/>
      <c r="L118"/>
      <c r="M118"/>
      <c r="N118" s="38"/>
      <c r="O118" s="54">
        <v>311.10000000000002</v>
      </c>
      <c r="P118" s="54">
        <v>622.20000000000005</v>
      </c>
      <c r="Q118" s="54">
        <v>311.10000000000002</v>
      </c>
      <c r="R118" s="54"/>
      <c r="S118" s="54">
        <v>311.10000000000002</v>
      </c>
      <c r="T118" s="15">
        <v>622.20000000000005</v>
      </c>
      <c r="U118" s="15">
        <v>311.10000000000002</v>
      </c>
    </row>
    <row r="119" spans="1:21" s="15" customFormat="1" x14ac:dyDescent="0.3">
      <c r="A119" s="17"/>
      <c r="B119"/>
      <c r="C119"/>
      <c r="D119"/>
      <c r="E119"/>
      <c r="F119" s="50">
        <v>40544</v>
      </c>
      <c r="G119" s="53">
        <v>93.2</v>
      </c>
      <c r="H119" s="53">
        <v>186.4</v>
      </c>
      <c r="I119" s="53">
        <v>93.2</v>
      </c>
      <c r="J119"/>
      <c r="K119"/>
      <c r="L119"/>
      <c r="M119"/>
      <c r="N119" s="38"/>
      <c r="O119" s="54">
        <v>296.59999999999997</v>
      </c>
      <c r="P119" s="54">
        <v>593.19999999999993</v>
      </c>
      <c r="Q119" s="54">
        <v>296.59999999999997</v>
      </c>
      <c r="R119" s="54"/>
      <c r="S119" s="54">
        <v>296.59999999999997</v>
      </c>
      <c r="T119" s="15">
        <v>593.19999999999993</v>
      </c>
      <c r="U119" s="15">
        <v>296.59999999999997</v>
      </c>
    </row>
    <row r="120" spans="1:21" s="15" customFormat="1" x14ac:dyDescent="0.3">
      <c r="A120" s="17"/>
      <c r="B120"/>
      <c r="C120"/>
      <c r="D120"/>
      <c r="E120"/>
      <c r="F120" s="50">
        <v>40575</v>
      </c>
      <c r="G120" s="53">
        <v>95.4</v>
      </c>
      <c r="H120" s="53">
        <v>190.8</v>
      </c>
      <c r="I120" s="53">
        <v>95.4</v>
      </c>
      <c r="J120"/>
      <c r="K120"/>
      <c r="L120"/>
      <c r="M120"/>
      <c r="N120" s="38"/>
      <c r="O120" s="54">
        <v>285.20000000000005</v>
      </c>
      <c r="P120" s="54">
        <v>570.40000000000009</v>
      </c>
      <c r="Q120" s="54">
        <v>285.20000000000005</v>
      </c>
      <c r="R120" s="54"/>
      <c r="S120" s="54">
        <v>285.20000000000005</v>
      </c>
      <c r="T120" s="15">
        <v>570.40000000000009</v>
      </c>
      <c r="U120" s="15">
        <v>285.20000000000005</v>
      </c>
    </row>
    <row r="121" spans="1:21" s="15" customFormat="1" x14ac:dyDescent="0.3">
      <c r="A121" s="17"/>
      <c r="B121"/>
      <c r="C121"/>
      <c r="D121"/>
      <c r="E121"/>
      <c r="F121" s="50">
        <v>40603</v>
      </c>
      <c r="G121" s="53">
        <v>104.4</v>
      </c>
      <c r="H121" s="53">
        <v>208.8</v>
      </c>
      <c r="I121" s="53">
        <v>104.4</v>
      </c>
      <c r="J121"/>
      <c r="K121"/>
      <c r="L121"/>
      <c r="M121"/>
      <c r="N121" s="38"/>
      <c r="O121" s="54">
        <v>293</v>
      </c>
      <c r="P121" s="54">
        <v>586</v>
      </c>
      <c r="Q121" s="54">
        <v>293</v>
      </c>
      <c r="R121" s="54"/>
      <c r="S121" s="54">
        <v>293</v>
      </c>
      <c r="T121" s="15">
        <v>586</v>
      </c>
      <c r="U121" s="15">
        <v>293</v>
      </c>
    </row>
    <row r="122" spans="1:21" s="15" customFormat="1" x14ac:dyDescent="0.3">
      <c r="A122" s="17"/>
      <c r="B122"/>
      <c r="C122"/>
      <c r="D122"/>
      <c r="E122"/>
      <c r="F122" s="50">
        <v>40634</v>
      </c>
      <c r="G122" s="53">
        <v>97.5</v>
      </c>
      <c r="H122" s="53">
        <v>195</v>
      </c>
      <c r="I122" s="53">
        <v>97.5</v>
      </c>
      <c r="J122"/>
      <c r="K122"/>
      <c r="L122"/>
      <c r="M122"/>
      <c r="N122" s="38"/>
      <c r="O122" s="54">
        <v>297.3</v>
      </c>
      <c r="P122" s="54">
        <v>594.6</v>
      </c>
      <c r="Q122" s="54">
        <v>297.3</v>
      </c>
      <c r="R122" s="54"/>
      <c r="S122" s="54">
        <v>297.3</v>
      </c>
      <c r="T122" s="15">
        <v>594.6</v>
      </c>
      <c r="U122" s="15">
        <v>297.3</v>
      </c>
    </row>
    <row r="123" spans="1:21" s="15" customFormat="1" x14ac:dyDescent="0.3">
      <c r="A123" s="17"/>
      <c r="B123"/>
      <c r="C123"/>
      <c r="D123"/>
      <c r="E123"/>
      <c r="F123" s="50">
        <v>40664</v>
      </c>
      <c r="G123" s="53">
        <v>107.1</v>
      </c>
      <c r="H123" s="53">
        <v>214.2</v>
      </c>
      <c r="I123" s="53">
        <v>107.1</v>
      </c>
      <c r="J123"/>
      <c r="K123"/>
      <c r="L123"/>
      <c r="M123"/>
      <c r="N123" s="38"/>
      <c r="O123" s="54">
        <v>309</v>
      </c>
      <c r="P123" s="54">
        <v>618</v>
      </c>
      <c r="Q123" s="54">
        <v>309</v>
      </c>
      <c r="R123" s="54"/>
      <c r="S123" s="54">
        <v>309</v>
      </c>
      <c r="T123" s="15">
        <v>618</v>
      </c>
      <c r="U123" s="15">
        <v>309</v>
      </c>
    </row>
    <row r="124" spans="1:21" s="15" customFormat="1" x14ac:dyDescent="0.3">
      <c r="A124" s="17"/>
      <c r="B124"/>
      <c r="C124"/>
      <c r="D124"/>
      <c r="E124"/>
      <c r="F124" s="50">
        <v>40695</v>
      </c>
      <c r="G124" s="53">
        <v>102.8</v>
      </c>
      <c r="H124" s="53">
        <v>205.6</v>
      </c>
      <c r="I124" s="53">
        <v>102.8</v>
      </c>
      <c r="J124"/>
      <c r="K124"/>
      <c r="L124"/>
      <c r="M124"/>
      <c r="N124" s="38"/>
      <c r="O124" s="54">
        <v>307.39999999999998</v>
      </c>
      <c r="P124" s="54">
        <v>614.79999999999995</v>
      </c>
      <c r="Q124" s="54">
        <v>307.39999999999998</v>
      </c>
      <c r="R124" s="54"/>
      <c r="S124" s="54">
        <v>307.39999999999998</v>
      </c>
      <c r="T124" s="15">
        <v>614.79999999999995</v>
      </c>
      <c r="U124" s="15">
        <v>307.39999999999998</v>
      </c>
    </row>
    <row r="125" spans="1:21" s="15" customFormat="1" x14ac:dyDescent="0.3">
      <c r="A125" s="17"/>
      <c r="B125"/>
      <c r="C125"/>
      <c r="D125"/>
      <c r="E125"/>
      <c r="F125" s="50">
        <v>40725</v>
      </c>
      <c r="G125" s="53">
        <v>106.1</v>
      </c>
      <c r="H125" s="53">
        <v>212.2</v>
      </c>
      <c r="I125" s="53">
        <v>106.1</v>
      </c>
      <c r="J125"/>
      <c r="K125"/>
      <c r="L125"/>
      <c r="M125"/>
      <c r="N125" s="38"/>
      <c r="O125" s="54">
        <v>316</v>
      </c>
      <c r="P125" s="54">
        <v>632</v>
      </c>
      <c r="Q125" s="54">
        <v>316</v>
      </c>
      <c r="R125" s="54"/>
      <c r="S125" s="54">
        <v>316</v>
      </c>
      <c r="T125" s="15">
        <v>632</v>
      </c>
      <c r="U125" s="15">
        <v>316</v>
      </c>
    </row>
    <row r="126" spans="1:21" s="15" customFormat="1" x14ac:dyDescent="0.3">
      <c r="A126" s="17"/>
      <c r="B126"/>
      <c r="C126"/>
      <c r="D126"/>
      <c r="E126"/>
      <c r="F126" s="50">
        <v>40756</v>
      </c>
      <c r="G126" s="53">
        <v>110.8</v>
      </c>
      <c r="H126" s="53">
        <v>221.6</v>
      </c>
      <c r="I126" s="53">
        <v>110.8</v>
      </c>
      <c r="J126"/>
      <c r="K126"/>
      <c r="L126"/>
      <c r="M126"/>
      <c r="N126" s="38"/>
      <c r="O126" s="54">
        <v>319.7</v>
      </c>
      <c r="P126" s="54">
        <v>639.4</v>
      </c>
      <c r="Q126" s="54">
        <v>319.7</v>
      </c>
      <c r="R126" s="54"/>
      <c r="S126" s="54">
        <v>319.7</v>
      </c>
      <c r="T126" s="15">
        <v>639.4</v>
      </c>
      <c r="U126" s="15">
        <v>319.7</v>
      </c>
    </row>
    <row r="127" spans="1:21" s="15" customFormat="1" x14ac:dyDescent="0.3">
      <c r="A127" s="17"/>
      <c r="B127"/>
      <c r="C127"/>
      <c r="D127"/>
      <c r="E127"/>
      <c r="F127" s="50">
        <v>40787</v>
      </c>
      <c r="G127" s="53">
        <v>104.8</v>
      </c>
      <c r="H127" s="53">
        <v>209.6</v>
      </c>
      <c r="I127" s="53">
        <v>104.8</v>
      </c>
      <c r="J127"/>
      <c r="K127"/>
      <c r="L127"/>
      <c r="M127"/>
      <c r="N127" s="38"/>
      <c r="O127" s="54">
        <v>321.7</v>
      </c>
      <c r="P127" s="54">
        <v>643.4</v>
      </c>
      <c r="Q127" s="54">
        <v>321.7</v>
      </c>
      <c r="R127" s="54"/>
      <c r="S127" s="54">
        <v>321.7</v>
      </c>
      <c r="T127" s="15">
        <v>643.4</v>
      </c>
      <c r="U127" s="15">
        <v>321.7</v>
      </c>
    </row>
    <row r="128" spans="1:21" s="15" customFormat="1" x14ac:dyDescent="0.3">
      <c r="A128" s="17"/>
      <c r="B128"/>
      <c r="C128"/>
      <c r="D128"/>
      <c r="E128"/>
      <c r="F128" s="50">
        <v>40817</v>
      </c>
      <c r="G128" s="53">
        <v>106.3</v>
      </c>
      <c r="H128" s="53">
        <v>212.6</v>
      </c>
      <c r="I128" s="53">
        <v>106.3</v>
      </c>
      <c r="J128"/>
      <c r="K128"/>
      <c r="L128"/>
      <c r="M128"/>
      <c r="N128" s="38"/>
      <c r="O128" s="54">
        <v>321.89999999999998</v>
      </c>
      <c r="P128" s="54">
        <v>643.79999999999995</v>
      </c>
      <c r="Q128" s="54">
        <v>321.89999999999998</v>
      </c>
      <c r="R128" s="54"/>
      <c r="S128" s="54">
        <v>321.89999999999998</v>
      </c>
      <c r="T128" s="15">
        <v>643.79999999999995</v>
      </c>
      <c r="U128" s="15">
        <v>321.89999999999998</v>
      </c>
    </row>
    <row r="129" spans="1:21" s="15" customFormat="1" x14ac:dyDescent="0.3">
      <c r="A129" s="17"/>
      <c r="B129"/>
      <c r="C129"/>
      <c r="D129"/>
      <c r="E129"/>
      <c r="F129" s="50">
        <v>40848</v>
      </c>
      <c r="G129" s="53">
        <v>104.2</v>
      </c>
      <c r="H129" s="53">
        <v>208.4</v>
      </c>
      <c r="I129" s="53">
        <v>104.2</v>
      </c>
      <c r="J129"/>
      <c r="K129"/>
      <c r="L129"/>
      <c r="M129"/>
      <c r="N129" s="38"/>
      <c r="O129" s="54">
        <v>315.3</v>
      </c>
      <c r="P129" s="54">
        <v>630.6</v>
      </c>
      <c r="Q129" s="54">
        <v>315.3</v>
      </c>
      <c r="R129" s="54"/>
      <c r="S129" s="54">
        <v>315.3</v>
      </c>
      <c r="T129" s="15">
        <v>630.6</v>
      </c>
      <c r="U129" s="15">
        <v>315.3</v>
      </c>
    </row>
    <row r="130" spans="1:21" s="15" customFormat="1" x14ac:dyDescent="0.3">
      <c r="A130" s="17"/>
      <c r="B130"/>
      <c r="C130"/>
      <c r="D130"/>
      <c r="E130"/>
      <c r="F130" s="50">
        <v>40878</v>
      </c>
      <c r="G130" s="53">
        <v>95.7</v>
      </c>
      <c r="H130" s="53">
        <v>191.4</v>
      </c>
      <c r="I130" s="53">
        <v>95.7</v>
      </c>
      <c r="J130"/>
      <c r="K130"/>
      <c r="L130"/>
      <c r="M130"/>
      <c r="N130" s="38"/>
      <c r="O130" s="54">
        <v>306.2</v>
      </c>
      <c r="P130" s="54">
        <v>612.4</v>
      </c>
      <c r="Q130" s="54">
        <v>306.2</v>
      </c>
      <c r="R130" s="54"/>
      <c r="S130" s="54">
        <v>306.2</v>
      </c>
      <c r="T130" s="15">
        <v>612.4</v>
      </c>
      <c r="U130" s="15">
        <v>306.2</v>
      </c>
    </row>
    <row r="131" spans="1:21" s="15" customFormat="1" x14ac:dyDescent="0.3">
      <c r="A131" s="17"/>
      <c r="B131"/>
      <c r="C131"/>
      <c r="D131"/>
      <c r="E131"/>
      <c r="F131" s="50">
        <v>40909</v>
      </c>
      <c r="G131" s="53">
        <v>88.7</v>
      </c>
      <c r="H131" s="53">
        <v>177.4</v>
      </c>
      <c r="I131" s="53">
        <v>88.7</v>
      </c>
      <c r="J131"/>
      <c r="K131"/>
      <c r="L131"/>
      <c r="M131"/>
      <c r="N131" s="38"/>
      <c r="O131" s="54">
        <v>288.60000000000002</v>
      </c>
      <c r="P131" s="54">
        <v>577.20000000000005</v>
      </c>
      <c r="Q131" s="54">
        <v>288.60000000000002</v>
      </c>
      <c r="R131" s="54"/>
      <c r="S131" s="54">
        <v>288.60000000000002</v>
      </c>
      <c r="T131" s="15">
        <v>577.20000000000005</v>
      </c>
      <c r="U131" s="15">
        <v>288.60000000000002</v>
      </c>
    </row>
    <row r="132" spans="1:21" s="15" customFormat="1" x14ac:dyDescent="0.3">
      <c r="A132" s="17"/>
      <c r="B132"/>
      <c r="C132"/>
      <c r="D132"/>
      <c r="E132"/>
      <c r="F132" s="50">
        <v>40940</v>
      </c>
      <c r="G132" s="53">
        <v>89.8</v>
      </c>
      <c r="H132" s="53">
        <v>179.6</v>
      </c>
      <c r="I132" s="53">
        <v>89.8</v>
      </c>
      <c r="J132"/>
      <c r="K132"/>
      <c r="L132"/>
      <c r="M132"/>
      <c r="N132" s="38"/>
      <c r="O132" s="54">
        <v>274.2</v>
      </c>
      <c r="P132" s="54">
        <v>548.4</v>
      </c>
      <c r="Q132" s="54">
        <v>274.2</v>
      </c>
      <c r="R132" s="54"/>
      <c r="S132" s="54">
        <v>274.2</v>
      </c>
      <c r="T132" s="15">
        <v>548.4</v>
      </c>
      <c r="U132" s="15">
        <v>274.2</v>
      </c>
    </row>
    <row r="133" spans="1:21" s="15" customFormat="1" x14ac:dyDescent="0.3">
      <c r="A133" s="17"/>
      <c r="B133"/>
      <c r="C133"/>
      <c r="D133"/>
      <c r="E133"/>
      <c r="F133" s="50">
        <v>40969</v>
      </c>
      <c r="G133" s="53">
        <v>99.7</v>
      </c>
      <c r="H133" s="53">
        <v>199.4</v>
      </c>
      <c r="I133" s="53">
        <v>99.7</v>
      </c>
      <c r="J133"/>
      <c r="K133"/>
      <c r="L133"/>
      <c r="M133"/>
      <c r="N133" s="38"/>
      <c r="O133" s="54">
        <v>278.2</v>
      </c>
      <c r="P133" s="54">
        <v>556.4</v>
      </c>
      <c r="Q133" s="54">
        <v>278.2</v>
      </c>
      <c r="R133" s="54"/>
      <c r="S133" s="54">
        <v>278.2</v>
      </c>
      <c r="T133" s="15">
        <v>556.4</v>
      </c>
      <c r="U133" s="15">
        <v>278.2</v>
      </c>
    </row>
    <row r="134" spans="1:21" s="15" customFormat="1" x14ac:dyDescent="0.3">
      <c r="A134" s="17"/>
      <c r="B134"/>
      <c r="C134"/>
      <c r="D134"/>
      <c r="E134"/>
      <c r="F134" s="50">
        <v>41000</v>
      </c>
      <c r="G134" s="53">
        <v>92.8</v>
      </c>
      <c r="H134" s="53">
        <v>185.6</v>
      </c>
      <c r="I134" s="53">
        <v>92.8</v>
      </c>
      <c r="J134"/>
      <c r="K134"/>
      <c r="L134"/>
      <c r="M134"/>
      <c r="N134" s="38"/>
      <c r="O134" s="54">
        <v>282.3</v>
      </c>
      <c r="P134" s="54">
        <v>564.6</v>
      </c>
      <c r="Q134" s="54">
        <v>282.3</v>
      </c>
      <c r="R134" s="54"/>
      <c r="S134" s="54">
        <v>282.3</v>
      </c>
      <c r="T134" s="15">
        <v>564.6</v>
      </c>
      <c r="U134" s="15">
        <v>282.3</v>
      </c>
    </row>
    <row r="135" spans="1:21" s="15" customFormat="1" x14ac:dyDescent="0.3">
      <c r="A135" s="17"/>
      <c r="B135"/>
      <c r="C135"/>
      <c r="D135"/>
      <c r="E135"/>
      <c r="F135" s="50">
        <v>41030</v>
      </c>
      <c r="G135" s="53">
        <v>102.5</v>
      </c>
      <c r="H135" s="53">
        <v>205</v>
      </c>
      <c r="I135" s="53">
        <v>102.5</v>
      </c>
      <c r="J135"/>
      <c r="K135"/>
      <c r="L135"/>
      <c r="M135"/>
      <c r="N135" s="38"/>
      <c r="O135" s="54">
        <v>295</v>
      </c>
      <c r="P135" s="54">
        <v>590</v>
      </c>
      <c r="Q135" s="54">
        <v>295</v>
      </c>
      <c r="R135" s="54"/>
      <c r="S135" s="54">
        <v>295</v>
      </c>
      <c r="T135" s="15">
        <v>590</v>
      </c>
      <c r="U135" s="15">
        <v>295</v>
      </c>
    </row>
    <row r="136" spans="1:21" s="15" customFormat="1" x14ac:dyDescent="0.3">
      <c r="A136" s="17"/>
      <c r="B136"/>
      <c r="C136"/>
      <c r="D136"/>
      <c r="E136"/>
      <c r="F136" s="50">
        <v>41061</v>
      </c>
      <c r="G136" s="53">
        <v>98.3</v>
      </c>
      <c r="H136" s="53">
        <v>196.6</v>
      </c>
      <c r="I136" s="53">
        <v>98.3</v>
      </c>
      <c r="J136"/>
      <c r="K136"/>
      <c r="L136"/>
      <c r="M136"/>
      <c r="N136" s="38"/>
      <c r="O136" s="54">
        <v>293.60000000000002</v>
      </c>
      <c r="P136" s="54">
        <v>587.20000000000005</v>
      </c>
      <c r="Q136" s="54">
        <v>293.60000000000002</v>
      </c>
      <c r="R136" s="54"/>
      <c r="S136" s="54">
        <v>293.60000000000002</v>
      </c>
      <c r="T136" s="15">
        <v>587.20000000000005</v>
      </c>
      <c r="U136" s="15">
        <v>293.60000000000002</v>
      </c>
    </row>
    <row r="137" spans="1:21" s="15" customFormat="1" x14ac:dyDescent="0.3">
      <c r="A137" s="17"/>
      <c r="B137"/>
      <c r="C137"/>
      <c r="D137"/>
      <c r="E137"/>
      <c r="F137" s="50">
        <v>41091</v>
      </c>
      <c r="G137" s="53">
        <v>104.5</v>
      </c>
      <c r="H137" s="53">
        <v>209</v>
      </c>
      <c r="I137" s="53">
        <v>104.5</v>
      </c>
      <c r="J137"/>
      <c r="K137"/>
      <c r="L137"/>
      <c r="M137"/>
      <c r="N137" s="38"/>
      <c r="O137" s="54">
        <v>305.3</v>
      </c>
      <c r="P137" s="54">
        <v>610.6</v>
      </c>
      <c r="Q137" s="54">
        <v>305.3</v>
      </c>
      <c r="R137" s="54"/>
      <c r="S137" s="54">
        <v>305.3</v>
      </c>
      <c r="T137" s="15">
        <v>610.6</v>
      </c>
      <c r="U137" s="15">
        <v>305.3</v>
      </c>
    </row>
    <row r="138" spans="1:21" s="15" customFormat="1" x14ac:dyDescent="0.3">
      <c r="A138" s="17"/>
      <c r="B138"/>
      <c r="C138"/>
      <c r="D138"/>
      <c r="E138"/>
      <c r="F138" s="50">
        <v>41122</v>
      </c>
      <c r="G138" s="53">
        <v>111.5</v>
      </c>
      <c r="H138" s="53">
        <v>223</v>
      </c>
      <c r="I138" s="53">
        <v>111.5</v>
      </c>
      <c r="J138"/>
      <c r="K138"/>
      <c r="L138"/>
      <c r="M138"/>
      <c r="N138" s="38"/>
      <c r="O138" s="54">
        <v>314.3</v>
      </c>
      <c r="P138" s="54">
        <v>628.6</v>
      </c>
      <c r="Q138" s="54">
        <v>314.3</v>
      </c>
      <c r="R138" s="54"/>
      <c r="S138" s="54">
        <v>314.3</v>
      </c>
      <c r="T138" s="15">
        <v>628.6</v>
      </c>
      <c r="U138" s="15">
        <v>314.3</v>
      </c>
    </row>
    <row r="139" spans="1:21" s="15" customFormat="1" x14ac:dyDescent="0.3">
      <c r="A139" s="17"/>
      <c r="B139"/>
      <c r="C139"/>
      <c r="D139"/>
      <c r="E139"/>
      <c r="F139" s="50">
        <v>41153</v>
      </c>
      <c r="G139" s="53">
        <v>103.4</v>
      </c>
      <c r="H139" s="53">
        <v>206.8</v>
      </c>
      <c r="I139" s="53">
        <v>103.4</v>
      </c>
      <c r="J139"/>
      <c r="K139"/>
      <c r="L139"/>
      <c r="M139"/>
      <c r="N139" s="38"/>
      <c r="O139" s="54">
        <v>319.39999999999998</v>
      </c>
      <c r="P139" s="54">
        <v>638.79999999999995</v>
      </c>
      <c r="Q139" s="54">
        <v>319.39999999999998</v>
      </c>
      <c r="R139" s="54"/>
      <c r="S139" s="54">
        <v>319.39999999999998</v>
      </c>
      <c r="T139" s="15">
        <v>638.79999999999995</v>
      </c>
      <c r="U139" s="15">
        <v>319.39999999999998</v>
      </c>
    </row>
    <row r="140" spans="1:21" s="15" customFormat="1" x14ac:dyDescent="0.3">
      <c r="A140" s="17"/>
      <c r="B140"/>
      <c r="C140"/>
      <c r="D140"/>
      <c r="E140"/>
      <c r="F140" s="50">
        <v>41183</v>
      </c>
      <c r="G140" s="53">
        <v>111.8</v>
      </c>
      <c r="H140" s="53">
        <v>223.6</v>
      </c>
      <c r="I140" s="53">
        <v>111.8</v>
      </c>
      <c r="J140"/>
      <c r="K140"/>
      <c r="L140"/>
      <c r="M140"/>
      <c r="N140" s="38"/>
      <c r="O140" s="54">
        <v>326.7</v>
      </c>
      <c r="P140" s="54">
        <v>653.4</v>
      </c>
      <c r="Q140" s="54">
        <v>326.7</v>
      </c>
      <c r="R140" s="54"/>
      <c r="S140" s="54">
        <v>326.7</v>
      </c>
      <c r="T140" s="15">
        <v>653.4</v>
      </c>
      <c r="U140" s="15">
        <v>326.7</v>
      </c>
    </row>
    <row r="141" spans="1:21" s="15" customFormat="1" x14ac:dyDescent="0.3">
      <c r="A141" s="17"/>
      <c r="B141"/>
      <c r="C141"/>
      <c r="D141"/>
      <c r="E141"/>
      <c r="F141" s="50">
        <v>41214</v>
      </c>
      <c r="G141" s="53">
        <v>104.8</v>
      </c>
      <c r="H141" s="53">
        <v>209.6</v>
      </c>
      <c r="I141" s="53">
        <v>104.8</v>
      </c>
      <c r="J141"/>
      <c r="K141"/>
      <c r="L141"/>
      <c r="M141"/>
      <c r="N141" s="38"/>
      <c r="O141" s="54">
        <v>320</v>
      </c>
      <c r="P141" s="54">
        <v>640</v>
      </c>
      <c r="Q141" s="54">
        <v>320</v>
      </c>
      <c r="R141" s="54"/>
      <c r="S141" s="54">
        <v>320</v>
      </c>
      <c r="T141" s="15">
        <v>640</v>
      </c>
      <c r="U141" s="15">
        <v>320</v>
      </c>
    </row>
    <row r="142" spans="1:21" s="15" customFormat="1" x14ac:dyDescent="0.3">
      <c r="A142" s="17"/>
      <c r="B142"/>
      <c r="C142"/>
      <c r="D142"/>
      <c r="E142"/>
      <c r="F142" s="50">
        <v>41244</v>
      </c>
      <c r="G142" s="53">
        <v>92.2</v>
      </c>
      <c r="H142" s="53">
        <v>184.4</v>
      </c>
      <c r="I142" s="53">
        <v>92.2</v>
      </c>
      <c r="J142"/>
      <c r="K142"/>
      <c r="L142"/>
      <c r="M142"/>
      <c r="N142" s="38"/>
      <c r="O142" s="54">
        <v>308.8</v>
      </c>
      <c r="P142" s="54">
        <v>617.6</v>
      </c>
      <c r="Q142" s="54">
        <v>308.8</v>
      </c>
      <c r="R142" s="54"/>
      <c r="S142" s="54">
        <v>308.8</v>
      </c>
      <c r="T142" s="15">
        <v>617.6</v>
      </c>
      <c r="U142" s="15">
        <v>308.8</v>
      </c>
    </row>
    <row r="143" spans="1:21" s="15" customFormat="1" x14ac:dyDescent="0.3">
      <c r="A143" s="17"/>
      <c r="B143"/>
      <c r="C143"/>
      <c r="D143"/>
      <c r="E143"/>
      <c r="F143" s="50">
        <v>41275</v>
      </c>
      <c r="G143" s="53">
        <v>94.5</v>
      </c>
      <c r="H143" s="53">
        <v>189</v>
      </c>
      <c r="I143" s="53">
        <v>94.5</v>
      </c>
      <c r="J143"/>
      <c r="K143"/>
      <c r="L143"/>
      <c r="M143"/>
      <c r="N143" s="38"/>
      <c r="O143" s="54">
        <v>291.5</v>
      </c>
      <c r="P143" s="54">
        <v>583</v>
      </c>
      <c r="Q143" s="54">
        <v>291.5</v>
      </c>
      <c r="R143" s="54"/>
      <c r="S143" s="54">
        <v>291.5</v>
      </c>
      <c r="T143" s="15">
        <v>583</v>
      </c>
      <c r="U143" s="15">
        <v>291.5</v>
      </c>
    </row>
    <row r="144" spans="1:21" s="15" customFormat="1" x14ac:dyDescent="0.3">
      <c r="A144" s="17"/>
      <c r="B144"/>
      <c r="C144"/>
      <c r="D144"/>
      <c r="E144"/>
      <c r="F144" s="50">
        <v>41306</v>
      </c>
      <c r="G144" s="53">
        <v>88.1</v>
      </c>
      <c r="H144" s="53">
        <v>176.2</v>
      </c>
      <c r="I144" s="53">
        <v>88.1</v>
      </c>
      <c r="J144"/>
      <c r="K144"/>
      <c r="L144"/>
      <c r="M144"/>
      <c r="N144" s="38"/>
      <c r="O144" s="54">
        <v>274.79999999999995</v>
      </c>
      <c r="P144" s="54">
        <v>549.59999999999991</v>
      </c>
      <c r="Q144" s="54">
        <v>274.79999999999995</v>
      </c>
      <c r="R144" s="54"/>
      <c r="S144" s="54">
        <v>274.79999999999995</v>
      </c>
      <c r="T144" s="15">
        <v>549.59999999999991</v>
      </c>
      <c r="U144" s="15">
        <v>274.79999999999995</v>
      </c>
    </row>
    <row r="145" spans="1:21" s="15" customFormat="1" x14ac:dyDescent="0.3">
      <c r="A145" s="17"/>
      <c r="B145"/>
      <c r="C145"/>
      <c r="D145"/>
      <c r="E145"/>
      <c r="F145" s="50">
        <v>41334</v>
      </c>
      <c r="G145" s="53">
        <v>97.7</v>
      </c>
      <c r="H145" s="53">
        <v>195.4</v>
      </c>
      <c r="I145" s="53">
        <v>97.7</v>
      </c>
      <c r="J145"/>
      <c r="K145"/>
      <c r="L145"/>
      <c r="M145"/>
      <c r="N145" s="38"/>
      <c r="O145" s="54">
        <v>280.3</v>
      </c>
      <c r="P145" s="54">
        <v>560.6</v>
      </c>
      <c r="Q145" s="54">
        <v>280.3</v>
      </c>
      <c r="R145" s="54"/>
      <c r="S145" s="54">
        <v>280.3</v>
      </c>
      <c r="T145" s="15">
        <v>560.6</v>
      </c>
      <c r="U145" s="15">
        <v>280.3</v>
      </c>
    </row>
    <row r="146" spans="1:21" s="15" customFormat="1" x14ac:dyDescent="0.3">
      <c r="A146" s="17"/>
      <c r="B146"/>
      <c r="C146"/>
      <c r="D146"/>
      <c r="E146"/>
      <c r="F146" s="50">
        <v>41365</v>
      </c>
      <c r="G146" s="53">
        <v>101.8</v>
      </c>
      <c r="H146" s="53">
        <v>203.6</v>
      </c>
      <c r="I146" s="53">
        <v>101.8</v>
      </c>
      <c r="J146"/>
      <c r="K146"/>
      <c r="L146"/>
      <c r="M146"/>
      <c r="N146" s="38"/>
      <c r="O146" s="54">
        <v>287.60000000000002</v>
      </c>
      <c r="P146" s="54">
        <v>575.20000000000005</v>
      </c>
      <c r="Q146" s="54">
        <v>287.60000000000002</v>
      </c>
      <c r="R146" s="54"/>
      <c r="S146" s="54">
        <v>287.60000000000002</v>
      </c>
      <c r="T146" s="15">
        <v>575.20000000000005</v>
      </c>
      <c r="U146" s="15">
        <v>287.60000000000002</v>
      </c>
    </row>
    <row r="147" spans="1:21" s="15" customFormat="1" x14ac:dyDescent="0.3">
      <c r="A147" s="17"/>
      <c r="B147"/>
      <c r="C147"/>
      <c r="D147"/>
      <c r="E147"/>
      <c r="F147" s="50">
        <v>41395</v>
      </c>
      <c r="G147" s="53">
        <v>105</v>
      </c>
      <c r="H147" s="53">
        <v>210</v>
      </c>
      <c r="I147" s="53">
        <v>105</v>
      </c>
      <c r="J147"/>
      <c r="K147"/>
      <c r="L147"/>
      <c r="M147"/>
      <c r="N147" s="38"/>
      <c r="O147" s="54">
        <v>304.5</v>
      </c>
      <c r="P147" s="54">
        <v>609</v>
      </c>
      <c r="Q147" s="54">
        <v>304.5</v>
      </c>
      <c r="R147" s="54"/>
      <c r="S147" s="54">
        <v>304.5</v>
      </c>
      <c r="T147" s="15">
        <v>609</v>
      </c>
      <c r="U147" s="15">
        <v>304.5</v>
      </c>
    </row>
    <row r="148" spans="1:21" s="15" customFormat="1" x14ac:dyDescent="0.3">
      <c r="A148" s="17"/>
      <c r="B148"/>
      <c r="C148"/>
      <c r="D148"/>
      <c r="E148"/>
      <c r="F148" s="50">
        <v>41426</v>
      </c>
      <c r="G148" s="53">
        <v>101.7</v>
      </c>
      <c r="H148" s="53">
        <v>203.4</v>
      </c>
      <c r="I148" s="53">
        <v>101.7</v>
      </c>
      <c r="J148"/>
      <c r="K148"/>
      <c r="L148"/>
      <c r="M148"/>
      <c r="N148" s="38"/>
      <c r="O148" s="54">
        <v>308.5</v>
      </c>
      <c r="P148" s="54">
        <v>617</v>
      </c>
      <c r="Q148" s="54">
        <v>308.5</v>
      </c>
      <c r="R148" s="54"/>
      <c r="S148" s="54">
        <v>308.5</v>
      </c>
      <c r="T148" s="15">
        <v>617</v>
      </c>
      <c r="U148" s="15">
        <v>308.5</v>
      </c>
    </row>
    <row r="149" spans="1:21" s="15" customFormat="1" x14ac:dyDescent="0.3">
      <c r="A149" s="17"/>
      <c r="B149"/>
      <c r="C149"/>
      <c r="D149"/>
      <c r="E149"/>
      <c r="F149" s="50">
        <v>41456</v>
      </c>
      <c r="G149" s="53">
        <v>108</v>
      </c>
      <c r="H149" s="53">
        <v>216</v>
      </c>
      <c r="I149" s="53">
        <v>108</v>
      </c>
      <c r="J149"/>
      <c r="K149"/>
      <c r="L149"/>
      <c r="M149"/>
      <c r="N149" s="38"/>
      <c r="O149" s="54">
        <v>314.7</v>
      </c>
      <c r="P149" s="54">
        <v>629.4</v>
      </c>
      <c r="Q149" s="54">
        <v>314.7</v>
      </c>
      <c r="R149" s="54"/>
      <c r="S149" s="54">
        <v>314.7</v>
      </c>
      <c r="T149" s="15">
        <v>629.4</v>
      </c>
      <c r="U149" s="15">
        <v>314.7</v>
      </c>
    </row>
    <row r="150" spans="1:21" s="15" customFormat="1" x14ac:dyDescent="0.3">
      <c r="A150" s="17"/>
      <c r="B150"/>
      <c r="C150"/>
      <c r="D150"/>
      <c r="E150"/>
      <c r="F150" s="50">
        <v>41487</v>
      </c>
      <c r="G150" s="53">
        <v>112</v>
      </c>
      <c r="H150" s="53">
        <v>224</v>
      </c>
      <c r="I150" s="53">
        <v>112</v>
      </c>
      <c r="J150"/>
      <c r="K150"/>
      <c r="L150"/>
      <c r="M150"/>
      <c r="N150" s="38"/>
      <c r="O150" s="54">
        <v>321.7</v>
      </c>
      <c r="P150" s="54">
        <v>643.4</v>
      </c>
      <c r="Q150" s="54">
        <v>321.7</v>
      </c>
      <c r="R150" s="54"/>
      <c r="S150" s="54">
        <v>321.7</v>
      </c>
      <c r="T150" s="15">
        <v>643.4</v>
      </c>
      <c r="U150" s="15">
        <v>321.7</v>
      </c>
    </row>
    <row r="151" spans="1:21" s="15" customFormat="1" x14ac:dyDescent="0.3">
      <c r="A151" s="17"/>
      <c r="B151"/>
      <c r="C151"/>
      <c r="D151"/>
      <c r="E151"/>
      <c r="F151" s="50">
        <v>41518</v>
      </c>
      <c r="G151" s="53">
        <v>107.3</v>
      </c>
      <c r="H151" s="53">
        <v>214.6</v>
      </c>
      <c r="I151" s="53">
        <v>107.3</v>
      </c>
      <c r="J151"/>
      <c r="K151"/>
      <c r="L151"/>
      <c r="M151"/>
      <c r="N151" s="38"/>
      <c r="O151" s="54">
        <v>327.3</v>
      </c>
      <c r="P151" s="54">
        <v>654.6</v>
      </c>
      <c r="Q151" s="54">
        <v>327.3</v>
      </c>
      <c r="R151" s="54"/>
      <c r="S151" s="54">
        <v>327.3</v>
      </c>
      <c r="T151" s="15">
        <v>654.6</v>
      </c>
      <c r="U151" s="15">
        <v>327.3</v>
      </c>
    </row>
    <row r="152" spans="1:21" s="15" customFormat="1" x14ac:dyDescent="0.3">
      <c r="A152" s="17"/>
      <c r="B152"/>
      <c r="C152"/>
      <c r="D152"/>
      <c r="E152"/>
      <c r="F152" s="50">
        <v>41548</v>
      </c>
      <c r="G152" s="53">
        <v>112.6</v>
      </c>
      <c r="H152" s="53">
        <v>225.2</v>
      </c>
      <c r="I152" s="53">
        <v>112.6</v>
      </c>
      <c r="J152"/>
      <c r="K152"/>
      <c r="L152"/>
      <c r="M152"/>
      <c r="N152" s="38"/>
      <c r="O152" s="54">
        <v>331.9</v>
      </c>
      <c r="P152" s="54">
        <v>663.8</v>
      </c>
      <c r="Q152" s="54">
        <v>331.9</v>
      </c>
      <c r="R152" s="54"/>
      <c r="S152" s="54">
        <v>331.9</v>
      </c>
      <c r="T152" s="15">
        <v>663.8</v>
      </c>
      <c r="U152" s="15">
        <v>331.9</v>
      </c>
    </row>
    <row r="153" spans="1:21" s="15" customFormat="1" x14ac:dyDescent="0.3">
      <c r="A153" s="17"/>
      <c r="B153"/>
      <c r="C153"/>
      <c r="D153"/>
      <c r="E153"/>
      <c r="F153" s="50">
        <v>41579</v>
      </c>
      <c r="G153" s="53">
        <v>106.1</v>
      </c>
      <c r="H153" s="53">
        <v>212.2</v>
      </c>
      <c r="I153" s="53">
        <v>106.1</v>
      </c>
      <c r="J153"/>
      <c r="K153"/>
      <c r="L153"/>
      <c r="M153"/>
      <c r="N153" s="38"/>
      <c r="O153" s="54">
        <v>326</v>
      </c>
      <c r="P153" s="54">
        <v>652</v>
      </c>
      <c r="Q153" s="54">
        <v>326</v>
      </c>
      <c r="R153" s="54"/>
      <c r="S153" s="54">
        <v>326</v>
      </c>
      <c r="T153" s="15">
        <v>652</v>
      </c>
      <c r="U153" s="15">
        <v>326</v>
      </c>
    </row>
    <row r="154" spans="1:21" s="15" customFormat="1" x14ac:dyDescent="0.3">
      <c r="A154" s="17"/>
      <c r="B154"/>
      <c r="C154"/>
      <c r="D154"/>
      <c r="E154"/>
      <c r="F154" s="50">
        <v>41609</v>
      </c>
      <c r="G154" s="53">
        <v>90.1</v>
      </c>
      <c r="H154" s="53">
        <v>180.2</v>
      </c>
      <c r="I154" s="53">
        <v>90.1</v>
      </c>
      <c r="J154"/>
      <c r="K154"/>
      <c r="L154"/>
      <c r="M154"/>
      <c r="N154" s="38"/>
      <c r="O154" s="54">
        <v>308.79999999999995</v>
      </c>
      <c r="P154" s="54">
        <v>617.59999999999991</v>
      </c>
      <c r="Q154" s="54">
        <v>308.79999999999995</v>
      </c>
      <c r="R154" s="54"/>
      <c r="S154" s="54">
        <v>308.79999999999995</v>
      </c>
      <c r="T154" s="15">
        <v>617.59999999999991</v>
      </c>
      <c r="U154" s="15">
        <v>308.79999999999995</v>
      </c>
    </row>
    <row r="155" spans="1:21" s="15" customFormat="1" x14ac:dyDescent="0.3">
      <c r="A155" s="17"/>
      <c r="B155"/>
      <c r="C155"/>
      <c r="D155"/>
      <c r="E155"/>
      <c r="F155" s="50">
        <v>41640</v>
      </c>
      <c r="G155" s="53">
        <v>92.6</v>
      </c>
      <c r="H155" s="53">
        <v>185.2</v>
      </c>
      <c r="I155" s="53">
        <v>92.6</v>
      </c>
      <c r="J155"/>
      <c r="K155"/>
      <c r="L155"/>
      <c r="M155"/>
      <c r="N155" s="38"/>
      <c r="O155" s="54">
        <v>288.79999999999995</v>
      </c>
      <c r="P155" s="54">
        <v>577.59999999999991</v>
      </c>
      <c r="Q155" s="54">
        <v>288.79999999999995</v>
      </c>
      <c r="R155" s="54"/>
      <c r="S155" s="54">
        <v>288.79999999999995</v>
      </c>
      <c r="T155" s="15">
        <v>577.59999999999991</v>
      </c>
      <c r="U155" s="15">
        <v>288.79999999999995</v>
      </c>
    </row>
    <row r="156" spans="1:21" s="15" customFormat="1" x14ac:dyDescent="0.3">
      <c r="A156" s="17"/>
      <c r="B156"/>
      <c r="C156"/>
      <c r="D156"/>
      <c r="E156"/>
      <c r="F156" s="50">
        <v>41671</v>
      </c>
      <c r="G156" s="53">
        <v>92.3</v>
      </c>
      <c r="H156" s="53">
        <v>184.6</v>
      </c>
      <c r="I156" s="53">
        <v>92.3</v>
      </c>
      <c r="J156"/>
      <c r="K156"/>
      <c r="L156"/>
      <c r="M156"/>
      <c r="N156" s="38"/>
      <c r="O156" s="54">
        <v>275</v>
      </c>
      <c r="P156" s="54">
        <v>550</v>
      </c>
      <c r="Q156" s="54">
        <v>275</v>
      </c>
      <c r="R156" s="54"/>
      <c r="S156" s="54">
        <v>275</v>
      </c>
      <c r="T156" s="15">
        <v>550</v>
      </c>
      <c r="U156" s="15">
        <v>275</v>
      </c>
    </row>
    <row r="157" spans="1:21" s="15" customFormat="1" x14ac:dyDescent="0.3">
      <c r="A157" s="17"/>
      <c r="B157"/>
      <c r="C157"/>
      <c r="D157"/>
      <c r="E157"/>
      <c r="F157" s="50">
        <v>41699</v>
      </c>
      <c r="G157" s="53">
        <v>97.3</v>
      </c>
      <c r="H157" s="53">
        <v>194.6</v>
      </c>
      <c r="I157" s="53">
        <v>97.3</v>
      </c>
      <c r="J157"/>
      <c r="K157"/>
      <c r="L157"/>
      <c r="M157"/>
      <c r="N157" s="38"/>
      <c r="O157" s="54">
        <v>282.2</v>
      </c>
      <c r="P157" s="54">
        <v>564.4</v>
      </c>
      <c r="Q157" s="54">
        <v>282.2</v>
      </c>
      <c r="R157" s="54"/>
      <c r="S157" s="54">
        <v>282.2</v>
      </c>
      <c r="T157" s="15">
        <v>564.4</v>
      </c>
      <c r="U157" s="15">
        <v>282.2</v>
      </c>
    </row>
    <row r="158" spans="1:21" s="15" customFormat="1" x14ac:dyDescent="0.3">
      <c r="A158" s="17"/>
      <c r="B158"/>
      <c r="C158"/>
      <c r="D158"/>
      <c r="E158"/>
      <c r="F158" s="50">
        <v>41730</v>
      </c>
      <c r="G158" s="53">
        <v>96</v>
      </c>
      <c r="H158" s="53">
        <v>192</v>
      </c>
      <c r="I158" s="53">
        <v>96</v>
      </c>
      <c r="J158"/>
      <c r="K158"/>
      <c r="L158"/>
      <c r="M158"/>
      <c r="N158" s="38"/>
      <c r="O158" s="54">
        <v>285.60000000000002</v>
      </c>
      <c r="P158" s="54">
        <v>571.20000000000005</v>
      </c>
      <c r="Q158" s="54">
        <v>285.60000000000002</v>
      </c>
      <c r="R158" s="54"/>
      <c r="S158" s="54">
        <v>285.60000000000002</v>
      </c>
      <c r="T158" s="15">
        <v>571.20000000000005</v>
      </c>
      <c r="U158" s="15">
        <v>285.60000000000002</v>
      </c>
    </row>
    <row r="159" spans="1:21" s="15" customFormat="1" x14ac:dyDescent="0.3">
      <c r="A159" s="17"/>
      <c r="B159"/>
      <c r="C159"/>
      <c r="D159"/>
      <c r="E159"/>
      <c r="F159" s="50">
        <v>41760</v>
      </c>
      <c r="G159" s="53">
        <v>101.7</v>
      </c>
      <c r="H159" s="53">
        <v>203.4</v>
      </c>
      <c r="I159" s="53">
        <v>101.7</v>
      </c>
      <c r="J159"/>
      <c r="K159"/>
      <c r="L159"/>
      <c r="M159"/>
      <c r="N159" s="38"/>
      <c r="O159" s="54">
        <v>295</v>
      </c>
      <c r="P159" s="54">
        <v>590</v>
      </c>
      <c r="Q159" s="54">
        <v>295</v>
      </c>
      <c r="R159" s="54"/>
      <c r="S159" s="54">
        <v>295</v>
      </c>
      <c r="T159" s="15">
        <v>590</v>
      </c>
      <c r="U159" s="15">
        <v>295</v>
      </c>
    </row>
    <row r="160" spans="1:21" s="15" customFormat="1" x14ac:dyDescent="0.3">
      <c r="A160" s="17"/>
      <c r="B160"/>
      <c r="C160"/>
      <c r="D160"/>
      <c r="E160"/>
      <c r="F160" s="50">
        <v>41791</v>
      </c>
      <c r="G160" s="53">
        <v>94.9</v>
      </c>
      <c r="H160" s="53">
        <v>189.8</v>
      </c>
      <c r="I160" s="53">
        <v>94.9</v>
      </c>
      <c r="J160"/>
      <c r="K160"/>
      <c r="L160"/>
      <c r="M160"/>
      <c r="N160" s="38"/>
      <c r="O160" s="54">
        <v>292.60000000000002</v>
      </c>
      <c r="P160" s="54">
        <v>585.20000000000005</v>
      </c>
      <c r="Q160" s="54">
        <v>292.60000000000002</v>
      </c>
      <c r="R160" s="54"/>
      <c r="S160" s="54">
        <v>292.60000000000002</v>
      </c>
      <c r="T160" s="15">
        <v>585.20000000000005</v>
      </c>
      <c r="U160" s="15">
        <v>292.60000000000002</v>
      </c>
    </row>
    <row r="161" spans="1:21" s="15" customFormat="1" x14ac:dyDescent="0.3">
      <c r="A161" s="17"/>
      <c r="B161"/>
      <c r="C161"/>
      <c r="D161"/>
      <c r="E161"/>
      <c r="F161" s="50">
        <v>41821</v>
      </c>
      <c r="G161" s="53">
        <v>104.4</v>
      </c>
      <c r="H161" s="53">
        <v>208.8</v>
      </c>
      <c r="I161" s="53">
        <v>104.4</v>
      </c>
      <c r="J161"/>
      <c r="K161"/>
      <c r="L161"/>
      <c r="M161"/>
      <c r="N161" s="38"/>
      <c r="O161" s="54">
        <v>301</v>
      </c>
      <c r="P161" s="54">
        <v>602</v>
      </c>
      <c r="Q161" s="54">
        <v>301</v>
      </c>
      <c r="R161" s="54"/>
      <c r="S161" s="54">
        <v>301</v>
      </c>
      <c r="T161" s="15">
        <v>602</v>
      </c>
      <c r="U161" s="15">
        <v>301</v>
      </c>
    </row>
    <row r="162" spans="1:21" s="15" customFormat="1" x14ac:dyDescent="0.3">
      <c r="A162" s="17"/>
      <c r="B162"/>
      <c r="C162"/>
      <c r="D162"/>
      <c r="E162"/>
      <c r="F162" s="50">
        <v>41852</v>
      </c>
      <c r="G162" s="53">
        <v>106.3</v>
      </c>
      <c r="H162" s="53">
        <v>212.6</v>
      </c>
      <c r="I162" s="53">
        <v>106.3</v>
      </c>
      <c r="J162"/>
      <c r="K162"/>
      <c r="L162"/>
      <c r="M162"/>
      <c r="N162" s="38"/>
      <c r="O162" s="54">
        <v>305.60000000000002</v>
      </c>
      <c r="P162" s="54">
        <v>611.20000000000005</v>
      </c>
      <c r="Q162" s="54">
        <v>305.60000000000002</v>
      </c>
      <c r="R162" s="54"/>
      <c r="S162" s="54">
        <v>305.60000000000002</v>
      </c>
      <c r="T162" s="15">
        <v>611.20000000000005</v>
      </c>
      <c r="U162" s="15">
        <v>305.60000000000002</v>
      </c>
    </row>
    <row r="163" spans="1:21" s="15" customFormat="1" x14ac:dyDescent="0.3">
      <c r="A163" s="17"/>
      <c r="B163"/>
      <c r="C163"/>
      <c r="D163"/>
      <c r="E163"/>
      <c r="F163" s="50">
        <v>41883</v>
      </c>
      <c r="G163" s="53">
        <v>105.6</v>
      </c>
      <c r="H163" s="53">
        <v>211.2</v>
      </c>
      <c r="I163" s="53">
        <v>105.6</v>
      </c>
      <c r="J163"/>
      <c r="K163"/>
      <c r="L163"/>
      <c r="M163"/>
      <c r="N163" s="38"/>
      <c r="O163" s="54">
        <v>316.29999999999995</v>
      </c>
      <c r="P163" s="54">
        <v>632.59999999999991</v>
      </c>
      <c r="Q163" s="54">
        <v>316.29999999999995</v>
      </c>
      <c r="R163" s="54"/>
      <c r="S163" s="54">
        <v>316.29999999999995</v>
      </c>
      <c r="T163" s="15">
        <v>632.59999999999991</v>
      </c>
      <c r="U163" s="15">
        <v>316.29999999999995</v>
      </c>
    </row>
    <row r="164" spans="1:21" s="15" customFormat="1" x14ac:dyDescent="0.3">
      <c r="A164" s="17"/>
      <c r="B164"/>
      <c r="C164"/>
      <c r="D164"/>
      <c r="E164"/>
      <c r="F164" s="50">
        <v>41913</v>
      </c>
      <c r="G164" s="53">
        <v>109.3</v>
      </c>
      <c r="H164" s="53">
        <v>218.6</v>
      </c>
      <c r="I164" s="53">
        <v>109.3</v>
      </c>
      <c r="J164"/>
      <c r="K164"/>
      <c r="L164"/>
      <c r="M164"/>
      <c r="N164" s="38"/>
      <c r="O164" s="54">
        <v>321.2</v>
      </c>
      <c r="P164" s="54">
        <v>642.4</v>
      </c>
      <c r="Q164" s="54">
        <v>321.2</v>
      </c>
      <c r="R164" s="54"/>
      <c r="S164" s="54">
        <v>321.2</v>
      </c>
      <c r="T164" s="15">
        <v>642.4</v>
      </c>
      <c r="U164" s="15">
        <v>321.2</v>
      </c>
    </row>
    <row r="165" spans="1:21" s="15" customFormat="1" x14ac:dyDescent="0.3">
      <c r="A165" s="17"/>
      <c r="B165"/>
      <c r="C165"/>
      <c r="D165"/>
      <c r="E165"/>
      <c r="F165" s="50">
        <v>41944</v>
      </c>
      <c r="G165" s="53">
        <v>99.8</v>
      </c>
      <c r="H165" s="53">
        <v>199.6</v>
      </c>
      <c r="I165" s="53">
        <v>99.8</v>
      </c>
      <c r="J165"/>
      <c r="K165"/>
      <c r="L165"/>
      <c r="M165"/>
      <c r="N165" s="38"/>
      <c r="O165" s="54">
        <v>314.7</v>
      </c>
      <c r="P165" s="54">
        <v>629.4</v>
      </c>
      <c r="Q165" s="54">
        <v>314.7</v>
      </c>
      <c r="R165" s="54"/>
      <c r="S165" s="54">
        <v>314.7</v>
      </c>
      <c r="T165" s="15">
        <v>629.4</v>
      </c>
      <c r="U165" s="15">
        <v>314.7</v>
      </c>
    </row>
    <row r="166" spans="1:21" s="15" customFormat="1" x14ac:dyDescent="0.3">
      <c r="A166" s="17"/>
      <c r="B166"/>
      <c r="C166"/>
      <c r="D166"/>
      <c r="E166"/>
      <c r="F166" s="50">
        <v>41974</v>
      </c>
      <c r="G166" s="53">
        <v>87.7</v>
      </c>
      <c r="H166" s="53">
        <v>175.4</v>
      </c>
      <c r="I166" s="53">
        <v>87.7</v>
      </c>
      <c r="J166"/>
      <c r="K166"/>
      <c r="L166"/>
      <c r="M166"/>
      <c r="N166" s="38"/>
      <c r="O166" s="54">
        <v>296.8</v>
      </c>
      <c r="P166" s="54">
        <v>593.6</v>
      </c>
      <c r="Q166" s="54">
        <v>296.8</v>
      </c>
      <c r="R166" s="54"/>
      <c r="S166" s="54">
        <v>296.8</v>
      </c>
      <c r="T166" s="15">
        <v>593.6</v>
      </c>
      <c r="U166" s="15">
        <v>296.8</v>
      </c>
    </row>
    <row r="167" spans="1:21" s="15" customFormat="1" x14ac:dyDescent="0.3">
      <c r="A167" s="17"/>
      <c r="B167"/>
      <c r="C167"/>
      <c r="D167"/>
      <c r="E167"/>
      <c r="F167" s="50">
        <v>42005</v>
      </c>
      <c r="G167" s="53">
        <v>88.1</v>
      </c>
      <c r="H167" s="53">
        <v>176.2</v>
      </c>
      <c r="I167" s="53">
        <v>88.1</v>
      </c>
      <c r="J167"/>
      <c r="K167"/>
      <c r="L167"/>
      <c r="M167"/>
      <c r="N167" s="38"/>
      <c r="O167" s="54">
        <v>275.60000000000002</v>
      </c>
      <c r="P167" s="54">
        <v>551.20000000000005</v>
      </c>
      <c r="Q167" s="54">
        <v>275.60000000000002</v>
      </c>
      <c r="R167" s="54"/>
      <c r="S167" s="54">
        <v>275.60000000000002</v>
      </c>
      <c r="T167" s="15">
        <v>551.20000000000005</v>
      </c>
      <c r="U167" s="15">
        <v>275.60000000000002</v>
      </c>
    </row>
    <row r="168" spans="1:21" s="15" customFormat="1" x14ac:dyDescent="0.3">
      <c r="A168" s="17"/>
      <c r="B168"/>
      <c r="C168"/>
      <c r="D168"/>
      <c r="E168"/>
      <c r="F168" s="50">
        <v>42036</v>
      </c>
      <c r="G168" s="53">
        <v>83.7</v>
      </c>
      <c r="H168" s="53">
        <v>167.4</v>
      </c>
      <c r="I168" s="53">
        <v>83.7</v>
      </c>
      <c r="J168"/>
      <c r="K168"/>
      <c r="L168"/>
      <c r="M168"/>
      <c r="N168" s="38"/>
      <c r="O168" s="54">
        <v>259.5</v>
      </c>
      <c r="P168" s="54">
        <v>519</v>
      </c>
      <c r="Q168" s="54">
        <v>259.5</v>
      </c>
      <c r="R168" s="54"/>
      <c r="S168" s="54">
        <v>259.5</v>
      </c>
      <c r="T168" s="15">
        <v>519</v>
      </c>
      <c r="U168" s="15">
        <v>259.5</v>
      </c>
    </row>
    <row r="169" spans="1:21" s="15" customFormat="1" x14ac:dyDescent="0.3">
      <c r="A169" s="17"/>
      <c r="B169"/>
      <c r="C169"/>
      <c r="D169"/>
      <c r="E169"/>
      <c r="F169" s="50">
        <v>42064</v>
      </c>
      <c r="G169" s="53">
        <v>94.3</v>
      </c>
      <c r="H169" s="53">
        <v>188.6</v>
      </c>
      <c r="I169" s="53">
        <v>94.3</v>
      </c>
      <c r="J169"/>
      <c r="K169"/>
      <c r="L169"/>
      <c r="M169"/>
      <c r="N169" s="38"/>
      <c r="O169" s="54">
        <v>266.10000000000002</v>
      </c>
      <c r="P169" s="54">
        <v>532.20000000000005</v>
      </c>
      <c r="Q169" s="54">
        <v>266.10000000000002</v>
      </c>
      <c r="R169" s="54"/>
      <c r="S169" s="54">
        <v>266.10000000000002</v>
      </c>
      <c r="T169" s="15">
        <v>532.20000000000005</v>
      </c>
      <c r="U169" s="15">
        <v>266.10000000000002</v>
      </c>
    </row>
    <row r="170" spans="1:21" s="15" customFormat="1" x14ac:dyDescent="0.3">
      <c r="A170" s="17"/>
      <c r="B170"/>
      <c r="C170"/>
      <c r="D170"/>
      <c r="E170"/>
      <c r="F170" s="50">
        <v>42095</v>
      </c>
      <c r="G170" s="53">
        <v>88.8</v>
      </c>
      <c r="H170" s="53">
        <v>177.6</v>
      </c>
      <c r="I170" s="53">
        <v>88.8</v>
      </c>
      <c r="J170"/>
      <c r="K170"/>
      <c r="L170"/>
      <c r="M170"/>
      <c r="N170" s="38"/>
      <c r="O170" s="54">
        <v>266.8</v>
      </c>
      <c r="P170" s="54">
        <v>533.6</v>
      </c>
      <c r="Q170" s="54">
        <v>266.8</v>
      </c>
      <c r="R170" s="54"/>
      <c r="S170" s="54">
        <v>266.8</v>
      </c>
      <c r="T170" s="15">
        <v>533.6</v>
      </c>
      <c r="U170" s="15">
        <v>266.8</v>
      </c>
    </row>
    <row r="171" spans="1:21" s="15" customFormat="1" x14ac:dyDescent="0.3">
      <c r="A171" s="17"/>
      <c r="B171"/>
      <c r="C171"/>
      <c r="D171"/>
      <c r="E171"/>
      <c r="F171" s="50">
        <v>42125</v>
      </c>
      <c r="G171" s="53">
        <v>93.1</v>
      </c>
      <c r="H171" s="53">
        <v>186.2</v>
      </c>
      <c r="I171" s="53">
        <v>93.1</v>
      </c>
      <c r="J171"/>
      <c r="K171"/>
      <c r="L171"/>
      <c r="M171"/>
      <c r="N171" s="38"/>
      <c r="O171" s="54">
        <v>276.2</v>
      </c>
      <c r="P171" s="54">
        <v>552.4</v>
      </c>
      <c r="Q171" s="54">
        <v>276.2</v>
      </c>
      <c r="R171" s="54"/>
      <c r="S171" s="54">
        <v>276.2</v>
      </c>
      <c r="T171" s="15">
        <v>552.4</v>
      </c>
      <c r="U171" s="15">
        <v>276.2</v>
      </c>
    </row>
    <row r="172" spans="1:21" s="15" customFormat="1" x14ac:dyDescent="0.3">
      <c r="A172" s="17"/>
      <c r="B172"/>
      <c r="C172"/>
      <c r="D172"/>
      <c r="E172"/>
      <c r="F172" s="50">
        <v>42156</v>
      </c>
      <c r="G172" s="53">
        <v>92.5</v>
      </c>
      <c r="H172" s="53">
        <v>185</v>
      </c>
      <c r="I172" s="53">
        <v>92.5</v>
      </c>
      <c r="J172"/>
      <c r="K172"/>
      <c r="L172"/>
      <c r="M172"/>
      <c r="N172" s="38"/>
      <c r="O172" s="54">
        <v>274.39999999999998</v>
      </c>
      <c r="P172" s="54">
        <v>548.79999999999995</v>
      </c>
      <c r="Q172" s="54">
        <v>274.39999999999998</v>
      </c>
      <c r="R172" s="54"/>
      <c r="S172" s="54">
        <v>274.39999999999998</v>
      </c>
      <c r="T172" s="15">
        <v>548.79999999999995</v>
      </c>
      <c r="U172" s="15">
        <v>274.39999999999998</v>
      </c>
    </row>
    <row r="173" spans="1:21" s="15" customFormat="1" x14ac:dyDescent="0.3">
      <c r="A173" s="17"/>
      <c r="B173"/>
      <c r="C173"/>
      <c r="D173"/>
      <c r="E173"/>
      <c r="F173" s="50">
        <v>42186</v>
      </c>
      <c r="G173" s="53">
        <v>95.5</v>
      </c>
      <c r="H173" s="53">
        <v>191</v>
      </c>
      <c r="I173" s="53">
        <v>95.5</v>
      </c>
      <c r="J173"/>
      <c r="K173"/>
      <c r="L173"/>
      <c r="M173"/>
      <c r="N173" s="38"/>
      <c r="O173" s="54">
        <v>281.10000000000002</v>
      </c>
      <c r="P173" s="54">
        <v>562.20000000000005</v>
      </c>
      <c r="Q173" s="54">
        <v>281.10000000000002</v>
      </c>
      <c r="R173" s="54"/>
      <c r="S173" s="54">
        <v>281.10000000000002</v>
      </c>
      <c r="T173" s="15">
        <v>562.20000000000005</v>
      </c>
      <c r="U173" s="15">
        <v>281.10000000000002</v>
      </c>
    </row>
    <row r="174" spans="1:21" s="15" customFormat="1" x14ac:dyDescent="0.3">
      <c r="A174" s="17"/>
      <c r="B174"/>
      <c r="C174"/>
      <c r="D174"/>
      <c r="E174"/>
      <c r="F174" s="50">
        <v>42217</v>
      </c>
      <c r="G174" s="53">
        <v>97.6</v>
      </c>
      <c r="H174" s="53">
        <v>195.2</v>
      </c>
      <c r="I174" s="53">
        <v>97.6</v>
      </c>
      <c r="J174"/>
      <c r="K174"/>
      <c r="L174"/>
      <c r="M174"/>
      <c r="N174" s="38"/>
      <c r="O174" s="54">
        <v>285.60000000000002</v>
      </c>
      <c r="P174" s="54">
        <v>571.20000000000005</v>
      </c>
      <c r="Q174" s="54">
        <v>285.60000000000002</v>
      </c>
      <c r="R174" s="54"/>
      <c r="S174" s="54">
        <v>285.60000000000002</v>
      </c>
      <c r="T174" s="15">
        <v>571.20000000000005</v>
      </c>
      <c r="U174" s="15">
        <v>285.60000000000002</v>
      </c>
    </row>
    <row r="175" spans="1:21" s="15" customFormat="1" x14ac:dyDescent="0.3">
      <c r="A175" s="17"/>
      <c r="B175"/>
      <c r="C175"/>
      <c r="D175"/>
      <c r="E175"/>
      <c r="F175" s="50">
        <v>42248</v>
      </c>
      <c r="G175" s="53">
        <v>94.3</v>
      </c>
      <c r="H175" s="53">
        <v>188.6</v>
      </c>
      <c r="I175" s="53">
        <v>94.3</v>
      </c>
      <c r="J175"/>
      <c r="K175"/>
      <c r="L175"/>
      <c r="M175"/>
      <c r="N175" s="38"/>
      <c r="O175" s="54">
        <v>287.39999999999998</v>
      </c>
      <c r="P175" s="54">
        <v>574.79999999999995</v>
      </c>
      <c r="Q175" s="54">
        <v>287.39999999999998</v>
      </c>
      <c r="R175" s="54"/>
      <c r="S175" s="54">
        <v>287.39999999999998</v>
      </c>
      <c r="T175" s="15">
        <v>574.79999999999995</v>
      </c>
      <c r="U175" s="15">
        <v>287.39999999999998</v>
      </c>
    </row>
    <row r="176" spans="1:21" s="15" customFormat="1" x14ac:dyDescent="0.3">
      <c r="A176" s="17"/>
      <c r="B176"/>
      <c r="C176"/>
      <c r="D176"/>
      <c r="E176"/>
      <c r="F176" s="50">
        <v>42278</v>
      </c>
      <c r="G176" s="53">
        <v>97.2</v>
      </c>
      <c r="H176" s="53">
        <v>194.4</v>
      </c>
      <c r="I176" s="53">
        <v>97.2</v>
      </c>
      <c r="J176"/>
      <c r="K176"/>
      <c r="L176"/>
      <c r="M176"/>
      <c r="N176" s="38"/>
      <c r="O176" s="54">
        <v>289.09999999999997</v>
      </c>
      <c r="P176" s="54">
        <v>578.19999999999993</v>
      </c>
      <c r="Q176" s="54">
        <v>289.09999999999997</v>
      </c>
      <c r="R176" s="54"/>
      <c r="S176" s="54">
        <v>289.09999999999997</v>
      </c>
      <c r="T176" s="15">
        <v>578.19999999999993</v>
      </c>
      <c r="U176" s="15">
        <v>289.09999999999997</v>
      </c>
    </row>
    <row r="177" spans="1:21" s="15" customFormat="1" x14ac:dyDescent="0.3">
      <c r="A177" s="17"/>
      <c r="B177"/>
      <c r="C177"/>
      <c r="D177"/>
      <c r="E177"/>
      <c r="F177" s="50">
        <v>42309</v>
      </c>
      <c r="G177" s="53">
        <v>87.6</v>
      </c>
      <c r="H177" s="53">
        <v>175.2</v>
      </c>
      <c r="I177" s="53">
        <v>87.6</v>
      </c>
      <c r="J177"/>
      <c r="K177"/>
      <c r="L177"/>
      <c r="M177"/>
      <c r="N177" s="38"/>
      <c r="O177" s="54">
        <v>279.10000000000002</v>
      </c>
      <c r="P177" s="54">
        <v>558.20000000000005</v>
      </c>
      <c r="Q177" s="54">
        <v>279.10000000000002</v>
      </c>
      <c r="R177" s="54"/>
      <c r="S177" s="54">
        <v>279.10000000000002</v>
      </c>
      <c r="T177" s="15">
        <v>558.20000000000005</v>
      </c>
      <c r="U177" s="15">
        <v>279.10000000000002</v>
      </c>
    </row>
    <row r="178" spans="1:21" s="15" customFormat="1" x14ac:dyDescent="0.3">
      <c r="A178" s="17"/>
      <c r="B178"/>
      <c r="C178"/>
      <c r="D178"/>
      <c r="E178"/>
      <c r="F178" s="50">
        <v>42339</v>
      </c>
      <c r="G178" s="53">
        <v>77.2</v>
      </c>
      <c r="H178" s="53">
        <v>154.4</v>
      </c>
      <c r="I178" s="53">
        <v>77.2</v>
      </c>
      <c r="J178"/>
      <c r="K178"/>
      <c r="L178"/>
      <c r="M178"/>
      <c r="N178" s="38"/>
      <c r="O178" s="54">
        <v>262</v>
      </c>
      <c r="P178" s="54">
        <v>524</v>
      </c>
      <c r="Q178" s="54">
        <v>262</v>
      </c>
      <c r="R178" s="54"/>
      <c r="S178" s="54">
        <v>262</v>
      </c>
      <c r="T178" s="15">
        <v>524</v>
      </c>
      <c r="U178" s="15">
        <v>262</v>
      </c>
    </row>
    <row r="179" spans="1:21" s="15" customFormat="1" x14ac:dyDescent="0.3">
      <c r="A179" s="17"/>
      <c r="B179"/>
      <c r="C179"/>
      <c r="D179"/>
      <c r="E179"/>
      <c r="F179" s="50">
        <v>42370</v>
      </c>
      <c r="G179" s="53">
        <v>76.3</v>
      </c>
      <c r="H179" s="53">
        <v>152.6</v>
      </c>
      <c r="I179" s="53">
        <v>76.3</v>
      </c>
      <c r="J179"/>
      <c r="K179"/>
      <c r="L179"/>
      <c r="M179"/>
      <c r="N179" s="38"/>
      <c r="O179" s="54">
        <v>241.10000000000002</v>
      </c>
      <c r="P179" s="54">
        <v>482.20000000000005</v>
      </c>
      <c r="Q179" s="54">
        <v>241.10000000000002</v>
      </c>
      <c r="R179" s="54"/>
      <c r="S179" s="54">
        <v>241.10000000000002</v>
      </c>
      <c r="T179" s="15">
        <v>482.20000000000005</v>
      </c>
      <c r="U179" s="15">
        <v>241.10000000000002</v>
      </c>
    </row>
    <row r="180" spans="1:21" s="15" customFormat="1" x14ac:dyDescent="0.3">
      <c r="A180" s="17"/>
      <c r="B180"/>
      <c r="C180"/>
      <c r="D180"/>
      <c r="E180"/>
      <c r="F180" s="50">
        <v>42401</v>
      </c>
      <c r="G180" s="53">
        <v>75.8</v>
      </c>
      <c r="H180" s="53">
        <v>151.6</v>
      </c>
      <c r="I180" s="53">
        <v>75.8</v>
      </c>
      <c r="J180"/>
      <c r="K180"/>
      <c r="L180"/>
      <c r="M180"/>
      <c r="N180" s="38"/>
      <c r="O180" s="54">
        <v>229.3</v>
      </c>
      <c r="P180" s="54">
        <v>458.6</v>
      </c>
      <c r="Q180" s="54">
        <v>229.3</v>
      </c>
      <c r="R180" s="54"/>
      <c r="S180" s="54">
        <v>229.3</v>
      </c>
      <c r="T180" s="15">
        <v>458.6</v>
      </c>
      <c r="U180" s="15">
        <v>229.3</v>
      </c>
    </row>
    <row r="181" spans="1:21" s="15" customFormat="1" x14ac:dyDescent="0.3">
      <c r="A181" s="17"/>
      <c r="B181"/>
      <c r="C181"/>
      <c r="D181"/>
      <c r="E181"/>
      <c r="F181" s="50">
        <v>42430</v>
      </c>
      <c r="G181" s="53">
        <v>83.7</v>
      </c>
      <c r="H181" s="53">
        <v>167.4</v>
      </c>
      <c r="I181" s="53">
        <v>83.7</v>
      </c>
      <c r="J181"/>
      <c r="K181"/>
      <c r="L181"/>
      <c r="M181"/>
      <c r="N181" s="38"/>
      <c r="O181" s="54">
        <v>235.8</v>
      </c>
      <c r="P181" s="54">
        <v>471.6</v>
      </c>
      <c r="Q181" s="54">
        <v>235.8</v>
      </c>
      <c r="R181" s="54"/>
      <c r="S181" s="54">
        <v>235.8</v>
      </c>
      <c r="T181" s="15">
        <v>471.6</v>
      </c>
      <c r="U181" s="15">
        <v>235.8</v>
      </c>
    </row>
    <row r="182" spans="1:21" s="15" customFormat="1" x14ac:dyDescent="0.3">
      <c r="A182" s="17"/>
      <c r="B182"/>
      <c r="C182"/>
      <c r="D182"/>
      <c r="E182"/>
      <c r="F182" s="50">
        <v>42461</v>
      </c>
      <c r="G182" s="53">
        <v>83</v>
      </c>
      <c r="H182" s="53">
        <v>166</v>
      </c>
      <c r="I182" s="53">
        <v>83</v>
      </c>
      <c r="J182"/>
      <c r="K182"/>
      <c r="L182"/>
      <c r="M182"/>
      <c r="N182" s="38"/>
      <c r="O182" s="54">
        <v>242.5</v>
      </c>
      <c r="P182" s="54">
        <v>485</v>
      </c>
      <c r="Q182" s="54">
        <v>242.5</v>
      </c>
      <c r="R182" s="54"/>
      <c r="S182" s="54">
        <v>242.5</v>
      </c>
      <c r="T182" s="15">
        <v>485</v>
      </c>
      <c r="U182" s="15">
        <v>242.5</v>
      </c>
    </row>
    <row r="183" spans="1:21" s="15" customFormat="1" x14ac:dyDescent="0.3">
      <c r="A183" s="17"/>
      <c r="B183"/>
      <c r="C183"/>
      <c r="D183"/>
      <c r="E183"/>
      <c r="F183" s="50">
        <v>42491</v>
      </c>
      <c r="G183" s="53">
        <v>86.3</v>
      </c>
      <c r="H183" s="53">
        <v>172.6</v>
      </c>
      <c r="I183" s="53">
        <v>86.3</v>
      </c>
      <c r="J183"/>
      <c r="K183"/>
      <c r="L183"/>
      <c r="M183"/>
      <c r="N183" s="38"/>
      <c r="O183" s="54">
        <v>253</v>
      </c>
      <c r="P183" s="54">
        <v>506</v>
      </c>
      <c r="Q183" s="54">
        <v>253</v>
      </c>
      <c r="R183" s="54"/>
      <c r="S183" s="54">
        <v>253</v>
      </c>
      <c r="T183" s="15">
        <v>506</v>
      </c>
      <c r="U183" s="15">
        <v>253</v>
      </c>
    </row>
    <row r="184" spans="1:21" s="15" customFormat="1" x14ac:dyDescent="0.3">
      <c r="A184" s="17"/>
      <c r="B184"/>
      <c r="C184"/>
      <c r="D184"/>
      <c r="E184"/>
      <c r="F184" s="50">
        <v>42522</v>
      </c>
      <c r="G184" s="53">
        <v>87.7</v>
      </c>
      <c r="H184" s="53">
        <v>175.4</v>
      </c>
      <c r="I184" s="53">
        <v>87.7</v>
      </c>
      <c r="J184"/>
      <c r="K184"/>
      <c r="L184"/>
      <c r="M184"/>
      <c r="N184" s="38"/>
      <c r="O184" s="54">
        <v>257</v>
      </c>
      <c r="P184" s="54">
        <v>514</v>
      </c>
      <c r="Q184" s="54">
        <v>257</v>
      </c>
      <c r="R184" s="54"/>
      <c r="S184" s="54">
        <v>257</v>
      </c>
      <c r="T184" s="15">
        <v>514</v>
      </c>
      <c r="U184" s="15">
        <v>257</v>
      </c>
    </row>
    <row r="185" spans="1:21" s="15" customFormat="1" x14ac:dyDescent="0.3">
      <c r="A185" s="17"/>
      <c r="B185"/>
      <c r="C185"/>
      <c r="D185"/>
      <c r="E185"/>
      <c r="F185" s="50">
        <v>42552</v>
      </c>
      <c r="G185" s="53">
        <v>89.6</v>
      </c>
      <c r="H185" s="53">
        <v>179.2</v>
      </c>
      <c r="I185" s="53">
        <v>89.6</v>
      </c>
      <c r="J185"/>
      <c r="K185"/>
      <c r="L185"/>
      <c r="M185"/>
      <c r="N185" s="38"/>
      <c r="O185" s="54">
        <v>263.60000000000002</v>
      </c>
      <c r="P185" s="54">
        <v>527.20000000000005</v>
      </c>
      <c r="Q185" s="54">
        <v>263.60000000000002</v>
      </c>
      <c r="R185" s="54"/>
      <c r="S185" s="54">
        <v>263.60000000000002</v>
      </c>
      <c r="T185" s="15">
        <v>527.20000000000005</v>
      </c>
      <c r="U185" s="15">
        <v>263.60000000000002</v>
      </c>
    </row>
    <row r="186" spans="1:21" s="15" customFormat="1" x14ac:dyDescent="0.3">
      <c r="A186" s="17"/>
      <c r="B186"/>
      <c r="C186"/>
      <c r="D186"/>
      <c r="E186"/>
      <c r="F186" s="50">
        <v>42583</v>
      </c>
      <c r="G186" s="53">
        <v>93</v>
      </c>
      <c r="H186" s="53">
        <v>186</v>
      </c>
      <c r="I186" s="53">
        <v>93</v>
      </c>
      <c r="J186"/>
      <c r="K186"/>
      <c r="L186"/>
      <c r="M186"/>
      <c r="N186" s="38"/>
      <c r="O186" s="54">
        <v>270.3</v>
      </c>
      <c r="P186" s="54">
        <v>540.6</v>
      </c>
      <c r="Q186" s="54">
        <v>270.3</v>
      </c>
      <c r="R186" s="54"/>
      <c r="S186" s="54">
        <v>270.3</v>
      </c>
      <c r="T186" s="15">
        <v>540.6</v>
      </c>
      <c r="U186" s="15">
        <v>270.3</v>
      </c>
    </row>
    <row r="187" spans="1:21" s="15" customFormat="1" x14ac:dyDescent="0.3">
      <c r="A187" s="17"/>
      <c r="B187"/>
      <c r="C187"/>
      <c r="D187"/>
      <c r="E187"/>
      <c r="F187" s="50">
        <v>42614</v>
      </c>
      <c r="G187" s="53">
        <v>90.7</v>
      </c>
      <c r="H187" s="53">
        <v>181.4</v>
      </c>
      <c r="I187" s="53">
        <v>90.7</v>
      </c>
      <c r="J187"/>
      <c r="K187"/>
      <c r="L187"/>
      <c r="M187"/>
      <c r="N187" s="38"/>
      <c r="O187" s="54">
        <v>273.3</v>
      </c>
      <c r="P187" s="54">
        <v>546.6</v>
      </c>
      <c r="Q187" s="54">
        <v>273.3</v>
      </c>
      <c r="R187" s="54"/>
      <c r="S187" s="54">
        <v>273.3</v>
      </c>
      <c r="T187" s="15">
        <v>546.6</v>
      </c>
      <c r="U187" s="15">
        <v>273.3</v>
      </c>
    </row>
    <row r="188" spans="1:21" s="15" customFormat="1" x14ac:dyDescent="0.3">
      <c r="A188" s="17"/>
      <c r="B188"/>
      <c r="C188"/>
      <c r="D188"/>
      <c r="E188"/>
      <c r="F188" s="50">
        <v>42644</v>
      </c>
      <c r="G188" s="53">
        <v>90.2</v>
      </c>
      <c r="H188" s="53">
        <v>180.4</v>
      </c>
      <c r="I188" s="53">
        <v>90.2</v>
      </c>
      <c r="J188"/>
      <c r="K188"/>
      <c r="L188"/>
      <c r="M188"/>
      <c r="N188" s="38"/>
      <c r="O188" s="54">
        <v>273.89999999999998</v>
      </c>
      <c r="P188" s="54">
        <v>547.79999999999995</v>
      </c>
      <c r="Q188" s="54">
        <v>273.89999999999998</v>
      </c>
      <c r="R188" s="54"/>
      <c r="S188" s="54">
        <v>273.89999999999998</v>
      </c>
      <c r="T188" s="15">
        <v>547.79999999999995</v>
      </c>
      <c r="U188" s="15">
        <v>273.89999999999998</v>
      </c>
    </row>
    <row r="189" spans="1:21" s="15" customFormat="1" x14ac:dyDescent="0.3">
      <c r="A189" s="17"/>
      <c r="B189"/>
      <c r="C189"/>
      <c r="D189"/>
      <c r="E189"/>
      <c r="F189" s="50">
        <v>42675</v>
      </c>
      <c r="G189" s="53">
        <v>86.5</v>
      </c>
      <c r="H189" s="53">
        <v>173</v>
      </c>
      <c r="I189" s="53">
        <v>86.5</v>
      </c>
      <c r="J189"/>
      <c r="K189"/>
      <c r="L189"/>
      <c r="M189"/>
      <c r="N189" s="38"/>
      <c r="O189" s="54">
        <v>267.39999999999998</v>
      </c>
      <c r="P189" s="54">
        <v>534.79999999999995</v>
      </c>
      <c r="Q189" s="54">
        <v>267.39999999999998</v>
      </c>
      <c r="R189" s="54"/>
      <c r="S189" s="54">
        <v>267.39999999999998</v>
      </c>
      <c r="T189" s="15">
        <v>534.79999999999995</v>
      </c>
      <c r="U189" s="15">
        <v>267.39999999999998</v>
      </c>
    </row>
    <row r="190" spans="1:21" s="15" customFormat="1" x14ac:dyDescent="0.3">
      <c r="A190" s="17"/>
      <c r="B190"/>
      <c r="C190"/>
      <c r="D190"/>
      <c r="E190"/>
      <c r="F190" s="50">
        <v>42705</v>
      </c>
      <c r="G190" s="53">
        <v>77.2</v>
      </c>
      <c r="H190" s="53">
        <v>154.4</v>
      </c>
      <c r="I190" s="53">
        <v>77.2</v>
      </c>
      <c r="J190"/>
      <c r="K190"/>
      <c r="L190"/>
      <c r="M190"/>
      <c r="N190" s="38"/>
      <c r="O190" s="54">
        <v>253.89999999999998</v>
      </c>
      <c r="P190" s="54">
        <v>507.79999999999995</v>
      </c>
      <c r="Q190" s="54">
        <v>253.89999999999998</v>
      </c>
      <c r="R190" s="54"/>
      <c r="S190" s="54">
        <v>253.89999999999998</v>
      </c>
      <c r="T190" s="15">
        <v>507.79999999999995</v>
      </c>
      <c r="U190" s="15">
        <v>253.89999999999998</v>
      </c>
    </row>
    <row r="191" spans="1:21" s="15" customFormat="1" x14ac:dyDescent="0.3">
      <c r="A191" s="17"/>
      <c r="B191"/>
      <c r="C191"/>
      <c r="D191"/>
      <c r="E191"/>
      <c r="F191" s="50">
        <v>42736</v>
      </c>
      <c r="G191" s="53">
        <v>77.900000000000006</v>
      </c>
      <c r="H191" s="53">
        <v>155.80000000000001</v>
      </c>
      <c r="I191" s="53">
        <v>77.900000000000006</v>
      </c>
      <c r="J191"/>
      <c r="K191"/>
      <c r="L191"/>
      <c r="M191"/>
      <c r="N191" s="38"/>
      <c r="O191" s="54">
        <v>241.6</v>
      </c>
      <c r="P191" s="54">
        <v>483.2</v>
      </c>
      <c r="Q191" s="54">
        <v>241.6</v>
      </c>
      <c r="R191" s="54"/>
      <c r="S191" s="54">
        <v>241.6</v>
      </c>
      <c r="T191" s="15">
        <v>483.2</v>
      </c>
      <c r="U191" s="15">
        <v>241.6</v>
      </c>
    </row>
    <row r="192" spans="1:21" s="15" customFormat="1" x14ac:dyDescent="0.3">
      <c r="A192" s="17"/>
      <c r="B192"/>
      <c r="C192"/>
      <c r="D192"/>
      <c r="E192"/>
      <c r="F192" s="50">
        <v>42767</v>
      </c>
      <c r="G192" s="53">
        <v>75.900000000000006</v>
      </c>
      <c r="H192" s="53">
        <v>151.80000000000001</v>
      </c>
      <c r="I192" s="53">
        <v>75.900000000000006</v>
      </c>
      <c r="J192"/>
      <c r="K192"/>
      <c r="L192"/>
      <c r="M192"/>
      <c r="N192" s="38"/>
      <c r="O192" s="54">
        <v>231.00000000000003</v>
      </c>
      <c r="P192" s="54">
        <v>462.00000000000006</v>
      </c>
      <c r="Q192" s="54">
        <v>231.00000000000003</v>
      </c>
      <c r="R192" s="54"/>
      <c r="S192" s="54">
        <v>231.00000000000003</v>
      </c>
      <c r="T192" s="15">
        <v>462.00000000000006</v>
      </c>
      <c r="U192" s="15">
        <v>231.00000000000003</v>
      </c>
    </row>
    <row r="193" spans="1:21" s="15" customFormat="1" x14ac:dyDescent="0.3">
      <c r="A193" s="17"/>
      <c r="B193"/>
      <c r="C193"/>
      <c r="D193"/>
      <c r="E193"/>
      <c r="F193" s="50">
        <v>42795</v>
      </c>
      <c r="G193" s="53">
        <v>85.4</v>
      </c>
      <c r="H193" s="53">
        <v>170.8</v>
      </c>
      <c r="I193" s="53">
        <v>85.4</v>
      </c>
      <c r="J193"/>
      <c r="K193"/>
      <c r="L193"/>
      <c r="M193"/>
      <c r="N193" s="38"/>
      <c r="O193" s="54">
        <v>239.20000000000002</v>
      </c>
      <c r="P193" s="54">
        <v>478.40000000000003</v>
      </c>
      <c r="Q193" s="54">
        <v>239.20000000000002</v>
      </c>
      <c r="R193" s="54"/>
      <c r="S193" s="54">
        <v>239.20000000000002</v>
      </c>
      <c r="T193" s="15">
        <v>478.40000000000003</v>
      </c>
      <c r="U193" s="15">
        <v>239.20000000000002</v>
      </c>
    </row>
    <row r="194" spans="1:21" s="15" customFormat="1" x14ac:dyDescent="0.3">
      <c r="A194" s="17"/>
      <c r="B194"/>
      <c r="C194"/>
      <c r="D194"/>
      <c r="E194"/>
      <c r="F194" s="50">
        <v>42826</v>
      </c>
      <c r="G194" s="53">
        <v>79.3</v>
      </c>
      <c r="H194" s="53">
        <v>158.6</v>
      </c>
      <c r="I194" s="53">
        <v>79.3</v>
      </c>
      <c r="J194"/>
      <c r="K194"/>
      <c r="L194"/>
      <c r="M194"/>
      <c r="N194" s="38"/>
      <c r="O194" s="54">
        <v>240.60000000000002</v>
      </c>
      <c r="P194" s="54">
        <v>481.20000000000005</v>
      </c>
      <c r="Q194" s="54">
        <v>240.60000000000002</v>
      </c>
      <c r="R194" s="54"/>
      <c r="S194" s="54">
        <v>240.60000000000002</v>
      </c>
      <c r="T194" s="15">
        <v>481.20000000000005</v>
      </c>
      <c r="U194" s="15">
        <v>240.60000000000002</v>
      </c>
    </row>
    <row r="195" spans="1:21" s="15" customFormat="1" x14ac:dyDescent="0.3">
      <c r="A195" s="17"/>
      <c r="B195"/>
      <c r="C195"/>
      <c r="D195"/>
      <c r="E195"/>
      <c r="F195" s="50">
        <v>42856</v>
      </c>
      <c r="G195" s="53">
        <v>90.1</v>
      </c>
      <c r="H195" s="53">
        <v>180.2</v>
      </c>
      <c r="I195" s="53">
        <v>90.1</v>
      </c>
      <c r="J195"/>
      <c r="K195"/>
      <c r="L195"/>
      <c r="M195"/>
      <c r="N195" s="38"/>
      <c r="O195" s="54">
        <v>254.79999999999998</v>
      </c>
      <c r="P195" s="54">
        <v>509.59999999999997</v>
      </c>
      <c r="Q195" s="54">
        <v>254.79999999999998</v>
      </c>
      <c r="R195" s="54"/>
      <c r="S195" s="54">
        <v>254.79999999999998</v>
      </c>
      <c r="T195" s="15">
        <v>509.59999999999997</v>
      </c>
      <c r="U195" s="15">
        <v>254.79999999999998</v>
      </c>
    </row>
    <row r="196" spans="1:21" s="15" customFormat="1" x14ac:dyDescent="0.3">
      <c r="A196" s="17"/>
      <c r="B196"/>
      <c r="C196"/>
      <c r="D196"/>
      <c r="E196"/>
      <c r="F196" s="50">
        <v>42887</v>
      </c>
      <c r="G196" s="53">
        <v>88.4</v>
      </c>
      <c r="H196" s="53">
        <v>176.8</v>
      </c>
      <c r="I196" s="53">
        <v>88.4</v>
      </c>
      <c r="J196"/>
      <c r="K196"/>
      <c r="L196"/>
      <c r="M196"/>
      <c r="N196" s="38"/>
      <c r="O196" s="54">
        <v>257.79999999999995</v>
      </c>
      <c r="P196" s="54">
        <v>515.59999999999991</v>
      </c>
      <c r="Q196" s="54">
        <v>257.79999999999995</v>
      </c>
      <c r="R196" s="54"/>
      <c r="S196" s="54">
        <v>257.79999999999995</v>
      </c>
      <c r="T196" s="15">
        <v>515.59999999999991</v>
      </c>
      <c r="U196" s="15">
        <v>257.79999999999995</v>
      </c>
    </row>
    <row r="197" spans="1:21" s="15" customFormat="1" x14ac:dyDescent="0.3">
      <c r="A197" s="17"/>
      <c r="B197"/>
      <c r="C197"/>
      <c r="D197"/>
      <c r="E197"/>
      <c r="F197" s="50">
        <v>42917</v>
      </c>
      <c r="G197" s="53">
        <v>92.1</v>
      </c>
      <c r="H197" s="53">
        <v>184.2</v>
      </c>
      <c r="I197" s="53">
        <v>92.1</v>
      </c>
      <c r="J197"/>
      <c r="K197"/>
      <c r="L197"/>
      <c r="M197"/>
      <c r="N197" s="38"/>
      <c r="O197" s="54">
        <v>270.60000000000002</v>
      </c>
      <c r="P197" s="54">
        <v>541.20000000000005</v>
      </c>
      <c r="Q197" s="54">
        <v>270.60000000000002</v>
      </c>
      <c r="R197" s="54"/>
      <c r="S197" s="54">
        <v>270.60000000000002</v>
      </c>
      <c r="T197" s="15">
        <v>541.20000000000005</v>
      </c>
      <c r="U197" s="15">
        <v>270.60000000000002</v>
      </c>
    </row>
    <row r="198" spans="1:21" s="15" customFormat="1" x14ac:dyDescent="0.3">
      <c r="A198" s="17"/>
      <c r="B198"/>
      <c r="C198"/>
      <c r="D198"/>
      <c r="E198"/>
      <c r="F198" s="50">
        <v>42948</v>
      </c>
      <c r="G198" s="53">
        <v>96.7</v>
      </c>
      <c r="H198" s="53">
        <v>193.4</v>
      </c>
      <c r="I198" s="53">
        <v>96.7</v>
      </c>
      <c r="J198"/>
      <c r="K198"/>
      <c r="L198"/>
      <c r="M198"/>
      <c r="N198" s="38"/>
      <c r="O198" s="54">
        <v>277.2</v>
      </c>
      <c r="P198" s="54">
        <v>554.4</v>
      </c>
      <c r="Q198" s="54">
        <v>277.2</v>
      </c>
      <c r="R198" s="54"/>
      <c r="S198" s="54">
        <v>277.2</v>
      </c>
      <c r="T198" s="15">
        <v>554.4</v>
      </c>
      <c r="U198" s="15">
        <v>277.2</v>
      </c>
    </row>
    <row r="199" spans="1:21" s="15" customFormat="1" x14ac:dyDescent="0.3">
      <c r="A199" s="17"/>
      <c r="B199"/>
      <c r="C199"/>
      <c r="D199"/>
      <c r="E199"/>
      <c r="F199" s="50">
        <v>42979</v>
      </c>
      <c r="G199" s="53">
        <v>93</v>
      </c>
      <c r="H199" s="53">
        <v>186</v>
      </c>
      <c r="I199" s="53">
        <v>93</v>
      </c>
      <c r="J199"/>
      <c r="K199"/>
      <c r="L199"/>
      <c r="M199"/>
      <c r="N199" s="38"/>
      <c r="O199" s="54">
        <v>281.8</v>
      </c>
      <c r="P199" s="54">
        <v>563.6</v>
      </c>
      <c r="Q199" s="54">
        <v>281.8</v>
      </c>
      <c r="R199" s="54"/>
      <c r="S199" s="54">
        <v>281.8</v>
      </c>
      <c r="T199" s="15">
        <v>563.6</v>
      </c>
      <c r="U199" s="15">
        <v>281.8</v>
      </c>
    </row>
    <row r="200" spans="1:21" s="15" customFormat="1" x14ac:dyDescent="0.3">
      <c r="A200" s="17"/>
      <c r="B200"/>
      <c r="C200"/>
      <c r="D200"/>
      <c r="E200"/>
      <c r="F200" s="50">
        <v>43009</v>
      </c>
      <c r="G200" s="53">
        <v>95.1</v>
      </c>
      <c r="H200" s="53">
        <v>190.2</v>
      </c>
      <c r="I200" s="53">
        <v>95.1</v>
      </c>
      <c r="J200"/>
      <c r="K200"/>
      <c r="L200"/>
      <c r="M200"/>
      <c r="N200" s="38"/>
      <c r="O200" s="54">
        <v>284.79999999999995</v>
      </c>
      <c r="P200" s="54">
        <v>569.59999999999991</v>
      </c>
      <c r="Q200" s="54">
        <v>284.79999999999995</v>
      </c>
      <c r="R200" s="54"/>
      <c r="S200" s="54">
        <v>284.79999999999995</v>
      </c>
      <c r="T200" s="15">
        <v>569.59999999999991</v>
      </c>
      <c r="U200" s="15">
        <v>284.79999999999995</v>
      </c>
    </row>
    <row r="201" spans="1:21" s="15" customFormat="1" x14ac:dyDescent="0.3">
      <c r="A201" s="17"/>
      <c r="B201"/>
      <c r="C201"/>
      <c r="D201"/>
      <c r="E201"/>
      <c r="F201" s="50">
        <v>43040</v>
      </c>
      <c r="G201" s="53">
        <v>90.6</v>
      </c>
      <c r="H201" s="53">
        <v>181.2</v>
      </c>
      <c r="I201" s="53">
        <v>90.6</v>
      </c>
      <c r="J201"/>
      <c r="K201"/>
      <c r="L201"/>
      <c r="M201"/>
      <c r="N201" s="38"/>
      <c r="O201" s="54">
        <v>278.7</v>
      </c>
      <c r="P201" s="54">
        <v>557.4</v>
      </c>
      <c r="Q201" s="54">
        <v>278.7</v>
      </c>
      <c r="R201" s="54"/>
      <c r="S201" s="54">
        <v>278.7</v>
      </c>
      <c r="T201" s="15">
        <v>557.4</v>
      </c>
      <c r="U201" s="15">
        <v>278.7</v>
      </c>
    </row>
    <row r="202" spans="1:21" s="15" customFormat="1" x14ac:dyDescent="0.3">
      <c r="A202" s="17"/>
      <c r="B202"/>
      <c r="C202"/>
      <c r="D202"/>
      <c r="E202"/>
      <c r="F202" s="50">
        <v>43070</v>
      </c>
      <c r="G202" s="53">
        <v>81</v>
      </c>
      <c r="H202" s="53">
        <v>162</v>
      </c>
      <c r="I202" s="53">
        <v>81</v>
      </c>
      <c r="J202"/>
      <c r="K202"/>
      <c r="L202"/>
      <c r="M202"/>
      <c r="N202" s="38"/>
      <c r="O202" s="54">
        <v>266.7</v>
      </c>
      <c r="P202" s="54">
        <v>533.4</v>
      </c>
      <c r="Q202" s="54">
        <v>266.7</v>
      </c>
      <c r="R202" s="54"/>
      <c r="S202" s="54">
        <v>266.7</v>
      </c>
      <c r="T202" s="15">
        <v>533.4</v>
      </c>
      <c r="U202" s="15">
        <v>266.7</v>
      </c>
    </row>
    <row r="203" spans="1:21" s="15" customFormat="1" x14ac:dyDescent="0.3">
      <c r="A203" s="17"/>
      <c r="B203"/>
      <c r="C203"/>
      <c r="D203"/>
      <c r="E203"/>
      <c r="F203" s="50">
        <v>43101</v>
      </c>
      <c r="G203" s="53">
        <v>82.3</v>
      </c>
      <c r="H203" s="53">
        <v>164.6</v>
      </c>
      <c r="I203" s="53">
        <v>82.3</v>
      </c>
      <c r="J203"/>
      <c r="K203"/>
      <c r="L203"/>
      <c r="M203"/>
      <c r="N203" s="38"/>
      <c r="O203" s="54">
        <v>253.89999999999998</v>
      </c>
      <c r="P203" s="54">
        <v>507.79999999999995</v>
      </c>
      <c r="Q203" s="54">
        <v>253.89999999999998</v>
      </c>
      <c r="R203" s="54"/>
      <c r="S203" s="54">
        <v>253.89999999999998</v>
      </c>
      <c r="T203" s="15">
        <v>507.79999999999995</v>
      </c>
      <c r="U203" s="15">
        <v>253.89999999999998</v>
      </c>
    </row>
    <row r="204" spans="1:21" s="15" customFormat="1" x14ac:dyDescent="0.3">
      <c r="A204" s="17"/>
      <c r="B204"/>
      <c r="C204"/>
      <c r="D204"/>
      <c r="E204"/>
      <c r="F204" s="50">
        <v>43132</v>
      </c>
      <c r="G204" s="53">
        <v>77.3</v>
      </c>
      <c r="H204" s="53">
        <v>154.6</v>
      </c>
      <c r="I204" s="53">
        <v>77.3</v>
      </c>
      <c r="J204"/>
      <c r="K204"/>
      <c r="L204"/>
      <c r="M204"/>
      <c r="N204" s="38"/>
      <c r="O204" s="54">
        <v>240.60000000000002</v>
      </c>
      <c r="P204" s="54">
        <v>481.20000000000005</v>
      </c>
      <c r="Q204" s="54">
        <v>240.60000000000002</v>
      </c>
      <c r="R204" s="54"/>
      <c r="S204" s="54">
        <v>240.60000000000002</v>
      </c>
      <c r="T204" s="15">
        <v>481.20000000000005</v>
      </c>
      <c r="U204" s="15">
        <v>240.60000000000002</v>
      </c>
    </row>
    <row r="205" spans="1:21" s="15" customFormat="1" x14ac:dyDescent="0.3">
      <c r="A205" s="17"/>
      <c r="B205"/>
      <c r="C205"/>
      <c r="D205"/>
      <c r="E205"/>
      <c r="F205" s="50">
        <v>43160</v>
      </c>
      <c r="G205" s="53">
        <v>86.2</v>
      </c>
      <c r="H205" s="53">
        <v>172.4</v>
      </c>
      <c r="I205" s="53">
        <v>86.2</v>
      </c>
      <c r="J205"/>
      <c r="K205"/>
      <c r="L205"/>
      <c r="M205"/>
      <c r="N205" s="38"/>
      <c r="O205" s="54">
        <v>245.8</v>
      </c>
      <c r="P205" s="54">
        <v>491.6</v>
      </c>
      <c r="Q205" s="54">
        <v>245.8</v>
      </c>
      <c r="R205" s="54"/>
      <c r="S205" s="54">
        <v>245.8</v>
      </c>
      <c r="T205" s="15">
        <v>491.6</v>
      </c>
      <c r="U205" s="15">
        <v>245.8</v>
      </c>
    </row>
    <row r="206" spans="1:21" s="15" customFormat="1" x14ac:dyDescent="0.3">
      <c r="A206" s="17"/>
      <c r="B206"/>
      <c r="C206"/>
      <c r="D206"/>
      <c r="E206"/>
      <c r="F206" s="50">
        <v>43191</v>
      </c>
      <c r="G206" s="53">
        <v>86.5</v>
      </c>
      <c r="H206" s="53">
        <v>173</v>
      </c>
      <c r="I206" s="53">
        <v>86.5</v>
      </c>
      <c r="J206"/>
      <c r="K206"/>
      <c r="L206"/>
      <c r="M206"/>
      <c r="N206" s="38"/>
      <c r="O206" s="54">
        <v>250</v>
      </c>
      <c r="P206" s="54">
        <v>500</v>
      </c>
      <c r="Q206" s="54">
        <v>250</v>
      </c>
      <c r="R206" s="54"/>
      <c r="S206" s="54">
        <v>250</v>
      </c>
      <c r="T206" s="15">
        <v>500</v>
      </c>
      <c r="U206" s="15">
        <v>250</v>
      </c>
    </row>
    <row r="207" spans="1:21" s="15" customFormat="1" x14ac:dyDescent="0.3">
      <c r="A207" s="17"/>
      <c r="B207"/>
      <c r="C207"/>
      <c r="D207"/>
      <c r="E207"/>
      <c r="F207" s="50">
        <v>43221</v>
      </c>
      <c r="G207" s="53">
        <v>84.4</v>
      </c>
      <c r="H207" s="53">
        <v>168.8</v>
      </c>
      <c r="I207" s="53">
        <v>84.4</v>
      </c>
      <c r="J207"/>
      <c r="K207"/>
      <c r="L207"/>
      <c r="M207"/>
      <c r="N207" s="38"/>
      <c r="O207" s="54">
        <v>257.10000000000002</v>
      </c>
      <c r="P207" s="54">
        <v>514.20000000000005</v>
      </c>
      <c r="Q207" s="54">
        <v>257.10000000000002</v>
      </c>
      <c r="R207" s="54"/>
      <c r="S207" s="54">
        <v>257.10000000000002</v>
      </c>
      <c r="T207" s="15">
        <v>514.20000000000005</v>
      </c>
      <c r="U207" s="15">
        <v>257.10000000000002</v>
      </c>
    </row>
    <row r="208" spans="1:21" s="15" customFormat="1" x14ac:dyDescent="0.3">
      <c r="A208" s="17"/>
      <c r="B208"/>
      <c r="C208"/>
      <c r="D208"/>
      <c r="E208"/>
      <c r="F208" s="50">
        <v>43252</v>
      </c>
      <c r="G208" s="53">
        <v>91.1</v>
      </c>
      <c r="H208" s="53">
        <v>182.2</v>
      </c>
      <c r="I208" s="53">
        <v>91.1</v>
      </c>
      <c r="J208"/>
      <c r="K208"/>
      <c r="L208"/>
      <c r="M208"/>
      <c r="N208" s="38"/>
      <c r="O208" s="54">
        <v>262</v>
      </c>
      <c r="P208" s="54">
        <v>524</v>
      </c>
      <c r="Q208" s="54">
        <v>262</v>
      </c>
      <c r="R208" s="54"/>
      <c r="S208" s="54">
        <v>262</v>
      </c>
      <c r="T208" s="15">
        <v>524</v>
      </c>
      <c r="U208" s="15">
        <v>262</v>
      </c>
    </row>
    <row r="209" spans="1:21" s="15" customFormat="1" x14ac:dyDescent="0.3">
      <c r="A209" s="17"/>
      <c r="B209"/>
      <c r="C209"/>
      <c r="D209"/>
      <c r="E209"/>
      <c r="F209" s="50">
        <v>43282</v>
      </c>
      <c r="G209" s="53">
        <v>95.8</v>
      </c>
      <c r="H209" s="53">
        <v>191.6</v>
      </c>
      <c r="I209" s="53">
        <v>95.8</v>
      </c>
      <c r="J209"/>
      <c r="K209"/>
      <c r="L209"/>
      <c r="M209"/>
      <c r="N209" s="38"/>
      <c r="O209" s="54">
        <v>271.3</v>
      </c>
      <c r="P209" s="54">
        <v>542.6</v>
      </c>
      <c r="Q209" s="54">
        <v>271.3</v>
      </c>
      <c r="R209" s="54"/>
      <c r="S209" s="54">
        <v>271.3</v>
      </c>
      <c r="T209" s="15">
        <v>542.6</v>
      </c>
      <c r="U209" s="15">
        <v>271.3</v>
      </c>
    </row>
    <row r="210" spans="1:21" s="15" customFormat="1" x14ac:dyDescent="0.3">
      <c r="A210" s="17"/>
      <c r="B210"/>
      <c r="C210"/>
      <c r="D210"/>
      <c r="E210"/>
      <c r="F210" s="50">
        <v>43313</v>
      </c>
      <c r="G210" s="53">
        <v>98.2</v>
      </c>
      <c r="H210" s="53">
        <v>196.4</v>
      </c>
      <c r="I210" s="53">
        <v>98.2</v>
      </c>
      <c r="J210"/>
      <c r="K210"/>
      <c r="L210"/>
      <c r="M210"/>
      <c r="N210" s="38"/>
      <c r="O210" s="54">
        <v>285.09999999999997</v>
      </c>
      <c r="P210" s="54">
        <v>570.19999999999993</v>
      </c>
      <c r="Q210" s="54">
        <v>285.09999999999997</v>
      </c>
      <c r="R210" s="54"/>
      <c r="S210" s="54">
        <v>285.09999999999997</v>
      </c>
      <c r="T210" s="15">
        <v>570.19999999999993</v>
      </c>
      <c r="U210" s="15">
        <v>285.09999999999997</v>
      </c>
    </row>
    <row r="211" spans="1:21" s="15" customFormat="1" x14ac:dyDescent="0.3">
      <c r="A211" s="17"/>
      <c r="B211"/>
      <c r="C211"/>
      <c r="D211"/>
      <c r="E211"/>
      <c r="F211" s="50">
        <v>43344</v>
      </c>
      <c r="G211" s="53">
        <v>90.7</v>
      </c>
      <c r="H211" s="53">
        <v>181.4</v>
      </c>
      <c r="I211" s="53">
        <v>90.7</v>
      </c>
      <c r="J211"/>
      <c r="K211"/>
      <c r="L211"/>
      <c r="M211"/>
      <c r="N211" s="38"/>
      <c r="O211" s="54">
        <v>284.7</v>
      </c>
      <c r="P211" s="54">
        <v>569.4</v>
      </c>
      <c r="Q211" s="54">
        <v>284.7</v>
      </c>
      <c r="R211" s="54"/>
      <c r="S211" s="54">
        <v>284.7</v>
      </c>
      <c r="T211" s="15">
        <v>569.4</v>
      </c>
      <c r="U211" s="15">
        <v>284.7</v>
      </c>
    </row>
    <row r="212" spans="1:21" s="15" customFormat="1" x14ac:dyDescent="0.3">
      <c r="A212" s="17"/>
      <c r="B212"/>
      <c r="C212"/>
      <c r="D212"/>
      <c r="E212"/>
      <c r="F212" s="50">
        <v>43374</v>
      </c>
      <c r="G212" s="53">
        <v>95.8</v>
      </c>
      <c r="H212" s="53">
        <v>191.6</v>
      </c>
      <c r="I212" s="53">
        <v>95.8</v>
      </c>
      <c r="J212"/>
      <c r="K212"/>
      <c r="L212"/>
      <c r="M212"/>
      <c r="N212" s="38"/>
      <c r="O212" s="54">
        <v>284.7</v>
      </c>
      <c r="P212" s="54">
        <v>569.4</v>
      </c>
      <c r="Q212" s="54">
        <v>284.7</v>
      </c>
      <c r="R212" s="54"/>
      <c r="S212" s="54">
        <v>284.7</v>
      </c>
      <c r="T212" s="15">
        <v>569.4</v>
      </c>
      <c r="U212" s="15">
        <v>284.7</v>
      </c>
    </row>
    <row r="213" spans="1:21" s="15" customFormat="1" x14ac:dyDescent="0.3">
      <c r="A213" s="17"/>
      <c r="B213"/>
      <c r="C213"/>
      <c r="D213"/>
      <c r="E213"/>
      <c r="F213" s="50">
        <v>43405</v>
      </c>
      <c r="G213" s="53">
        <v>89.5</v>
      </c>
      <c r="H213" s="53">
        <v>179</v>
      </c>
      <c r="I213" s="53">
        <v>89.5</v>
      </c>
      <c r="J213"/>
      <c r="K213"/>
      <c r="L213"/>
      <c r="M213"/>
      <c r="N213" s="38"/>
      <c r="O213" s="54">
        <v>276</v>
      </c>
      <c r="P213" s="54">
        <v>552</v>
      </c>
      <c r="Q213" s="54">
        <v>276</v>
      </c>
      <c r="R213" s="54"/>
      <c r="S213" s="54">
        <v>276</v>
      </c>
      <c r="T213" s="15">
        <v>552</v>
      </c>
      <c r="U213" s="15">
        <v>276</v>
      </c>
    </row>
    <row r="214" spans="1:21" s="15" customFormat="1" x14ac:dyDescent="0.3">
      <c r="A214" s="17"/>
      <c r="B214"/>
      <c r="C214"/>
      <c r="D214"/>
      <c r="E214"/>
      <c r="F214" s="50">
        <v>43435</v>
      </c>
      <c r="G214" s="53">
        <v>78</v>
      </c>
      <c r="H214" s="53">
        <v>156</v>
      </c>
      <c r="I214" s="53">
        <v>78</v>
      </c>
      <c r="J214"/>
      <c r="K214"/>
      <c r="L214"/>
      <c r="M214"/>
      <c r="N214" s="38"/>
      <c r="O214" s="54">
        <v>263.3</v>
      </c>
      <c r="P214" s="54">
        <v>526.6</v>
      </c>
      <c r="Q214" s="54">
        <v>263.3</v>
      </c>
      <c r="R214" s="54"/>
      <c r="S214" s="54">
        <v>263.3</v>
      </c>
      <c r="T214" s="15">
        <v>526.6</v>
      </c>
      <c r="U214" s="15">
        <v>263.3</v>
      </c>
    </row>
    <row r="215" spans="1:21" s="15" customFormat="1" x14ac:dyDescent="0.3">
      <c r="A215" s="17"/>
      <c r="B215"/>
      <c r="C215"/>
      <c r="D215"/>
      <c r="E215"/>
      <c r="F215" s="50">
        <v>43466</v>
      </c>
      <c r="G215" s="53">
        <v>80.7</v>
      </c>
      <c r="H215" s="53">
        <v>161.4</v>
      </c>
      <c r="I215" s="53">
        <v>80.7</v>
      </c>
      <c r="J215"/>
      <c r="K215"/>
      <c r="L215"/>
      <c r="M215"/>
      <c r="N215" s="38"/>
      <c r="O215" s="54">
        <v>248.2</v>
      </c>
      <c r="P215" s="54">
        <v>496.4</v>
      </c>
      <c r="Q215" s="54">
        <v>248.2</v>
      </c>
      <c r="R215" s="54"/>
      <c r="S215" s="54">
        <v>248.2</v>
      </c>
      <c r="T215" s="15">
        <v>496.4</v>
      </c>
      <c r="U215" s="15">
        <v>248.2</v>
      </c>
    </row>
    <row r="216" spans="1:21" s="15" customFormat="1" x14ac:dyDescent="0.3">
      <c r="A216" s="17"/>
      <c r="B216"/>
      <c r="C216"/>
      <c r="D216"/>
      <c r="E216"/>
      <c r="F216" s="50">
        <v>43497</v>
      </c>
      <c r="G216" s="53">
        <v>79.099999999999994</v>
      </c>
      <c r="H216" s="53">
        <v>158.19999999999999</v>
      </c>
      <c r="I216" s="53">
        <v>79.099999999999994</v>
      </c>
      <c r="J216"/>
      <c r="K216"/>
      <c r="L216"/>
      <c r="M216"/>
      <c r="N216" s="38"/>
      <c r="O216" s="54">
        <v>237.79999999999998</v>
      </c>
      <c r="P216" s="54">
        <v>475.59999999999997</v>
      </c>
      <c r="Q216" s="54">
        <v>237.79999999999998</v>
      </c>
      <c r="R216" s="54"/>
      <c r="S216" s="54">
        <v>237.79999999999998</v>
      </c>
      <c r="T216" s="15">
        <v>475.59999999999997</v>
      </c>
      <c r="U216" s="15">
        <v>237.79999999999998</v>
      </c>
    </row>
    <row r="217" spans="1:21" s="15" customFormat="1" x14ac:dyDescent="0.3">
      <c r="A217" s="17"/>
      <c r="B217"/>
      <c r="C217"/>
      <c r="D217"/>
      <c r="E217"/>
      <c r="F217" s="50">
        <v>43525</v>
      </c>
      <c r="G217" s="53">
        <v>81</v>
      </c>
      <c r="H217" s="53">
        <v>162</v>
      </c>
      <c r="I217" s="53">
        <v>81</v>
      </c>
      <c r="J217"/>
      <c r="K217"/>
      <c r="L217"/>
      <c r="M217"/>
      <c r="N217" s="38"/>
      <c r="O217" s="54">
        <v>240.8</v>
      </c>
      <c r="P217" s="54">
        <v>481.6</v>
      </c>
      <c r="Q217" s="54">
        <v>240.8</v>
      </c>
      <c r="R217" s="54"/>
      <c r="S217" s="54">
        <v>240.8</v>
      </c>
      <c r="T217" s="15">
        <v>481.6</v>
      </c>
      <c r="U217" s="15">
        <v>240.8</v>
      </c>
    </row>
    <row r="218" spans="1:21" s="15" customFormat="1" x14ac:dyDescent="0.3">
      <c r="A218" s="17"/>
      <c r="B218"/>
      <c r="C218"/>
      <c r="D218"/>
      <c r="E218"/>
      <c r="F218" s="50">
        <v>43556</v>
      </c>
      <c r="G218" s="53">
        <v>83.3</v>
      </c>
      <c r="H218" s="53">
        <v>166.6</v>
      </c>
      <c r="I218" s="53">
        <v>83.3</v>
      </c>
      <c r="J218"/>
      <c r="K218"/>
      <c r="L218"/>
      <c r="M218"/>
      <c r="N218" s="38"/>
      <c r="O218" s="54">
        <v>243.39999999999998</v>
      </c>
      <c r="P218" s="54">
        <v>486.79999999999995</v>
      </c>
      <c r="Q218" s="54">
        <v>243.39999999999998</v>
      </c>
      <c r="R218" s="54"/>
      <c r="S218" s="54">
        <v>243.39999999999998</v>
      </c>
      <c r="T218" s="15">
        <v>486.79999999999995</v>
      </c>
      <c r="U218" s="15">
        <v>243.39999999999998</v>
      </c>
    </row>
    <row r="219" spans="1:21" s="15" customFormat="1" x14ac:dyDescent="0.3">
      <c r="A219" s="17"/>
      <c r="B219"/>
      <c r="C219"/>
      <c r="D219"/>
      <c r="E219"/>
      <c r="F219" s="50">
        <v>43586</v>
      </c>
      <c r="G219" s="53">
        <v>91</v>
      </c>
      <c r="H219" s="53">
        <v>182</v>
      </c>
      <c r="I219" s="53">
        <v>91</v>
      </c>
      <c r="J219"/>
      <c r="K219"/>
      <c r="L219"/>
      <c r="M219"/>
      <c r="N219" s="38"/>
      <c r="O219" s="54">
        <v>255.3</v>
      </c>
      <c r="P219" s="54">
        <v>510.6</v>
      </c>
      <c r="Q219" s="54">
        <v>255.3</v>
      </c>
      <c r="R219" s="54"/>
      <c r="S219" s="54">
        <v>255.3</v>
      </c>
      <c r="T219" s="15">
        <v>510.6</v>
      </c>
      <c r="U219" s="15">
        <v>255.3</v>
      </c>
    </row>
    <row r="220" spans="1:21" s="15" customFormat="1" x14ac:dyDescent="0.3">
      <c r="A220" s="17"/>
      <c r="B220"/>
      <c r="C220"/>
      <c r="D220"/>
      <c r="E220"/>
      <c r="F220" s="50">
        <v>43617</v>
      </c>
      <c r="G220" s="53">
        <v>85.8</v>
      </c>
      <c r="H220" s="53">
        <v>171.6</v>
      </c>
      <c r="I220" s="53">
        <v>85.8</v>
      </c>
      <c r="J220"/>
      <c r="K220"/>
      <c r="L220"/>
      <c r="M220"/>
      <c r="N220" s="38"/>
      <c r="O220" s="54">
        <v>260.10000000000002</v>
      </c>
      <c r="P220" s="54">
        <v>520.20000000000005</v>
      </c>
      <c r="Q220" s="54">
        <v>260.10000000000002</v>
      </c>
      <c r="R220" s="54"/>
      <c r="S220" s="54">
        <v>260.10000000000002</v>
      </c>
      <c r="T220" s="15">
        <v>520.20000000000005</v>
      </c>
      <c r="U220" s="15">
        <v>260.10000000000002</v>
      </c>
    </row>
    <row r="221" spans="1:21" s="15" customFormat="1" x14ac:dyDescent="0.3">
      <c r="A221" s="17"/>
      <c r="B221"/>
      <c r="C221"/>
      <c r="D221"/>
      <c r="E221"/>
      <c r="F221" s="50">
        <v>43647</v>
      </c>
      <c r="G221" s="53">
        <v>93.4</v>
      </c>
      <c r="H221" s="53">
        <v>186.8</v>
      </c>
      <c r="I221" s="53">
        <v>93.4</v>
      </c>
      <c r="J221"/>
      <c r="K221"/>
      <c r="L221"/>
      <c r="M221"/>
      <c r="N221" s="38"/>
      <c r="O221" s="54">
        <v>270.20000000000005</v>
      </c>
      <c r="P221" s="54">
        <v>540.40000000000009</v>
      </c>
      <c r="Q221" s="54">
        <v>270.20000000000005</v>
      </c>
      <c r="R221" s="54"/>
      <c r="S221" s="54">
        <v>270.20000000000005</v>
      </c>
      <c r="T221" s="15">
        <v>540.40000000000009</v>
      </c>
      <c r="U221" s="15">
        <v>270.20000000000005</v>
      </c>
    </row>
    <row r="222" spans="1:21" s="15" customFormat="1" x14ac:dyDescent="0.3">
      <c r="A222" s="17"/>
      <c r="B222"/>
      <c r="C222"/>
      <c r="D222"/>
      <c r="E222"/>
      <c r="F222" s="50">
        <v>43678</v>
      </c>
      <c r="G222" s="53">
        <v>96.2</v>
      </c>
      <c r="H222" s="53">
        <v>192.4</v>
      </c>
      <c r="I222" s="53">
        <v>96.2</v>
      </c>
      <c r="J222"/>
      <c r="K222"/>
      <c r="L222"/>
      <c r="M222"/>
      <c r="N222" s="38"/>
      <c r="O222" s="54">
        <v>275.39999999999998</v>
      </c>
      <c r="P222" s="54">
        <v>550.79999999999995</v>
      </c>
      <c r="Q222" s="54">
        <v>275.39999999999998</v>
      </c>
      <c r="R222" s="54"/>
      <c r="S222" s="54">
        <v>275.39999999999998</v>
      </c>
      <c r="T222" s="15">
        <v>550.79999999999995</v>
      </c>
      <c r="U222" s="15">
        <v>275.39999999999998</v>
      </c>
    </row>
    <row r="223" spans="1:21" s="15" customFormat="1" x14ac:dyDescent="0.3">
      <c r="A223" s="17"/>
      <c r="B223"/>
      <c r="C223"/>
      <c r="D223"/>
      <c r="E223"/>
      <c r="F223" s="50">
        <v>43709</v>
      </c>
      <c r="G223" s="53">
        <v>91.8</v>
      </c>
      <c r="H223" s="53">
        <v>183.6</v>
      </c>
      <c r="I223" s="53">
        <v>91.8</v>
      </c>
      <c r="J223"/>
      <c r="K223"/>
      <c r="L223"/>
      <c r="M223"/>
      <c r="N223" s="38"/>
      <c r="O223" s="54">
        <v>281.40000000000003</v>
      </c>
      <c r="P223" s="54">
        <v>562.80000000000007</v>
      </c>
      <c r="Q223" s="54">
        <v>281.40000000000003</v>
      </c>
      <c r="R223" s="54"/>
      <c r="S223" s="54">
        <v>281.40000000000003</v>
      </c>
      <c r="T223" s="15">
        <v>562.80000000000007</v>
      </c>
      <c r="U223" s="15">
        <v>281.40000000000003</v>
      </c>
    </row>
    <row r="224" spans="1:21" s="15" customFormat="1" x14ac:dyDescent="0.3">
      <c r="A224" s="17"/>
      <c r="B224"/>
      <c r="C224"/>
      <c r="D224"/>
      <c r="E224"/>
      <c r="F224" s="50">
        <v>43739</v>
      </c>
      <c r="G224" s="53">
        <v>97</v>
      </c>
      <c r="H224" s="53">
        <v>194</v>
      </c>
      <c r="I224" s="53">
        <v>97</v>
      </c>
      <c r="J224"/>
      <c r="K224"/>
      <c r="L224"/>
      <c r="M224"/>
      <c r="N224" s="38"/>
      <c r="O224" s="54">
        <v>285</v>
      </c>
      <c r="P224" s="54">
        <v>570</v>
      </c>
      <c r="Q224" s="54">
        <v>285</v>
      </c>
      <c r="R224" s="54"/>
      <c r="S224" s="54">
        <v>285</v>
      </c>
      <c r="T224" s="15">
        <v>570</v>
      </c>
      <c r="U224" s="15">
        <v>285</v>
      </c>
    </row>
    <row r="225" spans="1:21" s="15" customFormat="1" x14ac:dyDescent="0.3">
      <c r="A225" s="17"/>
      <c r="B225"/>
      <c r="C225"/>
      <c r="D225"/>
      <c r="E225"/>
      <c r="F225" s="50">
        <v>43770</v>
      </c>
      <c r="G225" s="53">
        <v>88</v>
      </c>
      <c r="H225" s="53">
        <v>176</v>
      </c>
      <c r="I225" s="53">
        <v>88</v>
      </c>
      <c r="J225"/>
      <c r="K225"/>
      <c r="L225"/>
      <c r="M225"/>
      <c r="N225" s="38"/>
      <c r="O225" s="54">
        <v>276.8</v>
      </c>
      <c r="P225" s="54">
        <v>553.6</v>
      </c>
      <c r="Q225" s="54">
        <v>276.8</v>
      </c>
      <c r="R225" s="54"/>
      <c r="S225" s="54">
        <v>276.8</v>
      </c>
      <c r="T225" s="15">
        <v>553.6</v>
      </c>
      <c r="U225" s="15">
        <v>276.8</v>
      </c>
    </row>
    <row r="226" spans="1:21" s="15" customFormat="1" x14ac:dyDescent="0.3">
      <c r="A226" s="17"/>
      <c r="B226"/>
      <c r="C226"/>
      <c r="D226"/>
      <c r="E226"/>
      <c r="F226" s="50">
        <v>43800</v>
      </c>
      <c r="G226" s="53">
        <v>76.900000000000006</v>
      </c>
      <c r="H226" s="53">
        <v>153.80000000000001</v>
      </c>
      <c r="I226" s="53">
        <v>76.900000000000006</v>
      </c>
      <c r="J226"/>
      <c r="K226"/>
      <c r="L226"/>
      <c r="M226"/>
      <c r="N226" s="38"/>
      <c r="O226" s="54">
        <v>261.89999999999998</v>
      </c>
      <c r="P226" s="54">
        <v>523.79999999999995</v>
      </c>
      <c r="Q226" s="54">
        <v>261.89999999999998</v>
      </c>
      <c r="R226" s="54"/>
      <c r="S226" s="54">
        <v>261.89999999999998</v>
      </c>
      <c r="T226" s="15">
        <v>523.79999999999995</v>
      </c>
      <c r="U226" s="15">
        <v>261.89999999999998</v>
      </c>
    </row>
    <row r="227" spans="1:21" s="15" customFormat="1" x14ac:dyDescent="0.3">
      <c r="A227" s="17"/>
      <c r="B227"/>
      <c r="C227"/>
      <c r="D227"/>
      <c r="E227"/>
      <c r="F227" s="50">
        <v>43831</v>
      </c>
      <c r="G227" s="53">
        <v>80</v>
      </c>
      <c r="H227" s="53">
        <v>160</v>
      </c>
      <c r="I227" s="53">
        <v>80</v>
      </c>
      <c r="J227"/>
      <c r="K227"/>
      <c r="L227"/>
      <c r="M227"/>
      <c r="N227" s="38"/>
      <c r="O227" s="54">
        <v>244.9</v>
      </c>
      <c r="P227" s="54">
        <v>489.8</v>
      </c>
      <c r="Q227" s="54">
        <v>244.9</v>
      </c>
      <c r="R227" s="54"/>
      <c r="S227" s="54">
        <v>244.9</v>
      </c>
      <c r="T227" s="15">
        <v>489.8</v>
      </c>
      <c r="U227" s="15">
        <v>244.9</v>
      </c>
    </row>
    <row r="228" spans="1:21" s="15" customFormat="1" x14ac:dyDescent="0.3">
      <c r="A228" s="17"/>
      <c r="B228"/>
      <c r="C228"/>
      <c r="D228"/>
      <c r="E228"/>
      <c r="F228" s="50">
        <v>43862</v>
      </c>
      <c r="G228" s="53">
        <v>78.900000000000006</v>
      </c>
      <c r="H228" s="53">
        <v>157.80000000000001</v>
      </c>
      <c r="I228" s="53">
        <v>78.900000000000006</v>
      </c>
      <c r="J228"/>
      <c r="K228"/>
      <c r="L228"/>
      <c r="M228"/>
      <c r="N228" s="38"/>
      <c r="O228" s="54">
        <v>235.8</v>
      </c>
      <c r="P228" s="54">
        <v>471.6</v>
      </c>
      <c r="Q228" s="54">
        <v>235.8</v>
      </c>
      <c r="R228" s="54"/>
      <c r="S228" s="54">
        <v>235.8</v>
      </c>
      <c r="T228" s="15">
        <v>471.6</v>
      </c>
      <c r="U228" s="15">
        <v>235.8</v>
      </c>
    </row>
    <row r="229" spans="1:21" s="15" customFormat="1" x14ac:dyDescent="0.3">
      <c r="A229" s="17"/>
      <c r="B229"/>
      <c r="C229"/>
      <c r="D229"/>
      <c r="E229"/>
      <c r="F229" s="50">
        <v>43891</v>
      </c>
      <c r="G229" s="53">
        <v>77.900000000000006</v>
      </c>
      <c r="H229" s="53">
        <v>155.80000000000001</v>
      </c>
      <c r="I229" s="53">
        <v>77.900000000000006</v>
      </c>
      <c r="J229"/>
      <c r="K229"/>
      <c r="L229"/>
      <c r="M229"/>
      <c r="N229" s="38"/>
      <c r="O229" s="54">
        <v>236.8</v>
      </c>
      <c r="P229" s="54">
        <v>473.6</v>
      </c>
      <c r="Q229" s="54">
        <v>236.8</v>
      </c>
      <c r="R229" s="54"/>
      <c r="S229" s="54">
        <v>236.8</v>
      </c>
      <c r="T229" s="15">
        <v>473.6</v>
      </c>
      <c r="U229" s="15">
        <v>236.8</v>
      </c>
    </row>
    <row r="230" spans="1:21" s="15" customFormat="1" x14ac:dyDescent="0.3">
      <c r="A230" s="17"/>
      <c r="B230"/>
      <c r="C230"/>
      <c r="D230"/>
      <c r="E230"/>
      <c r="F230" s="50">
        <v>43922</v>
      </c>
      <c r="G230" s="53">
        <v>60.3</v>
      </c>
      <c r="H230" s="53">
        <v>120.6</v>
      </c>
      <c r="I230" s="53">
        <v>60.3</v>
      </c>
      <c r="J230"/>
      <c r="K230"/>
      <c r="L230"/>
      <c r="M230"/>
      <c r="N230" s="38"/>
      <c r="O230" s="54">
        <v>217.10000000000002</v>
      </c>
      <c r="P230" s="54">
        <v>434.20000000000005</v>
      </c>
      <c r="Q230" s="54">
        <v>217.10000000000002</v>
      </c>
      <c r="R230" s="54"/>
      <c r="S230" s="54">
        <v>217.10000000000002</v>
      </c>
      <c r="T230" s="15">
        <v>434.20000000000005</v>
      </c>
      <c r="U230" s="15">
        <v>217.10000000000002</v>
      </c>
    </row>
    <row r="231" spans="1:21" s="15" customFormat="1" x14ac:dyDescent="0.3">
      <c r="A231" s="17"/>
      <c r="B231"/>
      <c r="C231"/>
      <c r="D231"/>
      <c r="E231"/>
      <c r="F231" s="50">
        <v>43952</v>
      </c>
      <c r="G231" s="53">
        <v>71.2</v>
      </c>
      <c r="H231" s="53">
        <v>142.4</v>
      </c>
      <c r="I231" s="53">
        <v>71.2</v>
      </c>
      <c r="J231"/>
      <c r="K231"/>
      <c r="L231"/>
      <c r="M231"/>
      <c r="N231" s="38"/>
      <c r="O231" s="54">
        <v>209.39999999999998</v>
      </c>
      <c r="P231" s="54">
        <v>418.79999999999995</v>
      </c>
      <c r="Q231" s="54">
        <v>209.39999999999998</v>
      </c>
      <c r="R231" s="54"/>
      <c r="S231" s="54">
        <v>209.39999999999998</v>
      </c>
      <c r="T231" s="15">
        <v>418.79999999999995</v>
      </c>
      <c r="U231" s="15">
        <v>209.39999999999998</v>
      </c>
    </row>
    <row r="232" spans="1:21" s="15" customFormat="1" x14ac:dyDescent="0.3">
      <c r="A232" s="17"/>
      <c r="B232"/>
      <c r="C232"/>
      <c r="D232"/>
      <c r="E232"/>
      <c r="F232" s="50">
        <v>43983</v>
      </c>
      <c r="G232" s="53">
        <v>78.400000000000006</v>
      </c>
      <c r="H232" s="53">
        <v>156.80000000000001</v>
      </c>
      <c r="I232" s="53">
        <v>78.400000000000006</v>
      </c>
      <c r="J232"/>
      <c r="K232"/>
      <c r="L232"/>
      <c r="M232"/>
      <c r="N232" s="38"/>
      <c r="O232" s="54">
        <v>209.9</v>
      </c>
      <c r="P232" s="54">
        <v>419.8</v>
      </c>
      <c r="Q232" s="54">
        <v>209.9</v>
      </c>
      <c r="R232" s="54"/>
      <c r="S232" s="54">
        <v>209.9</v>
      </c>
      <c r="T232" s="15">
        <v>419.8</v>
      </c>
      <c r="U232" s="15">
        <v>209.9</v>
      </c>
    </row>
    <row r="233" spans="1:21" s="15" customFormat="1" x14ac:dyDescent="0.3">
      <c r="A233" s="17"/>
      <c r="B233"/>
      <c r="C233"/>
      <c r="D233"/>
      <c r="E233"/>
      <c r="F233" s="50">
        <v>44013</v>
      </c>
      <c r="G233" s="53">
        <v>91</v>
      </c>
      <c r="H233" s="53">
        <v>182</v>
      </c>
      <c r="I233" s="53">
        <v>91</v>
      </c>
      <c r="J233"/>
      <c r="K233"/>
      <c r="L233"/>
      <c r="M233"/>
      <c r="N233" s="38"/>
      <c r="O233" s="54">
        <v>240.60000000000002</v>
      </c>
      <c r="P233" s="54">
        <v>481.20000000000005</v>
      </c>
      <c r="Q233" s="54">
        <v>240.60000000000002</v>
      </c>
      <c r="R233" s="54"/>
      <c r="S233" s="54">
        <v>240.60000000000002</v>
      </c>
      <c r="T233" s="15">
        <v>481.20000000000005</v>
      </c>
      <c r="U233" s="15">
        <v>240.60000000000002</v>
      </c>
    </row>
    <row r="234" spans="1:21" s="15" customFormat="1" x14ac:dyDescent="0.3">
      <c r="A234" s="17"/>
      <c r="B234"/>
      <c r="C234"/>
      <c r="D234"/>
      <c r="E234"/>
      <c r="F234" s="50">
        <v>44044</v>
      </c>
      <c r="G234" s="53">
        <v>93.9</v>
      </c>
      <c r="H234" s="53">
        <v>187.8</v>
      </c>
      <c r="I234" s="53">
        <v>93.9</v>
      </c>
      <c r="J234"/>
      <c r="K234"/>
      <c r="L234"/>
      <c r="M234"/>
      <c r="N234" s="38"/>
      <c r="O234" s="54">
        <v>263.3</v>
      </c>
      <c r="P234" s="54">
        <v>526.6</v>
      </c>
      <c r="Q234" s="54">
        <v>263.3</v>
      </c>
      <c r="R234" s="54"/>
      <c r="S234" s="54">
        <v>263.3</v>
      </c>
      <c r="T234" s="15">
        <v>526.6</v>
      </c>
      <c r="U234" s="15">
        <v>263.3</v>
      </c>
    </row>
    <row r="235" spans="1:21" s="15" customFormat="1" x14ac:dyDescent="0.3">
      <c r="A235" s="17"/>
      <c r="B235"/>
      <c r="C235"/>
      <c r="D235"/>
      <c r="E235"/>
      <c r="F235" s="50">
        <v>44075</v>
      </c>
      <c r="G235" s="53">
        <v>95.4</v>
      </c>
      <c r="H235" s="53">
        <v>190.8</v>
      </c>
      <c r="I235" s="53">
        <v>95.4</v>
      </c>
      <c r="J235"/>
      <c r="K235"/>
      <c r="L235"/>
      <c r="M235"/>
      <c r="N235" s="38"/>
      <c r="O235" s="54">
        <v>280.3</v>
      </c>
      <c r="P235" s="54">
        <v>560.6</v>
      </c>
      <c r="Q235" s="54">
        <v>280.3</v>
      </c>
      <c r="R235" s="54"/>
      <c r="S235" s="54">
        <v>280.3</v>
      </c>
      <c r="T235" s="15">
        <v>560.6</v>
      </c>
      <c r="U235" s="15">
        <v>280.3</v>
      </c>
    </row>
    <row r="236" spans="1:21" s="15" customFormat="1" x14ac:dyDescent="0.3">
      <c r="A236" s="17"/>
      <c r="B236"/>
      <c r="C236"/>
      <c r="D236"/>
      <c r="E236"/>
      <c r="F236" s="50">
        <v>44105</v>
      </c>
      <c r="G236" s="53">
        <v>97.3</v>
      </c>
      <c r="H236" s="53">
        <v>194.6</v>
      </c>
      <c r="I236" s="53">
        <v>97.3</v>
      </c>
      <c r="J236"/>
      <c r="K236"/>
      <c r="L236"/>
      <c r="M236"/>
      <c r="N236" s="38"/>
      <c r="O236" s="54">
        <v>286.60000000000002</v>
      </c>
      <c r="P236" s="54">
        <v>573.20000000000005</v>
      </c>
      <c r="Q236" s="54">
        <v>286.60000000000002</v>
      </c>
      <c r="R236" s="54"/>
      <c r="S236" s="54">
        <v>286.60000000000002</v>
      </c>
      <c r="T236" s="15">
        <v>573.20000000000005</v>
      </c>
      <c r="U236" s="15">
        <v>286.60000000000002</v>
      </c>
    </row>
    <row r="237" spans="1:21" s="15" customFormat="1" x14ac:dyDescent="0.3">
      <c r="A237" s="17"/>
      <c r="B237"/>
      <c r="C237"/>
      <c r="D237"/>
      <c r="E237"/>
      <c r="F237" s="50">
        <v>44136</v>
      </c>
      <c r="G237" s="53">
        <v>90.2</v>
      </c>
      <c r="H237" s="53">
        <v>180.4</v>
      </c>
      <c r="I237" s="53">
        <v>90.2</v>
      </c>
      <c r="J237"/>
      <c r="K237"/>
      <c r="L237"/>
      <c r="M237"/>
      <c r="N237" s="38"/>
      <c r="O237" s="54">
        <v>282.89999999999998</v>
      </c>
      <c r="P237" s="54">
        <v>565.79999999999995</v>
      </c>
      <c r="Q237" s="54">
        <v>282.89999999999998</v>
      </c>
      <c r="R237" s="54"/>
      <c r="S237" s="54">
        <v>282.89999999999998</v>
      </c>
      <c r="T237" s="15">
        <v>565.79999999999995</v>
      </c>
      <c r="U237" s="15">
        <v>282.89999999999998</v>
      </c>
    </row>
    <row r="238" spans="1:21" s="15" customFormat="1" x14ac:dyDescent="0.3">
      <c r="A238" s="17"/>
      <c r="B238"/>
      <c r="C238"/>
      <c r="D238"/>
      <c r="E238"/>
      <c r="F238" s="50">
        <v>44166</v>
      </c>
      <c r="G238" s="53">
        <v>83.3</v>
      </c>
      <c r="H238" s="53">
        <v>166.6</v>
      </c>
      <c r="I238" s="53">
        <v>83.3</v>
      </c>
      <c r="J238"/>
      <c r="K238"/>
      <c r="L238"/>
      <c r="M238"/>
      <c r="N238" s="38"/>
      <c r="O238" s="54">
        <v>270.8</v>
      </c>
      <c r="P238" s="54">
        <v>541.6</v>
      </c>
      <c r="Q238" s="54">
        <v>270.8</v>
      </c>
      <c r="R238" s="54"/>
      <c r="S238" s="54">
        <v>270.8</v>
      </c>
      <c r="T238" s="15">
        <v>541.6</v>
      </c>
      <c r="U238" s="15">
        <v>270.8</v>
      </c>
    </row>
    <row r="239" spans="1:21" s="15" customFormat="1" x14ac:dyDescent="0.3">
      <c r="A239" s="17"/>
      <c r="B239"/>
      <c r="C239"/>
      <c r="D239"/>
      <c r="E239"/>
      <c r="F239" s="50">
        <v>44197</v>
      </c>
      <c r="G239" s="53">
        <v>81.900000000000006</v>
      </c>
      <c r="H239" s="53">
        <v>163.80000000000001</v>
      </c>
      <c r="I239" s="53">
        <v>81.900000000000006</v>
      </c>
      <c r="J239"/>
      <c r="K239"/>
      <c r="L239"/>
      <c r="M239"/>
      <c r="N239" s="38"/>
      <c r="O239" s="54">
        <v>255.4</v>
      </c>
      <c r="P239" s="54">
        <v>510.8</v>
      </c>
      <c r="Q239" s="54">
        <v>255.4</v>
      </c>
      <c r="R239" s="54"/>
      <c r="S239" s="54">
        <v>255.4</v>
      </c>
      <c r="T239" s="15">
        <v>510.8</v>
      </c>
      <c r="U239" s="15">
        <v>255.4</v>
      </c>
    </row>
    <row r="240" spans="1:21" s="15" customFormat="1" x14ac:dyDescent="0.3">
      <c r="A240" s="17"/>
      <c r="B240"/>
      <c r="C240"/>
      <c r="D240"/>
      <c r="E240"/>
      <c r="F240" s="50">
        <v>44228</v>
      </c>
      <c r="G240" s="53">
        <v>79.099999999999994</v>
      </c>
      <c r="H240" s="53">
        <v>158.19999999999999</v>
      </c>
      <c r="I240" s="53">
        <v>79.099999999999994</v>
      </c>
      <c r="J240"/>
      <c r="K240"/>
      <c r="L240"/>
      <c r="M240"/>
      <c r="N240" s="38"/>
      <c r="O240" s="54">
        <v>244.29999999999998</v>
      </c>
      <c r="P240" s="54">
        <v>488.59999999999997</v>
      </c>
      <c r="Q240" s="54">
        <v>244.29999999999998</v>
      </c>
      <c r="R240" s="54"/>
      <c r="S240" s="54">
        <v>244.29999999999998</v>
      </c>
      <c r="T240" s="15">
        <v>488.59999999999997</v>
      </c>
      <c r="U240" s="15">
        <v>244.29999999999998</v>
      </c>
    </row>
    <row r="241" spans="1:21" s="15" customFormat="1" x14ac:dyDescent="0.3">
      <c r="A241" s="17"/>
      <c r="B241"/>
      <c r="C241"/>
      <c r="D241"/>
      <c r="E241"/>
      <c r="F241" s="50">
        <v>44256</v>
      </c>
      <c r="G241" s="53">
        <v>86.1</v>
      </c>
      <c r="H241" s="53">
        <v>172.2</v>
      </c>
      <c r="I241" s="53">
        <v>86.1</v>
      </c>
      <c r="J241"/>
      <c r="K241"/>
      <c r="L241"/>
      <c r="M241"/>
      <c r="N241" s="38"/>
      <c r="O241" s="54">
        <v>247.1</v>
      </c>
      <c r="P241" s="54">
        <v>494.2</v>
      </c>
      <c r="Q241" s="54">
        <v>247.1</v>
      </c>
      <c r="R241" s="54"/>
      <c r="S241" s="54">
        <v>247.1</v>
      </c>
      <c r="T241" s="15">
        <v>494.2</v>
      </c>
      <c r="U241" s="15">
        <v>247.1</v>
      </c>
    </row>
    <row r="242" spans="1:21" s="15" customFormat="1" x14ac:dyDescent="0.3">
      <c r="A242" s="17"/>
      <c r="B242"/>
      <c r="C242"/>
      <c r="D242"/>
      <c r="E242"/>
      <c r="F242" s="50">
        <v>44287</v>
      </c>
      <c r="G242" s="53">
        <v>81.3</v>
      </c>
      <c r="H242" s="53">
        <v>162.6</v>
      </c>
      <c r="I242" s="53">
        <v>81.3</v>
      </c>
      <c r="J242"/>
      <c r="K242"/>
      <c r="L242"/>
      <c r="M242"/>
      <c r="N242" s="38"/>
      <c r="O242" s="54">
        <v>246.5</v>
      </c>
      <c r="P242" s="54">
        <v>493</v>
      </c>
      <c r="Q242" s="54">
        <v>246.5</v>
      </c>
      <c r="R242" s="54"/>
      <c r="S242" s="54">
        <v>246.5</v>
      </c>
      <c r="T242" s="15">
        <v>493</v>
      </c>
      <c r="U242" s="15">
        <v>246.5</v>
      </c>
    </row>
    <row r="243" spans="1:21" s="15" customFormat="1" x14ac:dyDescent="0.3">
      <c r="A243" s="17"/>
      <c r="B243"/>
      <c r="C243"/>
      <c r="D243"/>
      <c r="E243"/>
      <c r="F243" s="50">
        <v>44317</v>
      </c>
      <c r="G243" s="53">
        <v>88.4</v>
      </c>
      <c r="H243" s="53">
        <v>176.8</v>
      </c>
      <c r="I243" s="53">
        <v>88.4</v>
      </c>
      <c r="J243"/>
      <c r="K243"/>
      <c r="L243"/>
      <c r="M243"/>
      <c r="N243" s="38"/>
      <c r="O243" s="54">
        <v>255.79999999999998</v>
      </c>
      <c r="P243" s="54">
        <v>511.59999999999997</v>
      </c>
      <c r="Q243" s="54">
        <v>255.79999999999998</v>
      </c>
      <c r="R243" s="54"/>
      <c r="S243" s="54">
        <v>255.79999999999998</v>
      </c>
      <c r="T243" s="15">
        <v>511.59999999999997</v>
      </c>
      <c r="U243" s="15">
        <v>255.79999999999998</v>
      </c>
    </row>
    <row r="244" spans="1:21" s="15" customFormat="1" x14ac:dyDescent="0.3">
      <c r="A244" s="17"/>
      <c r="B244"/>
      <c r="C244"/>
      <c r="D244"/>
      <c r="E244"/>
      <c r="F244" s="50">
        <v>44348</v>
      </c>
      <c r="G244" s="53">
        <v>87.9</v>
      </c>
      <c r="H244" s="53">
        <v>175.8</v>
      </c>
      <c r="I244" s="53">
        <v>87.9</v>
      </c>
      <c r="J244"/>
      <c r="K244"/>
      <c r="L244"/>
      <c r="M244"/>
      <c r="N244" s="38"/>
      <c r="O244" s="54">
        <v>257.60000000000002</v>
      </c>
      <c r="P244" s="54">
        <v>515.20000000000005</v>
      </c>
      <c r="Q244" s="54">
        <v>257.60000000000002</v>
      </c>
      <c r="R244" s="54"/>
      <c r="S244" s="54">
        <v>257.60000000000002</v>
      </c>
      <c r="T244" s="15">
        <v>515.20000000000005</v>
      </c>
      <c r="U244" s="15">
        <v>257.60000000000002</v>
      </c>
    </row>
    <row r="245" spans="1:21" s="15" customFormat="1" x14ac:dyDescent="0.3">
      <c r="A245" s="17"/>
      <c r="B245"/>
      <c r="C245"/>
      <c r="D245"/>
      <c r="E245"/>
      <c r="F245" s="50">
        <v>44378</v>
      </c>
      <c r="G245" s="53">
        <v>92.2</v>
      </c>
      <c r="H245" s="53">
        <v>184.4</v>
      </c>
      <c r="I245" s="53">
        <v>92.2</v>
      </c>
      <c r="J245"/>
      <c r="K245"/>
      <c r="L245"/>
      <c r="M245"/>
      <c r="N245" s="38"/>
      <c r="O245" s="54">
        <v>268.5</v>
      </c>
      <c r="P245" s="54">
        <v>537</v>
      </c>
      <c r="Q245" s="54">
        <v>268.5</v>
      </c>
      <c r="R245" s="54"/>
      <c r="S245" s="54">
        <v>268.5</v>
      </c>
      <c r="T245" s="15">
        <v>537</v>
      </c>
      <c r="U245" s="15">
        <v>268.5</v>
      </c>
    </row>
    <row r="246" spans="1:21" s="15" customFormat="1" x14ac:dyDescent="0.3">
      <c r="A246" s="17"/>
      <c r="B246"/>
      <c r="C246"/>
      <c r="D246"/>
      <c r="E246"/>
      <c r="F246" s="50">
        <v>44409</v>
      </c>
      <c r="G246" s="53">
        <v>93.4</v>
      </c>
      <c r="H246" s="53">
        <v>186.8</v>
      </c>
      <c r="I246" s="53">
        <v>93.4</v>
      </c>
      <c r="J246"/>
      <c r="K246"/>
      <c r="L246"/>
      <c r="M246"/>
      <c r="N246" s="38"/>
      <c r="O246" s="54">
        <v>273.5</v>
      </c>
      <c r="P246" s="54">
        <v>547</v>
      </c>
      <c r="Q246" s="54">
        <v>273.5</v>
      </c>
      <c r="R246" s="54"/>
      <c r="S246" s="54">
        <v>273.5</v>
      </c>
      <c r="T246" s="15">
        <v>547</v>
      </c>
      <c r="U246" s="15">
        <v>273.5</v>
      </c>
    </row>
    <row r="247" spans="1:21" s="15" customFormat="1" x14ac:dyDescent="0.3">
      <c r="A247" s="17"/>
      <c r="B247"/>
      <c r="C247"/>
      <c r="D247"/>
      <c r="E247"/>
      <c r="F247" s="50">
        <v>44440</v>
      </c>
      <c r="G247" s="53">
        <v>91.5</v>
      </c>
      <c r="H247" s="53">
        <v>183</v>
      </c>
      <c r="I247" s="53">
        <v>91.5</v>
      </c>
      <c r="J247"/>
      <c r="K247"/>
      <c r="L247"/>
      <c r="M247"/>
      <c r="N247" s="38"/>
      <c r="O247" s="54">
        <v>277.10000000000002</v>
      </c>
      <c r="P247" s="54">
        <v>554.20000000000005</v>
      </c>
      <c r="Q247" s="54">
        <v>277.10000000000002</v>
      </c>
      <c r="R247" s="54"/>
      <c r="S247" s="54">
        <v>277.10000000000002</v>
      </c>
      <c r="T247" s="15">
        <v>554.20000000000005</v>
      </c>
      <c r="U247" s="15">
        <v>277.10000000000002</v>
      </c>
    </row>
    <row r="248" spans="1:21" s="15" customFormat="1" x14ac:dyDescent="0.3">
      <c r="A248" s="17"/>
      <c r="B248"/>
      <c r="C248"/>
      <c r="D248"/>
      <c r="E248"/>
      <c r="F248" s="50">
        <v>44470</v>
      </c>
      <c r="G248" s="53">
        <v>89.7</v>
      </c>
      <c r="H248" s="53">
        <v>179.4</v>
      </c>
      <c r="I248" s="53">
        <v>89.7</v>
      </c>
      <c r="J248"/>
      <c r="K248"/>
      <c r="L248"/>
      <c r="M248"/>
      <c r="N248" s="38"/>
      <c r="O248" s="54">
        <v>274.60000000000002</v>
      </c>
      <c r="P248" s="54">
        <v>549.20000000000005</v>
      </c>
      <c r="Q248" s="54">
        <v>274.60000000000002</v>
      </c>
      <c r="R248" s="54"/>
      <c r="S248" s="54">
        <v>274.60000000000002</v>
      </c>
      <c r="T248" s="15">
        <v>549.20000000000005</v>
      </c>
      <c r="U248" s="15">
        <v>274.60000000000002</v>
      </c>
    </row>
    <row r="249" spans="1:21" s="15" customFormat="1" x14ac:dyDescent="0.3">
      <c r="A249" s="17"/>
      <c r="B249"/>
      <c r="C249"/>
      <c r="D249"/>
      <c r="E249"/>
      <c r="F249" s="50">
        <v>44501</v>
      </c>
      <c r="G249" s="53">
        <v>86.3</v>
      </c>
      <c r="H249" s="53">
        <v>172.6</v>
      </c>
      <c r="I249" s="53">
        <v>86.3</v>
      </c>
      <c r="J249"/>
      <c r="K249"/>
      <c r="L249"/>
      <c r="M249"/>
      <c r="N249" s="38"/>
      <c r="O249" s="54">
        <v>267.5</v>
      </c>
      <c r="P249" s="54">
        <v>535</v>
      </c>
      <c r="Q249" s="54">
        <v>267.5</v>
      </c>
      <c r="R249" s="54"/>
      <c r="S249" s="54">
        <v>267.5</v>
      </c>
      <c r="T249" s="15">
        <v>535</v>
      </c>
      <c r="U249" s="15">
        <v>267.5</v>
      </c>
    </row>
    <row r="250" spans="1:21" s="15" customFormat="1" x14ac:dyDescent="0.3">
      <c r="A250" s="17"/>
      <c r="B250"/>
      <c r="C250"/>
      <c r="D250"/>
      <c r="E250"/>
      <c r="F250" s="50">
        <v>44531</v>
      </c>
      <c r="G250" s="53">
        <v>79.2</v>
      </c>
      <c r="H250" s="53">
        <v>158.4</v>
      </c>
      <c r="I250" s="53">
        <v>79.2</v>
      </c>
      <c r="J250"/>
      <c r="K250"/>
      <c r="L250"/>
      <c r="M250"/>
      <c r="N250" s="38"/>
      <c r="O250" s="54">
        <v>255.2</v>
      </c>
      <c r="P250" s="54">
        <v>510.4</v>
      </c>
      <c r="Q250" s="54">
        <v>255.2</v>
      </c>
      <c r="R250" s="54"/>
      <c r="S250" s="54">
        <v>255.2</v>
      </c>
      <c r="T250" s="15">
        <v>510.4</v>
      </c>
      <c r="U250" s="15">
        <v>255.2</v>
      </c>
    </row>
    <row r="251" spans="1:21" s="15" customFormat="1" x14ac:dyDescent="0.3">
      <c r="A251" s="17"/>
      <c r="B251"/>
      <c r="C251"/>
      <c r="D251"/>
      <c r="E251"/>
      <c r="F251"/>
      <c r="G251"/>
      <c r="H251"/>
      <c r="I251"/>
      <c r="J251"/>
      <c r="K251"/>
      <c r="L251"/>
      <c r="M251"/>
      <c r="N251"/>
      <c r="O251" s="27"/>
      <c r="P251" s="27"/>
      <c r="Q251" s="27"/>
      <c r="R251" s="27"/>
      <c r="S251" s="27"/>
    </row>
    <row r="252" spans="1:21" s="15" customFormat="1" x14ac:dyDescent="0.3">
      <c r="A252" s="17"/>
      <c r="B252"/>
      <c r="C252"/>
      <c r="D252"/>
      <c r="E252"/>
      <c r="F252"/>
      <c r="G252"/>
      <c r="H252"/>
      <c r="I252"/>
      <c r="J252"/>
      <c r="K252"/>
      <c r="L252"/>
      <c r="M252"/>
      <c r="N252"/>
      <c r="O252" s="27"/>
      <c r="P252" s="27"/>
      <c r="Q252" s="27"/>
      <c r="R252" s="27"/>
      <c r="S252" s="27"/>
    </row>
    <row r="253" spans="1:21" s="15" customFormat="1" x14ac:dyDescent="0.3">
      <c r="A253" s="17"/>
      <c r="B253"/>
      <c r="C253"/>
      <c r="D253"/>
      <c r="E253"/>
      <c r="F253"/>
      <c r="G253"/>
      <c r="H253"/>
      <c r="I253"/>
      <c r="J253"/>
      <c r="K253"/>
      <c r="L253"/>
      <c r="M253"/>
      <c r="N253"/>
      <c r="O253" s="27"/>
      <c r="P253" s="27"/>
      <c r="Q253" s="27"/>
      <c r="R253" s="27"/>
      <c r="S253" s="27"/>
    </row>
    <row r="254" spans="1:21" s="15" customFormat="1" x14ac:dyDescent="0.3">
      <c r="A254" s="17"/>
      <c r="B254"/>
      <c r="C254"/>
      <c r="D254"/>
      <c r="E254"/>
      <c r="F254"/>
      <c r="G254"/>
      <c r="H254"/>
      <c r="I254"/>
      <c r="J254"/>
      <c r="K254"/>
      <c r="L254"/>
      <c r="M254"/>
      <c r="N254"/>
      <c r="O254" s="27"/>
      <c r="P254" s="27"/>
      <c r="Q254" s="27"/>
      <c r="R254" s="27"/>
      <c r="S254" s="27"/>
    </row>
    <row r="255" spans="1:21" s="15" customFormat="1" x14ac:dyDescent="0.3">
      <c r="A255" s="17"/>
      <c r="B255"/>
      <c r="C255"/>
      <c r="D255"/>
      <c r="E255"/>
      <c r="F255"/>
      <c r="G255"/>
      <c r="H255"/>
      <c r="I255"/>
      <c r="J255"/>
      <c r="K255"/>
      <c r="L255"/>
      <c r="M255"/>
      <c r="N255"/>
      <c r="O255" s="27"/>
      <c r="P255" s="27"/>
      <c r="Q255" s="27"/>
      <c r="R255" s="27"/>
      <c r="S255" s="27"/>
    </row>
    <row r="256" spans="1:21" s="15" customFormat="1" x14ac:dyDescent="0.3">
      <c r="A256" s="17"/>
      <c r="B256"/>
      <c r="C256"/>
      <c r="D256"/>
      <c r="E256"/>
      <c r="F256"/>
      <c r="G256"/>
      <c r="H256"/>
      <c r="I256"/>
      <c r="J256"/>
      <c r="K256"/>
      <c r="L256"/>
      <c r="M256"/>
      <c r="N256"/>
      <c r="O256" s="27"/>
      <c r="P256" s="27"/>
      <c r="Q256" s="27"/>
      <c r="R256" s="27"/>
      <c r="S256" s="27"/>
    </row>
    <row r="257" spans="1:19" s="15" customFormat="1" x14ac:dyDescent="0.3">
      <c r="A257" s="17"/>
      <c r="B257"/>
      <c r="C257"/>
      <c r="D257"/>
      <c r="E257"/>
      <c r="F257"/>
      <c r="G257"/>
      <c r="H257"/>
      <c r="I257"/>
      <c r="J257"/>
      <c r="K257"/>
      <c r="L257"/>
      <c r="M257"/>
      <c r="N257"/>
      <c r="O257" s="27"/>
      <c r="P257" s="27"/>
      <c r="Q257" s="27"/>
      <c r="R257" s="27"/>
      <c r="S257" s="27"/>
    </row>
    <row r="258" spans="1:19" s="15" customFormat="1" x14ac:dyDescent="0.3">
      <c r="A258" s="17"/>
      <c r="B258"/>
      <c r="C258"/>
      <c r="D258"/>
      <c r="E258"/>
      <c r="F258"/>
      <c r="G258"/>
      <c r="H258"/>
      <c r="I258"/>
      <c r="J258"/>
      <c r="K258"/>
      <c r="L258"/>
      <c r="M258"/>
      <c r="N258"/>
      <c r="O258" s="27"/>
      <c r="P258" s="27"/>
      <c r="Q258" s="27"/>
      <c r="R258" s="27"/>
      <c r="S258" s="27"/>
    </row>
    <row r="259" spans="1:19" s="15" customFormat="1" x14ac:dyDescent="0.3">
      <c r="A259" s="17"/>
      <c r="B259"/>
      <c r="C259"/>
      <c r="D259"/>
      <c r="E259"/>
      <c r="F259"/>
      <c r="G259"/>
      <c r="H259"/>
      <c r="I259"/>
      <c r="J259"/>
      <c r="K259"/>
      <c r="L259"/>
      <c r="M259"/>
      <c r="N259"/>
      <c r="O259" s="27"/>
      <c r="P259" s="27"/>
      <c r="Q259" s="27"/>
      <c r="R259" s="27"/>
      <c r="S259" s="27"/>
    </row>
    <row r="260" spans="1:19" s="15" customFormat="1" x14ac:dyDescent="0.3">
      <c r="A260" s="17"/>
      <c r="B260"/>
      <c r="C260"/>
      <c r="D260"/>
      <c r="E260"/>
      <c r="F260"/>
      <c r="G260"/>
      <c r="H260"/>
      <c r="I260"/>
      <c r="J260"/>
      <c r="K260"/>
      <c r="L260"/>
      <c r="M260"/>
      <c r="N260"/>
      <c r="O260" s="27"/>
      <c r="P260" s="27"/>
      <c r="Q260" s="27"/>
      <c r="R260" s="27"/>
      <c r="S260" s="27"/>
    </row>
    <row r="261" spans="1:19" s="15" customFormat="1" x14ac:dyDescent="0.3">
      <c r="A261" s="17"/>
      <c r="B261"/>
      <c r="C261"/>
      <c r="D261"/>
      <c r="E261"/>
      <c r="F261"/>
      <c r="G261"/>
      <c r="H261"/>
      <c r="I261"/>
      <c r="J261"/>
      <c r="K261"/>
      <c r="L261"/>
      <c r="M261"/>
      <c r="N261"/>
      <c r="O261" s="27"/>
      <c r="P261" s="27"/>
      <c r="Q261" s="27"/>
      <c r="R261" s="27"/>
      <c r="S261" s="27"/>
    </row>
    <row r="262" spans="1:19" s="15" customFormat="1" x14ac:dyDescent="0.3">
      <c r="A262" s="17"/>
      <c r="B262"/>
      <c r="C262"/>
      <c r="D262"/>
      <c r="E262"/>
      <c r="F262"/>
      <c r="G262"/>
      <c r="H262"/>
      <c r="I262"/>
      <c r="J262"/>
      <c r="K262"/>
      <c r="L262"/>
      <c r="M262"/>
      <c r="N262"/>
      <c r="O262" s="27"/>
      <c r="P262" s="27"/>
      <c r="Q262" s="27"/>
      <c r="R262" s="27"/>
      <c r="S262" s="27"/>
    </row>
    <row r="263" spans="1:19" s="15" customFormat="1" x14ac:dyDescent="0.3">
      <c r="A263" s="17"/>
      <c r="B263"/>
      <c r="C263"/>
      <c r="D263"/>
      <c r="E263"/>
      <c r="F263"/>
      <c r="G263"/>
      <c r="H263"/>
      <c r="I263"/>
      <c r="J263"/>
      <c r="K263"/>
      <c r="L263"/>
      <c r="M263"/>
      <c r="N263"/>
      <c r="O263" s="27"/>
      <c r="P263" s="27"/>
      <c r="Q263" s="27"/>
      <c r="R263" s="27"/>
      <c r="S263" s="27"/>
    </row>
    <row r="264" spans="1:19" s="15" customFormat="1" x14ac:dyDescent="0.3">
      <c r="A264" s="17"/>
      <c r="B264"/>
      <c r="C264"/>
      <c r="D264"/>
      <c r="E264"/>
      <c r="F264"/>
      <c r="G264"/>
      <c r="H264"/>
      <c r="I264"/>
      <c r="J264"/>
      <c r="K264"/>
      <c r="L264"/>
      <c r="M264"/>
      <c r="N264"/>
      <c r="O264" s="27"/>
      <c r="P264" s="27"/>
      <c r="Q264" s="27"/>
      <c r="R264" s="27"/>
      <c r="S264" s="27"/>
    </row>
    <row r="265" spans="1:19" s="15" customFormat="1" x14ac:dyDescent="0.3">
      <c r="A265" s="17"/>
      <c r="B265"/>
      <c r="C265"/>
      <c r="D265"/>
      <c r="E265"/>
      <c r="F265"/>
      <c r="G265"/>
      <c r="H265"/>
      <c r="I265"/>
      <c r="J265"/>
      <c r="K265"/>
      <c r="L265"/>
      <c r="M265"/>
      <c r="N265"/>
      <c r="O265" s="27"/>
      <c r="P265" s="27"/>
      <c r="Q265" s="27"/>
      <c r="R265" s="27"/>
      <c r="S265" s="27"/>
    </row>
    <row r="266" spans="1:19" s="15" customFormat="1" x14ac:dyDescent="0.3">
      <c r="A266" s="17"/>
      <c r="B266"/>
      <c r="C266"/>
      <c r="D266"/>
      <c r="E266"/>
      <c r="F266"/>
      <c r="G266"/>
      <c r="H266"/>
      <c r="I266"/>
      <c r="J266"/>
      <c r="K266"/>
      <c r="L266"/>
      <c r="M266"/>
      <c r="N266"/>
      <c r="O266" s="27"/>
      <c r="P266" s="27"/>
      <c r="Q266" s="27"/>
      <c r="R266" s="27"/>
      <c r="S266" s="27"/>
    </row>
    <row r="267" spans="1:19" s="15" customFormat="1" x14ac:dyDescent="0.3">
      <c r="A267" s="17"/>
      <c r="B267"/>
      <c r="C267"/>
      <c r="D267"/>
      <c r="E267"/>
      <c r="F267"/>
      <c r="G267"/>
      <c r="H267"/>
      <c r="I267"/>
      <c r="J267"/>
      <c r="K267"/>
      <c r="L267"/>
      <c r="M267"/>
      <c r="N267"/>
      <c r="O267" s="27"/>
      <c r="P267" s="27"/>
      <c r="Q267" s="27"/>
      <c r="R267" s="27"/>
      <c r="S267" s="27"/>
    </row>
    <row r="268" spans="1:19" s="15" customFormat="1" x14ac:dyDescent="0.3">
      <c r="A268" s="17"/>
      <c r="B268"/>
      <c r="C268"/>
      <c r="D268"/>
      <c r="E268"/>
      <c r="F268"/>
      <c r="G268"/>
      <c r="H268"/>
      <c r="I268"/>
      <c r="J268"/>
      <c r="K268"/>
      <c r="L268"/>
      <c r="M268"/>
      <c r="N268"/>
      <c r="O268" s="27"/>
      <c r="P268" s="27"/>
      <c r="Q268" s="27"/>
      <c r="R268" s="27"/>
      <c r="S268" s="27"/>
    </row>
    <row r="269" spans="1:19" s="15" customFormat="1" x14ac:dyDescent="0.3">
      <c r="A269" s="17"/>
      <c r="B269"/>
      <c r="C269"/>
      <c r="D269"/>
      <c r="E269"/>
      <c r="F269"/>
      <c r="G269"/>
      <c r="H269"/>
      <c r="I269"/>
      <c r="J269"/>
      <c r="K269"/>
      <c r="L269"/>
      <c r="M269"/>
      <c r="N269"/>
      <c r="O269" s="27"/>
      <c r="P269" s="27"/>
      <c r="Q269" s="27"/>
      <c r="R269" s="27"/>
      <c r="S269" s="27"/>
    </row>
    <row r="270" spans="1:19" s="15" customFormat="1" x14ac:dyDescent="0.3">
      <c r="A270" s="17"/>
      <c r="B270"/>
      <c r="C270"/>
      <c r="D270"/>
      <c r="E270"/>
      <c r="F270"/>
      <c r="G270"/>
      <c r="H270"/>
      <c r="I270"/>
      <c r="J270"/>
      <c r="K270"/>
      <c r="L270"/>
      <c r="M270"/>
      <c r="N270"/>
      <c r="O270" s="27"/>
      <c r="P270" s="27"/>
      <c r="Q270" s="27"/>
      <c r="R270" s="27"/>
      <c r="S270" s="27"/>
    </row>
    <row r="271" spans="1:19" s="15" customFormat="1" x14ac:dyDescent="0.3">
      <c r="A271" s="17"/>
      <c r="B271"/>
      <c r="C271"/>
      <c r="D271"/>
      <c r="E271"/>
      <c r="F271"/>
      <c r="G271"/>
      <c r="H271"/>
      <c r="I271"/>
      <c r="J271"/>
      <c r="K271"/>
      <c r="L271"/>
      <c r="M271"/>
      <c r="N271"/>
      <c r="O271" s="27"/>
      <c r="P271" s="27"/>
      <c r="Q271" s="27"/>
      <c r="R271" s="27"/>
      <c r="S271" s="27"/>
    </row>
    <row r="272" spans="1:19" s="15" customFormat="1" x14ac:dyDescent="0.3">
      <c r="A272" s="17"/>
      <c r="B272"/>
      <c r="C272"/>
      <c r="D272"/>
      <c r="E272"/>
      <c r="F272"/>
      <c r="G272"/>
      <c r="H272"/>
      <c r="I272"/>
      <c r="J272"/>
      <c r="K272"/>
      <c r="L272"/>
      <c r="M272"/>
      <c r="N272"/>
      <c r="O272" s="27"/>
      <c r="P272" s="27"/>
      <c r="Q272" s="27"/>
      <c r="R272" s="27"/>
      <c r="S272" s="27"/>
    </row>
    <row r="273" spans="1:19" s="15" customFormat="1" x14ac:dyDescent="0.3">
      <c r="A273" s="17"/>
      <c r="B273"/>
      <c r="C273"/>
      <c r="D273"/>
      <c r="E273"/>
      <c r="F273"/>
      <c r="G273"/>
      <c r="H273"/>
      <c r="I273"/>
      <c r="J273"/>
      <c r="K273"/>
      <c r="L273"/>
      <c r="M273"/>
      <c r="N273"/>
      <c r="O273" s="27"/>
      <c r="P273" s="27"/>
      <c r="Q273" s="27"/>
      <c r="R273" s="27"/>
      <c r="S273" s="27"/>
    </row>
    <row r="274" spans="1:19" s="15" customFormat="1" x14ac:dyDescent="0.3">
      <c r="A274" s="17"/>
      <c r="B274"/>
      <c r="C274"/>
      <c r="D274"/>
      <c r="E274"/>
      <c r="F274"/>
      <c r="G274"/>
      <c r="H274"/>
      <c r="I274"/>
      <c r="J274"/>
      <c r="K274"/>
      <c r="L274"/>
      <c r="M274"/>
      <c r="N274"/>
      <c r="O274" s="27"/>
      <c r="P274" s="27"/>
      <c r="Q274" s="27"/>
      <c r="R274" s="27"/>
      <c r="S274" s="27"/>
    </row>
    <row r="275" spans="1:19" s="15" customFormat="1" x14ac:dyDescent="0.3">
      <c r="A275" s="17"/>
      <c r="B275"/>
      <c r="C275"/>
      <c r="D275"/>
      <c r="E275"/>
      <c r="F275"/>
      <c r="G275"/>
      <c r="H275"/>
      <c r="I275"/>
      <c r="J275"/>
      <c r="K275"/>
      <c r="L275"/>
      <c r="M275"/>
      <c r="N275"/>
      <c r="O275" s="27"/>
      <c r="P275" s="27"/>
      <c r="Q275" s="27"/>
      <c r="R275" s="27"/>
      <c r="S275" s="27"/>
    </row>
    <row r="276" spans="1:19" s="15" customFormat="1" x14ac:dyDescent="0.3">
      <c r="A276" s="17"/>
      <c r="B276"/>
      <c r="C276"/>
      <c r="D276"/>
      <c r="E276"/>
      <c r="F276"/>
      <c r="G276"/>
      <c r="H276"/>
      <c r="I276"/>
      <c r="J276"/>
      <c r="K276"/>
      <c r="L276"/>
      <c r="M276"/>
      <c r="N276"/>
      <c r="O276" s="27"/>
      <c r="P276" s="27"/>
      <c r="Q276" s="27"/>
      <c r="R276" s="27"/>
      <c r="S276" s="27"/>
    </row>
    <row r="277" spans="1:19" s="15" customFormat="1" x14ac:dyDescent="0.3">
      <c r="A277" s="17"/>
      <c r="B277"/>
      <c r="C277"/>
      <c r="D277"/>
      <c r="E277"/>
      <c r="F277"/>
      <c r="G277"/>
      <c r="H277"/>
      <c r="I277"/>
      <c r="J277"/>
      <c r="K277"/>
      <c r="L277"/>
      <c r="M277"/>
      <c r="N277"/>
      <c r="O277" s="27"/>
      <c r="P277" s="27"/>
      <c r="Q277" s="27"/>
      <c r="R277" s="27"/>
      <c r="S277" s="27"/>
    </row>
    <row r="278" spans="1:19" s="15" customFormat="1" x14ac:dyDescent="0.3">
      <c r="A278" s="17"/>
      <c r="B278"/>
      <c r="C278"/>
      <c r="D278"/>
      <c r="E278"/>
      <c r="F278"/>
      <c r="G278"/>
      <c r="H278"/>
      <c r="I278"/>
      <c r="J278"/>
      <c r="K278"/>
      <c r="L278"/>
      <c r="M278"/>
      <c r="N278"/>
      <c r="O278" s="27"/>
      <c r="P278" s="27"/>
      <c r="Q278" s="27"/>
      <c r="R278" s="27"/>
      <c r="S278" s="27"/>
    </row>
    <row r="279" spans="1:19" s="15" customFormat="1" x14ac:dyDescent="0.3">
      <c r="A279" s="17"/>
      <c r="B279"/>
      <c r="C279"/>
      <c r="D279"/>
      <c r="E279"/>
      <c r="F279"/>
      <c r="G279"/>
      <c r="H279"/>
      <c r="I279"/>
      <c r="J279"/>
      <c r="K279"/>
      <c r="L279"/>
      <c r="M279"/>
      <c r="N279"/>
      <c r="O279" s="27"/>
      <c r="P279" s="27"/>
      <c r="Q279" s="27"/>
      <c r="R279" s="27"/>
      <c r="S279" s="27"/>
    </row>
    <row r="280" spans="1:19" s="15" customFormat="1" x14ac:dyDescent="0.3">
      <c r="A280" s="17"/>
      <c r="B280"/>
      <c r="C280"/>
      <c r="D280"/>
      <c r="E280"/>
      <c r="F280"/>
      <c r="G280"/>
      <c r="H280"/>
      <c r="I280"/>
      <c r="J280"/>
      <c r="K280"/>
      <c r="L280"/>
      <c r="M280"/>
      <c r="N280"/>
      <c r="O280" s="27"/>
      <c r="P280" s="27"/>
      <c r="Q280" s="27"/>
      <c r="R280" s="27"/>
      <c r="S280" s="27"/>
    </row>
    <row r="281" spans="1:19" s="15" customFormat="1" x14ac:dyDescent="0.3">
      <c r="A281" s="17"/>
      <c r="B281"/>
      <c r="C281"/>
      <c r="D281"/>
      <c r="E281"/>
      <c r="F281"/>
      <c r="G281"/>
      <c r="H281"/>
      <c r="I281"/>
      <c r="J281"/>
      <c r="K281"/>
      <c r="L281"/>
      <c r="M281"/>
      <c r="N281"/>
      <c r="O281" s="27"/>
      <c r="P281" s="27"/>
      <c r="Q281" s="27"/>
      <c r="R281" s="27"/>
      <c r="S281" s="27"/>
    </row>
    <row r="282" spans="1:19" s="15" customFormat="1" x14ac:dyDescent="0.3">
      <c r="A282" s="17"/>
      <c r="B282"/>
      <c r="C282"/>
      <c r="D282"/>
      <c r="E282"/>
      <c r="F282"/>
      <c r="G282"/>
      <c r="H282"/>
      <c r="I282"/>
      <c r="J282"/>
      <c r="K282"/>
      <c r="L282"/>
      <c r="M282"/>
      <c r="N282"/>
      <c r="O282" s="27"/>
      <c r="P282" s="27"/>
      <c r="Q282" s="27"/>
      <c r="R282" s="27"/>
      <c r="S282" s="27"/>
    </row>
    <row r="283" spans="1:19" s="15" customFormat="1" x14ac:dyDescent="0.3">
      <c r="A283" s="17"/>
      <c r="B283"/>
      <c r="C283"/>
      <c r="D283"/>
      <c r="E283"/>
      <c r="F283"/>
      <c r="G283"/>
      <c r="H283"/>
      <c r="I283"/>
      <c r="J283"/>
      <c r="K283"/>
      <c r="L283"/>
      <c r="M283"/>
      <c r="N283"/>
      <c r="O283" s="27"/>
      <c r="P283" s="27"/>
      <c r="Q283" s="27"/>
      <c r="R283" s="27"/>
      <c r="S283" s="27"/>
    </row>
    <row r="284" spans="1:19" s="15" customFormat="1" x14ac:dyDescent="0.3">
      <c r="A284" s="17"/>
      <c r="B284"/>
      <c r="C284"/>
      <c r="D284"/>
      <c r="E284"/>
      <c r="F284"/>
      <c r="G284"/>
      <c r="H284"/>
      <c r="I284"/>
      <c r="J284"/>
      <c r="K284"/>
      <c r="L284"/>
      <c r="M284"/>
      <c r="N284"/>
      <c r="O284" s="27"/>
      <c r="P284" s="27"/>
      <c r="Q284" s="27"/>
      <c r="R284" s="27"/>
      <c r="S284" s="27"/>
    </row>
    <row r="285" spans="1:19" s="15" customFormat="1" x14ac:dyDescent="0.3">
      <c r="A285" s="17"/>
      <c r="B285"/>
      <c r="C285"/>
      <c r="D285"/>
      <c r="E285"/>
      <c r="F285"/>
      <c r="G285"/>
      <c r="H285"/>
      <c r="I285"/>
      <c r="J285"/>
      <c r="K285"/>
      <c r="L285"/>
      <c r="M285"/>
      <c r="N285"/>
      <c r="O285" s="27"/>
      <c r="P285" s="27"/>
      <c r="Q285" s="27"/>
      <c r="R285" s="27"/>
      <c r="S285" s="27"/>
    </row>
    <row r="286" spans="1:19" s="15" customFormat="1" x14ac:dyDescent="0.3">
      <c r="A286" s="17"/>
      <c r="B286"/>
      <c r="C286"/>
      <c r="D286"/>
      <c r="E286"/>
      <c r="F286"/>
      <c r="G286"/>
      <c r="H286"/>
      <c r="I286"/>
      <c r="J286"/>
      <c r="K286"/>
      <c r="L286"/>
      <c r="M286"/>
      <c r="N286"/>
      <c r="O286" s="27"/>
      <c r="P286" s="27"/>
      <c r="Q286" s="27"/>
      <c r="R286" s="27"/>
      <c r="S286" s="27"/>
    </row>
    <row r="287" spans="1:19" s="15" customFormat="1" x14ac:dyDescent="0.3">
      <c r="A287" s="17"/>
      <c r="B287"/>
      <c r="C287"/>
      <c r="D287"/>
      <c r="E287"/>
      <c r="F287"/>
      <c r="G287"/>
      <c r="H287"/>
      <c r="I287"/>
      <c r="J287"/>
      <c r="K287"/>
      <c r="L287"/>
      <c r="M287"/>
      <c r="N287"/>
      <c r="O287" s="27"/>
      <c r="P287" s="27"/>
      <c r="Q287" s="27"/>
      <c r="R287" s="27"/>
      <c r="S287" s="27"/>
    </row>
    <row r="288" spans="1:19" s="15" customFormat="1" x14ac:dyDescent="0.3">
      <c r="A288" s="17"/>
      <c r="B288"/>
      <c r="C288"/>
      <c r="D288"/>
      <c r="E288"/>
      <c r="F288"/>
      <c r="G288"/>
      <c r="H288"/>
      <c r="I288"/>
      <c r="J288"/>
      <c r="K288"/>
      <c r="L288"/>
      <c r="M288"/>
      <c r="N288"/>
      <c r="O288" s="27"/>
      <c r="P288" s="27"/>
      <c r="Q288" s="27"/>
      <c r="R288" s="27"/>
      <c r="S288" s="27"/>
    </row>
    <row r="289" spans="1:19" s="15" customFormat="1" x14ac:dyDescent="0.3">
      <c r="A289" s="17"/>
      <c r="B289"/>
      <c r="C289"/>
      <c r="D289"/>
      <c r="E289"/>
      <c r="F289"/>
      <c r="G289"/>
      <c r="H289"/>
      <c r="I289"/>
      <c r="J289"/>
      <c r="K289"/>
      <c r="L289"/>
      <c r="M289"/>
      <c r="N289"/>
      <c r="O289" s="27"/>
      <c r="P289" s="27"/>
      <c r="Q289" s="27"/>
      <c r="R289" s="27"/>
      <c r="S289" s="27"/>
    </row>
    <row r="290" spans="1:19" s="15" customFormat="1" x14ac:dyDescent="0.3">
      <c r="A290" s="17"/>
      <c r="B290"/>
      <c r="C290"/>
      <c r="D290"/>
      <c r="E290"/>
      <c r="F290"/>
      <c r="G290"/>
      <c r="H290"/>
      <c r="I290"/>
      <c r="J290"/>
      <c r="K290"/>
      <c r="L290"/>
      <c r="M290"/>
      <c r="N290"/>
      <c r="O290" s="27"/>
      <c r="P290" s="27"/>
      <c r="Q290" s="27"/>
      <c r="R290" s="27"/>
      <c r="S290" s="27"/>
    </row>
    <row r="291" spans="1:19" s="15" customFormat="1" x14ac:dyDescent="0.3">
      <c r="A291" s="17"/>
      <c r="B291"/>
      <c r="C291"/>
      <c r="D291"/>
      <c r="E291"/>
      <c r="F291"/>
      <c r="G291"/>
      <c r="H291"/>
      <c r="I291"/>
      <c r="J291"/>
      <c r="K291"/>
      <c r="L291"/>
      <c r="M291"/>
      <c r="N291"/>
      <c r="O291" s="27"/>
      <c r="P291" s="27"/>
      <c r="Q291" s="27"/>
      <c r="R291" s="27"/>
      <c r="S291" s="27"/>
    </row>
    <row r="292" spans="1:19" s="15" customFormat="1" x14ac:dyDescent="0.3">
      <c r="A292" s="17"/>
      <c r="B292"/>
      <c r="C292"/>
      <c r="D292"/>
      <c r="E292"/>
      <c r="F292"/>
      <c r="G292"/>
      <c r="H292"/>
      <c r="I292"/>
      <c r="J292"/>
      <c r="K292"/>
      <c r="L292"/>
      <c r="M292"/>
      <c r="N292"/>
      <c r="O292" s="27"/>
      <c r="P292" s="27"/>
      <c r="Q292" s="27"/>
      <c r="R292" s="27"/>
      <c r="S292" s="27"/>
    </row>
    <row r="293" spans="1:19" s="15" customFormat="1" x14ac:dyDescent="0.3">
      <c r="A293" s="17"/>
      <c r="B293"/>
      <c r="C293"/>
      <c r="D293"/>
      <c r="E293"/>
      <c r="F293"/>
      <c r="G293"/>
      <c r="H293"/>
      <c r="I293"/>
      <c r="J293"/>
      <c r="K293"/>
      <c r="L293"/>
      <c r="M293"/>
      <c r="N293"/>
      <c r="O293" s="27"/>
      <c r="P293" s="27"/>
      <c r="Q293" s="27"/>
      <c r="R293" s="27"/>
      <c r="S293" s="27"/>
    </row>
    <row r="294" spans="1:19" s="15" customFormat="1" x14ac:dyDescent="0.3">
      <c r="A294" s="17"/>
      <c r="B294"/>
      <c r="C294"/>
      <c r="D294"/>
      <c r="E294"/>
      <c r="F294"/>
      <c r="G294"/>
      <c r="H294"/>
      <c r="I294"/>
      <c r="J294"/>
      <c r="K294"/>
      <c r="L294"/>
      <c r="M294"/>
      <c r="N294"/>
      <c r="O294" s="27"/>
      <c r="P294" s="27"/>
      <c r="Q294" s="27"/>
      <c r="R294" s="27"/>
      <c r="S294" s="27"/>
    </row>
    <row r="295" spans="1:19" s="15" customFormat="1" x14ac:dyDescent="0.3">
      <c r="A295" s="17"/>
      <c r="B295"/>
      <c r="C295"/>
      <c r="D295"/>
      <c r="E295"/>
      <c r="F295"/>
      <c r="G295"/>
      <c r="H295"/>
      <c r="I295"/>
      <c r="J295"/>
      <c r="K295"/>
      <c r="L295"/>
      <c r="M295"/>
      <c r="N295"/>
      <c r="O295" s="27"/>
      <c r="P295" s="27"/>
      <c r="Q295" s="27"/>
      <c r="R295" s="27"/>
      <c r="S295" s="27"/>
    </row>
    <row r="296" spans="1:19" s="15" customFormat="1" x14ac:dyDescent="0.3">
      <c r="A296" s="17"/>
      <c r="B296"/>
      <c r="C296"/>
      <c r="D296"/>
      <c r="E296"/>
      <c r="F296"/>
      <c r="G296"/>
      <c r="H296"/>
      <c r="I296"/>
      <c r="J296"/>
      <c r="K296"/>
      <c r="L296"/>
      <c r="M296"/>
      <c r="N296"/>
      <c r="O296" s="27"/>
      <c r="P296" s="27"/>
      <c r="Q296" s="27"/>
      <c r="R296" s="27"/>
      <c r="S296" s="27"/>
    </row>
    <row r="297" spans="1:19" s="15" customFormat="1" x14ac:dyDescent="0.3">
      <c r="A297" s="17"/>
      <c r="B297"/>
      <c r="C297"/>
      <c r="D297"/>
      <c r="E297"/>
      <c r="F297"/>
      <c r="G297"/>
      <c r="H297"/>
      <c r="I297"/>
      <c r="J297"/>
      <c r="K297"/>
      <c r="L297"/>
      <c r="M297"/>
      <c r="N297"/>
      <c r="O297" s="27"/>
      <c r="P297" s="27"/>
      <c r="Q297" s="27"/>
      <c r="R297" s="27"/>
      <c r="S297" s="27"/>
    </row>
    <row r="298" spans="1:19" s="15" customFormat="1" x14ac:dyDescent="0.3">
      <c r="A298" s="17"/>
      <c r="B298"/>
      <c r="C298"/>
      <c r="D298"/>
      <c r="E298"/>
      <c r="F298"/>
      <c r="G298"/>
      <c r="H298"/>
      <c r="I298"/>
      <c r="J298"/>
      <c r="K298"/>
      <c r="L298"/>
      <c r="M298"/>
      <c r="N298"/>
      <c r="O298" s="27"/>
      <c r="P298" s="27"/>
      <c r="Q298" s="27"/>
      <c r="R298" s="27"/>
      <c r="S298" s="27"/>
    </row>
    <row r="299" spans="1:19" s="15" customFormat="1" x14ac:dyDescent="0.3">
      <c r="A299" s="17"/>
      <c r="B299"/>
      <c r="C299"/>
      <c r="D299"/>
      <c r="E299"/>
      <c r="F299"/>
      <c r="G299"/>
      <c r="H299"/>
      <c r="I299"/>
      <c r="J299"/>
      <c r="K299"/>
      <c r="L299"/>
      <c r="M299"/>
      <c r="N299"/>
      <c r="O299" s="27"/>
      <c r="P299" s="27"/>
      <c r="Q299" s="27"/>
      <c r="R299" s="27"/>
      <c r="S299" s="27"/>
    </row>
    <row r="300" spans="1:19" s="15" customFormat="1" x14ac:dyDescent="0.3">
      <c r="A300" s="17"/>
      <c r="B300"/>
      <c r="C300"/>
      <c r="D300"/>
      <c r="E300"/>
      <c r="F300"/>
      <c r="G300"/>
      <c r="H300"/>
      <c r="I300"/>
      <c r="J300"/>
      <c r="K300"/>
      <c r="L300"/>
      <c r="M300"/>
      <c r="N300"/>
      <c r="O300" s="27"/>
      <c r="P300" s="27"/>
      <c r="Q300" s="27"/>
      <c r="R300" s="27"/>
      <c r="S300" s="27"/>
    </row>
  </sheetData>
  <mergeCells count="2">
    <mergeCell ref="G10:I10"/>
    <mergeCell ref="D14:D15"/>
  </mergeCells>
  <pageMargins left="0.511811024" right="0.511811024" top="0.78740157499999996" bottom="0.78740157499999996" header="0.31496062000000002" footer="0.31496062000000002"/>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12536-764A-4AC0-86D7-8403CEA93600}">
  <sheetPr codeName="Planilha43">
    <tabColor theme="9" tint="0.59999389629810485"/>
  </sheetPr>
  <dimension ref="A1:AB300"/>
  <sheetViews>
    <sheetView showGridLines="0" workbookViewId="0"/>
  </sheetViews>
  <sheetFormatPr defaultColWidth="8.85546875" defaultRowHeight="18.75" x14ac:dyDescent="0.3"/>
  <cols>
    <col min="1" max="1" width="12.7109375" style="17" customWidth="1"/>
    <col min="2" max="2" width="33.140625" customWidth="1"/>
    <col min="4" max="4" width="44.28515625" bestFit="1" customWidth="1"/>
    <col min="5" max="5" width="4.5703125" customWidth="1"/>
    <col min="6" max="9" width="7.140625" bestFit="1" customWidth="1"/>
    <col min="10" max="11" width="9.28515625" bestFit="1" customWidth="1"/>
    <col min="12" max="13" width="10.5703125" bestFit="1" customWidth="1"/>
    <col min="15" max="15" width="9.5703125" style="15" bestFit="1" customWidth="1"/>
    <col min="16" max="16" width="10.5703125" style="15" bestFit="1" customWidth="1"/>
    <col min="17" max="17" width="9.5703125" style="15" bestFit="1" customWidth="1"/>
    <col min="18" max="19" width="14.85546875" style="15" customWidth="1"/>
    <col min="20" max="28" width="8.85546875" style="15"/>
  </cols>
  <sheetData>
    <row r="1" spans="1:28" x14ac:dyDescent="0.3">
      <c r="A1" s="16" t="s">
        <v>532</v>
      </c>
      <c r="O1" s="14"/>
      <c r="P1" s="14"/>
      <c r="Q1" s="14"/>
      <c r="R1" s="14"/>
      <c r="S1" s="14"/>
      <c r="T1" s="14"/>
      <c r="U1" s="14"/>
      <c r="V1" s="14"/>
      <c r="W1" s="14"/>
      <c r="X1" s="14"/>
      <c r="Y1" s="14"/>
      <c r="Z1" s="14"/>
      <c r="AA1" s="14"/>
      <c r="AB1" s="14"/>
    </row>
    <row r="2" spans="1:28" x14ac:dyDescent="0.3">
      <c r="A2" s="17" t="s">
        <v>533</v>
      </c>
      <c r="O2" s="14"/>
      <c r="P2" s="14"/>
      <c r="Q2" s="14"/>
      <c r="R2" s="14"/>
      <c r="S2" s="14"/>
      <c r="T2" s="14"/>
      <c r="U2" s="14"/>
      <c r="V2" s="14"/>
      <c r="W2" s="14"/>
      <c r="X2" s="14"/>
      <c r="Y2" s="14"/>
      <c r="Z2" s="14"/>
      <c r="AA2" s="14"/>
      <c r="AB2" s="14"/>
    </row>
    <row r="4" spans="1:28" ht="15.75" x14ac:dyDescent="0.25">
      <c r="A4" s="2" t="s">
        <v>15</v>
      </c>
      <c r="B4" s="2" t="s">
        <v>16</v>
      </c>
    </row>
    <row r="5" spans="1:28" ht="15.75" x14ac:dyDescent="0.25">
      <c r="A5" s="23" t="s">
        <v>167</v>
      </c>
      <c r="B5" s="24" t="s">
        <v>169</v>
      </c>
    </row>
    <row r="6" spans="1:28" ht="31.5" x14ac:dyDescent="0.25">
      <c r="A6" s="23" t="s">
        <v>56</v>
      </c>
      <c r="B6" s="24" t="s">
        <v>526</v>
      </c>
    </row>
    <row r="7" spans="1:28" ht="47.25" x14ac:dyDescent="0.25">
      <c r="A7" s="23" t="s">
        <v>86</v>
      </c>
      <c r="B7" s="24" t="s">
        <v>358</v>
      </c>
    </row>
    <row r="8" spans="1:28" ht="31.5" x14ac:dyDescent="0.25">
      <c r="A8" s="23" t="s">
        <v>527</v>
      </c>
      <c r="B8" s="24" t="s">
        <v>530</v>
      </c>
    </row>
    <row r="9" spans="1:28" ht="47.25" customHeight="1" x14ac:dyDescent="0.25">
      <c r="A9" s="23" t="s">
        <v>211</v>
      </c>
      <c r="B9" s="24" t="s">
        <v>529</v>
      </c>
    </row>
    <row r="10" spans="1:28" x14ac:dyDescent="0.3">
      <c r="D10" s="1" t="s">
        <v>17</v>
      </c>
      <c r="G10" s="132" t="s">
        <v>167</v>
      </c>
      <c r="H10" s="135"/>
      <c r="I10" s="133"/>
      <c r="J10" s="13" t="s">
        <v>36</v>
      </c>
      <c r="K10" s="13" t="s">
        <v>138</v>
      </c>
      <c r="L10" s="13" t="s">
        <v>522</v>
      </c>
      <c r="M10" s="13" t="s">
        <v>214</v>
      </c>
    </row>
    <row r="11" spans="1:28" x14ac:dyDescent="0.3">
      <c r="D11" t="s">
        <v>178</v>
      </c>
      <c r="F11" s="50">
        <v>37257</v>
      </c>
      <c r="G11" s="53">
        <v>72.400000000000006</v>
      </c>
      <c r="H11" s="53">
        <v>144.80000000000001</v>
      </c>
      <c r="I11" s="53">
        <v>72.400000000000006</v>
      </c>
      <c r="J11" s="55">
        <v>3</v>
      </c>
      <c r="K11" s="55">
        <v>1</v>
      </c>
      <c r="L11" s="55" t="s">
        <v>528</v>
      </c>
      <c r="M11" s="55" t="b">
        <v>1</v>
      </c>
      <c r="O11" s="54" t="e" cm="1">
        <f t="array" ref="O11:Q250">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PRODUCT(INDEX(_xlpm.values, _xlfn.SEQUENCE(_xlpm.n,1,_xlpm.row-_xlpm.n+1), _xlpm.col))))) ), _xlpm.dropParam, 0),
IF(_xlpm.dim=2,
_xlfn.DROP( IF(_xlpm.n=1, _xlpm.values, _xlfn.MAKEARRAY(ROWS(_xlpm.values), COLUMNS(_xlpm.values), _xlfn.LAMBDA(_xlpm.row,_xlpm.col, IF(_xlpm.col &lt; _xlpm.n, NA(), PRODUCT(INDEX(_xlpm.values, _xlpm.row, _xlfn.SEQUENCE(1,_xlpm.n,_xlpm.col-_xlpm.n+1)))))) ), 0, _xlpm.dropParam),
"# dim must be either 1 or 2"
))
) )($G$11:$I$250,$J$11,$K$11,$L$11,$M$11)</f>
        <v>#N/A</v>
      </c>
      <c r="P11" s="54" t="e">
        <v>#N/A</v>
      </c>
      <c r="Q11" s="54" t="e">
        <v>#N/A</v>
      </c>
      <c r="R11" s="54"/>
      <c r="S11" s="54" t="e" cm="1">
        <f t="array" ref="S11:U250">MOVPROD($G$11:$I$250,$J$11,$K$11,$L$11,$M$11)</f>
        <v>#N/A</v>
      </c>
      <c r="T11" s="15" t="e">
        <v>#N/A</v>
      </c>
      <c r="U11" s="15" t="e">
        <v>#N/A</v>
      </c>
    </row>
    <row r="12" spans="1:28" x14ac:dyDescent="0.3">
      <c r="D12" t="s">
        <v>179</v>
      </c>
      <c r="F12" s="50">
        <v>37288</v>
      </c>
      <c r="G12" s="53">
        <v>69.7</v>
      </c>
      <c r="H12" s="53">
        <v>139.4</v>
      </c>
      <c r="I12" s="53">
        <v>69.7</v>
      </c>
      <c r="N12" s="38"/>
      <c r="O12" s="54" t="e">
        <v>#N/A</v>
      </c>
      <c r="P12" s="54" t="e">
        <v>#N/A</v>
      </c>
      <c r="Q12" s="54" t="e">
        <v>#N/A</v>
      </c>
      <c r="R12" s="54"/>
      <c r="S12" s="54" t="e">
        <v>#N/A</v>
      </c>
      <c r="T12" s="15" t="e">
        <v>#N/A</v>
      </c>
      <c r="U12" s="15" t="e">
        <v>#N/A</v>
      </c>
    </row>
    <row r="13" spans="1:28" x14ac:dyDescent="0.3">
      <c r="F13" s="50">
        <v>37316</v>
      </c>
      <c r="G13" s="53">
        <v>77.400000000000006</v>
      </c>
      <c r="H13" s="53">
        <v>154.80000000000001</v>
      </c>
      <c r="I13" s="53">
        <v>77.400000000000006</v>
      </c>
      <c r="N13" s="38"/>
      <c r="O13" s="54">
        <v>390582.0720000001</v>
      </c>
      <c r="P13" s="54">
        <v>3124656.5760000008</v>
      </c>
      <c r="Q13" s="54">
        <v>390582.0720000001</v>
      </c>
      <c r="R13" s="54"/>
      <c r="S13" s="54">
        <v>390582.0720000001</v>
      </c>
      <c r="T13" s="15">
        <v>3124656.5760000008</v>
      </c>
      <c r="U13" s="15">
        <v>390582.0720000001</v>
      </c>
    </row>
    <row r="14" spans="1:28" ht="18.75" customHeight="1" x14ac:dyDescent="0.3">
      <c r="D14" s="134"/>
      <c r="F14" s="50">
        <v>37347</v>
      </c>
      <c r="G14" s="53">
        <v>79.599999999999994</v>
      </c>
      <c r="H14" s="53">
        <v>159.19999999999999</v>
      </c>
      <c r="I14" s="53">
        <v>79.599999999999994</v>
      </c>
      <c r="N14" s="38"/>
      <c r="O14" s="54">
        <v>429424.48800000001</v>
      </c>
      <c r="P14" s="54">
        <v>3435395.9040000001</v>
      </c>
      <c r="Q14" s="54">
        <v>429424.48800000001</v>
      </c>
      <c r="R14" s="54"/>
      <c r="S14" s="54">
        <v>429424.48800000001</v>
      </c>
      <c r="T14" s="15">
        <v>3435395.9040000001</v>
      </c>
      <c r="U14" s="15">
        <v>429424.48800000001</v>
      </c>
    </row>
    <row r="15" spans="1:28" x14ac:dyDescent="0.3">
      <c r="D15" s="134"/>
      <c r="F15" s="50">
        <v>37377</v>
      </c>
      <c r="G15" s="53">
        <v>80.400000000000006</v>
      </c>
      <c r="H15" s="53">
        <v>160.80000000000001</v>
      </c>
      <c r="I15" s="53">
        <v>80.400000000000006</v>
      </c>
      <c r="N15" s="38"/>
      <c r="O15" s="54">
        <v>495347.61600000004</v>
      </c>
      <c r="P15" s="54">
        <v>3962780.9280000003</v>
      </c>
      <c r="Q15" s="54">
        <v>495347.61600000004</v>
      </c>
      <c r="R15" s="54"/>
      <c r="S15" s="54">
        <v>495347.61600000004</v>
      </c>
      <c r="T15" s="15">
        <v>3962780.9280000003</v>
      </c>
      <c r="U15" s="15">
        <v>495347.61600000004</v>
      </c>
    </row>
    <row r="16" spans="1:28" x14ac:dyDescent="0.3">
      <c r="D16" s="47"/>
      <c r="F16" s="50">
        <v>37408</v>
      </c>
      <c r="G16" s="53">
        <v>77.5</v>
      </c>
      <c r="H16" s="53">
        <v>155</v>
      </c>
      <c r="I16" s="53">
        <v>77.5</v>
      </c>
      <c r="N16" s="38"/>
      <c r="O16" s="54">
        <v>495987.60000000003</v>
      </c>
      <c r="P16" s="54">
        <v>3967900.8000000003</v>
      </c>
      <c r="Q16" s="54">
        <v>495987.60000000003</v>
      </c>
      <c r="R16" s="54"/>
      <c r="S16" s="54">
        <v>495987.60000000003</v>
      </c>
      <c r="T16" s="15">
        <v>3967900.8000000003</v>
      </c>
      <c r="U16" s="15">
        <v>495987.60000000003</v>
      </c>
    </row>
    <row r="17" spans="1:21" x14ac:dyDescent="0.3">
      <c r="F17" s="50">
        <v>37438</v>
      </c>
      <c r="G17" s="53">
        <v>83.3</v>
      </c>
      <c r="H17" s="53">
        <v>166.6</v>
      </c>
      <c r="I17" s="53">
        <v>83.3</v>
      </c>
      <c r="N17" s="38"/>
      <c r="O17" s="54">
        <v>519042.3</v>
      </c>
      <c r="P17" s="54">
        <v>4152338.4</v>
      </c>
      <c r="Q17" s="54">
        <v>519042.3</v>
      </c>
      <c r="R17" s="54"/>
      <c r="S17" s="54">
        <v>519042.3</v>
      </c>
      <c r="T17" s="15">
        <v>4152338.4</v>
      </c>
      <c r="U17" s="15">
        <v>519042.3</v>
      </c>
    </row>
    <row r="18" spans="1:21" x14ac:dyDescent="0.3">
      <c r="F18" s="50">
        <v>37469</v>
      </c>
      <c r="G18" s="53">
        <v>83.6</v>
      </c>
      <c r="H18" s="53">
        <v>167.2</v>
      </c>
      <c r="I18" s="53">
        <v>83.6</v>
      </c>
      <c r="N18" s="38"/>
      <c r="O18" s="54">
        <v>539700.69999999995</v>
      </c>
      <c r="P18" s="54">
        <v>4317605.5999999996</v>
      </c>
      <c r="Q18" s="54">
        <v>539700.69999999995</v>
      </c>
      <c r="R18" s="54"/>
      <c r="S18" s="54">
        <v>539700.69999999995</v>
      </c>
      <c r="T18" s="15">
        <v>4317605.5999999996</v>
      </c>
      <c r="U18" s="15">
        <v>539700.69999999995</v>
      </c>
    </row>
    <row r="19" spans="1:21" s="15" customFormat="1" x14ac:dyDescent="0.3">
      <c r="A19" s="17"/>
      <c r="B19"/>
      <c r="C19"/>
      <c r="D19"/>
      <c r="E19"/>
      <c r="F19" s="50">
        <v>37500</v>
      </c>
      <c r="G19" s="53">
        <v>82.1</v>
      </c>
      <c r="H19" s="53">
        <v>164.2</v>
      </c>
      <c r="I19" s="53">
        <v>82.1</v>
      </c>
      <c r="J19"/>
      <c r="K19"/>
      <c r="L19"/>
      <c r="M19"/>
      <c r="N19" s="38"/>
      <c r="O19" s="54">
        <v>571734.54799999995</v>
      </c>
      <c r="P19" s="54">
        <v>4573876.3839999996</v>
      </c>
      <c r="Q19" s="54">
        <v>571734.54799999995</v>
      </c>
      <c r="R19" s="54"/>
      <c r="S19" s="54">
        <v>571734.54799999995</v>
      </c>
      <c r="T19" s="15">
        <v>4573876.3839999996</v>
      </c>
      <c r="U19" s="15">
        <v>571734.54799999995</v>
      </c>
    </row>
    <row r="20" spans="1:21" s="15" customFormat="1" x14ac:dyDescent="0.3">
      <c r="A20" s="17"/>
      <c r="B20"/>
      <c r="C20"/>
      <c r="D20"/>
      <c r="E20"/>
      <c r="F20" s="50">
        <v>37530</v>
      </c>
      <c r="G20" s="53">
        <v>89.2</v>
      </c>
      <c r="H20" s="53">
        <v>178.4</v>
      </c>
      <c r="I20" s="53">
        <v>89.2</v>
      </c>
      <c r="J20"/>
      <c r="K20"/>
      <c r="L20"/>
      <c r="M20"/>
      <c r="N20" s="38"/>
      <c r="O20" s="54">
        <v>612229.55200000003</v>
      </c>
      <c r="P20" s="54">
        <v>4897836.4160000002</v>
      </c>
      <c r="Q20" s="54">
        <v>612229.55200000003</v>
      </c>
      <c r="R20" s="54"/>
      <c r="S20" s="54">
        <v>612229.55200000003</v>
      </c>
      <c r="T20" s="15">
        <v>4897836.4160000002</v>
      </c>
      <c r="U20" s="15">
        <v>612229.55200000003</v>
      </c>
    </row>
    <row r="21" spans="1:21" s="15" customFormat="1" x14ac:dyDescent="0.3">
      <c r="A21" s="17"/>
      <c r="B21"/>
      <c r="C21"/>
      <c r="D21"/>
      <c r="E21"/>
      <c r="F21" s="50">
        <v>37561</v>
      </c>
      <c r="G21" s="53">
        <v>83.9</v>
      </c>
      <c r="H21" s="53">
        <v>167.8</v>
      </c>
      <c r="I21" s="53">
        <v>83.9</v>
      </c>
      <c r="J21"/>
      <c r="K21"/>
      <c r="L21"/>
      <c r="M21"/>
      <c r="N21" s="38"/>
      <c r="O21" s="54">
        <v>614426.54800000007</v>
      </c>
      <c r="P21" s="54">
        <v>4915412.3840000005</v>
      </c>
      <c r="Q21" s="54">
        <v>614426.54800000007</v>
      </c>
      <c r="R21" s="54"/>
      <c r="S21" s="54">
        <v>614426.54800000007</v>
      </c>
      <c r="T21" s="15">
        <v>4915412.3840000005</v>
      </c>
      <c r="U21" s="15">
        <v>614426.54800000007</v>
      </c>
    </row>
    <row r="22" spans="1:21" s="15" customFormat="1" x14ac:dyDescent="0.3">
      <c r="A22" s="17"/>
      <c r="B22"/>
      <c r="C22"/>
      <c r="D22"/>
      <c r="E22"/>
      <c r="F22" s="50">
        <v>37591</v>
      </c>
      <c r="G22" s="53">
        <v>74.599999999999994</v>
      </c>
      <c r="H22" s="53">
        <v>149.19999999999999</v>
      </c>
      <c r="I22" s="53">
        <v>74.599999999999994</v>
      </c>
      <c r="J22"/>
      <c r="K22"/>
      <c r="L22"/>
      <c r="M22"/>
      <c r="N22" s="38"/>
      <c r="O22" s="54">
        <v>558297.44800000009</v>
      </c>
      <c r="P22" s="54">
        <v>4466379.5840000007</v>
      </c>
      <c r="Q22" s="54">
        <v>558297.44800000009</v>
      </c>
      <c r="R22" s="54"/>
      <c r="S22" s="54">
        <v>558297.44800000009</v>
      </c>
      <c r="T22" s="15">
        <v>4466379.5840000007</v>
      </c>
      <c r="U22" s="15">
        <v>558297.44800000009</v>
      </c>
    </row>
    <row r="23" spans="1:21" s="15" customFormat="1" x14ac:dyDescent="0.3">
      <c r="A23" s="17"/>
      <c r="B23"/>
      <c r="C23"/>
      <c r="D23"/>
      <c r="E23"/>
      <c r="F23" s="50">
        <v>37622</v>
      </c>
      <c r="G23" s="53">
        <v>74</v>
      </c>
      <c r="H23" s="53">
        <v>148</v>
      </c>
      <c r="I23" s="53">
        <v>74</v>
      </c>
      <c r="J23"/>
      <c r="K23"/>
      <c r="L23"/>
      <c r="M23"/>
      <c r="N23" s="38"/>
      <c r="O23" s="54">
        <v>463161.56</v>
      </c>
      <c r="P23" s="54">
        <v>3705292.48</v>
      </c>
      <c r="Q23" s="54">
        <v>463161.56</v>
      </c>
      <c r="R23" s="54"/>
      <c r="S23" s="54">
        <v>463161.56</v>
      </c>
      <c r="T23" s="15">
        <v>3705292.48</v>
      </c>
      <c r="U23" s="15">
        <v>463161.56</v>
      </c>
    </row>
    <row r="24" spans="1:21" s="15" customFormat="1" x14ac:dyDescent="0.3">
      <c r="A24" s="17"/>
      <c r="B24"/>
      <c r="C24"/>
      <c r="D24"/>
      <c r="E24"/>
      <c r="F24" s="50">
        <v>37653</v>
      </c>
      <c r="G24" s="53">
        <v>71.8</v>
      </c>
      <c r="H24" s="53">
        <v>143.6</v>
      </c>
      <c r="I24" s="53">
        <v>71.8</v>
      </c>
      <c r="J24"/>
      <c r="K24"/>
      <c r="L24"/>
      <c r="M24"/>
      <c r="N24" s="38"/>
      <c r="O24" s="54">
        <v>396364.72</v>
      </c>
      <c r="P24" s="54">
        <v>3170917.76</v>
      </c>
      <c r="Q24" s="54">
        <v>396364.72</v>
      </c>
      <c r="R24" s="54"/>
      <c r="S24" s="54">
        <v>396364.72</v>
      </c>
      <c r="T24" s="15">
        <v>3170917.76</v>
      </c>
      <c r="U24" s="15">
        <v>396364.72</v>
      </c>
    </row>
    <row r="25" spans="1:21" s="15" customFormat="1" x14ac:dyDescent="0.3">
      <c r="A25" s="17"/>
      <c r="B25"/>
      <c r="C25"/>
      <c r="D25"/>
      <c r="E25"/>
      <c r="F25" s="50">
        <v>37681</v>
      </c>
      <c r="G25" s="53">
        <v>77.400000000000006</v>
      </c>
      <c r="H25" s="53">
        <v>154.80000000000001</v>
      </c>
      <c r="I25" s="53">
        <v>77.400000000000006</v>
      </c>
      <c r="J25"/>
      <c r="K25"/>
      <c r="L25"/>
      <c r="M25"/>
      <c r="N25" s="38"/>
      <c r="O25" s="54">
        <v>411241.68</v>
      </c>
      <c r="P25" s="54">
        <v>3289933.44</v>
      </c>
      <c r="Q25" s="54">
        <v>411241.68</v>
      </c>
      <c r="R25" s="54"/>
      <c r="S25" s="54">
        <v>411241.68</v>
      </c>
      <c r="T25" s="15">
        <v>3289933.44</v>
      </c>
      <c r="U25" s="15">
        <v>411241.68</v>
      </c>
    </row>
    <row r="26" spans="1:21" s="15" customFormat="1" x14ac:dyDescent="0.3">
      <c r="A26" s="17"/>
      <c r="B26"/>
      <c r="C26"/>
      <c r="D26"/>
      <c r="E26"/>
      <c r="F26" s="50">
        <v>37712</v>
      </c>
      <c r="G26" s="53">
        <v>76.5</v>
      </c>
      <c r="H26" s="53">
        <v>153</v>
      </c>
      <c r="I26" s="53">
        <v>76.5</v>
      </c>
      <c r="J26"/>
      <c r="K26"/>
      <c r="L26"/>
      <c r="M26"/>
      <c r="N26" s="38"/>
      <c r="O26" s="54">
        <v>425134.98000000004</v>
      </c>
      <c r="P26" s="54">
        <v>3401079.8400000003</v>
      </c>
      <c r="Q26" s="54">
        <v>425134.98000000004</v>
      </c>
      <c r="R26" s="54"/>
      <c r="S26" s="54">
        <v>425134.98000000004</v>
      </c>
      <c r="T26" s="15">
        <v>3401079.8400000003</v>
      </c>
      <c r="U26" s="15">
        <v>425134.98000000004</v>
      </c>
    </row>
    <row r="27" spans="1:21" s="15" customFormat="1" x14ac:dyDescent="0.3">
      <c r="A27" s="17"/>
      <c r="B27"/>
      <c r="C27"/>
      <c r="D27"/>
      <c r="E27"/>
      <c r="F27" s="50">
        <v>37742</v>
      </c>
      <c r="G27" s="53">
        <v>79.7</v>
      </c>
      <c r="H27" s="53">
        <v>159.4</v>
      </c>
      <c r="I27" s="53">
        <v>79.7</v>
      </c>
      <c r="J27"/>
      <c r="K27"/>
      <c r="L27"/>
      <c r="M27"/>
      <c r="N27" s="38"/>
      <c r="O27" s="54">
        <v>471911.67000000004</v>
      </c>
      <c r="P27" s="54">
        <v>3775293.3600000003</v>
      </c>
      <c r="Q27" s="54">
        <v>471911.67000000004</v>
      </c>
      <c r="R27" s="54"/>
      <c r="S27" s="54">
        <v>471911.67000000004</v>
      </c>
      <c r="T27" s="15">
        <v>3775293.3600000003</v>
      </c>
      <c r="U27" s="15">
        <v>471911.67000000004</v>
      </c>
    </row>
    <row r="28" spans="1:21" s="15" customFormat="1" x14ac:dyDescent="0.3">
      <c r="A28" s="17"/>
      <c r="B28"/>
      <c r="C28"/>
      <c r="D28"/>
      <c r="E28"/>
      <c r="F28" s="50">
        <v>37773</v>
      </c>
      <c r="G28" s="53">
        <v>76.3</v>
      </c>
      <c r="H28" s="53">
        <v>152.6</v>
      </c>
      <c r="I28" s="53">
        <v>76.3</v>
      </c>
      <c r="J28"/>
      <c r="K28"/>
      <c r="L28"/>
      <c r="M28"/>
      <c r="N28" s="38"/>
      <c r="O28" s="54">
        <v>465204.91499999998</v>
      </c>
      <c r="P28" s="54">
        <v>3721639.32</v>
      </c>
      <c r="Q28" s="54">
        <v>465204.91499999998</v>
      </c>
      <c r="R28" s="54"/>
      <c r="S28" s="54">
        <v>465204.91499999998</v>
      </c>
      <c r="T28" s="15">
        <v>3721639.32</v>
      </c>
      <c r="U28" s="15">
        <v>465204.91499999998</v>
      </c>
    </row>
    <row r="29" spans="1:21" s="15" customFormat="1" x14ac:dyDescent="0.3">
      <c r="A29" s="17"/>
      <c r="B29"/>
      <c r="C29"/>
      <c r="D29"/>
      <c r="E29"/>
      <c r="F29" s="50">
        <v>37803</v>
      </c>
      <c r="G29" s="53">
        <v>81.3</v>
      </c>
      <c r="H29" s="53">
        <v>162.6</v>
      </c>
      <c r="I29" s="53">
        <v>81.3</v>
      </c>
      <c r="J29"/>
      <c r="K29"/>
      <c r="L29"/>
      <c r="M29"/>
      <c r="N29" s="38"/>
      <c r="O29" s="54">
        <v>494394.24299999996</v>
      </c>
      <c r="P29" s="54">
        <v>3955153.9439999997</v>
      </c>
      <c r="Q29" s="54">
        <v>494394.24299999996</v>
      </c>
      <c r="R29" s="54"/>
      <c r="S29" s="54">
        <v>494394.24299999996</v>
      </c>
      <c r="T29" s="15">
        <v>3955153.9439999997</v>
      </c>
      <c r="U29" s="15">
        <v>494394.24299999996</v>
      </c>
    </row>
    <row r="30" spans="1:21" s="15" customFormat="1" x14ac:dyDescent="0.3">
      <c r="A30" s="17"/>
      <c r="B30"/>
      <c r="C30"/>
      <c r="D30"/>
      <c r="E30"/>
      <c r="F30" s="50">
        <v>37834</v>
      </c>
      <c r="G30" s="53">
        <v>81.599999999999994</v>
      </c>
      <c r="H30" s="53">
        <v>163.19999999999999</v>
      </c>
      <c r="I30" s="53">
        <v>81.599999999999994</v>
      </c>
      <c r="J30"/>
      <c r="K30"/>
      <c r="L30"/>
      <c r="M30"/>
      <c r="N30" s="38"/>
      <c r="O30" s="54">
        <v>506180.30399999995</v>
      </c>
      <c r="P30" s="54">
        <v>4049442.4319999996</v>
      </c>
      <c r="Q30" s="54">
        <v>506180.30399999995</v>
      </c>
      <c r="R30" s="54"/>
      <c r="S30" s="54">
        <v>506180.30399999995</v>
      </c>
      <c r="T30" s="15">
        <v>4049442.4319999996</v>
      </c>
      <c r="U30" s="15">
        <v>506180.30399999995</v>
      </c>
    </row>
    <row r="31" spans="1:21" s="15" customFormat="1" x14ac:dyDescent="0.3">
      <c r="A31" s="17"/>
      <c r="B31"/>
      <c r="C31"/>
      <c r="D31"/>
      <c r="E31"/>
      <c r="F31" s="50">
        <v>37865</v>
      </c>
      <c r="G31" s="53">
        <v>85.7</v>
      </c>
      <c r="H31" s="53">
        <v>171.4</v>
      </c>
      <c r="I31" s="53">
        <v>85.7</v>
      </c>
      <c r="J31"/>
      <c r="K31"/>
      <c r="L31"/>
      <c r="M31"/>
      <c r="N31" s="38"/>
      <c r="O31" s="54">
        <v>568540.65599999996</v>
      </c>
      <c r="P31" s="54">
        <v>4548325.2479999997</v>
      </c>
      <c r="Q31" s="54">
        <v>568540.65599999996</v>
      </c>
      <c r="R31" s="54"/>
      <c r="S31" s="54">
        <v>568540.65599999996</v>
      </c>
      <c r="T31" s="15">
        <v>4548325.2479999997</v>
      </c>
      <c r="U31" s="15">
        <v>568540.65599999996</v>
      </c>
    </row>
    <row r="32" spans="1:21" s="15" customFormat="1" x14ac:dyDescent="0.3">
      <c r="A32" s="17"/>
      <c r="B32"/>
      <c r="C32"/>
      <c r="D32"/>
      <c r="E32"/>
      <c r="F32" s="50">
        <v>37895</v>
      </c>
      <c r="G32" s="53">
        <v>90</v>
      </c>
      <c r="H32" s="53">
        <v>180</v>
      </c>
      <c r="I32" s="53">
        <v>90</v>
      </c>
      <c r="J32"/>
      <c r="K32"/>
      <c r="L32"/>
      <c r="M32"/>
      <c r="N32" s="38"/>
      <c r="O32" s="54">
        <v>629380.80000000005</v>
      </c>
      <c r="P32" s="54">
        <v>5035046.4000000004</v>
      </c>
      <c r="Q32" s="54">
        <v>629380.80000000005</v>
      </c>
      <c r="R32" s="54"/>
      <c r="S32" s="54">
        <v>629380.80000000005</v>
      </c>
      <c r="T32" s="15">
        <v>5035046.4000000004</v>
      </c>
      <c r="U32" s="15">
        <v>629380.80000000005</v>
      </c>
    </row>
    <row r="33" spans="1:21" s="15" customFormat="1" x14ac:dyDescent="0.3">
      <c r="A33" s="17"/>
      <c r="B33"/>
      <c r="C33"/>
      <c r="D33"/>
      <c r="E33"/>
      <c r="F33" s="50">
        <v>37926</v>
      </c>
      <c r="G33" s="53">
        <v>84.6</v>
      </c>
      <c r="H33" s="53">
        <v>169.2</v>
      </c>
      <c r="I33" s="53">
        <v>84.6</v>
      </c>
      <c r="J33"/>
      <c r="K33"/>
      <c r="L33"/>
      <c r="M33"/>
      <c r="N33" s="38"/>
      <c r="O33" s="54">
        <v>652519.79999999993</v>
      </c>
      <c r="P33" s="54">
        <v>5220158.3999999994</v>
      </c>
      <c r="Q33" s="54">
        <v>652519.79999999993</v>
      </c>
      <c r="R33" s="54"/>
      <c r="S33" s="54">
        <v>652519.79999999993</v>
      </c>
      <c r="T33" s="15">
        <v>5220158.3999999994</v>
      </c>
      <c r="U33" s="15">
        <v>652519.79999999993</v>
      </c>
    </row>
    <row r="34" spans="1:21" s="15" customFormat="1" x14ac:dyDescent="0.3">
      <c r="A34" s="17"/>
      <c r="B34"/>
      <c r="C34"/>
      <c r="D34"/>
      <c r="E34"/>
      <c r="F34" s="50">
        <v>37956</v>
      </c>
      <c r="G34" s="53">
        <v>77.900000000000006</v>
      </c>
      <c r="H34" s="53">
        <v>155.80000000000001</v>
      </c>
      <c r="I34" s="53">
        <v>77.900000000000006</v>
      </c>
      <c r="J34"/>
      <c r="K34"/>
      <c r="L34"/>
      <c r="M34"/>
      <c r="N34" s="38"/>
      <c r="O34" s="54">
        <v>593130.6</v>
      </c>
      <c r="P34" s="54">
        <v>4745044.8</v>
      </c>
      <c r="Q34" s="54">
        <v>593130.6</v>
      </c>
      <c r="R34" s="54"/>
      <c r="S34" s="54">
        <v>593130.6</v>
      </c>
      <c r="T34" s="15">
        <v>4745044.8</v>
      </c>
      <c r="U34" s="15">
        <v>593130.6</v>
      </c>
    </row>
    <row r="35" spans="1:21" s="15" customFormat="1" x14ac:dyDescent="0.3">
      <c r="A35" s="17"/>
      <c r="B35"/>
      <c r="C35"/>
      <c r="D35"/>
      <c r="E35"/>
      <c r="F35" s="50">
        <v>37987</v>
      </c>
      <c r="G35" s="53">
        <v>76.8</v>
      </c>
      <c r="H35" s="53">
        <v>153.6</v>
      </c>
      <c r="I35" s="53">
        <v>76.8</v>
      </c>
      <c r="J35"/>
      <c r="K35"/>
      <c r="L35"/>
      <c r="M35"/>
      <c r="N35" s="38"/>
      <c r="O35" s="54">
        <v>506138.11199999996</v>
      </c>
      <c r="P35" s="54">
        <v>4049104.8959999997</v>
      </c>
      <c r="Q35" s="54">
        <v>506138.11199999996</v>
      </c>
      <c r="R35" s="54"/>
      <c r="S35" s="54">
        <v>506138.11199999996</v>
      </c>
      <c r="T35" s="15">
        <v>4049104.8959999997</v>
      </c>
      <c r="U35" s="15">
        <v>506138.11199999996</v>
      </c>
    </row>
    <row r="36" spans="1:21" s="15" customFormat="1" x14ac:dyDescent="0.3">
      <c r="A36" s="17"/>
      <c r="B36"/>
      <c r="C36"/>
      <c r="D36"/>
      <c r="E36"/>
      <c r="F36" s="50">
        <v>38018</v>
      </c>
      <c r="G36" s="53">
        <v>74</v>
      </c>
      <c r="H36" s="53">
        <v>148</v>
      </c>
      <c r="I36" s="53">
        <v>74</v>
      </c>
      <c r="J36"/>
      <c r="K36"/>
      <c r="L36"/>
      <c r="M36"/>
      <c r="N36" s="38"/>
      <c r="O36" s="54">
        <v>442721.28000000003</v>
      </c>
      <c r="P36" s="54">
        <v>3541770.2400000002</v>
      </c>
      <c r="Q36" s="54">
        <v>442721.28000000003</v>
      </c>
      <c r="R36" s="54"/>
      <c r="S36" s="54">
        <v>442721.28000000003</v>
      </c>
      <c r="T36" s="15">
        <v>3541770.2400000002</v>
      </c>
      <c r="U36" s="15">
        <v>442721.28000000003</v>
      </c>
    </row>
    <row r="37" spans="1:21" s="15" customFormat="1" x14ac:dyDescent="0.3">
      <c r="A37" s="17"/>
      <c r="B37"/>
      <c r="C37"/>
      <c r="D37"/>
      <c r="E37"/>
      <c r="F37" s="50">
        <v>38047</v>
      </c>
      <c r="G37" s="53">
        <v>86.9</v>
      </c>
      <c r="H37" s="53">
        <v>173.8</v>
      </c>
      <c r="I37" s="53">
        <v>86.9</v>
      </c>
      <c r="J37"/>
      <c r="K37"/>
      <c r="L37"/>
      <c r="M37"/>
      <c r="N37" s="38"/>
      <c r="O37" s="54">
        <v>493870.08000000002</v>
      </c>
      <c r="P37" s="54">
        <v>3950960.6400000001</v>
      </c>
      <c r="Q37" s="54">
        <v>493870.08000000002</v>
      </c>
      <c r="R37" s="54"/>
      <c r="S37" s="54">
        <v>493870.08000000002</v>
      </c>
      <c r="T37" s="15">
        <v>3950960.6400000001</v>
      </c>
      <c r="U37" s="15">
        <v>493870.08000000002</v>
      </c>
    </row>
    <row r="38" spans="1:21" s="15" customFormat="1" x14ac:dyDescent="0.3">
      <c r="A38" s="17"/>
      <c r="B38"/>
      <c r="C38"/>
      <c r="D38"/>
      <c r="E38"/>
      <c r="F38" s="50">
        <v>38078</v>
      </c>
      <c r="G38" s="53">
        <v>82.2</v>
      </c>
      <c r="H38" s="53">
        <v>164.4</v>
      </c>
      <c r="I38" s="53">
        <v>82.2</v>
      </c>
      <c r="J38"/>
      <c r="K38"/>
      <c r="L38"/>
      <c r="M38"/>
      <c r="N38" s="38"/>
      <c r="O38" s="54">
        <v>528595.32000000007</v>
      </c>
      <c r="P38" s="54">
        <v>4228762.5600000005</v>
      </c>
      <c r="Q38" s="54">
        <v>528595.32000000007</v>
      </c>
      <c r="R38" s="54"/>
      <c r="S38" s="54">
        <v>528595.32000000007</v>
      </c>
      <c r="T38" s="15">
        <v>4228762.5600000005</v>
      </c>
      <c r="U38" s="15">
        <v>528595.32000000007</v>
      </c>
    </row>
    <row r="39" spans="1:21" s="15" customFormat="1" x14ac:dyDescent="0.3">
      <c r="A39" s="17"/>
      <c r="B39"/>
      <c r="C39"/>
      <c r="D39"/>
      <c r="E39"/>
      <c r="F39" s="50">
        <v>38108</v>
      </c>
      <c r="G39" s="53">
        <v>86.3</v>
      </c>
      <c r="H39" s="53">
        <v>172.6</v>
      </c>
      <c r="I39" s="53">
        <v>86.3</v>
      </c>
      <c r="J39"/>
      <c r="K39"/>
      <c r="L39"/>
      <c r="M39"/>
      <c r="N39" s="38"/>
      <c r="O39" s="54">
        <v>616456.43400000001</v>
      </c>
      <c r="P39" s="54">
        <v>4931651.4720000001</v>
      </c>
      <c r="Q39" s="54">
        <v>616456.43400000001</v>
      </c>
      <c r="R39" s="54"/>
      <c r="S39" s="54">
        <v>616456.43400000001</v>
      </c>
      <c r="T39" s="15">
        <v>4931651.4720000001</v>
      </c>
      <c r="U39" s="15">
        <v>616456.43400000001</v>
      </c>
    </row>
    <row r="40" spans="1:21" s="15" customFormat="1" x14ac:dyDescent="0.3">
      <c r="A40" s="17"/>
      <c r="B40"/>
      <c r="C40"/>
      <c r="D40"/>
      <c r="E40"/>
      <c r="F40" s="50">
        <v>38139</v>
      </c>
      <c r="G40" s="53">
        <v>86.1</v>
      </c>
      <c r="H40" s="53">
        <v>172.2</v>
      </c>
      <c r="I40" s="53">
        <v>86.1</v>
      </c>
      <c r="J40"/>
      <c r="K40"/>
      <c r="L40"/>
      <c r="M40"/>
      <c r="N40" s="38"/>
      <c r="O40" s="54">
        <v>610781.3459999999</v>
      </c>
      <c r="P40" s="54">
        <v>4886250.7679999992</v>
      </c>
      <c r="Q40" s="54">
        <v>610781.3459999999</v>
      </c>
      <c r="R40" s="54"/>
      <c r="S40" s="54">
        <v>610781.3459999999</v>
      </c>
      <c r="T40" s="15">
        <v>4886250.7679999992</v>
      </c>
      <c r="U40" s="15">
        <v>610781.3459999999</v>
      </c>
    </row>
    <row r="41" spans="1:21" s="15" customFormat="1" x14ac:dyDescent="0.3">
      <c r="A41" s="17"/>
      <c r="B41"/>
      <c r="C41"/>
      <c r="D41"/>
      <c r="E41"/>
      <c r="F41" s="50">
        <v>38169</v>
      </c>
      <c r="G41" s="53">
        <v>90.1</v>
      </c>
      <c r="H41" s="53">
        <v>180.2</v>
      </c>
      <c r="I41" s="53">
        <v>90.1</v>
      </c>
      <c r="J41"/>
      <c r="K41"/>
      <c r="L41"/>
      <c r="M41"/>
      <c r="N41" s="38"/>
      <c r="O41" s="54">
        <v>669481.7429999999</v>
      </c>
      <c r="P41" s="54">
        <v>5355853.9439999992</v>
      </c>
      <c r="Q41" s="54">
        <v>669481.7429999999</v>
      </c>
      <c r="R41" s="54"/>
      <c r="S41" s="54">
        <v>669481.7429999999</v>
      </c>
      <c r="T41" s="15">
        <v>5355853.9439999992</v>
      </c>
      <c r="U41" s="15">
        <v>669481.7429999999</v>
      </c>
    </row>
    <row r="42" spans="1:21" s="15" customFormat="1" x14ac:dyDescent="0.3">
      <c r="A42" s="17"/>
      <c r="B42"/>
      <c r="C42"/>
      <c r="D42"/>
      <c r="E42"/>
      <c r="F42" s="50">
        <v>38200</v>
      </c>
      <c r="G42" s="53">
        <v>92.1</v>
      </c>
      <c r="H42" s="53">
        <v>184.2</v>
      </c>
      <c r="I42" s="53">
        <v>92.1</v>
      </c>
      <c r="J42"/>
      <c r="K42"/>
      <c r="L42"/>
      <c r="M42"/>
      <c r="N42" s="38"/>
      <c r="O42" s="54">
        <v>714475.88099999982</v>
      </c>
      <c r="P42" s="54">
        <v>5715807.0479999986</v>
      </c>
      <c r="Q42" s="54">
        <v>714475.88099999982</v>
      </c>
      <c r="R42" s="54"/>
      <c r="S42" s="54">
        <v>714475.88099999982</v>
      </c>
      <c r="T42" s="15">
        <v>5715807.0479999986</v>
      </c>
      <c r="U42" s="15">
        <v>714475.88099999982</v>
      </c>
    </row>
    <row r="43" spans="1:21" s="15" customFormat="1" x14ac:dyDescent="0.3">
      <c r="A43" s="17"/>
      <c r="B43"/>
      <c r="C43"/>
      <c r="D43"/>
      <c r="E43"/>
      <c r="F43" s="50">
        <v>38231</v>
      </c>
      <c r="G43" s="53">
        <v>92.1</v>
      </c>
      <c r="H43" s="53">
        <v>184.2</v>
      </c>
      <c r="I43" s="53">
        <v>92.1</v>
      </c>
      <c r="J43"/>
      <c r="K43"/>
      <c r="L43"/>
      <c r="M43"/>
      <c r="N43" s="38"/>
      <c r="O43" s="54">
        <v>764265.14099999983</v>
      </c>
      <c r="P43" s="54">
        <v>6114121.1279999986</v>
      </c>
      <c r="Q43" s="54">
        <v>764265.14099999983</v>
      </c>
      <c r="R43" s="54"/>
      <c r="S43" s="54">
        <v>764265.14099999983</v>
      </c>
      <c r="T43" s="15">
        <v>6114121.1279999986</v>
      </c>
      <c r="U43" s="15">
        <v>764265.14099999983</v>
      </c>
    </row>
    <row r="44" spans="1:21" s="15" customFormat="1" x14ac:dyDescent="0.3">
      <c r="A44" s="17"/>
      <c r="B44"/>
      <c r="C44"/>
      <c r="D44"/>
      <c r="E44"/>
      <c r="F44" s="50">
        <v>38261</v>
      </c>
      <c r="G44" s="53">
        <v>93.5</v>
      </c>
      <c r="H44" s="53">
        <v>187</v>
      </c>
      <c r="I44" s="53">
        <v>93.5</v>
      </c>
      <c r="J44"/>
      <c r="K44"/>
      <c r="L44"/>
      <c r="M44"/>
      <c r="N44" s="38"/>
      <c r="O44" s="54">
        <v>793105.33499999996</v>
      </c>
      <c r="P44" s="54">
        <v>6344842.6799999997</v>
      </c>
      <c r="Q44" s="54">
        <v>793105.33499999996</v>
      </c>
      <c r="R44" s="54"/>
      <c r="S44" s="54">
        <v>793105.33499999996</v>
      </c>
      <c r="T44" s="15">
        <v>6344842.6799999997</v>
      </c>
      <c r="U44" s="15">
        <v>793105.33499999996</v>
      </c>
    </row>
    <row r="45" spans="1:21" s="15" customFormat="1" x14ac:dyDescent="0.3">
      <c r="A45" s="17"/>
      <c r="B45"/>
      <c r="C45"/>
      <c r="D45"/>
      <c r="E45"/>
      <c r="F45" s="50">
        <v>38292</v>
      </c>
      <c r="G45" s="53">
        <v>91.8</v>
      </c>
      <c r="H45" s="53">
        <v>183.6</v>
      </c>
      <c r="I45" s="53">
        <v>91.8</v>
      </c>
      <c r="J45"/>
      <c r="K45"/>
      <c r="L45"/>
      <c r="M45"/>
      <c r="N45" s="38"/>
      <c r="O45" s="54">
        <v>790521.93</v>
      </c>
      <c r="P45" s="54">
        <v>6324175.4400000004</v>
      </c>
      <c r="Q45" s="54">
        <v>790521.93</v>
      </c>
      <c r="R45" s="54"/>
      <c r="S45" s="54">
        <v>790521.93</v>
      </c>
      <c r="T45" s="15">
        <v>6324175.4400000004</v>
      </c>
      <c r="U45" s="15">
        <v>790521.93</v>
      </c>
    </row>
    <row r="46" spans="1:21" s="15" customFormat="1" x14ac:dyDescent="0.3">
      <c r="A46" s="17"/>
      <c r="B46"/>
      <c r="C46"/>
      <c r="D46"/>
      <c r="E46"/>
      <c r="F46" s="50">
        <v>38322</v>
      </c>
      <c r="G46" s="53">
        <v>84.7</v>
      </c>
      <c r="H46" s="53">
        <v>169.4</v>
      </c>
      <c r="I46" s="53">
        <v>84.7</v>
      </c>
      <c r="J46"/>
      <c r="K46"/>
      <c r="L46"/>
      <c r="M46"/>
      <c r="N46" s="38"/>
      <c r="O46" s="54">
        <v>727005.51</v>
      </c>
      <c r="P46" s="54">
        <v>5816044.0800000001</v>
      </c>
      <c r="Q46" s="54">
        <v>727005.51</v>
      </c>
      <c r="R46" s="54"/>
      <c r="S46" s="54">
        <v>727005.51</v>
      </c>
      <c r="T46" s="15">
        <v>5816044.0800000001</v>
      </c>
      <c r="U46" s="15">
        <v>727005.51</v>
      </c>
    </row>
    <row r="47" spans="1:21" s="15" customFormat="1" x14ac:dyDescent="0.3">
      <c r="A47" s="17"/>
      <c r="B47"/>
      <c r="C47"/>
      <c r="D47"/>
      <c r="E47"/>
      <c r="F47" s="50">
        <v>38353</v>
      </c>
      <c r="G47" s="53">
        <v>81</v>
      </c>
      <c r="H47" s="53">
        <v>162</v>
      </c>
      <c r="I47" s="53">
        <v>81</v>
      </c>
      <c r="J47"/>
      <c r="K47"/>
      <c r="L47"/>
      <c r="M47"/>
      <c r="N47" s="38"/>
      <c r="O47" s="54">
        <v>629812.26</v>
      </c>
      <c r="P47" s="54">
        <v>5038498.08</v>
      </c>
      <c r="Q47" s="54">
        <v>629812.26</v>
      </c>
      <c r="R47" s="54"/>
      <c r="S47" s="54">
        <v>629812.26</v>
      </c>
      <c r="T47" s="15">
        <v>5038498.08</v>
      </c>
      <c r="U47" s="15">
        <v>629812.26</v>
      </c>
    </row>
    <row r="48" spans="1:21" s="15" customFormat="1" x14ac:dyDescent="0.3">
      <c r="A48" s="17"/>
      <c r="B48"/>
      <c r="C48"/>
      <c r="D48"/>
      <c r="E48"/>
      <c r="F48" s="50">
        <v>38384</v>
      </c>
      <c r="G48" s="53">
        <v>76.400000000000006</v>
      </c>
      <c r="H48" s="53">
        <v>152.80000000000001</v>
      </c>
      <c r="I48" s="53">
        <v>76.400000000000006</v>
      </c>
      <c r="J48"/>
      <c r="K48"/>
      <c r="L48"/>
      <c r="M48"/>
      <c r="N48" s="38"/>
      <c r="O48" s="54">
        <v>524157.48000000004</v>
      </c>
      <c r="P48" s="54">
        <v>4193259.8400000003</v>
      </c>
      <c r="Q48" s="54">
        <v>524157.48000000004</v>
      </c>
      <c r="R48" s="54"/>
      <c r="S48" s="54">
        <v>524157.48000000004</v>
      </c>
      <c r="T48" s="15">
        <v>4193259.8400000003</v>
      </c>
      <c r="U48" s="15">
        <v>524157.48000000004</v>
      </c>
    </row>
    <row r="49" spans="1:21" s="15" customFormat="1" x14ac:dyDescent="0.3">
      <c r="A49" s="17"/>
      <c r="B49"/>
      <c r="C49"/>
      <c r="D49"/>
      <c r="E49"/>
      <c r="F49" s="50">
        <v>38412</v>
      </c>
      <c r="G49" s="53">
        <v>88</v>
      </c>
      <c r="H49" s="53">
        <v>176</v>
      </c>
      <c r="I49" s="53">
        <v>88</v>
      </c>
      <c r="J49"/>
      <c r="K49"/>
      <c r="L49"/>
      <c r="M49"/>
      <c r="N49" s="38"/>
      <c r="O49" s="54">
        <v>544579.20000000007</v>
      </c>
      <c r="P49" s="54">
        <v>4356633.6000000006</v>
      </c>
      <c r="Q49" s="54">
        <v>544579.20000000007</v>
      </c>
      <c r="R49" s="54"/>
      <c r="S49" s="54">
        <v>544579.20000000007</v>
      </c>
      <c r="T49" s="15">
        <v>4356633.6000000006</v>
      </c>
      <c r="U49" s="15">
        <v>544579.20000000007</v>
      </c>
    </row>
    <row r="50" spans="1:21" s="15" customFormat="1" x14ac:dyDescent="0.3">
      <c r="A50" s="17"/>
      <c r="B50"/>
      <c r="C50"/>
      <c r="D50"/>
      <c r="E50"/>
      <c r="F50" s="50">
        <v>38443</v>
      </c>
      <c r="G50" s="53">
        <v>87</v>
      </c>
      <c r="H50" s="53">
        <v>174</v>
      </c>
      <c r="I50" s="53">
        <v>87</v>
      </c>
      <c r="J50"/>
      <c r="K50"/>
      <c r="L50"/>
      <c r="M50"/>
      <c r="N50" s="38"/>
      <c r="O50" s="54">
        <v>584918.4</v>
      </c>
      <c r="P50" s="54">
        <v>4679347.2</v>
      </c>
      <c r="Q50" s="54">
        <v>584918.4</v>
      </c>
      <c r="R50" s="54"/>
      <c r="S50" s="54">
        <v>584918.4</v>
      </c>
      <c r="T50" s="15">
        <v>4679347.2</v>
      </c>
      <c r="U50" s="15">
        <v>584918.4</v>
      </c>
    </row>
    <row r="51" spans="1:21" s="15" customFormat="1" x14ac:dyDescent="0.3">
      <c r="A51" s="17"/>
      <c r="B51"/>
      <c r="C51"/>
      <c r="D51"/>
      <c r="E51"/>
      <c r="F51" s="50">
        <v>38473</v>
      </c>
      <c r="G51" s="53">
        <v>91.1</v>
      </c>
      <c r="H51" s="53">
        <v>182.2</v>
      </c>
      <c r="I51" s="53">
        <v>91.1</v>
      </c>
      <c r="J51"/>
      <c r="K51"/>
      <c r="L51"/>
      <c r="M51"/>
      <c r="N51" s="38"/>
      <c r="O51" s="54">
        <v>697461.6</v>
      </c>
      <c r="P51" s="54">
        <v>5579692.7999999998</v>
      </c>
      <c r="Q51" s="54">
        <v>697461.6</v>
      </c>
      <c r="R51" s="54"/>
      <c r="S51" s="54">
        <v>697461.6</v>
      </c>
      <c r="T51" s="15">
        <v>5579692.7999999998</v>
      </c>
      <c r="U51" s="15">
        <v>697461.6</v>
      </c>
    </row>
    <row r="52" spans="1:21" s="15" customFormat="1" x14ac:dyDescent="0.3">
      <c r="A52" s="17"/>
      <c r="B52"/>
      <c r="C52"/>
      <c r="D52"/>
      <c r="E52"/>
      <c r="F52" s="50">
        <v>38504</v>
      </c>
      <c r="G52" s="53">
        <v>91.4</v>
      </c>
      <c r="H52" s="53">
        <v>182.8</v>
      </c>
      <c r="I52" s="53">
        <v>91.4</v>
      </c>
      <c r="J52"/>
      <c r="K52"/>
      <c r="L52"/>
      <c r="M52"/>
      <c r="N52" s="38"/>
      <c r="O52" s="54">
        <v>724408.98</v>
      </c>
      <c r="P52" s="54">
        <v>5795271.8399999999</v>
      </c>
      <c r="Q52" s="54">
        <v>724408.98</v>
      </c>
      <c r="R52" s="54"/>
      <c r="S52" s="54">
        <v>724408.98</v>
      </c>
      <c r="T52" s="15">
        <v>5795271.8399999999</v>
      </c>
      <c r="U52" s="15">
        <v>724408.98</v>
      </c>
    </row>
    <row r="53" spans="1:21" s="15" customFormat="1" x14ac:dyDescent="0.3">
      <c r="A53" s="17"/>
      <c r="B53"/>
      <c r="C53"/>
      <c r="D53"/>
      <c r="E53"/>
      <c r="F53" s="50">
        <v>38534</v>
      </c>
      <c r="G53" s="53">
        <v>90.5</v>
      </c>
      <c r="H53" s="53">
        <v>181</v>
      </c>
      <c r="I53" s="53">
        <v>90.5</v>
      </c>
      <c r="J53"/>
      <c r="K53"/>
      <c r="L53"/>
      <c r="M53"/>
      <c r="N53" s="38"/>
      <c r="O53" s="54">
        <v>753551.87000000011</v>
      </c>
      <c r="P53" s="54">
        <v>6028414.9600000009</v>
      </c>
      <c r="Q53" s="54">
        <v>753551.87000000011</v>
      </c>
      <c r="R53" s="54"/>
      <c r="S53" s="54">
        <v>753551.87000000011</v>
      </c>
      <c r="T53" s="15">
        <v>6028414.9600000009</v>
      </c>
      <c r="U53" s="15">
        <v>753551.87000000011</v>
      </c>
    </row>
    <row r="54" spans="1:21" s="15" customFormat="1" x14ac:dyDescent="0.3">
      <c r="A54" s="17"/>
      <c r="B54"/>
      <c r="C54"/>
      <c r="D54"/>
      <c r="E54"/>
      <c r="F54" s="50">
        <v>38565</v>
      </c>
      <c r="G54" s="53">
        <v>95.6</v>
      </c>
      <c r="H54" s="53">
        <v>191.2</v>
      </c>
      <c r="I54" s="53">
        <v>95.6</v>
      </c>
      <c r="J54"/>
      <c r="K54"/>
      <c r="L54"/>
      <c r="M54"/>
      <c r="N54" s="38"/>
      <c r="O54" s="54">
        <v>790774.52</v>
      </c>
      <c r="P54" s="54">
        <v>6326196.1600000001</v>
      </c>
      <c r="Q54" s="54">
        <v>790774.52</v>
      </c>
      <c r="R54" s="54"/>
      <c r="S54" s="54">
        <v>790774.52</v>
      </c>
      <c r="T54" s="15">
        <v>6326196.1600000001</v>
      </c>
      <c r="U54" s="15">
        <v>790774.52</v>
      </c>
    </row>
    <row r="55" spans="1:21" s="15" customFormat="1" x14ac:dyDescent="0.3">
      <c r="A55" s="17"/>
      <c r="B55"/>
      <c r="C55"/>
      <c r="D55"/>
      <c r="E55"/>
      <c r="F55" s="50">
        <v>38596</v>
      </c>
      <c r="G55" s="53">
        <v>92</v>
      </c>
      <c r="H55" s="53">
        <v>184</v>
      </c>
      <c r="I55" s="53">
        <v>92</v>
      </c>
      <c r="J55"/>
      <c r="K55"/>
      <c r="L55"/>
      <c r="M55"/>
      <c r="N55" s="38"/>
      <c r="O55" s="54">
        <v>795965.6</v>
      </c>
      <c r="P55" s="54">
        <v>6367724.7999999998</v>
      </c>
      <c r="Q55" s="54">
        <v>795965.6</v>
      </c>
      <c r="R55" s="54"/>
      <c r="S55" s="54">
        <v>795965.6</v>
      </c>
      <c r="T55" s="15">
        <v>6367724.7999999998</v>
      </c>
      <c r="U55" s="15">
        <v>795965.6</v>
      </c>
    </row>
    <row r="56" spans="1:21" s="15" customFormat="1" x14ac:dyDescent="0.3">
      <c r="A56" s="17"/>
      <c r="B56"/>
      <c r="C56"/>
      <c r="D56"/>
      <c r="E56"/>
      <c r="F56" s="50">
        <v>38626</v>
      </c>
      <c r="G56" s="53">
        <v>93.7</v>
      </c>
      <c r="H56" s="53">
        <v>187.4</v>
      </c>
      <c r="I56" s="53">
        <v>93.7</v>
      </c>
      <c r="J56"/>
      <c r="K56"/>
      <c r="L56"/>
      <c r="M56"/>
      <c r="N56" s="38"/>
      <c r="O56" s="54">
        <v>824110.23999999987</v>
      </c>
      <c r="P56" s="54">
        <v>6592881.919999999</v>
      </c>
      <c r="Q56" s="54">
        <v>824110.23999999987</v>
      </c>
      <c r="R56" s="54"/>
      <c r="S56" s="54">
        <v>824110.23999999987</v>
      </c>
      <c r="T56" s="15">
        <v>6592881.919999999</v>
      </c>
      <c r="U56" s="15">
        <v>824110.23999999987</v>
      </c>
    </row>
    <row r="57" spans="1:21" s="15" customFormat="1" x14ac:dyDescent="0.3">
      <c r="A57" s="17"/>
      <c r="B57"/>
      <c r="C57"/>
      <c r="D57"/>
      <c r="E57"/>
      <c r="F57" s="50">
        <v>38657</v>
      </c>
      <c r="G57" s="53">
        <v>92.4</v>
      </c>
      <c r="H57" s="53">
        <v>184.8</v>
      </c>
      <c r="I57" s="53">
        <v>92.4</v>
      </c>
      <c r="J57"/>
      <c r="K57"/>
      <c r="L57"/>
      <c r="M57"/>
      <c r="N57" s="38"/>
      <c r="O57" s="54">
        <v>796524.96</v>
      </c>
      <c r="P57" s="54">
        <v>6372199.6799999997</v>
      </c>
      <c r="Q57" s="54">
        <v>796524.96</v>
      </c>
      <c r="R57" s="54"/>
      <c r="S57" s="54">
        <v>796524.96</v>
      </c>
      <c r="T57" s="15">
        <v>6372199.6799999997</v>
      </c>
      <c r="U57" s="15">
        <v>796524.96</v>
      </c>
    </row>
    <row r="58" spans="1:21" s="15" customFormat="1" x14ac:dyDescent="0.3">
      <c r="A58" s="17"/>
      <c r="B58"/>
      <c r="C58"/>
      <c r="D58"/>
      <c r="E58"/>
      <c r="F58" s="50">
        <v>38687</v>
      </c>
      <c r="G58" s="53">
        <v>86.6</v>
      </c>
      <c r="H58" s="53">
        <v>173.2</v>
      </c>
      <c r="I58" s="53">
        <v>86.6</v>
      </c>
      <c r="J58"/>
      <c r="K58"/>
      <c r="L58"/>
      <c r="M58"/>
      <c r="N58" s="38"/>
      <c r="O58" s="54">
        <v>749772.40800000005</v>
      </c>
      <c r="P58" s="54">
        <v>5998179.2640000004</v>
      </c>
      <c r="Q58" s="54">
        <v>749772.40800000005</v>
      </c>
      <c r="R58" s="54"/>
      <c r="S58" s="54">
        <v>749772.40800000005</v>
      </c>
      <c r="T58" s="15">
        <v>5998179.2640000004</v>
      </c>
      <c r="U58" s="15">
        <v>749772.40800000005</v>
      </c>
    </row>
    <row r="59" spans="1:21" s="15" customFormat="1" x14ac:dyDescent="0.3">
      <c r="A59" s="17"/>
      <c r="B59"/>
      <c r="C59"/>
      <c r="D59"/>
      <c r="E59"/>
      <c r="F59" s="50">
        <v>38718</v>
      </c>
      <c r="G59" s="53">
        <v>83.7</v>
      </c>
      <c r="H59" s="53">
        <v>167.4</v>
      </c>
      <c r="I59" s="53">
        <v>83.7</v>
      </c>
      <c r="J59"/>
      <c r="K59"/>
      <c r="L59"/>
      <c r="M59"/>
      <c r="N59" s="38"/>
      <c r="O59" s="54">
        <v>669754.00800000003</v>
      </c>
      <c r="P59" s="54">
        <v>5358032.0640000002</v>
      </c>
      <c r="Q59" s="54">
        <v>669754.00800000003</v>
      </c>
      <c r="R59" s="54"/>
      <c r="S59" s="54">
        <v>669754.00800000003</v>
      </c>
      <c r="T59" s="15">
        <v>5358032.0640000002</v>
      </c>
      <c r="U59" s="15">
        <v>669754.00800000003</v>
      </c>
    </row>
    <row r="60" spans="1:21" s="15" customFormat="1" x14ac:dyDescent="0.3">
      <c r="A60" s="17"/>
      <c r="B60"/>
      <c r="C60"/>
      <c r="D60"/>
      <c r="E60"/>
      <c r="F60" s="50">
        <v>38749</v>
      </c>
      <c r="G60" s="53">
        <v>80.2</v>
      </c>
      <c r="H60" s="53">
        <v>160.4</v>
      </c>
      <c r="I60" s="53">
        <v>80.2</v>
      </c>
      <c r="J60"/>
      <c r="K60"/>
      <c r="L60"/>
      <c r="M60"/>
      <c r="N60" s="38"/>
      <c r="O60" s="54">
        <v>581323.28399999999</v>
      </c>
      <c r="P60" s="54">
        <v>4650586.2719999999</v>
      </c>
      <c r="Q60" s="54">
        <v>581323.28399999999</v>
      </c>
      <c r="R60" s="54"/>
      <c r="S60" s="54">
        <v>581323.28399999999</v>
      </c>
      <c r="T60" s="15">
        <v>4650586.2719999999</v>
      </c>
      <c r="U60" s="15">
        <v>581323.28399999999</v>
      </c>
    </row>
    <row r="61" spans="1:21" s="15" customFormat="1" x14ac:dyDescent="0.3">
      <c r="A61" s="17"/>
      <c r="B61"/>
      <c r="C61"/>
      <c r="D61"/>
      <c r="E61"/>
      <c r="F61" s="50">
        <v>38777</v>
      </c>
      <c r="G61" s="53">
        <v>92.4</v>
      </c>
      <c r="H61" s="53">
        <v>184.8</v>
      </c>
      <c r="I61" s="53">
        <v>92.4</v>
      </c>
      <c r="J61"/>
      <c r="K61"/>
      <c r="L61"/>
      <c r="M61"/>
      <c r="N61" s="38"/>
      <c r="O61" s="54">
        <v>620257.17600000009</v>
      </c>
      <c r="P61" s="54">
        <v>4962057.4080000008</v>
      </c>
      <c r="Q61" s="54">
        <v>620257.17600000009</v>
      </c>
      <c r="R61" s="54"/>
      <c r="S61" s="54">
        <v>620257.17600000009</v>
      </c>
      <c r="T61" s="15">
        <v>4962057.4080000008</v>
      </c>
      <c r="U61" s="15">
        <v>620257.17600000009</v>
      </c>
    </row>
    <row r="62" spans="1:21" s="15" customFormat="1" x14ac:dyDescent="0.3">
      <c r="A62" s="17"/>
      <c r="B62"/>
      <c r="C62"/>
      <c r="D62"/>
      <c r="E62"/>
      <c r="F62" s="50">
        <v>38808</v>
      </c>
      <c r="G62" s="53">
        <v>85.7</v>
      </c>
      <c r="H62" s="53">
        <v>171.4</v>
      </c>
      <c r="I62" s="53">
        <v>85.7</v>
      </c>
      <c r="J62"/>
      <c r="K62"/>
      <c r="L62"/>
      <c r="M62"/>
      <c r="N62" s="38"/>
      <c r="O62" s="54">
        <v>635078.13600000006</v>
      </c>
      <c r="P62" s="54">
        <v>5080625.0880000005</v>
      </c>
      <c r="Q62" s="54">
        <v>635078.13600000006</v>
      </c>
      <c r="R62" s="54"/>
      <c r="S62" s="54">
        <v>635078.13600000006</v>
      </c>
      <c r="T62" s="15">
        <v>5080625.0880000005</v>
      </c>
      <c r="U62" s="15">
        <v>635078.13600000006</v>
      </c>
    </row>
    <row r="63" spans="1:21" s="15" customFormat="1" x14ac:dyDescent="0.3">
      <c r="A63" s="17"/>
      <c r="B63"/>
      <c r="C63"/>
      <c r="D63"/>
      <c r="E63"/>
      <c r="F63" s="50">
        <v>38838</v>
      </c>
      <c r="G63" s="53">
        <v>95.4</v>
      </c>
      <c r="H63" s="53">
        <v>190.8</v>
      </c>
      <c r="I63" s="53">
        <v>95.4</v>
      </c>
      <c r="J63"/>
      <c r="K63"/>
      <c r="L63"/>
      <c r="M63"/>
      <c r="N63" s="38"/>
      <c r="O63" s="54">
        <v>755442.07200000016</v>
      </c>
      <c r="P63" s="54">
        <v>6043536.5760000013</v>
      </c>
      <c r="Q63" s="54">
        <v>755442.07200000016</v>
      </c>
      <c r="R63" s="54"/>
      <c r="S63" s="54">
        <v>755442.07200000016</v>
      </c>
      <c r="T63" s="15">
        <v>6043536.5760000013</v>
      </c>
      <c r="U63" s="15">
        <v>755442.07200000016</v>
      </c>
    </row>
    <row r="64" spans="1:21" s="15" customFormat="1" x14ac:dyDescent="0.3">
      <c r="A64" s="17"/>
      <c r="B64"/>
      <c r="C64"/>
      <c r="D64"/>
      <c r="E64"/>
      <c r="F64" s="50">
        <v>38869</v>
      </c>
      <c r="G64" s="53">
        <v>91.1</v>
      </c>
      <c r="H64" s="53">
        <v>182.2</v>
      </c>
      <c r="I64" s="53">
        <v>91.1</v>
      </c>
      <c r="J64"/>
      <c r="K64"/>
      <c r="L64"/>
      <c r="M64"/>
      <c r="N64" s="38"/>
      <c r="O64" s="54">
        <v>744813.55799999996</v>
      </c>
      <c r="P64" s="54">
        <v>5958508.4639999997</v>
      </c>
      <c r="Q64" s="54">
        <v>744813.55799999996</v>
      </c>
      <c r="R64" s="54"/>
      <c r="S64" s="54">
        <v>744813.55799999996</v>
      </c>
      <c r="T64" s="15">
        <v>5958508.4639999997</v>
      </c>
      <c r="U64" s="15">
        <v>744813.55799999996</v>
      </c>
    </row>
    <row r="65" spans="1:21" s="15" customFormat="1" x14ac:dyDescent="0.3">
      <c r="A65" s="17"/>
      <c r="B65"/>
      <c r="C65"/>
      <c r="D65"/>
      <c r="E65"/>
      <c r="F65" s="50">
        <v>38899</v>
      </c>
      <c r="G65" s="53">
        <v>93.8</v>
      </c>
      <c r="H65" s="53">
        <v>187.6</v>
      </c>
      <c r="I65" s="53">
        <v>93.8</v>
      </c>
      <c r="J65"/>
      <c r="K65"/>
      <c r="L65"/>
      <c r="M65"/>
      <c r="N65" s="38"/>
      <c r="O65" s="54">
        <v>815210.17200000002</v>
      </c>
      <c r="P65" s="54">
        <v>6521681.3760000002</v>
      </c>
      <c r="Q65" s="54">
        <v>815210.17200000002</v>
      </c>
      <c r="R65" s="54"/>
      <c r="S65" s="54">
        <v>815210.17200000002</v>
      </c>
      <c r="T65" s="15">
        <v>6521681.3760000002</v>
      </c>
      <c r="U65" s="15">
        <v>815210.17200000002</v>
      </c>
    </row>
    <row r="66" spans="1:21" s="15" customFormat="1" x14ac:dyDescent="0.3">
      <c r="A66" s="17"/>
      <c r="B66"/>
      <c r="C66"/>
      <c r="D66"/>
      <c r="E66"/>
      <c r="F66" s="50">
        <v>38930</v>
      </c>
      <c r="G66" s="53">
        <v>98.6</v>
      </c>
      <c r="H66" s="53">
        <v>197.2</v>
      </c>
      <c r="I66" s="53">
        <v>98.6</v>
      </c>
      <c r="J66"/>
      <c r="K66"/>
      <c r="L66"/>
      <c r="M66"/>
      <c r="N66" s="38"/>
      <c r="O66" s="54">
        <v>842554.74799999979</v>
      </c>
      <c r="P66" s="54">
        <v>6740437.9839999983</v>
      </c>
      <c r="Q66" s="54">
        <v>842554.74799999979</v>
      </c>
      <c r="R66" s="54"/>
      <c r="S66" s="54">
        <v>842554.74799999979</v>
      </c>
      <c r="T66" s="15">
        <v>6740437.9839999983</v>
      </c>
      <c r="U66" s="15">
        <v>842554.74799999979</v>
      </c>
    </row>
    <row r="67" spans="1:21" s="15" customFormat="1" x14ac:dyDescent="0.3">
      <c r="A67" s="17"/>
      <c r="B67"/>
      <c r="C67"/>
      <c r="D67"/>
      <c r="E67"/>
      <c r="F67" s="50">
        <v>38961</v>
      </c>
      <c r="G67" s="53">
        <v>93.2</v>
      </c>
      <c r="H67" s="53">
        <v>186.4</v>
      </c>
      <c r="I67" s="53">
        <v>93.2</v>
      </c>
      <c r="J67"/>
      <c r="K67"/>
      <c r="L67"/>
      <c r="M67"/>
      <c r="N67" s="38"/>
      <c r="O67" s="54">
        <v>861976.97599999991</v>
      </c>
      <c r="P67" s="54">
        <v>6895815.8079999993</v>
      </c>
      <c r="Q67" s="54">
        <v>861976.97599999991</v>
      </c>
      <c r="R67" s="54"/>
      <c r="S67" s="54">
        <v>861976.97599999991</v>
      </c>
      <c r="T67" s="15">
        <v>6895815.8079999993</v>
      </c>
      <c r="U67" s="15">
        <v>861976.97599999991</v>
      </c>
    </row>
    <row r="68" spans="1:21" s="15" customFormat="1" x14ac:dyDescent="0.3">
      <c r="A68" s="17"/>
      <c r="B68"/>
      <c r="C68"/>
      <c r="D68"/>
      <c r="E68"/>
      <c r="F68" s="50">
        <v>38991</v>
      </c>
      <c r="G68" s="53">
        <v>97.5</v>
      </c>
      <c r="H68" s="53">
        <v>195</v>
      </c>
      <c r="I68" s="53">
        <v>97.5</v>
      </c>
      <c r="J68"/>
      <c r="K68"/>
      <c r="L68"/>
      <c r="M68"/>
      <c r="N68" s="38"/>
      <c r="O68" s="54">
        <v>895978.20000000007</v>
      </c>
      <c r="P68" s="54">
        <v>7167825.6000000006</v>
      </c>
      <c r="Q68" s="54">
        <v>895978.20000000007</v>
      </c>
      <c r="R68" s="54"/>
      <c r="S68" s="54">
        <v>895978.20000000007</v>
      </c>
      <c r="T68" s="15">
        <v>7167825.6000000006</v>
      </c>
      <c r="U68" s="15">
        <v>895978.20000000007</v>
      </c>
    </row>
    <row r="69" spans="1:21" s="15" customFormat="1" x14ac:dyDescent="0.3">
      <c r="A69" s="17"/>
      <c r="B69"/>
      <c r="C69"/>
      <c r="D69"/>
      <c r="E69"/>
      <c r="F69" s="50">
        <v>39022</v>
      </c>
      <c r="G69" s="53">
        <v>95.9</v>
      </c>
      <c r="H69" s="53">
        <v>191.8</v>
      </c>
      <c r="I69" s="53">
        <v>95.9</v>
      </c>
      <c r="J69"/>
      <c r="K69"/>
      <c r="L69"/>
      <c r="M69"/>
      <c r="N69" s="38"/>
      <c r="O69" s="54">
        <v>871443.3</v>
      </c>
      <c r="P69" s="54">
        <v>6971546.4000000004</v>
      </c>
      <c r="Q69" s="54">
        <v>871443.3</v>
      </c>
      <c r="R69" s="54"/>
      <c r="S69" s="54">
        <v>871443.3</v>
      </c>
      <c r="T69" s="15">
        <v>6971546.4000000004</v>
      </c>
      <c r="U69" s="15">
        <v>871443.3</v>
      </c>
    </row>
    <row r="70" spans="1:21" s="15" customFormat="1" x14ac:dyDescent="0.3">
      <c r="A70" s="17"/>
      <c r="B70"/>
      <c r="C70"/>
      <c r="D70"/>
      <c r="E70"/>
      <c r="F70" s="50">
        <v>39052</v>
      </c>
      <c r="G70" s="53">
        <v>87</v>
      </c>
      <c r="H70" s="53">
        <v>174</v>
      </c>
      <c r="I70" s="53">
        <v>87</v>
      </c>
      <c r="J70"/>
      <c r="K70"/>
      <c r="L70"/>
      <c r="M70"/>
      <c r="N70" s="38"/>
      <c r="O70" s="54">
        <v>813471.75</v>
      </c>
      <c r="P70" s="54">
        <v>6507774</v>
      </c>
      <c r="Q70" s="54">
        <v>813471.75</v>
      </c>
      <c r="R70" s="54"/>
      <c r="S70" s="54">
        <v>813471.75</v>
      </c>
      <c r="T70" s="15">
        <v>6507774</v>
      </c>
      <c r="U70" s="15">
        <v>813471.75</v>
      </c>
    </row>
    <row r="71" spans="1:21" s="15" customFormat="1" x14ac:dyDescent="0.3">
      <c r="A71" s="17"/>
      <c r="B71"/>
      <c r="C71"/>
      <c r="D71"/>
      <c r="E71"/>
      <c r="F71" s="50">
        <v>39083</v>
      </c>
      <c r="G71" s="53">
        <v>87</v>
      </c>
      <c r="H71" s="53">
        <v>174</v>
      </c>
      <c r="I71" s="53">
        <v>87</v>
      </c>
      <c r="J71"/>
      <c r="K71"/>
      <c r="L71"/>
      <c r="M71"/>
      <c r="N71" s="38"/>
      <c r="O71" s="54">
        <v>725867.10000000009</v>
      </c>
      <c r="P71" s="54">
        <v>5806936.8000000007</v>
      </c>
      <c r="Q71" s="54">
        <v>725867.10000000009</v>
      </c>
      <c r="R71" s="54"/>
      <c r="S71" s="54">
        <v>725867.10000000009</v>
      </c>
      <c r="T71" s="15">
        <v>5806936.8000000007</v>
      </c>
      <c r="U71" s="15">
        <v>725867.10000000009</v>
      </c>
    </row>
    <row r="72" spans="1:21" s="15" customFormat="1" x14ac:dyDescent="0.3">
      <c r="A72" s="17"/>
      <c r="B72"/>
      <c r="C72"/>
      <c r="D72"/>
      <c r="E72"/>
      <c r="F72" s="50">
        <v>39114</v>
      </c>
      <c r="G72" s="53">
        <v>82.6</v>
      </c>
      <c r="H72" s="53">
        <v>165.2</v>
      </c>
      <c r="I72" s="53">
        <v>82.6</v>
      </c>
      <c r="J72"/>
      <c r="K72"/>
      <c r="L72"/>
      <c r="M72"/>
      <c r="N72" s="38"/>
      <c r="O72" s="54">
        <v>625199.39999999991</v>
      </c>
      <c r="P72" s="54">
        <v>5001595.1999999993</v>
      </c>
      <c r="Q72" s="54">
        <v>625199.39999999991</v>
      </c>
      <c r="R72" s="54"/>
      <c r="S72" s="54">
        <v>625199.39999999991</v>
      </c>
      <c r="T72" s="15">
        <v>5001595.1999999993</v>
      </c>
      <c r="U72" s="15">
        <v>625199.39999999991</v>
      </c>
    </row>
    <row r="73" spans="1:21" s="15" customFormat="1" x14ac:dyDescent="0.3">
      <c r="A73" s="17"/>
      <c r="B73"/>
      <c r="C73"/>
      <c r="D73"/>
      <c r="E73"/>
      <c r="F73" s="50">
        <v>39142</v>
      </c>
      <c r="G73" s="53">
        <v>96.4</v>
      </c>
      <c r="H73" s="53">
        <v>192.8</v>
      </c>
      <c r="I73" s="53">
        <v>96.4</v>
      </c>
      <c r="J73"/>
      <c r="K73"/>
      <c r="L73"/>
      <c r="M73"/>
      <c r="N73" s="38"/>
      <c r="O73" s="54">
        <v>692749.68</v>
      </c>
      <c r="P73" s="54">
        <v>5541997.4400000004</v>
      </c>
      <c r="Q73" s="54">
        <v>692749.68</v>
      </c>
      <c r="R73" s="54"/>
      <c r="S73" s="54">
        <v>692749.68</v>
      </c>
      <c r="T73" s="15">
        <v>5541997.4400000004</v>
      </c>
      <c r="U73" s="15">
        <v>692749.68</v>
      </c>
    </row>
    <row r="74" spans="1:21" s="15" customFormat="1" x14ac:dyDescent="0.3">
      <c r="A74" s="17"/>
      <c r="B74"/>
      <c r="C74"/>
      <c r="D74"/>
      <c r="E74"/>
      <c r="F74" s="50">
        <v>39173</v>
      </c>
      <c r="G74" s="53">
        <v>90.6</v>
      </c>
      <c r="H74" s="53">
        <v>181.2</v>
      </c>
      <c r="I74" s="53">
        <v>90.6</v>
      </c>
      <c r="J74"/>
      <c r="K74"/>
      <c r="L74"/>
      <c r="M74"/>
      <c r="N74" s="38"/>
      <c r="O74" s="54">
        <v>721415.18400000001</v>
      </c>
      <c r="P74" s="54">
        <v>5771321.4720000001</v>
      </c>
      <c r="Q74" s="54">
        <v>721415.18400000001</v>
      </c>
      <c r="R74" s="54"/>
      <c r="S74" s="54">
        <v>721415.18400000001</v>
      </c>
      <c r="T74" s="15">
        <v>5771321.4720000001</v>
      </c>
      <c r="U74" s="15">
        <v>721415.18400000001</v>
      </c>
    </row>
    <row r="75" spans="1:21" s="15" customFormat="1" x14ac:dyDescent="0.3">
      <c r="A75" s="17"/>
      <c r="B75"/>
      <c r="C75"/>
      <c r="D75"/>
      <c r="E75"/>
      <c r="F75" s="50">
        <v>39203</v>
      </c>
      <c r="G75" s="53">
        <v>99.9</v>
      </c>
      <c r="H75" s="53">
        <v>199.8</v>
      </c>
      <c r="I75" s="53">
        <v>99.9</v>
      </c>
      <c r="J75"/>
      <c r="K75"/>
      <c r="L75"/>
      <c r="M75"/>
      <c r="N75" s="38"/>
      <c r="O75" s="54">
        <v>872510.61600000004</v>
      </c>
      <c r="P75" s="54">
        <v>6980084.9280000003</v>
      </c>
      <c r="Q75" s="54">
        <v>872510.61600000004</v>
      </c>
      <c r="R75" s="54"/>
      <c r="S75" s="54">
        <v>872510.61600000004</v>
      </c>
      <c r="T75" s="15">
        <v>6980084.9280000003</v>
      </c>
      <c r="U75" s="15">
        <v>872510.61600000004</v>
      </c>
    </row>
    <row r="76" spans="1:21" s="15" customFormat="1" x14ac:dyDescent="0.3">
      <c r="A76" s="17"/>
      <c r="B76"/>
      <c r="C76"/>
      <c r="D76"/>
      <c r="E76"/>
      <c r="F76" s="50">
        <v>39234</v>
      </c>
      <c r="G76" s="53">
        <v>96.9</v>
      </c>
      <c r="H76" s="53">
        <v>193.8</v>
      </c>
      <c r="I76" s="53">
        <v>96.9</v>
      </c>
      <c r="J76"/>
      <c r="K76"/>
      <c r="L76"/>
      <c r="M76"/>
      <c r="N76" s="38"/>
      <c r="O76" s="54">
        <v>877036.08600000013</v>
      </c>
      <c r="P76" s="54">
        <v>7016288.688000001</v>
      </c>
      <c r="Q76" s="54">
        <v>877036.08600000013</v>
      </c>
      <c r="R76" s="54"/>
      <c r="S76" s="54">
        <v>877036.08600000013</v>
      </c>
      <c r="T76" s="15">
        <v>7016288.688000001</v>
      </c>
      <c r="U76" s="15">
        <v>877036.08600000013</v>
      </c>
    </row>
    <row r="77" spans="1:21" s="15" customFormat="1" x14ac:dyDescent="0.3">
      <c r="A77" s="17"/>
      <c r="B77"/>
      <c r="C77"/>
      <c r="D77"/>
      <c r="E77"/>
      <c r="F77" s="50">
        <v>39264</v>
      </c>
      <c r="G77" s="53">
        <v>99.8</v>
      </c>
      <c r="H77" s="53">
        <v>199.6</v>
      </c>
      <c r="I77" s="53">
        <v>99.8</v>
      </c>
      <c r="J77"/>
      <c r="K77"/>
      <c r="L77"/>
      <c r="M77"/>
      <c r="N77" s="38"/>
      <c r="O77" s="54">
        <v>966094.93800000008</v>
      </c>
      <c r="P77" s="54">
        <v>7728759.5040000007</v>
      </c>
      <c r="Q77" s="54">
        <v>966094.93800000008</v>
      </c>
      <c r="R77" s="54"/>
      <c r="S77" s="54">
        <v>966094.93800000008</v>
      </c>
      <c r="T77" s="15">
        <v>7728759.5040000007</v>
      </c>
      <c r="U77" s="15">
        <v>966094.93800000008</v>
      </c>
    </row>
    <row r="78" spans="1:21" s="15" customFormat="1" x14ac:dyDescent="0.3">
      <c r="A78" s="17"/>
      <c r="B78"/>
      <c r="C78"/>
      <c r="D78"/>
      <c r="E78"/>
      <c r="F78" s="50">
        <v>39295</v>
      </c>
      <c r="G78" s="53">
        <v>104.9</v>
      </c>
      <c r="H78" s="53">
        <v>209.8</v>
      </c>
      <c r="I78" s="53">
        <v>104.9</v>
      </c>
      <c r="J78"/>
      <c r="K78"/>
      <c r="L78"/>
      <c r="M78"/>
      <c r="N78" s="38"/>
      <c r="O78" s="54">
        <v>1014448.0380000002</v>
      </c>
      <c r="P78" s="54">
        <v>8115584.3040000014</v>
      </c>
      <c r="Q78" s="54">
        <v>1014448.0380000002</v>
      </c>
      <c r="R78" s="54"/>
      <c r="S78" s="54">
        <v>1014448.0380000002</v>
      </c>
      <c r="T78" s="15">
        <v>8115584.3040000014</v>
      </c>
      <c r="U78" s="15">
        <v>1014448.0380000002</v>
      </c>
    </row>
    <row r="79" spans="1:21" s="15" customFormat="1" x14ac:dyDescent="0.3">
      <c r="A79" s="17"/>
      <c r="B79"/>
      <c r="C79"/>
      <c r="D79"/>
      <c r="E79"/>
      <c r="F79" s="50">
        <v>39326</v>
      </c>
      <c r="G79" s="53">
        <v>98.4</v>
      </c>
      <c r="H79" s="53">
        <v>196.8</v>
      </c>
      <c r="I79" s="53">
        <v>98.4</v>
      </c>
      <c r="J79"/>
      <c r="K79"/>
      <c r="L79"/>
      <c r="M79"/>
      <c r="N79" s="38"/>
      <c r="O79" s="54">
        <v>1030151.5680000001</v>
      </c>
      <c r="P79" s="54">
        <v>8241212.5440000007</v>
      </c>
      <c r="Q79" s="54">
        <v>1030151.5680000001</v>
      </c>
      <c r="R79" s="54"/>
      <c r="S79" s="54">
        <v>1030151.5680000001</v>
      </c>
      <c r="T79" s="15">
        <v>8241212.5440000007</v>
      </c>
      <c r="U79" s="15">
        <v>1030151.5680000001</v>
      </c>
    </row>
    <row r="80" spans="1:21" s="15" customFormat="1" x14ac:dyDescent="0.3">
      <c r="A80" s="17"/>
      <c r="B80"/>
      <c r="C80"/>
      <c r="D80"/>
      <c r="E80"/>
      <c r="F80" s="50">
        <v>39356</v>
      </c>
      <c r="G80" s="53">
        <v>107.8</v>
      </c>
      <c r="H80" s="53">
        <v>215.6</v>
      </c>
      <c r="I80" s="53">
        <v>107.8</v>
      </c>
      <c r="J80"/>
      <c r="K80"/>
      <c r="L80"/>
      <c r="M80"/>
      <c r="N80" s="38"/>
      <c r="O80" s="54">
        <v>1112728.8480000002</v>
      </c>
      <c r="P80" s="54">
        <v>8901830.7840000018</v>
      </c>
      <c r="Q80" s="54">
        <v>1112728.8480000002</v>
      </c>
      <c r="R80" s="54"/>
      <c r="S80" s="54">
        <v>1112728.8480000002</v>
      </c>
      <c r="T80" s="15">
        <v>8901830.7840000018</v>
      </c>
      <c r="U80" s="15">
        <v>1112728.8480000002</v>
      </c>
    </row>
    <row r="81" spans="1:21" s="15" customFormat="1" x14ac:dyDescent="0.3">
      <c r="A81" s="17"/>
      <c r="B81"/>
      <c r="C81"/>
      <c r="D81"/>
      <c r="E81"/>
      <c r="F81" s="50">
        <v>39387</v>
      </c>
      <c r="G81" s="53">
        <v>102.4</v>
      </c>
      <c r="H81" s="53">
        <v>204.8</v>
      </c>
      <c r="I81" s="53">
        <v>102.4</v>
      </c>
      <c r="J81"/>
      <c r="K81"/>
      <c r="L81"/>
      <c r="M81"/>
      <c r="N81" s="38"/>
      <c r="O81" s="54">
        <v>1086210.0480000002</v>
      </c>
      <c r="P81" s="54">
        <v>8689680.3840000015</v>
      </c>
      <c r="Q81" s="54">
        <v>1086210.0480000002</v>
      </c>
      <c r="R81" s="54"/>
      <c r="S81" s="54">
        <v>1086210.0480000002</v>
      </c>
      <c r="T81" s="15">
        <v>8689680.3840000015</v>
      </c>
      <c r="U81" s="15">
        <v>1086210.0480000002</v>
      </c>
    </row>
    <row r="82" spans="1:21" s="15" customFormat="1" x14ac:dyDescent="0.3">
      <c r="A82" s="17"/>
      <c r="B82"/>
      <c r="C82"/>
      <c r="D82"/>
      <c r="E82"/>
      <c r="F82" s="50">
        <v>39417</v>
      </c>
      <c r="G82" s="53">
        <v>92.6</v>
      </c>
      <c r="H82" s="53">
        <v>185.2</v>
      </c>
      <c r="I82" s="53">
        <v>92.6</v>
      </c>
      <c r="J82"/>
      <c r="K82"/>
      <c r="L82"/>
      <c r="M82"/>
      <c r="N82" s="38"/>
      <c r="O82" s="54">
        <v>1022185.4720000001</v>
      </c>
      <c r="P82" s="54">
        <v>8177483.7760000005</v>
      </c>
      <c r="Q82" s="54">
        <v>1022185.4720000001</v>
      </c>
      <c r="R82" s="54"/>
      <c r="S82" s="54">
        <v>1022185.4720000001</v>
      </c>
      <c r="T82" s="15">
        <v>8177483.7760000005</v>
      </c>
      <c r="U82" s="15">
        <v>1022185.4720000001</v>
      </c>
    </row>
    <row r="83" spans="1:21" s="15" customFormat="1" x14ac:dyDescent="0.3">
      <c r="A83" s="17"/>
      <c r="B83"/>
      <c r="C83"/>
      <c r="D83"/>
      <c r="E83"/>
      <c r="F83" s="50">
        <v>39448</v>
      </c>
      <c r="G83" s="53">
        <v>94.8</v>
      </c>
      <c r="H83" s="53">
        <v>189.6</v>
      </c>
      <c r="I83" s="53">
        <v>94.8</v>
      </c>
      <c r="J83"/>
      <c r="K83"/>
      <c r="L83"/>
      <c r="M83"/>
      <c r="N83" s="38"/>
      <c r="O83" s="54">
        <v>898916.35199999996</v>
      </c>
      <c r="P83" s="54">
        <v>7191330.8159999996</v>
      </c>
      <c r="Q83" s="54">
        <v>898916.35199999996</v>
      </c>
      <c r="R83" s="54"/>
      <c r="S83" s="54">
        <v>898916.35199999996</v>
      </c>
      <c r="T83" s="15">
        <v>7191330.8159999996</v>
      </c>
      <c r="U83" s="15">
        <v>898916.35199999996</v>
      </c>
    </row>
    <row r="84" spans="1:21" s="15" customFormat="1" x14ac:dyDescent="0.3">
      <c r="A84" s="17"/>
      <c r="B84"/>
      <c r="C84"/>
      <c r="D84"/>
      <c r="E84"/>
      <c r="F84" s="50">
        <v>39479</v>
      </c>
      <c r="G84" s="53">
        <v>91.1</v>
      </c>
      <c r="H84" s="53">
        <v>182.2</v>
      </c>
      <c r="I84" s="53">
        <v>91.1</v>
      </c>
      <c r="J84"/>
      <c r="K84"/>
      <c r="L84"/>
      <c r="M84"/>
      <c r="N84" s="38"/>
      <c r="O84" s="54">
        <v>799719.52799999993</v>
      </c>
      <c r="P84" s="54">
        <v>6397756.2239999995</v>
      </c>
      <c r="Q84" s="54">
        <v>799719.52799999993</v>
      </c>
      <c r="R84" s="54"/>
      <c r="S84" s="54">
        <v>799719.52799999993</v>
      </c>
      <c r="T84" s="15">
        <v>6397756.2239999995</v>
      </c>
      <c r="U84" s="15">
        <v>799719.52799999993</v>
      </c>
    </row>
    <row r="85" spans="1:21" s="15" customFormat="1" x14ac:dyDescent="0.3">
      <c r="A85" s="17"/>
      <c r="B85"/>
      <c r="C85"/>
      <c r="D85"/>
      <c r="E85"/>
      <c r="F85" s="50">
        <v>39508</v>
      </c>
      <c r="G85" s="53">
        <v>97.7</v>
      </c>
      <c r="H85" s="53">
        <v>195.4</v>
      </c>
      <c r="I85" s="53">
        <v>97.7</v>
      </c>
      <c r="J85"/>
      <c r="K85"/>
      <c r="L85"/>
      <c r="M85"/>
      <c r="N85" s="38"/>
      <c r="O85" s="54">
        <v>843764.55599999987</v>
      </c>
      <c r="P85" s="54">
        <v>6750116.4479999989</v>
      </c>
      <c r="Q85" s="54">
        <v>843764.55599999987</v>
      </c>
      <c r="R85" s="54"/>
      <c r="S85" s="54">
        <v>843764.55599999987</v>
      </c>
      <c r="T85" s="15">
        <v>6750116.4479999989</v>
      </c>
      <c r="U85" s="15">
        <v>843764.55599999987</v>
      </c>
    </row>
    <row r="86" spans="1:21" s="15" customFormat="1" x14ac:dyDescent="0.3">
      <c r="A86" s="17"/>
      <c r="B86"/>
      <c r="C86"/>
      <c r="D86"/>
      <c r="E86"/>
      <c r="F86" s="50">
        <v>39539</v>
      </c>
      <c r="G86" s="53">
        <v>99.2</v>
      </c>
      <c r="H86" s="53">
        <v>198.4</v>
      </c>
      <c r="I86" s="53">
        <v>99.2</v>
      </c>
      <c r="J86"/>
      <c r="K86"/>
      <c r="L86"/>
      <c r="M86"/>
      <c r="N86" s="38"/>
      <c r="O86" s="54">
        <v>882926.62399999995</v>
      </c>
      <c r="P86" s="54">
        <v>7063412.9919999996</v>
      </c>
      <c r="Q86" s="54">
        <v>882926.62399999995</v>
      </c>
      <c r="R86" s="54"/>
      <c r="S86" s="54">
        <v>882926.62399999995</v>
      </c>
      <c r="T86" s="15">
        <v>7063412.9919999996</v>
      </c>
      <c r="U86" s="15">
        <v>882926.62399999995</v>
      </c>
    </row>
    <row r="87" spans="1:21" s="15" customFormat="1" x14ac:dyDescent="0.3">
      <c r="A87" s="17"/>
      <c r="B87"/>
      <c r="C87"/>
      <c r="D87"/>
      <c r="E87"/>
      <c r="F87" s="50">
        <v>39569</v>
      </c>
      <c r="G87" s="53">
        <v>102.5</v>
      </c>
      <c r="H87" s="53">
        <v>205</v>
      </c>
      <c r="I87" s="53">
        <v>102.5</v>
      </c>
      <c r="J87"/>
      <c r="K87"/>
      <c r="L87"/>
      <c r="M87"/>
      <c r="N87" s="38"/>
      <c r="O87" s="54">
        <v>993413.6</v>
      </c>
      <c r="P87" s="54">
        <v>7947308.7999999998</v>
      </c>
      <c r="Q87" s="54">
        <v>993413.6</v>
      </c>
      <c r="R87" s="54"/>
      <c r="S87" s="54">
        <v>993413.6</v>
      </c>
      <c r="T87" s="15">
        <v>7947308.7999999998</v>
      </c>
      <c r="U87" s="15">
        <v>993413.6</v>
      </c>
    </row>
    <row r="88" spans="1:21" s="15" customFormat="1" x14ac:dyDescent="0.3">
      <c r="A88" s="17"/>
      <c r="B88"/>
      <c r="C88"/>
      <c r="D88"/>
      <c r="E88"/>
      <c r="F88" s="50">
        <v>39600</v>
      </c>
      <c r="G88" s="53">
        <v>103.3</v>
      </c>
      <c r="H88" s="53">
        <v>206.6</v>
      </c>
      <c r="I88" s="53">
        <v>103.3</v>
      </c>
      <c r="J88"/>
      <c r="K88"/>
      <c r="L88"/>
      <c r="M88"/>
      <c r="N88" s="38"/>
      <c r="O88" s="54">
        <v>1050354.3999999999</v>
      </c>
      <c r="P88" s="54">
        <v>8402835.1999999993</v>
      </c>
      <c r="Q88" s="54">
        <v>1050354.3999999999</v>
      </c>
      <c r="R88" s="54"/>
      <c r="S88" s="54">
        <v>1050354.3999999999</v>
      </c>
      <c r="T88" s="15">
        <v>8402835.1999999993</v>
      </c>
      <c r="U88" s="15">
        <v>1050354.3999999999</v>
      </c>
    </row>
    <row r="89" spans="1:21" s="15" customFormat="1" x14ac:dyDescent="0.3">
      <c r="A89" s="17"/>
      <c r="B89"/>
      <c r="C89"/>
      <c r="D89"/>
      <c r="E89"/>
      <c r="F89" s="50">
        <v>39630</v>
      </c>
      <c r="G89" s="53">
        <v>108.5</v>
      </c>
      <c r="H89" s="53">
        <v>217</v>
      </c>
      <c r="I89" s="53">
        <v>108.5</v>
      </c>
      <c r="J89"/>
      <c r="K89"/>
      <c r="L89"/>
      <c r="M89"/>
      <c r="N89" s="38"/>
      <c r="O89" s="54">
        <v>1148825.125</v>
      </c>
      <c r="P89" s="54">
        <v>9190601</v>
      </c>
      <c r="Q89" s="54">
        <v>1148825.125</v>
      </c>
      <c r="R89" s="54"/>
      <c r="S89" s="54">
        <v>1148825.125</v>
      </c>
      <c r="T89" s="15">
        <v>9190601</v>
      </c>
      <c r="U89" s="15">
        <v>1148825.125</v>
      </c>
    </row>
    <row r="90" spans="1:21" s="15" customFormat="1" x14ac:dyDescent="0.3">
      <c r="A90" s="17"/>
      <c r="B90"/>
      <c r="C90"/>
      <c r="D90"/>
      <c r="E90"/>
      <c r="F90" s="50">
        <v>39661</v>
      </c>
      <c r="G90" s="53">
        <v>106.9</v>
      </c>
      <c r="H90" s="53">
        <v>213.8</v>
      </c>
      <c r="I90" s="53">
        <v>106.9</v>
      </c>
      <c r="J90"/>
      <c r="K90"/>
      <c r="L90"/>
      <c r="M90"/>
      <c r="N90" s="38"/>
      <c r="O90" s="54">
        <v>1198140.5449999999</v>
      </c>
      <c r="P90" s="54">
        <v>9585124.3599999994</v>
      </c>
      <c r="Q90" s="54">
        <v>1198140.5449999999</v>
      </c>
      <c r="R90" s="54"/>
      <c r="S90" s="54">
        <v>1198140.5449999999</v>
      </c>
      <c r="T90" s="15">
        <v>9585124.3599999994</v>
      </c>
      <c r="U90" s="15">
        <v>1198140.5449999999</v>
      </c>
    </row>
    <row r="91" spans="1:21" s="15" customFormat="1" x14ac:dyDescent="0.3">
      <c r="A91" s="17"/>
      <c r="B91"/>
      <c r="C91"/>
      <c r="D91"/>
      <c r="E91"/>
      <c r="F91" s="50">
        <v>39692</v>
      </c>
      <c r="G91" s="53">
        <v>107.3</v>
      </c>
      <c r="H91" s="53">
        <v>214.6</v>
      </c>
      <c r="I91" s="53">
        <v>107.3</v>
      </c>
      <c r="J91"/>
      <c r="K91"/>
      <c r="L91"/>
      <c r="M91"/>
      <c r="N91" s="38"/>
      <c r="O91" s="54">
        <v>1244535.145</v>
      </c>
      <c r="P91" s="54">
        <v>9956281.1600000001</v>
      </c>
      <c r="Q91" s="54">
        <v>1244535.145</v>
      </c>
      <c r="R91" s="54"/>
      <c r="S91" s="54">
        <v>1244535.145</v>
      </c>
      <c r="T91" s="15">
        <v>9956281.1600000001</v>
      </c>
      <c r="U91" s="15">
        <v>1244535.145</v>
      </c>
    </row>
    <row r="92" spans="1:21" s="15" customFormat="1" x14ac:dyDescent="0.3">
      <c r="A92" s="17"/>
      <c r="B92"/>
      <c r="C92"/>
      <c r="D92"/>
      <c r="E92"/>
      <c r="F92" s="50">
        <v>39722</v>
      </c>
      <c r="G92" s="53">
        <v>108.4</v>
      </c>
      <c r="H92" s="53">
        <v>216.8</v>
      </c>
      <c r="I92" s="53">
        <v>108.4</v>
      </c>
      <c r="J92"/>
      <c r="K92"/>
      <c r="L92"/>
      <c r="M92"/>
      <c r="N92" s="38"/>
      <c r="O92" s="54">
        <v>1243388.1080000002</v>
      </c>
      <c r="P92" s="54">
        <v>9947104.8640000019</v>
      </c>
      <c r="Q92" s="54">
        <v>1243388.1080000002</v>
      </c>
      <c r="R92" s="54"/>
      <c r="S92" s="54">
        <v>1243388.1080000002</v>
      </c>
      <c r="T92" s="15">
        <v>9947104.8640000019</v>
      </c>
      <c r="U92" s="15">
        <v>1243388.1080000002</v>
      </c>
    </row>
    <row r="93" spans="1:21" s="15" customFormat="1" x14ac:dyDescent="0.3">
      <c r="A93" s="17"/>
      <c r="B93"/>
      <c r="C93"/>
      <c r="D93"/>
      <c r="E93"/>
      <c r="F93" s="50">
        <v>39753</v>
      </c>
      <c r="G93" s="53">
        <v>96.2</v>
      </c>
      <c r="H93" s="53">
        <v>192.4</v>
      </c>
      <c r="I93" s="53">
        <v>96.2</v>
      </c>
      <c r="J93"/>
      <c r="K93"/>
      <c r="L93"/>
      <c r="M93"/>
      <c r="N93" s="38"/>
      <c r="O93" s="54">
        <v>1118932.9839999999</v>
      </c>
      <c r="P93" s="54">
        <v>8951463.8719999995</v>
      </c>
      <c r="Q93" s="54">
        <v>1118932.9839999999</v>
      </c>
      <c r="R93" s="54"/>
      <c r="S93" s="54">
        <v>1118932.9839999999</v>
      </c>
      <c r="T93" s="15">
        <v>8951463.8719999995</v>
      </c>
      <c r="U93" s="15">
        <v>1118932.9839999999</v>
      </c>
    </row>
    <row r="94" spans="1:21" s="15" customFormat="1" x14ac:dyDescent="0.3">
      <c r="A94" s="17"/>
      <c r="B94"/>
      <c r="C94"/>
      <c r="D94"/>
      <c r="E94"/>
      <c r="F94" s="50">
        <v>39783</v>
      </c>
      <c r="G94" s="53">
        <v>79.099999999999994</v>
      </c>
      <c r="H94" s="53">
        <v>158.19999999999999</v>
      </c>
      <c r="I94" s="53">
        <v>79.099999999999994</v>
      </c>
      <c r="J94"/>
      <c r="K94"/>
      <c r="L94"/>
      <c r="M94"/>
      <c r="N94" s="38"/>
      <c r="O94" s="54">
        <v>824861.12800000003</v>
      </c>
      <c r="P94" s="54">
        <v>6598889.0240000002</v>
      </c>
      <c r="Q94" s="54">
        <v>824861.12800000003</v>
      </c>
      <c r="R94" s="54"/>
      <c r="S94" s="54">
        <v>824861.12800000003</v>
      </c>
      <c r="T94" s="15">
        <v>6598889.0240000002</v>
      </c>
      <c r="U94" s="15">
        <v>824861.12800000003</v>
      </c>
    </row>
    <row r="95" spans="1:21" s="15" customFormat="1" x14ac:dyDescent="0.3">
      <c r="A95" s="17"/>
      <c r="B95"/>
      <c r="C95"/>
      <c r="D95"/>
      <c r="E95"/>
      <c r="F95" s="50">
        <v>39814</v>
      </c>
      <c r="G95" s="53">
        <v>78.7</v>
      </c>
      <c r="H95" s="53">
        <v>157.4</v>
      </c>
      <c r="I95" s="53">
        <v>78.7</v>
      </c>
      <c r="J95"/>
      <c r="K95"/>
      <c r="L95"/>
      <c r="M95"/>
      <c r="N95" s="38"/>
      <c r="O95" s="54">
        <v>598861.35400000005</v>
      </c>
      <c r="P95" s="54">
        <v>4790890.8320000004</v>
      </c>
      <c r="Q95" s="54">
        <v>598861.35400000005</v>
      </c>
      <c r="R95" s="54"/>
      <c r="S95" s="54">
        <v>598861.35400000005</v>
      </c>
      <c r="T95" s="15">
        <v>4790890.8320000004</v>
      </c>
      <c r="U95" s="15">
        <v>598861.35400000005</v>
      </c>
    </row>
    <row r="96" spans="1:21" s="15" customFormat="1" x14ac:dyDescent="0.3">
      <c r="A96" s="17"/>
      <c r="B96"/>
      <c r="C96"/>
      <c r="D96"/>
      <c r="E96"/>
      <c r="F96" s="50">
        <v>39845</v>
      </c>
      <c r="G96" s="53">
        <v>76.099999999999994</v>
      </c>
      <c r="H96" s="53">
        <v>152.19999999999999</v>
      </c>
      <c r="I96" s="53">
        <v>76.099999999999994</v>
      </c>
      <c r="J96"/>
      <c r="K96"/>
      <c r="L96"/>
      <c r="M96"/>
      <c r="N96" s="38"/>
      <c r="O96" s="54">
        <v>473735.43699999998</v>
      </c>
      <c r="P96" s="54">
        <v>3789883.4959999998</v>
      </c>
      <c r="Q96" s="54">
        <v>473735.43699999998</v>
      </c>
      <c r="R96" s="54"/>
      <c r="S96" s="54">
        <v>473735.43699999998</v>
      </c>
      <c r="T96" s="15">
        <v>3789883.4959999998</v>
      </c>
      <c r="U96" s="15">
        <v>473735.43699999998</v>
      </c>
    </row>
    <row r="97" spans="1:21" s="15" customFormat="1" x14ac:dyDescent="0.3">
      <c r="A97" s="17"/>
      <c r="B97"/>
      <c r="C97"/>
      <c r="D97"/>
      <c r="E97"/>
      <c r="F97" s="50">
        <v>39873</v>
      </c>
      <c r="G97" s="53">
        <v>88.6</v>
      </c>
      <c r="H97" s="53">
        <v>177.2</v>
      </c>
      <c r="I97" s="53">
        <v>88.6</v>
      </c>
      <c r="J97"/>
      <c r="K97"/>
      <c r="L97"/>
      <c r="M97"/>
      <c r="N97" s="38"/>
      <c r="O97" s="54">
        <v>530631.60199999996</v>
      </c>
      <c r="P97" s="54">
        <v>4245052.8159999996</v>
      </c>
      <c r="Q97" s="54">
        <v>530631.60199999996</v>
      </c>
      <c r="R97" s="54"/>
      <c r="S97" s="54">
        <v>530631.60199999996</v>
      </c>
      <c r="T97" s="15">
        <v>4245052.8159999996</v>
      </c>
      <c r="U97" s="15">
        <v>530631.60199999996</v>
      </c>
    </row>
    <row r="98" spans="1:21" s="15" customFormat="1" x14ac:dyDescent="0.3">
      <c r="A98" s="17"/>
      <c r="B98"/>
      <c r="C98"/>
      <c r="D98"/>
      <c r="E98"/>
      <c r="F98" s="50">
        <v>39904</v>
      </c>
      <c r="G98" s="53">
        <v>85.2</v>
      </c>
      <c r="H98" s="53">
        <v>170.4</v>
      </c>
      <c r="I98" s="53">
        <v>85.2</v>
      </c>
      <c r="J98"/>
      <c r="K98"/>
      <c r="L98"/>
      <c r="M98"/>
      <c r="N98" s="38"/>
      <c r="O98" s="54">
        <v>574457.59199999995</v>
      </c>
      <c r="P98" s="54">
        <v>4595660.7359999996</v>
      </c>
      <c r="Q98" s="54">
        <v>574457.59199999995</v>
      </c>
      <c r="R98" s="54"/>
      <c r="S98" s="54">
        <v>574457.59199999995</v>
      </c>
      <c r="T98" s="15">
        <v>4595660.7359999996</v>
      </c>
      <c r="U98" s="15">
        <v>574457.59199999995</v>
      </c>
    </row>
    <row r="99" spans="1:21" s="15" customFormat="1" x14ac:dyDescent="0.3">
      <c r="A99" s="17"/>
      <c r="B99"/>
      <c r="C99"/>
      <c r="D99"/>
      <c r="E99"/>
      <c r="F99" s="50">
        <v>39934</v>
      </c>
      <c r="G99" s="53">
        <v>91.3</v>
      </c>
      <c r="H99" s="53">
        <v>182.6</v>
      </c>
      <c r="I99" s="53">
        <v>91.3</v>
      </c>
      <c r="J99"/>
      <c r="K99"/>
      <c r="L99"/>
      <c r="M99"/>
      <c r="N99" s="38"/>
      <c r="O99" s="54">
        <v>689198.13599999994</v>
      </c>
      <c r="P99" s="54">
        <v>5513585.0879999995</v>
      </c>
      <c r="Q99" s="54">
        <v>689198.13599999994</v>
      </c>
      <c r="R99" s="54"/>
      <c r="S99" s="54">
        <v>689198.13599999994</v>
      </c>
      <c r="T99" s="15">
        <v>5513585.0879999995</v>
      </c>
      <c r="U99" s="15">
        <v>689198.13599999994</v>
      </c>
    </row>
    <row r="100" spans="1:21" s="15" customFormat="1" x14ac:dyDescent="0.3">
      <c r="A100" s="17"/>
      <c r="B100"/>
      <c r="C100"/>
      <c r="D100"/>
      <c r="E100"/>
      <c r="F100" s="50">
        <v>39965</v>
      </c>
      <c r="G100" s="53">
        <v>92.2</v>
      </c>
      <c r="H100" s="53">
        <v>184.4</v>
      </c>
      <c r="I100" s="53">
        <v>92.2</v>
      </c>
      <c r="J100"/>
      <c r="K100"/>
      <c r="L100"/>
      <c r="M100"/>
      <c r="N100" s="38"/>
      <c r="O100" s="54">
        <v>717201.67200000002</v>
      </c>
      <c r="P100" s="54">
        <v>5737613.3760000002</v>
      </c>
      <c r="Q100" s="54">
        <v>717201.67200000002</v>
      </c>
      <c r="R100" s="54"/>
      <c r="S100" s="54">
        <v>717201.67200000002</v>
      </c>
      <c r="T100" s="15">
        <v>5737613.3760000002</v>
      </c>
      <c r="U100" s="15">
        <v>717201.67200000002</v>
      </c>
    </row>
    <row r="101" spans="1:21" s="15" customFormat="1" x14ac:dyDescent="0.3">
      <c r="A101" s="17"/>
      <c r="B101"/>
      <c r="C101"/>
      <c r="D101"/>
      <c r="E101"/>
      <c r="F101" s="50">
        <v>39995</v>
      </c>
      <c r="G101" s="53">
        <v>97.7</v>
      </c>
      <c r="H101" s="53">
        <v>195.4</v>
      </c>
      <c r="I101" s="53">
        <v>97.7</v>
      </c>
      <c r="J101"/>
      <c r="K101"/>
      <c r="L101"/>
      <c r="M101"/>
      <c r="N101" s="38"/>
      <c r="O101" s="54">
        <v>822424.92200000014</v>
      </c>
      <c r="P101" s="54">
        <v>6579399.3760000011</v>
      </c>
      <c r="Q101" s="54">
        <v>822424.92200000014</v>
      </c>
      <c r="R101" s="54"/>
      <c r="S101" s="54">
        <v>822424.92200000014</v>
      </c>
      <c r="T101" s="15">
        <v>6579399.3760000011</v>
      </c>
      <c r="U101" s="15">
        <v>822424.92200000014</v>
      </c>
    </row>
    <row r="102" spans="1:21" s="15" customFormat="1" x14ac:dyDescent="0.3">
      <c r="A102" s="17"/>
      <c r="B102"/>
      <c r="C102"/>
      <c r="D102"/>
      <c r="E102"/>
      <c r="F102" s="50">
        <v>40026</v>
      </c>
      <c r="G102" s="53">
        <v>99.6</v>
      </c>
      <c r="H102" s="53">
        <v>199.2</v>
      </c>
      <c r="I102" s="53">
        <v>99.6</v>
      </c>
      <c r="J102"/>
      <c r="K102"/>
      <c r="L102"/>
      <c r="M102"/>
      <c r="N102" s="38"/>
      <c r="O102" s="54">
        <v>897190.82400000002</v>
      </c>
      <c r="P102" s="54">
        <v>7177526.5920000002</v>
      </c>
      <c r="Q102" s="54">
        <v>897190.82400000002</v>
      </c>
      <c r="R102" s="54"/>
      <c r="S102" s="54">
        <v>897190.82400000002</v>
      </c>
      <c r="T102" s="15">
        <v>7177526.5920000002</v>
      </c>
      <c r="U102" s="15">
        <v>897190.82400000002</v>
      </c>
    </row>
    <row r="103" spans="1:21" s="15" customFormat="1" x14ac:dyDescent="0.3">
      <c r="A103" s="17"/>
      <c r="B103"/>
      <c r="C103"/>
      <c r="D103"/>
      <c r="E103"/>
      <c r="F103" s="50">
        <v>40057</v>
      </c>
      <c r="G103" s="53">
        <v>99.4</v>
      </c>
      <c r="H103" s="53">
        <v>198.8</v>
      </c>
      <c r="I103" s="53">
        <v>99.4</v>
      </c>
      <c r="J103"/>
      <c r="K103"/>
      <c r="L103"/>
      <c r="M103"/>
      <c r="N103" s="38"/>
      <c r="O103" s="54">
        <v>967253.44800000009</v>
      </c>
      <c r="P103" s="54">
        <v>7738027.5840000007</v>
      </c>
      <c r="Q103" s="54">
        <v>967253.44800000009</v>
      </c>
      <c r="R103" s="54"/>
      <c r="S103" s="54">
        <v>967253.44800000009</v>
      </c>
      <c r="T103" s="15">
        <v>7738027.5840000007</v>
      </c>
      <c r="U103" s="15">
        <v>967253.44800000009</v>
      </c>
    </row>
    <row r="104" spans="1:21" s="15" customFormat="1" x14ac:dyDescent="0.3">
      <c r="A104" s="17"/>
      <c r="B104"/>
      <c r="C104"/>
      <c r="D104"/>
      <c r="E104"/>
      <c r="F104" s="50">
        <v>40087</v>
      </c>
      <c r="G104" s="53">
        <v>105.6</v>
      </c>
      <c r="H104" s="53">
        <v>211.2</v>
      </c>
      <c r="I104" s="53">
        <v>105.6</v>
      </c>
      <c r="J104"/>
      <c r="K104"/>
      <c r="L104"/>
      <c r="M104"/>
      <c r="N104" s="38"/>
      <c r="O104" s="54">
        <v>1045465.3439999999</v>
      </c>
      <c r="P104" s="54">
        <v>8363722.7519999994</v>
      </c>
      <c r="Q104" s="54">
        <v>1045465.3439999999</v>
      </c>
      <c r="R104" s="54"/>
      <c r="S104" s="54">
        <v>1045465.3439999999</v>
      </c>
      <c r="T104" s="15">
        <v>8363722.7519999994</v>
      </c>
      <c r="U104" s="15">
        <v>1045465.3439999999</v>
      </c>
    </row>
    <row r="105" spans="1:21" s="15" customFormat="1" x14ac:dyDescent="0.3">
      <c r="A105" s="17"/>
      <c r="B105"/>
      <c r="C105"/>
      <c r="D105"/>
      <c r="E105"/>
      <c r="F105" s="50">
        <v>40118</v>
      </c>
      <c r="G105" s="53">
        <v>101.4</v>
      </c>
      <c r="H105" s="53">
        <v>202.8</v>
      </c>
      <c r="I105" s="53">
        <v>101.4</v>
      </c>
      <c r="J105"/>
      <c r="K105"/>
      <c r="L105"/>
      <c r="M105"/>
      <c r="N105" s="38"/>
      <c r="O105" s="54">
        <v>1064359.2960000001</v>
      </c>
      <c r="P105" s="54">
        <v>8514874.3680000007</v>
      </c>
      <c r="Q105" s="54">
        <v>1064359.2960000001</v>
      </c>
      <c r="R105" s="54"/>
      <c r="S105" s="54">
        <v>1064359.2960000001</v>
      </c>
      <c r="T105" s="15">
        <v>8514874.3680000007</v>
      </c>
      <c r="U105" s="15">
        <v>1064359.2960000001</v>
      </c>
    </row>
    <row r="106" spans="1:21" s="15" customFormat="1" x14ac:dyDescent="0.3">
      <c r="A106" s="17"/>
      <c r="B106"/>
      <c r="C106"/>
      <c r="D106"/>
      <c r="E106"/>
      <c r="F106" s="50">
        <v>40148</v>
      </c>
      <c r="G106" s="53">
        <v>94.1</v>
      </c>
      <c r="H106" s="53">
        <v>188.2</v>
      </c>
      <c r="I106" s="53">
        <v>94.1</v>
      </c>
      <c r="J106"/>
      <c r="K106"/>
      <c r="L106"/>
      <c r="M106"/>
      <c r="N106" s="38"/>
      <c r="O106" s="54">
        <v>1007607.7439999999</v>
      </c>
      <c r="P106" s="54">
        <v>8060861.9519999996</v>
      </c>
      <c r="Q106" s="54">
        <v>1007607.7439999999</v>
      </c>
      <c r="R106" s="54"/>
      <c r="S106" s="54">
        <v>1007607.7439999999</v>
      </c>
      <c r="T106" s="15">
        <v>8060861.9519999996</v>
      </c>
      <c r="U106" s="15">
        <v>1007607.7439999999</v>
      </c>
    </row>
    <row r="107" spans="1:21" s="15" customFormat="1" x14ac:dyDescent="0.3">
      <c r="A107" s="17"/>
      <c r="B107"/>
      <c r="C107"/>
      <c r="D107"/>
      <c r="E107"/>
      <c r="F107" s="50">
        <v>40179</v>
      </c>
      <c r="G107" s="53">
        <v>91.2</v>
      </c>
      <c r="H107" s="53">
        <v>182.4</v>
      </c>
      <c r="I107" s="53">
        <v>91.2</v>
      </c>
      <c r="J107"/>
      <c r="K107"/>
      <c r="L107"/>
      <c r="M107"/>
      <c r="N107" s="38"/>
      <c r="O107" s="54">
        <v>870206.68799999997</v>
      </c>
      <c r="P107" s="54">
        <v>6961653.5039999997</v>
      </c>
      <c r="Q107" s="54">
        <v>870206.68799999997</v>
      </c>
      <c r="R107" s="54"/>
      <c r="S107" s="54">
        <v>870206.68799999997</v>
      </c>
      <c r="T107" s="15">
        <v>6961653.5039999997</v>
      </c>
      <c r="U107" s="15">
        <v>870206.68799999997</v>
      </c>
    </row>
    <row r="108" spans="1:21" s="15" customFormat="1" x14ac:dyDescent="0.3">
      <c r="A108" s="17"/>
      <c r="B108"/>
      <c r="C108"/>
      <c r="D108"/>
      <c r="E108"/>
      <c r="F108" s="50">
        <v>40210</v>
      </c>
      <c r="G108" s="53">
        <v>89</v>
      </c>
      <c r="H108" s="53">
        <v>178</v>
      </c>
      <c r="I108" s="53">
        <v>89</v>
      </c>
      <c r="J108"/>
      <c r="K108"/>
      <c r="L108"/>
      <c r="M108"/>
      <c r="N108" s="38"/>
      <c r="O108" s="54">
        <v>763790.88</v>
      </c>
      <c r="P108" s="54">
        <v>6110327.04</v>
      </c>
      <c r="Q108" s="54">
        <v>763790.88</v>
      </c>
      <c r="R108" s="54"/>
      <c r="S108" s="54">
        <v>763790.88</v>
      </c>
      <c r="T108" s="15">
        <v>6110327.04</v>
      </c>
      <c r="U108" s="15">
        <v>763790.88</v>
      </c>
    </row>
    <row r="109" spans="1:21" s="15" customFormat="1" x14ac:dyDescent="0.3">
      <c r="A109" s="17"/>
      <c r="B109"/>
      <c r="C109"/>
      <c r="D109"/>
      <c r="E109"/>
      <c r="F109" s="50">
        <v>40238</v>
      </c>
      <c r="G109" s="53">
        <v>105.1</v>
      </c>
      <c r="H109" s="53">
        <v>210.2</v>
      </c>
      <c r="I109" s="53">
        <v>105.1</v>
      </c>
      <c r="J109"/>
      <c r="K109"/>
      <c r="L109"/>
      <c r="M109"/>
      <c r="N109" s="38"/>
      <c r="O109" s="54">
        <v>853075.67999999993</v>
      </c>
      <c r="P109" s="54">
        <v>6824605.4399999995</v>
      </c>
      <c r="Q109" s="54">
        <v>853075.67999999993</v>
      </c>
      <c r="R109" s="54"/>
      <c r="S109" s="54">
        <v>853075.67999999993</v>
      </c>
      <c r="T109" s="15">
        <v>6824605.4399999995</v>
      </c>
      <c r="U109" s="15">
        <v>853075.67999999993</v>
      </c>
    </row>
    <row r="110" spans="1:21" s="15" customFormat="1" x14ac:dyDescent="0.3">
      <c r="A110" s="17"/>
      <c r="B110"/>
      <c r="C110"/>
      <c r="D110"/>
      <c r="E110"/>
      <c r="F110" s="50">
        <v>40269</v>
      </c>
      <c r="G110" s="53">
        <v>99.3</v>
      </c>
      <c r="H110" s="53">
        <v>198.6</v>
      </c>
      <c r="I110" s="53">
        <v>99.3</v>
      </c>
      <c r="J110"/>
      <c r="K110"/>
      <c r="L110"/>
      <c r="M110"/>
      <c r="N110" s="38"/>
      <c r="O110" s="54">
        <v>928842.2699999999</v>
      </c>
      <c r="P110" s="54">
        <v>7430738.1599999992</v>
      </c>
      <c r="Q110" s="54">
        <v>928842.2699999999</v>
      </c>
      <c r="R110" s="54"/>
      <c r="S110" s="54">
        <v>928842.2699999999</v>
      </c>
      <c r="T110" s="15">
        <v>7430738.1599999992</v>
      </c>
      <c r="U110" s="15">
        <v>928842.2699999999</v>
      </c>
    </row>
    <row r="111" spans="1:21" s="15" customFormat="1" x14ac:dyDescent="0.3">
      <c r="A111" s="17"/>
      <c r="B111"/>
      <c r="C111"/>
      <c r="D111"/>
      <c r="E111"/>
      <c r="F111" s="50">
        <v>40299</v>
      </c>
      <c r="G111" s="53">
        <v>104.3</v>
      </c>
      <c r="H111" s="53">
        <v>208.6</v>
      </c>
      <c r="I111" s="53">
        <v>104.3</v>
      </c>
      <c r="J111"/>
      <c r="K111"/>
      <c r="L111"/>
      <c r="M111"/>
      <c r="N111" s="38"/>
      <c r="O111" s="54">
        <v>1088519.6489999997</v>
      </c>
      <c r="P111" s="54">
        <v>8708157.1919999979</v>
      </c>
      <c r="Q111" s="54">
        <v>1088519.6489999997</v>
      </c>
      <c r="R111" s="54"/>
      <c r="S111" s="54">
        <v>1088519.6489999997</v>
      </c>
      <c r="T111" s="15">
        <v>8708157.1919999979</v>
      </c>
      <c r="U111" s="15">
        <v>1088519.6489999997</v>
      </c>
    </row>
    <row r="112" spans="1:21" s="15" customFormat="1" x14ac:dyDescent="0.3">
      <c r="A112" s="17"/>
      <c r="B112"/>
      <c r="C112"/>
      <c r="D112"/>
      <c r="E112"/>
      <c r="F112" s="50">
        <v>40330</v>
      </c>
      <c r="G112" s="53">
        <v>102.5</v>
      </c>
      <c r="H112" s="53">
        <v>205</v>
      </c>
      <c r="I112" s="53">
        <v>102.5</v>
      </c>
      <c r="J112"/>
      <c r="K112"/>
      <c r="L112"/>
      <c r="M112"/>
      <c r="N112" s="38"/>
      <c r="O112" s="54">
        <v>1061591.4750000001</v>
      </c>
      <c r="P112" s="54">
        <v>8492731.8000000007</v>
      </c>
      <c r="Q112" s="54">
        <v>1061591.4750000001</v>
      </c>
      <c r="R112" s="54"/>
      <c r="S112" s="54">
        <v>1061591.4750000001</v>
      </c>
      <c r="T112" s="15">
        <v>8492731.8000000007</v>
      </c>
      <c r="U112" s="15">
        <v>1061591.4750000001</v>
      </c>
    </row>
    <row r="113" spans="1:21" s="15" customFormat="1" x14ac:dyDescent="0.3">
      <c r="A113" s="17"/>
      <c r="B113"/>
      <c r="C113"/>
      <c r="D113"/>
      <c r="E113"/>
      <c r="F113" s="50">
        <v>40360</v>
      </c>
      <c r="G113" s="53">
        <v>106.9</v>
      </c>
      <c r="H113" s="53">
        <v>213.8</v>
      </c>
      <c r="I113" s="53">
        <v>106.9</v>
      </c>
      <c r="J113"/>
      <c r="K113"/>
      <c r="L113"/>
      <c r="M113"/>
      <c r="N113" s="38"/>
      <c r="O113" s="54">
        <v>1142841.175</v>
      </c>
      <c r="P113" s="54">
        <v>9142729.4000000004</v>
      </c>
      <c r="Q113" s="54">
        <v>1142841.175</v>
      </c>
      <c r="R113" s="54"/>
      <c r="S113" s="54">
        <v>1142841.175</v>
      </c>
      <c r="T113" s="15">
        <v>9142729.4000000004</v>
      </c>
      <c r="U113" s="15">
        <v>1142841.175</v>
      </c>
    </row>
    <row r="114" spans="1:21" s="15" customFormat="1" x14ac:dyDescent="0.3">
      <c r="A114" s="17"/>
      <c r="B114"/>
      <c r="C114"/>
      <c r="D114"/>
      <c r="E114"/>
      <c r="F114" s="50">
        <v>40391</v>
      </c>
      <c r="G114" s="53">
        <v>108.1</v>
      </c>
      <c r="H114" s="53">
        <v>216.2</v>
      </c>
      <c r="I114" s="53">
        <v>108.1</v>
      </c>
      <c r="J114"/>
      <c r="K114"/>
      <c r="L114"/>
      <c r="M114"/>
      <c r="N114" s="38"/>
      <c r="O114" s="54">
        <v>1184478.7249999999</v>
      </c>
      <c r="P114" s="54">
        <v>9475829.7999999989</v>
      </c>
      <c r="Q114" s="54">
        <v>1184478.7249999999</v>
      </c>
      <c r="R114" s="54"/>
      <c r="S114" s="54">
        <v>1184478.7249999999</v>
      </c>
      <c r="T114" s="15">
        <v>9475829.7999999989</v>
      </c>
      <c r="U114" s="15">
        <v>1184478.7249999999</v>
      </c>
    </row>
    <row r="115" spans="1:21" s="15" customFormat="1" x14ac:dyDescent="0.3">
      <c r="A115" s="17"/>
      <c r="B115"/>
      <c r="C115"/>
      <c r="D115"/>
      <c r="E115"/>
      <c r="F115" s="50">
        <v>40422</v>
      </c>
      <c r="G115" s="53">
        <v>105.8</v>
      </c>
      <c r="H115" s="53">
        <v>211.6</v>
      </c>
      <c r="I115" s="53">
        <v>105.8</v>
      </c>
      <c r="J115"/>
      <c r="K115"/>
      <c r="L115"/>
      <c r="M115"/>
      <c r="N115" s="38"/>
      <c r="O115" s="54">
        <v>1222613.162</v>
      </c>
      <c r="P115" s="54">
        <v>9780905.2960000001</v>
      </c>
      <c r="Q115" s="54">
        <v>1222613.162</v>
      </c>
      <c r="R115" s="54"/>
      <c r="S115" s="54">
        <v>1222613.162</v>
      </c>
      <c r="T115" s="15">
        <v>9780905.2960000001</v>
      </c>
      <c r="U115" s="15">
        <v>1222613.162</v>
      </c>
    </row>
    <row r="116" spans="1:21" s="15" customFormat="1" x14ac:dyDescent="0.3">
      <c r="A116" s="17"/>
      <c r="B116"/>
      <c r="C116"/>
      <c r="D116"/>
      <c r="E116"/>
      <c r="F116" s="50">
        <v>40452</v>
      </c>
      <c r="G116" s="53">
        <v>107.7</v>
      </c>
      <c r="H116" s="53">
        <v>215.4</v>
      </c>
      <c r="I116" s="53">
        <v>107.7</v>
      </c>
      <c r="J116"/>
      <c r="K116"/>
      <c r="L116"/>
      <c r="M116"/>
      <c r="N116" s="38"/>
      <c r="O116" s="54">
        <v>1231762.746</v>
      </c>
      <c r="P116" s="54">
        <v>9854101.9680000003</v>
      </c>
      <c r="Q116" s="54">
        <v>1231762.746</v>
      </c>
      <c r="R116" s="54"/>
      <c r="S116" s="54">
        <v>1231762.746</v>
      </c>
      <c r="T116" s="15">
        <v>9854101.9680000003</v>
      </c>
      <c r="U116" s="15">
        <v>1231762.746</v>
      </c>
    </row>
    <row r="117" spans="1:21" s="15" customFormat="1" x14ac:dyDescent="0.3">
      <c r="A117" s="17"/>
      <c r="B117"/>
      <c r="C117"/>
      <c r="D117"/>
      <c r="E117"/>
      <c r="F117" s="50">
        <v>40483</v>
      </c>
      <c r="G117" s="53">
        <v>106.8</v>
      </c>
      <c r="H117" s="53">
        <v>213.6</v>
      </c>
      <c r="I117" s="53">
        <v>106.8</v>
      </c>
      <c r="J117"/>
      <c r="K117"/>
      <c r="L117"/>
      <c r="M117"/>
      <c r="N117" s="38"/>
      <c r="O117" s="54">
        <v>1216949.6879999998</v>
      </c>
      <c r="P117" s="54">
        <v>9735597.5039999988</v>
      </c>
      <c r="Q117" s="54">
        <v>1216949.6879999998</v>
      </c>
      <c r="R117" s="54"/>
      <c r="S117" s="54">
        <v>1216949.6879999998</v>
      </c>
      <c r="T117" s="15">
        <v>9735597.5039999988</v>
      </c>
      <c r="U117" s="15">
        <v>1216949.6879999998</v>
      </c>
    </row>
    <row r="118" spans="1:21" s="15" customFormat="1" x14ac:dyDescent="0.3">
      <c r="A118" s="17"/>
      <c r="B118"/>
      <c r="C118"/>
      <c r="D118"/>
      <c r="E118"/>
      <c r="F118" s="50">
        <v>40513</v>
      </c>
      <c r="G118" s="53">
        <v>96.6</v>
      </c>
      <c r="H118" s="53">
        <v>193.2</v>
      </c>
      <c r="I118" s="53">
        <v>96.6</v>
      </c>
      <c r="J118"/>
      <c r="K118"/>
      <c r="L118"/>
      <c r="M118"/>
      <c r="N118" s="38"/>
      <c r="O118" s="54">
        <v>1111127.976</v>
      </c>
      <c r="P118" s="54">
        <v>8889023.8080000002</v>
      </c>
      <c r="Q118" s="54">
        <v>1111127.976</v>
      </c>
      <c r="R118" s="54"/>
      <c r="S118" s="54">
        <v>1111127.976</v>
      </c>
      <c r="T118" s="15">
        <v>8889023.8080000002</v>
      </c>
      <c r="U118" s="15">
        <v>1111127.976</v>
      </c>
    </row>
    <row r="119" spans="1:21" s="15" customFormat="1" x14ac:dyDescent="0.3">
      <c r="A119" s="17"/>
      <c r="B119"/>
      <c r="C119"/>
      <c r="D119"/>
      <c r="E119"/>
      <c r="F119" s="50">
        <v>40544</v>
      </c>
      <c r="G119" s="53">
        <v>93.2</v>
      </c>
      <c r="H119" s="53">
        <v>186.4</v>
      </c>
      <c r="I119" s="53">
        <v>93.2</v>
      </c>
      <c r="J119"/>
      <c r="K119"/>
      <c r="L119"/>
      <c r="M119"/>
      <c r="N119" s="38"/>
      <c r="O119" s="54">
        <v>961533.2159999999</v>
      </c>
      <c r="P119" s="54">
        <v>7692265.7279999992</v>
      </c>
      <c r="Q119" s="54">
        <v>961533.2159999999</v>
      </c>
      <c r="R119" s="54"/>
      <c r="S119" s="54">
        <v>961533.2159999999</v>
      </c>
      <c r="T119" s="15">
        <v>7692265.7279999992</v>
      </c>
      <c r="U119" s="15">
        <v>961533.2159999999</v>
      </c>
    </row>
    <row r="120" spans="1:21" s="15" customFormat="1" x14ac:dyDescent="0.3">
      <c r="A120" s="17"/>
      <c r="B120"/>
      <c r="C120"/>
      <c r="D120"/>
      <c r="E120"/>
      <c r="F120" s="50">
        <v>40575</v>
      </c>
      <c r="G120" s="53">
        <v>95.4</v>
      </c>
      <c r="H120" s="53">
        <v>190.8</v>
      </c>
      <c r="I120" s="53">
        <v>95.4</v>
      </c>
      <c r="J120"/>
      <c r="K120"/>
      <c r="L120"/>
      <c r="M120"/>
      <c r="N120" s="38"/>
      <c r="O120" s="54">
        <v>858897.64799999993</v>
      </c>
      <c r="P120" s="54">
        <v>6871181.1839999994</v>
      </c>
      <c r="Q120" s="54">
        <v>858897.64799999993</v>
      </c>
      <c r="R120" s="54"/>
      <c r="S120" s="54">
        <v>858897.64799999993</v>
      </c>
      <c r="T120" s="15">
        <v>6871181.1839999994</v>
      </c>
      <c r="U120" s="15">
        <v>858897.64799999993</v>
      </c>
    </row>
    <row r="121" spans="1:21" s="15" customFormat="1" x14ac:dyDescent="0.3">
      <c r="A121" s="17"/>
      <c r="B121"/>
      <c r="C121"/>
      <c r="D121"/>
      <c r="E121"/>
      <c r="F121" s="50">
        <v>40603</v>
      </c>
      <c r="G121" s="53">
        <v>104.4</v>
      </c>
      <c r="H121" s="53">
        <v>208.8</v>
      </c>
      <c r="I121" s="53">
        <v>104.4</v>
      </c>
      <c r="J121"/>
      <c r="K121"/>
      <c r="L121"/>
      <c r="M121"/>
      <c r="N121" s="38"/>
      <c r="O121" s="54">
        <v>928249.6320000001</v>
      </c>
      <c r="P121" s="54">
        <v>7425997.0560000008</v>
      </c>
      <c r="Q121" s="54">
        <v>928249.6320000001</v>
      </c>
      <c r="R121" s="54"/>
      <c r="S121" s="54">
        <v>928249.6320000001</v>
      </c>
      <c r="T121" s="15">
        <v>7425997.0560000008</v>
      </c>
      <c r="U121" s="15">
        <v>928249.6320000001</v>
      </c>
    </row>
    <row r="122" spans="1:21" s="15" customFormat="1" x14ac:dyDescent="0.3">
      <c r="A122" s="17"/>
      <c r="B122"/>
      <c r="C122"/>
      <c r="D122"/>
      <c r="E122"/>
      <c r="F122" s="50">
        <v>40634</v>
      </c>
      <c r="G122" s="53">
        <v>97.5</v>
      </c>
      <c r="H122" s="53">
        <v>195</v>
      </c>
      <c r="I122" s="53">
        <v>97.5</v>
      </c>
      <c r="J122"/>
      <c r="K122"/>
      <c r="L122"/>
      <c r="M122"/>
      <c r="N122" s="38"/>
      <c r="O122" s="54">
        <v>971076.60000000021</v>
      </c>
      <c r="P122" s="54">
        <v>7768612.8000000017</v>
      </c>
      <c r="Q122" s="54">
        <v>971076.60000000021</v>
      </c>
      <c r="R122" s="54"/>
      <c r="S122" s="54">
        <v>971076.60000000021</v>
      </c>
      <c r="T122" s="15">
        <v>7768612.8000000017</v>
      </c>
      <c r="U122" s="15">
        <v>971076.60000000021</v>
      </c>
    </row>
    <row r="123" spans="1:21" s="15" customFormat="1" x14ac:dyDescent="0.3">
      <c r="A123" s="17"/>
      <c r="B123"/>
      <c r="C123"/>
      <c r="D123"/>
      <c r="E123"/>
      <c r="F123" s="50">
        <v>40664</v>
      </c>
      <c r="G123" s="53">
        <v>107.1</v>
      </c>
      <c r="H123" s="53">
        <v>214.2</v>
      </c>
      <c r="I123" s="53">
        <v>107.1</v>
      </c>
      <c r="J123"/>
      <c r="K123"/>
      <c r="L123"/>
      <c r="M123"/>
      <c r="N123" s="38"/>
      <c r="O123" s="54">
        <v>1090170.8999999999</v>
      </c>
      <c r="P123" s="54">
        <v>8721367.1999999993</v>
      </c>
      <c r="Q123" s="54">
        <v>1090170.8999999999</v>
      </c>
      <c r="R123" s="54"/>
      <c r="S123" s="54">
        <v>1090170.8999999999</v>
      </c>
      <c r="T123" s="15">
        <v>8721367.1999999993</v>
      </c>
      <c r="U123" s="15">
        <v>1090170.8999999999</v>
      </c>
    </row>
    <row r="124" spans="1:21" s="15" customFormat="1" x14ac:dyDescent="0.3">
      <c r="A124" s="17"/>
      <c r="B124"/>
      <c r="C124"/>
      <c r="D124"/>
      <c r="E124"/>
      <c r="F124" s="50">
        <v>40695</v>
      </c>
      <c r="G124" s="53">
        <v>102.8</v>
      </c>
      <c r="H124" s="53">
        <v>205.6</v>
      </c>
      <c r="I124" s="53">
        <v>102.8</v>
      </c>
      <c r="J124"/>
      <c r="K124"/>
      <c r="L124"/>
      <c r="M124"/>
      <c r="N124" s="38"/>
      <c r="O124" s="54">
        <v>1073463.3</v>
      </c>
      <c r="P124" s="54">
        <v>8587706.4000000004</v>
      </c>
      <c r="Q124" s="54">
        <v>1073463.3</v>
      </c>
      <c r="R124" s="54"/>
      <c r="S124" s="54">
        <v>1073463.3</v>
      </c>
      <c r="T124" s="15">
        <v>8587706.4000000004</v>
      </c>
      <c r="U124" s="15">
        <v>1073463.3</v>
      </c>
    </row>
    <row r="125" spans="1:21" s="15" customFormat="1" x14ac:dyDescent="0.3">
      <c r="A125" s="17"/>
      <c r="B125"/>
      <c r="C125"/>
      <c r="D125"/>
      <c r="E125"/>
      <c r="F125" s="50">
        <v>40725</v>
      </c>
      <c r="G125" s="53">
        <v>106.1</v>
      </c>
      <c r="H125" s="53">
        <v>212.2</v>
      </c>
      <c r="I125" s="53">
        <v>106.1</v>
      </c>
      <c r="J125"/>
      <c r="K125"/>
      <c r="L125"/>
      <c r="M125"/>
      <c r="N125" s="38"/>
      <c r="O125" s="54">
        <v>1168148.2679999999</v>
      </c>
      <c r="P125" s="54">
        <v>9345186.1439999994</v>
      </c>
      <c r="Q125" s="54">
        <v>1168148.2679999999</v>
      </c>
      <c r="R125" s="54"/>
      <c r="S125" s="54">
        <v>1168148.2679999999</v>
      </c>
      <c r="T125" s="15">
        <v>9345186.1439999994</v>
      </c>
      <c r="U125" s="15">
        <v>1168148.2679999999</v>
      </c>
    </row>
    <row r="126" spans="1:21" s="15" customFormat="1" x14ac:dyDescent="0.3">
      <c r="A126" s="17"/>
      <c r="B126"/>
      <c r="C126"/>
      <c r="D126"/>
      <c r="E126"/>
      <c r="F126" s="50">
        <v>40756</v>
      </c>
      <c r="G126" s="53">
        <v>110.8</v>
      </c>
      <c r="H126" s="53">
        <v>221.6</v>
      </c>
      <c r="I126" s="53">
        <v>110.8</v>
      </c>
      <c r="J126"/>
      <c r="K126"/>
      <c r="L126"/>
      <c r="M126"/>
      <c r="N126" s="38"/>
      <c r="O126" s="54">
        <v>1208504.4639999999</v>
      </c>
      <c r="P126" s="54">
        <v>9668035.7119999994</v>
      </c>
      <c r="Q126" s="54">
        <v>1208504.4639999999</v>
      </c>
      <c r="R126" s="54"/>
      <c r="S126" s="54">
        <v>1208504.4639999999</v>
      </c>
      <c r="T126" s="15">
        <v>9668035.7119999994</v>
      </c>
      <c r="U126" s="15">
        <v>1208504.4639999999</v>
      </c>
    </row>
    <row r="127" spans="1:21" s="15" customFormat="1" x14ac:dyDescent="0.3">
      <c r="A127" s="17"/>
      <c r="B127"/>
      <c r="C127"/>
      <c r="D127"/>
      <c r="E127"/>
      <c r="F127" s="50">
        <v>40787</v>
      </c>
      <c r="G127" s="53">
        <v>104.8</v>
      </c>
      <c r="H127" s="53">
        <v>209.6</v>
      </c>
      <c r="I127" s="53">
        <v>104.8</v>
      </c>
      <c r="J127"/>
      <c r="K127"/>
      <c r="L127"/>
      <c r="M127"/>
      <c r="N127" s="38"/>
      <c r="O127" s="54">
        <v>1232016.2239999999</v>
      </c>
      <c r="P127" s="54">
        <v>9856129.7919999994</v>
      </c>
      <c r="Q127" s="54">
        <v>1232016.2239999999</v>
      </c>
      <c r="R127" s="54"/>
      <c r="S127" s="54">
        <v>1232016.2239999999</v>
      </c>
      <c r="T127" s="15">
        <v>9856129.7919999994</v>
      </c>
      <c r="U127" s="15">
        <v>1232016.2239999999</v>
      </c>
    </row>
    <row r="128" spans="1:21" s="15" customFormat="1" x14ac:dyDescent="0.3">
      <c r="A128" s="17"/>
      <c r="B128"/>
      <c r="C128"/>
      <c r="D128"/>
      <c r="E128"/>
      <c r="F128" s="50">
        <v>40817</v>
      </c>
      <c r="G128" s="53">
        <v>106.3</v>
      </c>
      <c r="H128" s="53">
        <v>212.6</v>
      </c>
      <c r="I128" s="53">
        <v>106.3</v>
      </c>
      <c r="J128"/>
      <c r="K128"/>
      <c r="L128"/>
      <c r="M128"/>
      <c r="N128" s="38"/>
      <c r="O128" s="54">
        <v>1234338.5919999999</v>
      </c>
      <c r="P128" s="54">
        <v>9874708.7359999996</v>
      </c>
      <c r="Q128" s="54">
        <v>1234338.5919999999</v>
      </c>
      <c r="R128" s="54"/>
      <c r="S128" s="54">
        <v>1234338.5919999999</v>
      </c>
      <c r="T128" s="15">
        <v>9874708.7359999996</v>
      </c>
      <c r="U128" s="15">
        <v>1234338.5919999999</v>
      </c>
    </row>
    <row r="129" spans="1:21" s="15" customFormat="1" x14ac:dyDescent="0.3">
      <c r="A129" s="17"/>
      <c r="B129"/>
      <c r="C129"/>
      <c r="D129"/>
      <c r="E129"/>
      <c r="F129" s="50">
        <v>40848</v>
      </c>
      <c r="G129" s="53">
        <v>104.2</v>
      </c>
      <c r="H129" s="53">
        <v>208.4</v>
      </c>
      <c r="I129" s="53">
        <v>104.2</v>
      </c>
      <c r="J129"/>
      <c r="K129"/>
      <c r="L129"/>
      <c r="M129"/>
      <c r="N129" s="38"/>
      <c r="O129" s="54">
        <v>1160813.0079999999</v>
      </c>
      <c r="P129" s="54">
        <v>9286504.0639999993</v>
      </c>
      <c r="Q129" s="54">
        <v>1160813.0079999999</v>
      </c>
      <c r="R129" s="54"/>
      <c r="S129" s="54">
        <v>1160813.0079999999</v>
      </c>
      <c r="T129" s="15">
        <v>9286504.0639999993</v>
      </c>
      <c r="U129" s="15">
        <v>1160813.0079999999</v>
      </c>
    </row>
    <row r="130" spans="1:21" s="15" customFormat="1" x14ac:dyDescent="0.3">
      <c r="A130" s="17"/>
      <c r="B130"/>
      <c r="C130"/>
      <c r="D130"/>
      <c r="E130"/>
      <c r="F130" s="50">
        <v>40878</v>
      </c>
      <c r="G130" s="53">
        <v>95.7</v>
      </c>
      <c r="H130" s="53">
        <v>191.4</v>
      </c>
      <c r="I130" s="53">
        <v>95.7</v>
      </c>
      <c r="J130"/>
      <c r="K130"/>
      <c r="L130"/>
      <c r="M130"/>
      <c r="N130" s="38"/>
      <c r="O130" s="54">
        <v>1060017.2219999998</v>
      </c>
      <c r="P130" s="54">
        <v>8480137.7759999987</v>
      </c>
      <c r="Q130" s="54">
        <v>1060017.2219999998</v>
      </c>
      <c r="R130" s="54"/>
      <c r="S130" s="54">
        <v>1060017.2219999998</v>
      </c>
      <c r="T130" s="15">
        <v>8480137.7759999987</v>
      </c>
      <c r="U130" s="15">
        <v>1060017.2219999998</v>
      </c>
    </row>
    <row r="131" spans="1:21" s="15" customFormat="1" x14ac:dyDescent="0.3">
      <c r="A131" s="17"/>
      <c r="B131"/>
      <c r="C131"/>
      <c r="D131"/>
      <c r="E131"/>
      <c r="F131" s="50">
        <v>40909</v>
      </c>
      <c r="G131" s="53">
        <v>88.7</v>
      </c>
      <c r="H131" s="53">
        <v>177.4</v>
      </c>
      <c r="I131" s="53">
        <v>88.7</v>
      </c>
      <c r="J131"/>
      <c r="K131"/>
      <c r="L131"/>
      <c r="M131"/>
      <c r="N131" s="38"/>
      <c r="O131" s="54">
        <v>884511.0780000001</v>
      </c>
      <c r="P131" s="54">
        <v>7076088.6240000008</v>
      </c>
      <c r="Q131" s="54">
        <v>884511.0780000001</v>
      </c>
      <c r="R131" s="54"/>
      <c r="S131" s="54">
        <v>884511.0780000001</v>
      </c>
      <c r="T131" s="15">
        <v>7076088.6240000008</v>
      </c>
      <c r="U131" s="15">
        <v>884511.0780000001</v>
      </c>
    </row>
    <row r="132" spans="1:21" s="15" customFormat="1" x14ac:dyDescent="0.3">
      <c r="A132" s="17"/>
      <c r="B132"/>
      <c r="C132"/>
      <c r="D132"/>
      <c r="E132"/>
      <c r="F132" s="50">
        <v>40940</v>
      </c>
      <c r="G132" s="53">
        <v>89.8</v>
      </c>
      <c r="H132" s="53">
        <v>179.6</v>
      </c>
      <c r="I132" s="53">
        <v>89.8</v>
      </c>
      <c r="J132"/>
      <c r="K132"/>
      <c r="L132"/>
      <c r="M132"/>
      <c r="N132" s="38"/>
      <c r="O132" s="54">
        <v>762275.38199999998</v>
      </c>
      <c r="P132" s="54">
        <v>6098203.0559999999</v>
      </c>
      <c r="Q132" s="54">
        <v>762275.38199999998</v>
      </c>
      <c r="R132" s="54"/>
      <c r="S132" s="54">
        <v>762275.38199999998</v>
      </c>
      <c r="T132" s="15">
        <v>6098203.0559999999</v>
      </c>
      <c r="U132" s="15">
        <v>762275.38199999998</v>
      </c>
    </row>
    <row r="133" spans="1:21" s="15" customFormat="1" x14ac:dyDescent="0.3">
      <c r="A133" s="17"/>
      <c r="B133"/>
      <c r="C133"/>
      <c r="D133"/>
      <c r="E133"/>
      <c r="F133" s="50">
        <v>40969</v>
      </c>
      <c r="G133" s="53">
        <v>99.7</v>
      </c>
      <c r="H133" s="53">
        <v>199.4</v>
      </c>
      <c r="I133" s="53">
        <v>99.7</v>
      </c>
      <c r="J133"/>
      <c r="K133"/>
      <c r="L133"/>
      <c r="M133"/>
      <c r="N133" s="38"/>
      <c r="O133" s="54">
        <v>794136.42200000002</v>
      </c>
      <c r="P133" s="54">
        <v>6353091.3760000002</v>
      </c>
      <c r="Q133" s="54">
        <v>794136.42200000002</v>
      </c>
      <c r="R133" s="54"/>
      <c r="S133" s="54">
        <v>794136.42200000002</v>
      </c>
      <c r="T133" s="15">
        <v>6353091.3760000002</v>
      </c>
      <c r="U133" s="15">
        <v>794136.42200000002</v>
      </c>
    </row>
    <row r="134" spans="1:21" s="15" customFormat="1" x14ac:dyDescent="0.3">
      <c r="A134" s="17"/>
      <c r="B134"/>
      <c r="C134"/>
      <c r="D134"/>
      <c r="E134"/>
      <c r="F134" s="50">
        <v>41000</v>
      </c>
      <c r="G134" s="53">
        <v>92.8</v>
      </c>
      <c r="H134" s="53">
        <v>185.6</v>
      </c>
      <c r="I134" s="53">
        <v>92.8</v>
      </c>
      <c r="J134"/>
      <c r="K134"/>
      <c r="L134"/>
      <c r="M134"/>
      <c r="N134" s="38"/>
      <c r="O134" s="54">
        <v>830843.96799999988</v>
      </c>
      <c r="P134" s="54">
        <v>6646751.743999999</v>
      </c>
      <c r="Q134" s="54">
        <v>830843.96799999988</v>
      </c>
      <c r="R134" s="54"/>
      <c r="S134" s="54">
        <v>830843.96799999988</v>
      </c>
      <c r="T134" s="15">
        <v>6646751.743999999</v>
      </c>
      <c r="U134" s="15">
        <v>830843.96799999988</v>
      </c>
    </row>
    <row r="135" spans="1:21" s="15" customFormat="1" x14ac:dyDescent="0.3">
      <c r="A135" s="17"/>
      <c r="B135"/>
      <c r="C135"/>
      <c r="D135"/>
      <c r="E135"/>
      <c r="F135" s="50">
        <v>41030</v>
      </c>
      <c r="G135" s="53">
        <v>102.5</v>
      </c>
      <c r="H135" s="53">
        <v>205</v>
      </c>
      <c r="I135" s="53">
        <v>102.5</v>
      </c>
      <c r="J135"/>
      <c r="K135"/>
      <c r="L135"/>
      <c r="M135"/>
      <c r="N135" s="38"/>
      <c r="O135" s="54">
        <v>948346.4</v>
      </c>
      <c r="P135" s="54">
        <v>7586771.2000000002</v>
      </c>
      <c r="Q135" s="54">
        <v>948346.4</v>
      </c>
      <c r="R135" s="54"/>
      <c r="S135" s="54">
        <v>948346.4</v>
      </c>
      <c r="T135" s="15">
        <v>7586771.2000000002</v>
      </c>
      <c r="U135" s="15">
        <v>948346.4</v>
      </c>
    </row>
    <row r="136" spans="1:21" s="15" customFormat="1" x14ac:dyDescent="0.3">
      <c r="A136" s="17"/>
      <c r="B136"/>
      <c r="C136"/>
      <c r="D136"/>
      <c r="E136"/>
      <c r="F136" s="50">
        <v>41061</v>
      </c>
      <c r="G136" s="53">
        <v>98.3</v>
      </c>
      <c r="H136" s="53">
        <v>196.6</v>
      </c>
      <c r="I136" s="53">
        <v>98.3</v>
      </c>
      <c r="J136"/>
      <c r="K136"/>
      <c r="L136"/>
      <c r="M136"/>
      <c r="N136" s="38"/>
      <c r="O136" s="54">
        <v>935029.6</v>
      </c>
      <c r="P136" s="54">
        <v>7480236.7999999998</v>
      </c>
      <c r="Q136" s="54">
        <v>935029.6</v>
      </c>
      <c r="R136" s="54"/>
      <c r="S136" s="54">
        <v>935029.6</v>
      </c>
      <c r="T136" s="15">
        <v>7480236.7999999998</v>
      </c>
      <c r="U136" s="15">
        <v>935029.6</v>
      </c>
    </row>
    <row r="137" spans="1:21" s="15" customFormat="1" x14ac:dyDescent="0.3">
      <c r="A137" s="17"/>
      <c r="B137"/>
      <c r="C137"/>
      <c r="D137"/>
      <c r="E137"/>
      <c r="F137" s="50">
        <v>41091</v>
      </c>
      <c r="G137" s="53">
        <v>104.5</v>
      </c>
      <c r="H137" s="53">
        <v>209</v>
      </c>
      <c r="I137" s="53">
        <v>104.5</v>
      </c>
      <c r="J137"/>
      <c r="K137"/>
      <c r="L137"/>
      <c r="M137"/>
      <c r="N137" s="38"/>
      <c r="O137" s="54">
        <v>1052915.875</v>
      </c>
      <c r="P137" s="54">
        <v>8423327</v>
      </c>
      <c r="Q137" s="54">
        <v>1052915.875</v>
      </c>
      <c r="R137" s="54"/>
      <c r="S137" s="54">
        <v>1052915.875</v>
      </c>
      <c r="T137" s="15">
        <v>8423327</v>
      </c>
      <c r="U137" s="15">
        <v>1052915.875</v>
      </c>
    </row>
    <row r="138" spans="1:21" s="15" customFormat="1" x14ac:dyDescent="0.3">
      <c r="A138" s="17"/>
      <c r="B138"/>
      <c r="C138"/>
      <c r="D138"/>
      <c r="E138"/>
      <c r="F138" s="50">
        <v>41122</v>
      </c>
      <c r="G138" s="53">
        <v>111.5</v>
      </c>
      <c r="H138" s="53">
        <v>223</v>
      </c>
      <c r="I138" s="53">
        <v>111.5</v>
      </c>
      <c r="J138"/>
      <c r="K138"/>
      <c r="L138"/>
      <c r="M138"/>
      <c r="N138" s="38"/>
      <c r="O138" s="54">
        <v>1145367.0250000001</v>
      </c>
      <c r="P138" s="54">
        <v>9162936.2000000011</v>
      </c>
      <c r="Q138" s="54">
        <v>1145367.0250000001</v>
      </c>
      <c r="R138" s="54"/>
      <c r="S138" s="54">
        <v>1145367.0250000001</v>
      </c>
      <c r="T138" s="15">
        <v>9162936.2000000011</v>
      </c>
      <c r="U138" s="15">
        <v>1145367.0250000001</v>
      </c>
    </row>
    <row r="139" spans="1:21" s="15" customFormat="1" x14ac:dyDescent="0.3">
      <c r="A139" s="17"/>
      <c r="B139"/>
      <c r="C139"/>
      <c r="D139"/>
      <c r="E139"/>
      <c r="F139" s="50">
        <v>41153</v>
      </c>
      <c r="G139" s="53">
        <v>103.4</v>
      </c>
      <c r="H139" s="53">
        <v>206.8</v>
      </c>
      <c r="I139" s="53">
        <v>103.4</v>
      </c>
      <c r="J139"/>
      <c r="K139"/>
      <c r="L139"/>
      <c r="M139"/>
      <c r="N139" s="38"/>
      <c r="O139" s="54">
        <v>1204790.95</v>
      </c>
      <c r="P139" s="54">
        <v>9638327.5999999996</v>
      </c>
      <c r="Q139" s="54">
        <v>1204790.95</v>
      </c>
      <c r="R139" s="54"/>
      <c r="S139" s="54">
        <v>1204790.95</v>
      </c>
      <c r="T139" s="15">
        <v>9638327.5999999996</v>
      </c>
      <c r="U139" s="15">
        <v>1204790.95</v>
      </c>
    </row>
    <row r="140" spans="1:21" s="15" customFormat="1" x14ac:dyDescent="0.3">
      <c r="A140" s="17"/>
      <c r="B140"/>
      <c r="C140"/>
      <c r="D140"/>
      <c r="E140"/>
      <c r="F140" s="50">
        <v>41183</v>
      </c>
      <c r="G140" s="53">
        <v>111.8</v>
      </c>
      <c r="H140" s="53">
        <v>223.6</v>
      </c>
      <c r="I140" s="53">
        <v>111.8</v>
      </c>
      <c r="J140"/>
      <c r="K140"/>
      <c r="L140"/>
      <c r="M140"/>
      <c r="N140" s="38"/>
      <c r="O140" s="54">
        <v>1288953.3800000001</v>
      </c>
      <c r="P140" s="54">
        <v>10311627.040000001</v>
      </c>
      <c r="Q140" s="54">
        <v>1288953.3800000001</v>
      </c>
      <c r="R140" s="54"/>
      <c r="S140" s="54">
        <v>1288953.3800000001</v>
      </c>
      <c r="T140" s="15">
        <v>10311627.040000001</v>
      </c>
      <c r="U140" s="15">
        <v>1288953.3800000001</v>
      </c>
    </row>
    <row r="141" spans="1:21" s="15" customFormat="1" x14ac:dyDescent="0.3">
      <c r="A141" s="17"/>
      <c r="B141"/>
      <c r="C141"/>
      <c r="D141"/>
      <c r="E141"/>
      <c r="F141" s="50">
        <v>41214</v>
      </c>
      <c r="G141" s="53">
        <v>104.8</v>
      </c>
      <c r="H141" s="53">
        <v>209.6</v>
      </c>
      <c r="I141" s="53">
        <v>104.8</v>
      </c>
      <c r="J141"/>
      <c r="K141"/>
      <c r="L141"/>
      <c r="M141"/>
      <c r="N141" s="38"/>
      <c r="O141" s="54">
        <v>1211500.5760000001</v>
      </c>
      <c r="P141" s="54">
        <v>9692004.6080000009</v>
      </c>
      <c r="Q141" s="54">
        <v>1211500.5760000001</v>
      </c>
      <c r="R141" s="54"/>
      <c r="S141" s="54">
        <v>1211500.5760000001</v>
      </c>
      <c r="T141" s="15">
        <v>9692004.6080000009</v>
      </c>
      <c r="U141" s="15">
        <v>1211500.5760000001</v>
      </c>
    </row>
    <row r="142" spans="1:21" s="15" customFormat="1" x14ac:dyDescent="0.3">
      <c r="A142" s="17"/>
      <c r="B142"/>
      <c r="C142"/>
      <c r="D142"/>
      <c r="E142"/>
      <c r="F142" s="50">
        <v>41244</v>
      </c>
      <c r="G142" s="53">
        <v>92.2</v>
      </c>
      <c r="H142" s="53">
        <v>184.4</v>
      </c>
      <c r="I142" s="53">
        <v>92.2</v>
      </c>
      <c r="J142"/>
      <c r="K142"/>
      <c r="L142"/>
      <c r="M142"/>
      <c r="N142" s="38"/>
      <c r="O142" s="54">
        <v>1080274.2079999999</v>
      </c>
      <c r="P142" s="54">
        <v>8642193.6639999989</v>
      </c>
      <c r="Q142" s="54">
        <v>1080274.2079999999</v>
      </c>
      <c r="R142" s="54"/>
      <c r="S142" s="54">
        <v>1080274.2079999999</v>
      </c>
      <c r="T142" s="15">
        <v>8642193.6639999989</v>
      </c>
      <c r="U142" s="15">
        <v>1080274.2079999999</v>
      </c>
    </row>
    <row r="143" spans="1:21" s="15" customFormat="1" x14ac:dyDescent="0.3">
      <c r="A143" s="17"/>
      <c r="B143"/>
      <c r="C143"/>
      <c r="D143"/>
      <c r="E143"/>
      <c r="F143" s="50">
        <v>41275</v>
      </c>
      <c r="G143" s="53">
        <v>94.5</v>
      </c>
      <c r="H143" s="53">
        <v>189</v>
      </c>
      <c r="I143" s="53">
        <v>94.5</v>
      </c>
      <c r="J143"/>
      <c r="K143"/>
      <c r="L143"/>
      <c r="M143"/>
      <c r="N143" s="38"/>
      <c r="O143" s="54">
        <v>913111.91999999993</v>
      </c>
      <c r="P143" s="54">
        <v>7304895.3599999994</v>
      </c>
      <c r="Q143" s="54">
        <v>913111.91999999993</v>
      </c>
      <c r="R143" s="54"/>
      <c r="S143" s="54">
        <v>913111.91999999993</v>
      </c>
      <c r="T143" s="15">
        <v>7304895.3599999994</v>
      </c>
      <c r="U143" s="15">
        <v>913111.91999999993</v>
      </c>
    </row>
    <row r="144" spans="1:21" s="15" customFormat="1" x14ac:dyDescent="0.3">
      <c r="A144" s="17"/>
      <c r="B144"/>
      <c r="C144"/>
      <c r="D144"/>
      <c r="E144"/>
      <c r="F144" s="50">
        <v>41306</v>
      </c>
      <c r="G144" s="53">
        <v>88.1</v>
      </c>
      <c r="H144" s="53">
        <v>176.2</v>
      </c>
      <c r="I144" s="53">
        <v>88.1</v>
      </c>
      <c r="J144"/>
      <c r="K144"/>
      <c r="L144"/>
      <c r="M144"/>
      <c r="N144" s="38"/>
      <c r="O144" s="54">
        <v>767606.48999999987</v>
      </c>
      <c r="P144" s="54">
        <v>6140851.919999999</v>
      </c>
      <c r="Q144" s="54">
        <v>767606.48999999987</v>
      </c>
      <c r="R144" s="54"/>
      <c r="S144" s="54">
        <v>767606.48999999987</v>
      </c>
      <c r="T144" s="15">
        <v>6140851.919999999</v>
      </c>
      <c r="U144" s="15">
        <v>767606.48999999987</v>
      </c>
    </row>
    <row r="145" spans="1:21" s="15" customFormat="1" x14ac:dyDescent="0.3">
      <c r="A145" s="17"/>
      <c r="B145"/>
      <c r="C145"/>
      <c r="D145"/>
      <c r="E145"/>
      <c r="F145" s="50">
        <v>41334</v>
      </c>
      <c r="G145" s="53">
        <v>97.7</v>
      </c>
      <c r="H145" s="53">
        <v>195.4</v>
      </c>
      <c r="I145" s="53">
        <v>97.7</v>
      </c>
      <c r="J145"/>
      <c r="K145"/>
      <c r="L145"/>
      <c r="M145"/>
      <c r="N145" s="38"/>
      <c r="O145" s="54">
        <v>813396.46499999997</v>
      </c>
      <c r="P145" s="54">
        <v>6507171.7199999997</v>
      </c>
      <c r="Q145" s="54">
        <v>813396.46499999997</v>
      </c>
      <c r="R145" s="54"/>
      <c r="S145" s="54">
        <v>813396.46499999997</v>
      </c>
      <c r="T145" s="15">
        <v>6507171.7199999997</v>
      </c>
      <c r="U145" s="15">
        <v>813396.46499999997</v>
      </c>
    </row>
    <row r="146" spans="1:21" s="15" customFormat="1" x14ac:dyDescent="0.3">
      <c r="A146" s="17"/>
      <c r="B146"/>
      <c r="C146"/>
      <c r="D146"/>
      <c r="E146"/>
      <c r="F146" s="50">
        <v>41365</v>
      </c>
      <c r="G146" s="53">
        <v>101.8</v>
      </c>
      <c r="H146" s="53">
        <v>203.6</v>
      </c>
      <c r="I146" s="53">
        <v>101.8</v>
      </c>
      <c r="J146"/>
      <c r="K146"/>
      <c r="L146"/>
      <c r="M146"/>
      <c r="N146" s="38"/>
      <c r="O146" s="54">
        <v>876230.26599999983</v>
      </c>
      <c r="P146" s="54">
        <v>7009842.1279999986</v>
      </c>
      <c r="Q146" s="54">
        <v>876230.26599999983</v>
      </c>
      <c r="R146" s="54"/>
      <c r="S146" s="54">
        <v>876230.26599999983</v>
      </c>
      <c r="T146" s="15">
        <v>7009842.1279999986</v>
      </c>
      <c r="U146" s="15">
        <v>876230.26599999983</v>
      </c>
    </row>
    <row r="147" spans="1:21" s="15" customFormat="1" x14ac:dyDescent="0.3">
      <c r="A147" s="17"/>
      <c r="B147"/>
      <c r="C147"/>
      <c r="D147"/>
      <c r="E147"/>
      <c r="F147" s="50">
        <v>41395</v>
      </c>
      <c r="G147" s="53">
        <v>105</v>
      </c>
      <c r="H147" s="53">
        <v>210</v>
      </c>
      <c r="I147" s="53">
        <v>105</v>
      </c>
      <c r="J147"/>
      <c r="K147"/>
      <c r="L147"/>
      <c r="M147"/>
      <c r="N147" s="38"/>
      <c r="O147" s="54">
        <v>1044315.3</v>
      </c>
      <c r="P147" s="54">
        <v>8354522.4000000004</v>
      </c>
      <c r="Q147" s="54">
        <v>1044315.3</v>
      </c>
      <c r="R147" s="54"/>
      <c r="S147" s="54">
        <v>1044315.3</v>
      </c>
      <c r="T147" s="15">
        <v>8354522.4000000004</v>
      </c>
      <c r="U147" s="15">
        <v>1044315.3</v>
      </c>
    </row>
    <row r="148" spans="1:21" s="15" customFormat="1" x14ac:dyDescent="0.3">
      <c r="A148" s="17"/>
      <c r="B148"/>
      <c r="C148"/>
      <c r="D148"/>
      <c r="E148"/>
      <c r="F148" s="50">
        <v>41426</v>
      </c>
      <c r="G148" s="53">
        <v>101.7</v>
      </c>
      <c r="H148" s="53">
        <v>203.4</v>
      </c>
      <c r="I148" s="53">
        <v>101.7</v>
      </c>
      <c r="J148"/>
      <c r="K148"/>
      <c r="L148"/>
      <c r="M148"/>
      <c r="N148" s="38"/>
      <c r="O148" s="54">
        <v>1087071.3</v>
      </c>
      <c r="P148" s="54">
        <v>8696570.4000000004</v>
      </c>
      <c r="Q148" s="54">
        <v>1087071.3</v>
      </c>
      <c r="R148" s="54"/>
      <c r="S148" s="54">
        <v>1087071.3</v>
      </c>
      <c r="T148" s="15">
        <v>8696570.4000000004</v>
      </c>
      <c r="U148" s="15">
        <v>1087071.3</v>
      </c>
    </row>
    <row r="149" spans="1:21" s="15" customFormat="1" x14ac:dyDescent="0.3">
      <c r="A149" s="17"/>
      <c r="B149"/>
      <c r="C149"/>
      <c r="D149"/>
      <c r="E149"/>
      <c r="F149" s="50">
        <v>41456</v>
      </c>
      <c r="G149" s="53">
        <v>108</v>
      </c>
      <c r="H149" s="53">
        <v>216</v>
      </c>
      <c r="I149" s="53">
        <v>108</v>
      </c>
      <c r="J149"/>
      <c r="K149"/>
      <c r="L149"/>
      <c r="M149"/>
      <c r="N149" s="38"/>
      <c r="O149" s="54">
        <v>1153278</v>
      </c>
      <c r="P149" s="54">
        <v>9226224</v>
      </c>
      <c r="Q149" s="54">
        <v>1153278</v>
      </c>
      <c r="R149" s="54"/>
      <c r="S149" s="54">
        <v>1153278</v>
      </c>
      <c r="T149" s="15">
        <v>9226224</v>
      </c>
      <c r="U149" s="15">
        <v>1153278</v>
      </c>
    </row>
    <row r="150" spans="1:21" s="15" customFormat="1" x14ac:dyDescent="0.3">
      <c r="A150" s="17"/>
      <c r="B150"/>
      <c r="C150"/>
      <c r="D150"/>
      <c r="E150"/>
      <c r="F150" s="50">
        <v>41487</v>
      </c>
      <c r="G150" s="53">
        <v>112</v>
      </c>
      <c r="H150" s="53">
        <v>224</v>
      </c>
      <c r="I150" s="53">
        <v>112</v>
      </c>
      <c r="J150"/>
      <c r="K150"/>
      <c r="L150"/>
      <c r="M150"/>
      <c r="N150" s="38"/>
      <c r="O150" s="54">
        <v>1230163.2</v>
      </c>
      <c r="P150" s="54">
        <v>9841305.5999999996</v>
      </c>
      <c r="Q150" s="54">
        <v>1230163.2</v>
      </c>
      <c r="R150" s="54"/>
      <c r="S150" s="54">
        <v>1230163.2</v>
      </c>
      <c r="T150" s="15">
        <v>9841305.5999999996</v>
      </c>
      <c r="U150" s="15">
        <v>1230163.2</v>
      </c>
    </row>
    <row r="151" spans="1:21" s="15" customFormat="1" x14ac:dyDescent="0.3">
      <c r="A151" s="17"/>
      <c r="B151"/>
      <c r="C151"/>
      <c r="D151"/>
      <c r="E151"/>
      <c r="F151" s="50">
        <v>41518</v>
      </c>
      <c r="G151" s="53">
        <v>107.3</v>
      </c>
      <c r="H151" s="53">
        <v>214.6</v>
      </c>
      <c r="I151" s="53">
        <v>107.3</v>
      </c>
      <c r="J151"/>
      <c r="K151"/>
      <c r="L151"/>
      <c r="M151"/>
      <c r="N151" s="38"/>
      <c r="O151" s="54">
        <v>1297900.8</v>
      </c>
      <c r="P151" s="54">
        <v>10383206.4</v>
      </c>
      <c r="Q151" s="54">
        <v>1297900.8</v>
      </c>
      <c r="R151" s="54"/>
      <c r="S151" s="54">
        <v>1297900.8</v>
      </c>
      <c r="T151" s="15">
        <v>10383206.4</v>
      </c>
      <c r="U151" s="15">
        <v>1297900.8</v>
      </c>
    </row>
    <row r="152" spans="1:21" s="15" customFormat="1" x14ac:dyDescent="0.3">
      <c r="A152" s="17"/>
      <c r="B152"/>
      <c r="C152"/>
      <c r="D152"/>
      <c r="E152"/>
      <c r="F152" s="50">
        <v>41548</v>
      </c>
      <c r="G152" s="53">
        <v>112.6</v>
      </c>
      <c r="H152" s="53">
        <v>225.2</v>
      </c>
      <c r="I152" s="53">
        <v>112.6</v>
      </c>
      <c r="J152"/>
      <c r="K152"/>
      <c r="L152"/>
      <c r="M152"/>
      <c r="N152" s="38"/>
      <c r="O152" s="54">
        <v>1353181.76</v>
      </c>
      <c r="P152" s="54">
        <v>10825454.08</v>
      </c>
      <c r="Q152" s="54">
        <v>1353181.76</v>
      </c>
      <c r="R152" s="54"/>
      <c r="S152" s="54">
        <v>1353181.76</v>
      </c>
      <c r="T152" s="15">
        <v>10825454.08</v>
      </c>
      <c r="U152" s="15">
        <v>1353181.76</v>
      </c>
    </row>
    <row r="153" spans="1:21" s="15" customFormat="1" x14ac:dyDescent="0.3">
      <c r="A153" s="17"/>
      <c r="B153"/>
      <c r="C153"/>
      <c r="D153"/>
      <c r="E153"/>
      <c r="F153" s="50">
        <v>41579</v>
      </c>
      <c r="G153" s="53">
        <v>106.1</v>
      </c>
      <c r="H153" s="53">
        <v>212.2</v>
      </c>
      <c r="I153" s="53">
        <v>106.1</v>
      </c>
      <c r="J153"/>
      <c r="K153"/>
      <c r="L153"/>
      <c r="M153"/>
      <c r="N153" s="38"/>
      <c r="O153" s="54">
        <v>1281898.078</v>
      </c>
      <c r="P153" s="54">
        <v>10255184.624</v>
      </c>
      <c r="Q153" s="54">
        <v>1281898.078</v>
      </c>
      <c r="R153" s="54"/>
      <c r="S153" s="54">
        <v>1281898.078</v>
      </c>
      <c r="T153" s="15">
        <v>10255184.624</v>
      </c>
      <c r="U153" s="15">
        <v>1281898.078</v>
      </c>
    </row>
    <row r="154" spans="1:21" s="15" customFormat="1" x14ac:dyDescent="0.3">
      <c r="A154" s="17"/>
      <c r="B154"/>
      <c r="C154"/>
      <c r="D154"/>
      <c r="E154"/>
      <c r="F154" s="50">
        <v>41609</v>
      </c>
      <c r="G154" s="53">
        <v>90.1</v>
      </c>
      <c r="H154" s="53">
        <v>180.2</v>
      </c>
      <c r="I154" s="53">
        <v>90.1</v>
      </c>
      <c r="J154"/>
      <c r="K154"/>
      <c r="L154"/>
      <c r="M154"/>
      <c r="N154" s="38"/>
      <c r="O154" s="54">
        <v>1076412.0859999999</v>
      </c>
      <c r="P154" s="54">
        <v>8611296.6879999992</v>
      </c>
      <c r="Q154" s="54">
        <v>1076412.0859999999</v>
      </c>
      <c r="R154" s="54"/>
      <c r="S154" s="54">
        <v>1076412.0859999999</v>
      </c>
      <c r="T154" s="15">
        <v>8611296.6879999992</v>
      </c>
      <c r="U154" s="15">
        <v>1076412.0859999999</v>
      </c>
    </row>
    <row r="155" spans="1:21" s="15" customFormat="1" x14ac:dyDescent="0.3">
      <c r="A155" s="17"/>
      <c r="B155"/>
      <c r="C155"/>
      <c r="D155"/>
      <c r="E155"/>
      <c r="F155" s="50">
        <v>41640</v>
      </c>
      <c r="G155" s="53">
        <v>92.6</v>
      </c>
      <c r="H155" s="53">
        <v>185.2</v>
      </c>
      <c r="I155" s="53">
        <v>92.6</v>
      </c>
      <c r="J155"/>
      <c r="K155"/>
      <c r="L155"/>
      <c r="M155"/>
      <c r="N155" s="38"/>
      <c r="O155" s="54">
        <v>885219.88599999982</v>
      </c>
      <c r="P155" s="54">
        <v>7081759.0879999986</v>
      </c>
      <c r="Q155" s="54">
        <v>885219.88599999982</v>
      </c>
      <c r="R155" s="54"/>
      <c r="S155" s="54">
        <v>885219.88599999982</v>
      </c>
      <c r="T155" s="15">
        <v>7081759.0879999986</v>
      </c>
      <c r="U155" s="15">
        <v>885219.88599999982</v>
      </c>
    </row>
    <row r="156" spans="1:21" s="15" customFormat="1" x14ac:dyDescent="0.3">
      <c r="A156" s="17"/>
      <c r="B156"/>
      <c r="C156"/>
      <c r="D156"/>
      <c r="E156"/>
      <c r="F156" s="50">
        <v>41671</v>
      </c>
      <c r="G156" s="53">
        <v>92.3</v>
      </c>
      <c r="H156" s="53">
        <v>184.6</v>
      </c>
      <c r="I156" s="53">
        <v>92.3</v>
      </c>
      <c r="J156"/>
      <c r="K156"/>
      <c r="L156"/>
      <c r="M156"/>
      <c r="N156" s="38"/>
      <c r="O156" s="54">
        <v>770082.89799999981</v>
      </c>
      <c r="P156" s="54">
        <v>6160663.1839999985</v>
      </c>
      <c r="Q156" s="54">
        <v>770082.89799999981</v>
      </c>
      <c r="R156" s="54"/>
      <c r="S156" s="54">
        <v>770082.89799999981</v>
      </c>
      <c r="T156" s="15">
        <v>6160663.1839999985</v>
      </c>
      <c r="U156" s="15">
        <v>770082.89799999981</v>
      </c>
    </row>
    <row r="157" spans="1:21" s="15" customFormat="1" x14ac:dyDescent="0.3">
      <c r="A157" s="17"/>
      <c r="B157"/>
      <c r="C157"/>
      <c r="D157"/>
      <c r="E157"/>
      <c r="F157" s="50">
        <v>41699</v>
      </c>
      <c r="G157" s="53">
        <v>97.3</v>
      </c>
      <c r="H157" s="53">
        <v>194.6</v>
      </c>
      <c r="I157" s="53">
        <v>97.3</v>
      </c>
      <c r="J157"/>
      <c r="K157"/>
      <c r="L157"/>
      <c r="M157"/>
      <c r="N157" s="38"/>
      <c r="O157" s="54">
        <v>831621.15399999998</v>
      </c>
      <c r="P157" s="54">
        <v>6652969.2319999998</v>
      </c>
      <c r="Q157" s="54">
        <v>831621.15399999998</v>
      </c>
      <c r="R157" s="54"/>
      <c r="S157" s="54">
        <v>831621.15399999998</v>
      </c>
      <c r="T157" s="15">
        <v>6652969.2319999998</v>
      </c>
      <c r="U157" s="15">
        <v>831621.15399999998</v>
      </c>
    </row>
    <row r="158" spans="1:21" s="15" customFormat="1" x14ac:dyDescent="0.3">
      <c r="A158" s="17"/>
      <c r="B158"/>
      <c r="C158"/>
      <c r="D158"/>
      <c r="E158"/>
      <c r="F158" s="50">
        <v>41730</v>
      </c>
      <c r="G158" s="53">
        <v>96</v>
      </c>
      <c r="H158" s="53">
        <v>192</v>
      </c>
      <c r="I158" s="53">
        <v>96</v>
      </c>
      <c r="J158"/>
      <c r="K158"/>
      <c r="L158"/>
      <c r="M158"/>
      <c r="N158" s="38"/>
      <c r="O158" s="54">
        <v>862155.83999999985</v>
      </c>
      <c r="P158" s="54">
        <v>6897246.7199999988</v>
      </c>
      <c r="Q158" s="54">
        <v>862155.83999999985</v>
      </c>
      <c r="R158" s="54"/>
      <c r="S158" s="54">
        <v>862155.83999999985</v>
      </c>
      <c r="T158" s="15">
        <v>6897246.7199999988</v>
      </c>
      <c r="U158" s="15">
        <v>862155.83999999985</v>
      </c>
    </row>
    <row r="159" spans="1:21" s="15" customFormat="1" x14ac:dyDescent="0.3">
      <c r="A159" s="17"/>
      <c r="B159"/>
      <c r="C159"/>
      <c r="D159"/>
      <c r="E159"/>
      <c r="F159" s="50">
        <v>41760</v>
      </c>
      <c r="G159" s="53">
        <v>101.7</v>
      </c>
      <c r="H159" s="53">
        <v>203.4</v>
      </c>
      <c r="I159" s="53">
        <v>101.7</v>
      </c>
      <c r="J159"/>
      <c r="K159"/>
      <c r="L159"/>
      <c r="M159"/>
      <c r="N159" s="38"/>
      <c r="O159" s="54">
        <v>949959.36</v>
      </c>
      <c r="P159" s="54">
        <v>7599674.8799999999</v>
      </c>
      <c r="Q159" s="54">
        <v>949959.36</v>
      </c>
      <c r="R159" s="54"/>
      <c r="S159" s="54">
        <v>949959.36</v>
      </c>
      <c r="T159" s="15">
        <v>7599674.8799999999</v>
      </c>
      <c r="U159" s="15">
        <v>949959.36</v>
      </c>
    </row>
    <row r="160" spans="1:21" s="15" customFormat="1" x14ac:dyDescent="0.3">
      <c r="A160" s="17"/>
      <c r="B160"/>
      <c r="C160"/>
      <c r="D160"/>
      <c r="E160"/>
      <c r="F160" s="50">
        <v>41791</v>
      </c>
      <c r="G160" s="53">
        <v>94.9</v>
      </c>
      <c r="H160" s="53">
        <v>189.8</v>
      </c>
      <c r="I160" s="53">
        <v>94.9</v>
      </c>
      <c r="J160"/>
      <c r="K160"/>
      <c r="L160"/>
      <c r="M160"/>
      <c r="N160" s="38"/>
      <c r="O160" s="54">
        <v>926527.68000000017</v>
      </c>
      <c r="P160" s="54">
        <v>7412221.4400000013</v>
      </c>
      <c r="Q160" s="54">
        <v>926527.68000000017</v>
      </c>
      <c r="R160" s="54"/>
      <c r="S160" s="54">
        <v>926527.68000000017</v>
      </c>
      <c r="T160" s="15">
        <v>7412221.4400000013</v>
      </c>
      <c r="U160" s="15">
        <v>926527.68000000017</v>
      </c>
    </row>
    <row r="161" spans="1:21" s="15" customFormat="1" x14ac:dyDescent="0.3">
      <c r="A161" s="17"/>
      <c r="B161"/>
      <c r="C161"/>
      <c r="D161"/>
      <c r="E161"/>
      <c r="F161" s="50">
        <v>41821</v>
      </c>
      <c r="G161" s="53">
        <v>104.4</v>
      </c>
      <c r="H161" s="53">
        <v>208.8</v>
      </c>
      <c r="I161" s="53">
        <v>104.4</v>
      </c>
      <c r="J161"/>
      <c r="K161"/>
      <c r="L161"/>
      <c r="M161"/>
      <c r="N161" s="38"/>
      <c r="O161" s="54">
        <v>1007598.8520000002</v>
      </c>
      <c r="P161" s="54">
        <v>8060790.8160000015</v>
      </c>
      <c r="Q161" s="54">
        <v>1007598.8520000002</v>
      </c>
      <c r="R161" s="54"/>
      <c r="S161" s="54">
        <v>1007598.8520000002</v>
      </c>
      <c r="T161" s="15">
        <v>8060790.8160000015</v>
      </c>
      <c r="U161" s="15">
        <v>1007598.8520000002</v>
      </c>
    </row>
    <row r="162" spans="1:21" s="15" customFormat="1" x14ac:dyDescent="0.3">
      <c r="A162" s="17"/>
      <c r="B162"/>
      <c r="C162"/>
      <c r="D162"/>
      <c r="E162"/>
      <c r="F162" s="50">
        <v>41852</v>
      </c>
      <c r="G162" s="53">
        <v>106.3</v>
      </c>
      <c r="H162" s="53">
        <v>212.6</v>
      </c>
      <c r="I162" s="53">
        <v>106.3</v>
      </c>
      <c r="J162"/>
      <c r="K162"/>
      <c r="L162"/>
      <c r="M162"/>
      <c r="N162" s="38"/>
      <c r="O162" s="54">
        <v>1053173.628</v>
      </c>
      <c r="P162" s="54">
        <v>8425389.0240000002</v>
      </c>
      <c r="Q162" s="54">
        <v>1053173.628</v>
      </c>
      <c r="R162" s="54"/>
      <c r="S162" s="54">
        <v>1053173.628</v>
      </c>
      <c r="T162" s="15">
        <v>8425389.0240000002</v>
      </c>
      <c r="U162" s="15">
        <v>1053173.628</v>
      </c>
    </row>
    <row r="163" spans="1:21" s="15" customFormat="1" x14ac:dyDescent="0.3">
      <c r="A163" s="17"/>
      <c r="B163"/>
      <c r="C163"/>
      <c r="D163"/>
      <c r="E163"/>
      <c r="F163" s="50">
        <v>41883</v>
      </c>
      <c r="G163" s="53">
        <v>105.6</v>
      </c>
      <c r="H163" s="53">
        <v>211.2</v>
      </c>
      <c r="I163" s="53">
        <v>105.6</v>
      </c>
      <c r="J163"/>
      <c r="K163"/>
      <c r="L163"/>
      <c r="M163"/>
      <c r="N163" s="38"/>
      <c r="O163" s="54">
        <v>1171919.2320000001</v>
      </c>
      <c r="P163" s="54">
        <v>9375353.8560000006</v>
      </c>
      <c r="Q163" s="54">
        <v>1171919.2320000001</v>
      </c>
      <c r="R163" s="54"/>
      <c r="S163" s="54">
        <v>1171919.2320000001</v>
      </c>
      <c r="T163" s="15">
        <v>9375353.8560000006</v>
      </c>
      <c r="U163" s="15">
        <v>1171919.2320000001</v>
      </c>
    </row>
    <row r="164" spans="1:21" s="15" customFormat="1" x14ac:dyDescent="0.3">
      <c r="A164" s="17"/>
      <c r="B164"/>
      <c r="C164"/>
      <c r="D164"/>
      <c r="E164"/>
      <c r="F164" s="50">
        <v>41913</v>
      </c>
      <c r="G164" s="53">
        <v>109.3</v>
      </c>
      <c r="H164" s="53">
        <v>218.6</v>
      </c>
      <c r="I164" s="53">
        <v>109.3</v>
      </c>
      <c r="J164"/>
      <c r="K164"/>
      <c r="L164"/>
      <c r="M164"/>
      <c r="N164" s="38"/>
      <c r="O164" s="54">
        <v>1226923.1039999998</v>
      </c>
      <c r="P164" s="54">
        <v>9815384.8319999985</v>
      </c>
      <c r="Q164" s="54">
        <v>1226923.1039999998</v>
      </c>
      <c r="R164" s="54"/>
      <c r="S164" s="54">
        <v>1226923.1039999998</v>
      </c>
      <c r="T164" s="15">
        <v>9815384.8319999985</v>
      </c>
      <c r="U164" s="15">
        <v>1226923.1039999998</v>
      </c>
    </row>
    <row r="165" spans="1:21" s="15" customFormat="1" x14ac:dyDescent="0.3">
      <c r="A165" s="17"/>
      <c r="B165"/>
      <c r="C165"/>
      <c r="D165"/>
      <c r="E165"/>
      <c r="F165" s="50">
        <v>41944</v>
      </c>
      <c r="G165" s="53">
        <v>99.8</v>
      </c>
      <c r="H165" s="53">
        <v>199.6</v>
      </c>
      <c r="I165" s="53">
        <v>99.8</v>
      </c>
      <c r="J165"/>
      <c r="K165"/>
      <c r="L165"/>
      <c r="M165"/>
      <c r="N165" s="38"/>
      <c r="O165" s="54">
        <v>1151899.584</v>
      </c>
      <c r="P165" s="54">
        <v>9215196.6720000003</v>
      </c>
      <c r="Q165" s="54">
        <v>1151899.584</v>
      </c>
      <c r="R165" s="54"/>
      <c r="S165" s="54">
        <v>1151899.584</v>
      </c>
      <c r="T165" s="15">
        <v>9215196.6720000003</v>
      </c>
      <c r="U165" s="15">
        <v>1151899.584</v>
      </c>
    </row>
    <row r="166" spans="1:21" s="15" customFormat="1" x14ac:dyDescent="0.3">
      <c r="A166" s="17"/>
      <c r="B166"/>
      <c r="C166"/>
      <c r="D166"/>
      <c r="E166"/>
      <c r="F166" s="50">
        <v>41974</v>
      </c>
      <c r="G166" s="53">
        <v>87.7</v>
      </c>
      <c r="H166" s="53">
        <v>175.4</v>
      </c>
      <c r="I166" s="53">
        <v>87.7</v>
      </c>
      <c r="J166"/>
      <c r="K166"/>
      <c r="L166"/>
      <c r="M166"/>
      <c r="N166" s="38"/>
      <c r="O166" s="54">
        <v>956643.87800000003</v>
      </c>
      <c r="P166" s="54">
        <v>7653151.0240000002</v>
      </c>
      <c r="Q166" s="54">
        <v>956643.87800000003</v>
      </c>
      <c r="R166" s="54"/>
      <c r="S166" s="54">
        <v>956643.87800000003</v>
      </c>
      <c r="T166" s="15">
        <v>7653151.0240000002</v>
      </c>
      <c r="U166" s="15">
        <v>956643.87800000003</v>
      </c>
    </row>
    <row r="167" spans="1:21" s="15" customFormat="1" x14ac:dyDescent="0.3">
      <c r="A167" s="17"/>
      <c r="B167"/>
      <c r="C167"/>
      <c r="D167"/>
      <c r="E167"/>
      <c r="F167" s="50">
        <v>42005</v>
      </c>
      <c r="G167" s="53">
        <v>88.1</v>
      </c>
      <c r="H167" s="53">
        <v>176.2</v>
      </c>
      <c r="I167" s="53">
        <v>88.1</v>
      </c>
      <c r="J167"/>
      <c r="K167"/>
      <c r="L167"/>
      <c r="M167"/>
      <c r="N167" s="38"/>
      <c r="O167" s="54">
        <v>771091.72599999991</v>
      </c>
      <c r="P167" s="54">
        <v>6168733.8079999993</v>
      </c>
      <c r="Q167" s="54">
        <v>771091.72599999991</v>
      </c>
      <c r="R167" s="54"/>
      <c r="S167" s="54">
        <v>771091.72599999991</v>
      </c>
      <c r="T167" s="15">
        <v>6168733.8079999993</v>
      </c>
      <c r="U167" s="15">
        <v>771091.72599999991</v>
      </c>
    </row>
    <row r="168" spans="1:21" s="15" customFormat="1" x14ac:dyDescent="0.3">
      <c r="A168" s="17"/>
      <c r="B168"/>
      <c r="C168"/>
      <c r="D168"/>
      <c r="E168"/>
      <c r="F168" s="50">
        <v>42036</v>
      </c>
      <c r="G168" s="53">
        <v>83.7</v>
      </c>
      <c r="H168" s="53">
        <v>167.4</v>
      </c>
      <c r="I168" s="53">
        <v>83.7</v>
      </c>
      <c r="J168"/>
      <c r="K168"/>
      <c r="L168"/>
      <c r="M168"/>
      <c r="N168" s="38"/>
      <c r="O168" s="54">
        <v>646697.16899999999</v>
      </c>
      <c r="P168" s="54">
        <v>5173577.352</v>
      </c>
      <c r="Q168" s="54">
        <v>646697.16899999999</v>
      </c>
      <c r="R168" s="54"/>
      <c r="S168" s="54">
        <v>646697.16899999999</v>
      </c>
      <c r="T168" s="15">
        <v>5173577.352</v>
      </c>
      <c r="U168" s="15">
        <v>646697.16899999999</v>
      </c>
    </row>
    <row r="169" spans="1:21" s="15" customFormat="1" x14ac:dyDescent="0.3">
      <c r="A169" s="17"/>
      <c r="B169"/>
      <c r="C169"/>
      <c r="D169"/>
      <c r="E169"/>
      <c r="F169" s="50">
        <v>42064</v>
      </c>
      <c r="G169" s="53">
        <v>94.3</v>
      </c>
      <c r="H169" s="53">
        <v>188.6</v>
      </c>
      <c r="I169" s="53">
        <v>94.3</v>
      </c>
      <c r="J169"/>
      <c r="K169"/>
      <c r="L169"/>
      <c r="M169"/>
      <c r="N169" s="38"/>
      <c r="O169" s="54">
        <v>695365.37099999993</v>
      </c>
      <c r="P169" s="54">
        <v>5562922.9679999994</v>
      </c>
      <c r="Q169" s="54">
        <v>695365.37099999993</v>
      </c>
      <c r="R169" s="54"/>
      <c r="S169" s="54">
        <v>695365.37099999993</v>
      </c>
      <c r="T169" s="15">
        <v>5562922.9679999994</v>
      </c>
      <c r="U169" s="15">
        <v>695365.37099999993</v>
      </c>
    </row>
    <row r="170" spans="1:21" s="15" customFormat="1" x14ac:dyDescent="0.3">
      <c r="A170" s="17"/>
      <c r="B170"/>
      <c r="C170"/>
      <c r="D170"/>
      <c r="E170"/>
      <c r="F170" s="50">
        <v>42095</v>
      </c>
      <c r="G170" s="53">
        <v>88.8</v>
      </c>
      <c r="H170" s="53">
        <v>177.6</v>
      </c>
      <c r="I170" s="53">
        <v>88.8</v>
      </c>
      <c r="J170"/>
      <c r="K170"/>
      <c r="L170"/>
      <c r="M170"/>
      <c r="N170" s="38"/>
      <c r="O170" s="54">
        <v>700890.40799999994</v>
      </c>
      <c r="P170" s="54">
        <v>5607123.2639999995</v>
      </c>
      <c r="Q170" s="54">
        <v>700890.40799999994</v>
      </c>
      <c r="R170" s="54"/>
      <c r="S170" s="54">
        <v>700890.40799999994</v>
      </c>
      <c r="T170" s="15">
        <v>5607123.2639999995</v>
      </c>
      <c r="U170" s="15">
        <v>700890.40799999994</v>
      </c>
    </row>
    <row r="171" spans="1:21" s="15" customFormat="1" x14ac:dyDescent="0.3">
      <c r="A171" s="17"/>
      <c r="B171"/>
      <c r="C171"/>
      <c r="D171"/>
      <c r="E171"/>
      <c r="F171" s="50">
        <v>42125</v>
      </c>
      <c r="G171" s="53">
        <v>93.1</v>
      </c>
      <c r="H171" s="53">
        <v>186.2</v>
      </c>
      <c r="I171" s="53">
        <v>93.1</v>
      </c>
      <c r="J171"/>
      <c r="K171"/>
      <c r="L171"/>
      <c r="M171"/>
      <c r="N171" s="38"/>
      <c r="O171" s="54">
        <v>779604.50399999996</v>
      </c>
      <c r="P171" s="54">
        <v>6236836.0319999997</v>
      </c>
      <c r="Q171" s="54">
        <v>779604.50399999996</v>
      </c>
      <c r="R171" s="54"/>
      <c r="S171" s="54">
        <v>779604.50399999996</v>
      </c>
      <c r="T171" s="15">
        <v>6236836.0319999997</v>
      </c>
      <c r="U171" s="15">
        <v>779604.50399999996</v>
      </c>
    </row>
    <row r="172" spans="1:21" s="15" customFormat="1" x14ac:dyDescent="0.3">
      <c r="A172" s="17"/>
      <c r="B172"/>
      <c r="C172"/>
      <c r="D172"/>
      <c r="E172"/>
      <c r="F172" s="50">
        <v>42156</v>
      </c>
      <c r="G172" s="53">
        <v>92.5</v>
      </c>
      <c r="H172" s="53">
        <v>185</v>
      </c>
      <c r="I172" s="53">
        <v>92.5</v>
      </c>
      <c r="J172"/>
      <c r="K172"/>
      <c r="L172"/>
      <c r="M172"/>
      <c r="N172" s="38"/>
      <c r="O172" s="54">
        <v>764723.39999999991</v>
      </c>
      <c r="P172" s="54">
        <v>6117787.1999999993</v>
      </c>
      <c r="Q172" s="54">
        <v>764723.39999999991</v>
      </c>
      <c r="R172" s="54"/>
      <c r="S172" s="54">
        <v>764723.39999999991</v>
      </c>
      <c r="T172" s="15">
        <v>6117787.1999999993</v>
      </c>
      <c r="U172" s="15">
        <v>764723.39999999991</v>
      </c>
    </row>
    <row r="173" spans="1:21" s="15" customFormat="1" x14ac:dyDescent="0.3">
      <c r="A173" s="17"/>
      <c r="B173"/>
      <c r="C173"/>
      <c r="D173"/>
      <c r="E173"/>
      <c r="F173" s="50">
        <v>42186</v>
      </c>
      <c r="G173" s="53">
        <v>95.5</v>
      </c>
      <c r="H173" s="53">
        <v>191</v>
      </c>
      <c r="I173" s="53">
        <v>95.5</v>
      </c>
      <c r="J173"/>
      <c r="K173"/>
      <c r="L173"/>
      <c r="M173"/>
      <c r="N173" s="38"/>
      <c r="O173" s="54">
        <v>822422.125</v>
      </c>
      <c r="P173" s="54">
        <v>6579377</v>
      </c>
      <c r="Q173" s="54">
        <v>822422.125</v>
      </c>
      <c r="R173" s="54"/>
      <c r="S173" s="54">
        <v>822422.125</v>
      </c>
      <c r="T173" s="15">
        <v>6579377</v>
      </c>
      <c r="U173" s="15">
        <v>822422.125</v>
      </c>
    </row>
    <row r="174" spans="1:21" s="15" customFormat="1" x14ac:dyDescent="0.3">
      <c r="A174" s="17"/>
      <c r="B174"/>
      <c r="C174"/>
      <c r="D174"/>
      <c r="E174"/>
      <c r="F174" s="50">
        <v>42217</v>
      </c>
      <c r="G174" s="53">
        <v>97.6</v>
      </c>
      <c r="H174" s="53">
        <v>195.2</v>
      </c>
      <c r="I174" s="53">
        <v>97.6</v>
      </c>
      <c r="J174"/>
      <c r="K174"/>
      <c r="L174"/>
      <c r="M174"/>
      <c r="N174" s="38"/>
      <c r="O174" s="54">
        <v>862174</v>
      </c>
      <c r="P174" s="54">
        <v>6897392</v>
      </c>
      <c r="Q174" s="54">
        <v>862174</v>
      </c>
      <c r="R174" s="54"/>
      <c r="S174" s="54">
        <v>862174</v>
      </c>
      <c r="T174" s="15">
        <v>6897392</v>
      </c>
      <c r="U174" s="15">
        <v>862174</v>
      </c>
    </row>
    <row r="175" spans="1:21" s="15" customFormat="1" x14ac:dyDescent="0.3">
      <c r="A175" s="17"/>
      <c r="B175"/>
      <c r="C175"/>
      <c r="D175"/>
      <c r="E175"/>
      <c r="F175" s="50">
        <v>42248</v>
      </c>
      <c r="G175" s="53">
        <v>94.3</v>
      </c>
      <c r="H175" s="53">
        <v>188.6</v>
      </c>
      <c r="I175" s="53">
        <v>94.3</v>
      </c>
      <c r="J175"/>
      <c r="K175"/>
      <c r="L175"/>
      <c r="M175"/>
      <c r="N175" s="38"/>
      <c r="O175" s="54">
        <v>878951.44</v>
      </c>
      <c r="P175" s="54">
        <v>7031611.5199999996</v>
      </c>
      <c r="Q175" s="54">
        <v>878951.44</v>
      </c>
      <c r="R175" s="54"/>
      <c r="S175" s="54">
        <v>878951.44</v>
      </c>
      <c r="T175" s="15">
        <v>7031611.5199999996</v>
      </c>
      <c r="U175" s="15">
        <v>878951.44</v>
      </c>
    </row>
    <row r="176" spans="1:21" s="15" customFormat="1" x14ac:dyDescent="0.3">
      <c r="A176" s="17"/>
      <c r="B176"/>
      <c r="C176"/>
      <c r="D176"/>
      <c r="E176"/>
      <c r="F176" s="50">
        <v>42278</v>
      </c>
      <c r="G176" s="53">
        <v>97.2</v>
      </c>
      <c r="H176" s="53">
        <v>194.4</v>
      </c>
      <c r="I176" s="53">
        <v>97.2</v>
      </c>
      <c r="J176"/>
      <c r="K176"/>
      <c r="L176"/>
      <c r="M176"/>
      <c r="N176" s="38"/>
      <c r="O176" s="54">
        <v>894597.69599999988</v>
      </c>
      <c r="P176" s="54">
        <v>7156781.567999999</v>
      </c>
      <c r="Q176" s="54">
        <v>894597.69599999988</v>
      </c>
      <c r="R176" s="54"/>
      <c r="S176" s="54">
        <v>894597.69599999988</v>
      </c>
      <c r="T176" s="15">
        <v>7156781.567999999</v>
      </c>
      <c r="U176" s="15">
        <v>894597.69599999988</v>
      </c>
    </row>
    <row r="177" spans="1:21" s="15" customFormat="1" x14ac:dyDescent="0.3">
      <c r="A177" s="17"/>
      <c r="B177"/>
      <c r="C177"/>
      <c r="D177"/>
      <c r="E177"/>
      <c r="F177" s="50">
        <v>42309</v>
      </c>
      <c r="G177" s="53">
        <v>87.6</v>
      </c>
      <c r="H177" s="53">
        <v>175.2</v>
      </c>
      <c r="I177" s="53">
        <v>87.6</v>
      </c>
      <c r="J177"/>
      <c r="K177"/>
      <c r="L177"/>
      <c r="M177"/>
      <c r="N177" s="38"/>
      <c r="O177" s="54">
        <v>802938.0959999999</v>
      </c>
      <c r="P177" s="54">
        <v>6423504.7679999992</v>
      </c>
      <c r="Q177" s="54">
        <v>802938.0959999999</v>
      </c>
      <c r="R177" s="54"/>
      <c r="S177" s="54">
        <v>802938.0959999999</v>
      </c>
      <c r="T177" s="15">
        <v>6423504.7679999992</v>
      </c>
      <c r="U177" s="15">
        <v>802938.0959999999</v>
      </c>
    </row>
    <row r="178" spans="1:21" s="15" customFormat="1" x14ac:dyDescent="0.3">
      <c r="A178" s="17"/>
      <c r="B178"/>
      <c r="C178"/>
      <c r="D178"/>
      <c r="E178"/>
      <c r="F178" s="50">
        <v>42339</v>
      </c>
      <c r="G178" s="53">
        <v>77.2</v>
      </c>
      <c r="H178" s="53">
        <v>154.4</v>
      </c>
      <c r="I178" s="53">
        <v>77.2</v>
      </c>
      <c r="J178"/>
      <c r="K178"/>
      <c r="L178"/>
      <c r="M178"/>
      <c r="N178" s="38"/>
      <c r="O178" s="54">
        <v>657336.38399999996</v>
      </c>
      <c r="P178" s="54">
        <v>5258691.0719999997</v>
      </c>
      <c r="Q178" s="54">
        <v>657336.38399999996</v>
      </c>
      <c r="R178" s="54"/>
      <c r="S178" s="54">
        <v>657336.38399999996</v>
      </c>
      <c r="T178" s="15">
        <v>5258691.0719999997</v>
      </c>
      <c r="U178" s="15">
        <v>657336.38399999996</v>
      </c>
    </row>
    <row r="179" spans="1:21" s="15" customFormat="1" x14ac:dyDescent="0.3">
      <c r="A179" s="17"/>
      <c r="B179"/>
      <c r="C179"/>
      <c r="D179"/>
      <c r="E179"/>
      <c r="F179" s="50">
        <v>42370</v>
      </c>
      <c r="G179" s="53">
        <v>76.3</v>
      </c>
      <c r="H179" s="53">
        <v>152.6</v>
      </c>
      <c r="I179" s="53">
        <v>76.3</v>
      </c>
      <c r="J179"/>
      <c r="K179"/>
      <c r="L179"/>
      <c r="M179"/>
      <c r="N179" s="38"/>
      <c r="O179" s="54">
        <v>515995.53600000002</v>
      </c>
      <c r="P179" s="54">
        <v>4127964.2880000002</v>
      </c>
      <c r="Q179" s="54">
        <v>515995.53600000002</v>
      </c>
      <c r="R179" s="54"/>
      <c r="S179" s="54">
        <v>515995.53600000002</v>
      </c>
      <c r="T179" s="15">
        <v>4127964.2880000002</v>
      </c>
      <c r="U179" s="15">
        <v>515995.53600000002</v>
      </c>
    </row>
    <row r="180" spans="1:21" s="15" customFormat="1" x14ac:dyDescent="0.3">
      <c r="A180" s="17"/>
      <c r="B180"/>
      <c r="C180"/>
      <c r="D180"/>
      <c r="E180"/>
      <c r="F180" s="50">
        <v>42401</v>
      </c>
      <c r="G180" s="53">
        <v>75.8</v>
      </c>
      <c r="H180" s="53">
        <v>151.6</v>
      </c>
      <c r="I180" s="53">
        <v>75.8</v>
      </c>
      <c r="J180"/>
      <c r="K180"/>
      <c r="L180"/>
      <c r="M180"/>
      <c r="N180" s="38"/>
      <c r="O180" s="54">
        <v>446489.28799999994</v>
      </c>
      <c r="P180" s="54">
        <v>3571914.3039999995</v>
      </c>
      <c r="Q180" s="54">
        <v>446489.28799999994</v>
      </c>
      <c r="R180" s="54"/>
      <c r="S180" s="54">
        <v>446489.28799999994</v>
      </c>
      <c r="T180" s="15">
        <v>3571914.3039999995</v>
      </c>
      <c r="U180" s="15">
        <v>446489.28799999994</v>
      </c>
    </row>
    <row r="181" spans="1:21" s="15" customFormat="1" x14ac:dyDescent="0.3">
      <c r="A181" s="17"/>
      <c r="B181"/>
      <c r="C181"/>
      <c r="D181"/>
      <c r="E181"/>
      <c r="F181" s="50">
        <v>42430</v>
      </c>
      <c r="G181" s="53">
        <v>83.7</v>
      </c>
      <c r="H181" s="53">
        <v>167.4</v>
      </c>
      <c r="I181" s="53">
        <v>83.7</v>
      </c>
      <c r="J181"/>
      <c r="K181"/>
      <c r="L181"/>
      <c r="M181"/>
      <c r="N181" s="38"/>
      <c r="O181" s="54">
        <v>484082.29800000001</v>
      </c>
      <c r="P181" s="54">
        <v>3872658.3840000001</v>
      </c>
      <c r="Q181" s="54">
        <v>484082.29800000001</v>
      </c>
      <c r="R181" s="54"/>
      <c r="S181" s="54">
        <v>484082.29800000001</v>
      </c>
      <c r="T181" s="15">
        <v>3872658.3840000001</v>
      </c>
      <c r="U181" s="15">
        <v>484082.29800000001</v>
      </c>
    </row>
    <row r="182" spans="1:21" s="15" customFormat="1" x14ac:dyDescent="0.3">
      <c r="A182" s="17"/>
      <c r="B182"/>
      <c r="C182"/>
      <c r="D182"/>
      <c r="E182"/>
      <c r="F182" s="50">
        <v>42461</v>
      </c>
      <c r="G182" s="53">
        <v>83</v>
      </c>
      <c r="H182" s="53">
        <v>166</v>
      </c>
      <c r="I182" s="53">
        <v>83</v>
      </c>
      <c r="J182"/>
      <c r="K182"/>
      <c r="L182"/>
      <c r="M182"/>
      <c r="N182" s="38"/>
      <c r="O182" s="54">
        <v>526590.18000000005</v>
      </c>
      <c r="P182" s="54">
        <v>4212721.4400000004</v>
      </c>
      <c r="Q182" s="54">
        <v>526590.18000000005</v>
      </c>
      <c r="R182" s="54"/>
      <c r="S182" s="54">
        <v>526590.18000000005</v>
      </c>
      <c r="T182" s="15">
        <v>4212721.4400000004</v>
      </c>
      <c r="U182" s="15">
        <v>526590.18000000005</v>
      </c>
    </row>
    <row r="183" spans="1:21" s="15" customFormat="1" x14ac:dyDescent="0.3">
      <c r="A183" s="17"/>
      <c r="B183"/>
      <c r="C183"/>
      <c r="D183"/>
      <c r="E183"/>
      <c r="F183" s="50">
        <v>42491</v>
      </c>
      <c r="G183" s="53">
        <v>86.3</v>
      </c>
      <c r="H183" s="53">
        <v>172.6</v>
      </c>
      <c r="I183" s="53">
        <v>86.3</v>
      </c>
      <c r="J183"/>
      <c r="K183"/>
      <c r="L183"/>
      <c r="M183"/>
      <c r="N183" s="38"/>
      <c r="O183" s="54">
        <v>599534.73</v>
      </c>
      <c r="P183" s="54">
        <v>4796277.84</v>
      </c>
      <c r="Q183" s="54">
        <v>599534.73</v>
      </c>
      <c r="R183" s="54"/>
      <c r="S183" s="54">
        <v>599534.73</v>
      </c>
      <c r="T183" s="15">
        <v>4796277.84</v>
      </c>
      <c r="U183" s="15">
        <v>599534.73</v>
      </c>
    </row>
    <row r="184" spans="1:21" s="15" customFormat="1" x14ac:dyDescent="0.3">
      <c r="A184" s="17"/>
      <c r="B184"/>
      <c r="C184"/>
      <c r="D184"/>
      <c r="E184"/>
      <c r="F184" s="50">
        <v>42522</v>
      </c>
      <c r="G184" s="53">
        <v>87.7</v>
      </c>
      <c r="H184" s="53">
        <v>175.4</v>
      </c>
      <c r="I184" s="53">
        <v>87.7</v>
      </c>
      <c r="J184"/>
      <c r="K184"/>
      <c r="L184"/>
      <c r="M184"/>
      <c r="N184" s="38"/>
      <c r="O184" s="54">
        <v>628186.32999999996</v>
      </c>
      <c r="P184" s="54">
        <v>5025490.6399999997</v>
      </c>
      <c r="Q184" s="54">
        <v>628186.32999999996</v>
      </c>
      <c r="R184" s="54"/>
      <c r="S184" s="54">
        <v>628186.32999999996</v>
      </c>
      <c r="T184" s="15">
        <v>5025490.6399999997</v>
      </c>
      <c r="U184" s="15">
        <v>628186.32999999996</v>
      </c>
    </row>
    <row r="185" spans="1:21" s="15" customFormat="1" x14ac:dyDescent="0.3">
      <c r="A185" s="17"/>
      <c r="B185"/>
      <c r="C185"/>
      <c r="D185"/>
      <c r="E185"/>
      <c r="F185" s="50">
        <v>42552</v>
      </c>
      <c r="G185" s="53">
        <v>89.6</v>
      </c>
      <c r="H185" s="53">
        <v>179.2</v>
      </c>
      <c r="I185" s="53">
        <v>89.6</v>
      </c>
      <c r="J185"/>
      <c r="K185"/>
      <c r="L185"/>
      <c r="M185"/>
      <c r="N185" s="38"/>
      <c r="O185" s="54">
        <v>678138.49599999993</v>
      </c>
      <c r="P185" s="54">
        <v>5425107.9679999994</v>
      </c>
      <c r="Q185" s="54">
        <v>678138.49599999993</v>
      </c>
      <c r="R185" s="54"/>
      <c r="S185" s="54">
        <v>678138.49599999993</v>
      </c>
      <c r="T185" s="15">
        <v>5425107.9679999994</v>
      </c>
      <c r="U185" s="15">
        <v>678138.49599999993</v>
      </c>
    </row>
    <row r="186" spans="1:21" s="15" customFormat="1" x14ac:dyDescent="0.3">
      <c r="A186" s="17"/>
      <c r="B186"/>
      <c r="C186"/>
      <c r="D186"/>
      <c r="E186"/>
      <c r="F186" s="50">
        <v>42583</v>
      </c>
      <c r="G186" s="53">
        <v>93</v>
      </c>
      <c r="H186" s="53">
        <v>186</v>
      </c>
      <c r="I186" s="53">
        <v>93</v>
      </c>
      <c r="J186"/>
      <c r="K186"/>
      <c r="L186"/>
      <c r="M186"/>
      <c r="N186" s="38"/>
      <c r="O186" s="54">
        <v>730786.56</v>
      </c>
      <c r="P186" s="54">
        <v>5846292.4800000004</v>
      </c>
      <c r="Q186" s="54">
        <v>730786.56</v>
      </c>
      <c r="R186" s="54"/>
      <c r="S186" s="54">
        <v>730786.56</v>
      </c>
      <c r="T186" s="15">
        <v>5846292.4800000004</v>
      </c>
      <c r="U186" s="15">
        <v>730786.56</v>
      </c>
    </row>
    <row r="187" spans="1:21" s="15" customFormat="1" x14ac:dyDescent="0.3">
      <c r="A187" s="17"/>
      <c r="B187"/>
      <c r="C187"/>
      <c r="D187"/>
      <c r="E187"/>
      <c r="F187" s="50">
        <v>42614</v>
      </c>
      <c r="G187" s="53">
        <v>90.7</v>
      </c>
      <c r="H187" s="53">
        <v>181.4</v>
      </c>
      <c r="I187" s="53">
        <v>90.7</v>
      </c>
      <c r="J187"/>
      <c r="K187"/>
      <c r="L187"/>
      <c r="M187"/>
      <c r="N187" s="38"/>
      <c r="O187" s="54">
        <v>755784.96</v>
      </c>
      <c r="P187" s="54">
        <v>6046279.6799999997</v>
      </c>
      <c r="Q187" s="54">
        <v>755784.96</v>
      </c>
      <c r="R187" s="54"/>
      <c r="S187" s="54">
        <v>755784.96</v>
      </c>
      <c r="T187" s="15">
        <v>6046279.6799999997</v>
      </c>
      <c r="U187" s="15">
        <v>755784.96</v>
      </c>
    </row>
    <row r="188" spans="1:21" s="15" customFormat="1" x14ac:dyDescent="0.3">
      <c r="A188" s="17"/>
      <c r="B188"/>
      <c r="C188"/>
      <c r="D188"/>
      <c r="E188"/>
      <c r="F188" s="50">
        <v>42644</v>
      </c>
      <c r="G188" s="53">
        <v>90.2</v>
      </c>
      <c r="H188" s="53">
        <v>180.4</v>
      </c>
      <c r="I188" s="53">
        <v>90.2</v>
      </c>
      <c r="J188"/>
      <c r="K188"/>
      <c r="L188"/>
      <c r="M188"/>
      <c r="N188" s="38"/>
      <c r="O188" s="54">
        <v>760846.02</v>
      </c>
      <c r="P188" s="54">
        <v>6086768.1600000001</v>
      </c>
      <c r="Q188" s="54">
        <v>760846.02</v>
      </c>
      <c r="R188" s="54"/>
      <c r="S188" s="54">
        <v>760846.02</v>
      </c>
      <c r="T188" s="15">
        <v>6086768.1600000001</v>
      </c>
      <c r="U188" s="15">
        <v>760846.02</v>
      </c>
    </row>
    <row r="189" spans="1:21" s="15" customFormat="1" x14ac:dyDescent="0.3">
      <c r="A189" s="17"/>
      <c r="B189"/>
      <c r="C189"/>
      <c r="D189"/>
      <c r="E189"/>
      <c r="F189" s="50">
        <v>42675</v>
      </c>
      <c r="G189" s="53">
        <v>86.5</v>
      </c>
      <c r="H189" s="53">
        <v>173</v>
      </c>
      <c r="I189" s="53">
        <v>86.5</v>
      </c>
      <c r="J189"/>
      <c r="K189"/>
      <c r="L189"/>
      <c r="M189"/>
      <c r="N189" s="38"/>
      <c r="O189" s="54">
        <v>707668.61</v>
      </c>
      <c r="P189" s="54">
        <v>5661348.8799999999</v>
      </c>
      <c r="Q189" s="54">
        <v>707668.61</v>
      </c>
      <c r="R189" s="54"/>
      <c r="S189" s="54">
        <v>707668.61</v>
      </c>
      <c r="T189" s="15">
        <v>5661348.8799999999</v>
      </c>
      <c r="U189" s="15">
        <v>707668.61</v>
      </c>
    </row>
    <row r="190" spans="1:21" s="15" customFormat="1" x14ac:dyDescent="0.3">
      <c r="A190" s="17"/>
      <c r="B190"/>
      <c r="C190"/>
      <c r="D190"/>
      <c r="E190"/>
      <c r="F190" s="50">
        <v>42705</v>
      </c>
      <c r="G190" s="53">
        <v>77.2</v>
      </c>
      <c r="H190" s="53">
        <v>154.4</v>
      </c>
      <c r="I190" s="53">
        <v>77.2</v>
      </c>
      <c r="J190"/>
      <c r="K190"/>
      <c r="L190"/>
      <c r="M190"/>
      <c r="N190" s="38"/>
      <c r="O190" s="54">
        <v>602337.56000000006</v>
      </c>
      <c r="P190" s="54">
        <v>4818700.4800000004</v>
      </c>
      <c r="Q190" s="54">
        <v>602337.56000000006</v>
      </c>
      <c r="R190" s="54"/>
      <c r="S190" s="54">
        <v>602337.56000000006</v>
      </c>
      <c r="T190" s="15">
        <v>4818700.4800000004</v>
      </c>
      <c r="U190" s="15">
        <v>602337.56000000006</v>
      </c>
    </row>
    <row r="191" spans="1:21" s="15" customFormat="1" x14ac:dyDescent="0.3">
      <c r="A191" s="17"/>
      <c r="B191"/>
      <c r="C191"/>
      <c r="D191"/>
      <c r="E191"/>
      <c r="F191" s="50">
        <v>42736</v>
      </c>
      <c r="G191" s="53">
        <v>77.900000000000006</v>
      </c>
      <c r="H191" s="53">
        <v>155.80000000000001</v>
      </c>
      <c r="I191" s="53">
        <v>77.900000000000006</v>
      </c>
      <c r="J191"/>
      <c r="K191"/>
      <c r="L191"/>
      <c r="M191"/>
      <c r="N191" s="38"/>
      <c r="O191" s="54">
        <v>520200.62000000005</v>
      </c>
      <c r="P191" s="54">
        <v>4161604.9600000004</v>
      </c>
      <c r="Q191" s="54">
        <v>520200.62000000005</v>
      </c>
      <c r="R191" s="54"/>
      <c r="S191" s="54">
        <v>520200.62000000005</v>
      </c>
      <c r="T191" s="15">
        <v>4161604.9600000004</v>
      </c>
      <c r="U191" s="15">
        <v>520200.62000000005</v>
      </c>
    </row>
    <row r="192" spans="1:21" s="15" customFormat="1" x14ac:dyDescent="0.3">
      <c r="A192" s="17"/>
      <c r="B192"/>
      <c r="C192"/>
      <c r="D192"/>
      <c r="E192"/>
      <c r="F192" s="50">
        <v>42767</v>
      </c>
      <c r="G192" s="53">
        <v>75.900000000000006</v>
      </c>
      <c r="H192" s="53">
        <v>151.80000000000001</v>
      </c>
      <c r="I192" s="53">
        <v>75.900000000000006</v>
      </c>
      <c r="J192"/>
      <c r="K192"/>
      <c r="L192"/>
      <c r="M192"/>
      <c r="N192" s="38"/>
      <c r="O192" s="54">
        <v>456453.49200000009</v>
      </c>
      <c r="P192" s="54">
        <v>3651627.9360000007</v>
      </c>
      <c r="Q192" s="54">
        <v>456453.49200000009</v>
      </c>
      <c r="R192" s="54"/>
      <c r="S192" s="54">
        <v>456453.49200000009</v>
      </c>
      <c r="T192" s="15">
        <v>3651627.9360000007</v>
      </c>
      <c r="U192" s="15">
        <v>456453.49200000009</v>
      </c>
    </row>
    <row r="193" spans="1:21" s="15" customFormat="1" x14ac:dyDescent="0.3">
      <c r="A193" s="17"/>
      <c r="B193"/>
      <c r="C193"/>
      <c r="D193"/>
      <c r="E193"/>
      <c r="F193" s="50">
        <v>42795</v>
      </c>
      <c r="G193" s="53">
        <v>85.4</v>
      </c>
      <c r="H193" s="53">
        <v>170.8</v>
      </c>
      <c r="I193" s="53">
        <v>85.4</v>
      </c>
      <c r="J193"/>
      <c r="K193"/>
      <c r="L193"/>
      <c r="M193"/>
      <c r="N193" s="38"/>
      <c r="O193" s="54">
        <v>504936.89400000009</v>
      </c>
      <c r="P193" s="54">
        <v>4039495.1520000007</v>
      </c>
      <c r="Q193" s="54">
        <v>504936.89400000009</v>
      </c>
      <c r="R193" s="54"/>
      <c r="S193" s="54">
        <v>504936.89400000009</v>
      </c>
      <c r="T193" s="15">
        <v>4039495.1520000007</v>
      </c>
      <c r="U193" s="15">
        <v>504936.89400000009</v>
      </c>
    </row>
    <row r="194" spans="1:21" s="15" customFormat="1" x14ac:dyDescent="0.3">
      <c r="A194" s="17"/>
      <c r="B194"/>
      <c r="C194"/>
      <c r="D194"/>
      <c r="E194"/>
      <c r="F194" s="50">
        <v>42826</v>
      </c>
      <c r="G194" s="53">
        <v>79.3</v>
      </c>
      <c r="H194" s="53">
        <v>158.6</v>
      </c>
      <c r="I194" s="53">
        <v>79.3</v>
      </c>
      <c r="J194"/>
      <c r="K194"/>
      <c r="L194"/>
      <c r="M194"/>
      <c r="N194" s="38"/>
      <c r="O194" s="54">
        <v>514011.49800000002</v>
      </c>
      <c r="P194" s="54">
        <v>4112091.9840000002</v>
      </c>
      <c r="Q194" s="54">
        <v>514011.49800000002</v>
      </c>
      <c r="R194" s="54"/>
      <c r="S194" s="54">
        <v>514011.49800000002</v>
      </c>
      <c r="T194" s="15">
        <v>4112091.9840000002</v>
      </c>
      <c r="U194" s="15">
        <v>514011.49800000002</v>
      </c>
    </row>
    <row r="195" spans="1:21" s="15" customFormat="1" x14ac:dyDescent="0.3">
      <c r="A195" s="17"/>
      <c r="B195"/>
      <c r="C195"/>
      <c r="D195"/>
      <c r="E195"/>
      <c r="F195" s="50">
        <v>42856</v>
      </c>
      <c r="G195" s="53">
        <v>90.1</v>
      </c>
      <c r="H195" s="53">
        <v>180.2</v>
      </c>
      <c r="I195" s="53">
        <v>90.1</v>
      </c>
      <c r="J195"/>
      <c r="K195"/>
      <c r="L195"/>
      <c r="M195"/>
      <c r="N195" s="38"/>
      <c r="O195" s="54">
        <v>610177.022</v>
      </c>
      <c r="P195" s="54">
        <v>4881416.176</v>
      </c>
      <c r="Q195" s="54">
        <v>610177.022</v>
      </c>
      <c r="R195" s="54"/>
      <c r="S195" s="54">
        <v>610177.022</v>
      </c>
      <c r="T195" s="15">
        <v>4881416.176</v>
      </c>
      <c r="U195" s="15">
        <v>610177.022</v>
      </c>
    </row>
    <row r="196" spans="1:21" s="15" customFormat="1" x14ac:dyDescent="0.3">
      <c r="A196" s="17"/>
      <c r="B196"/>
      <c r="C196"/>
      <c r="D196"/>
      <c r="E196"/>
      <c r="F196" s="50">
        <v>42887</v>
      </c>
      <c r="G196" s="53">
        <v>88.4</v>
      </c>
      <c r="H196" s="53">
        <v>176.8</v>
      </c>
      <c r="I196" s="53">
        <v>88.4</v>
      </c>
      <c r="J196"/>
      <c r="K196"/>
      <c r="L196"/>
      <c r="M196"/>
      <c r="N196" s="38"/>
      <c r="O196" s="54">
        <v>631611.81200000003</v>
      </c>
      <c r="P196" s="54">
        <v>5052894.4960000003</v>
      </c>
      <c r="Q196" s="54">
        <v>631611.81200000003</v>
      </c>
      <c r="R196" s="54"/>
      <c r="S196" s="54">
        <v>631611.81200000003</v>
      </c>
      <c r="T196" s="15">
        <v>5052894.4960000003</v>
      </c>
      <c r="U196" s="15">
        <v>631611.81200000003</v>
      </c>
    </row>
    <row r="197" spans="1:21" s="15" customFormat="1" x14ac:dyDescent="0.3">
      <c r="A197" s="17"/>
      <c r="B197"/>
      <c r="C197"/>
      <c r="D197"/>
      <c r="E197"/>
      <c r="F197" s="50">
        <v>42917</v>
      </c>
      <c r="G197" s="53">
        <v>92.1</v>
      </c>
      <c r="H197" s="53">
        <v>184.2</v>
      </c>
      <c r="I197" s="53">
        <v>92.1</v>
      </c>
      <c r="J197"/>
      <c r="K197"/>
      <c r="L197"/>
      <c r="M197"/>
      <c r="N197" s="38"/>
      <c r="O197" s="54">
        <v>733561.76399999997</v>
      </c>
      <c r="P197" s="54">
        <v>5868494.1119999997</v>
      </c>
      <c r="Q197" s="54">
        <v>733561.76399999997</v>
      </c>
      <c r="R197" s="54"/>
      <c r="S197" s="54">
        <v>733561.76399999997</v>
      </c>
      <c r="T197" s="15">
        <v>5868494.1119999997</v>
      </c>
      <c r="U197" s="15">
        <v>733561.76399999997</v>
      </c>
    </row>
    <row r="198" spans="1:21" s="15" customFormat="1" x14ac:dyDescent="0.3">
      <c r="A198" s="17"/>
      <c r="B198"/>
      <c r="C198"/>
      <c r="D198"/>
      <c r="E198"/>
      <c r="F198" s="50">
        <v>42948</v>
      </c>
      <c r="G198" s="53">
        <v>96.7</v>
      </c>
      <c r="H198" s="53">
        <v>193.4</v>
      </c>
      <c r="I198" s="53">
        <v>96.7</v>
      </c>
      <c r="J198"/>
      <c r="K198"/>
      <c r="L198"/>
      <c r="M198"/>
      <c r="N198" s="38"/>
      <c r="O198" s="54">
        <v>787296.58800000011</v>
      </c>
      <c r="P198" s="54">
        <v>6298372.7040000008</v>
      </c>
      <c r="Q198" s="54">
        <v>787296.58800000011</v>
      </c>
      <c r="R198" s="54"/>
      <c r="S198" s="54">
        <v>787296.58800000011</v>
      </c>
      <c r="T198" s="15">
        <v>6298372.7040000008</v>
      </c>
      <c r="U198" s="15">
        <v>787296.58800000011</v>
      </c>
    </row>
    <row r="199" spans="1:21" s="15" customFormat="1" x14ac:dyDescent="0.3">
      <c r="A199" s="17"/>
      <c r="B199"/>
      <c r="C199"/>
      <c r="D199"/>
      <c r="E199"/>
      <c r="F199" s="50">
        <v>42979</v>
      </c>
      <c r="G199" s="53">
        <v>93</v>
      </c>
      <c r="H199" s="53">
        <v>186</v>
      </c>
      <c r="I199" s="53">
        <v>93</v>
      </c>
      <c r="J199"/>
      <c r="K199"/>
      <c r="L199"/>
      <c r="M199"/>
      <c r="N199" s="38"/>
      <c r="O199" s="54">
        <v>828264.51</v>
      </c>
      <c r="P199" s="54">
        <v>6626116.0800000001</v>
      </c>
      <c r="Q199" s="54">
        <v>828264.51</v>
      </c>
      <c r="R199" s="54"/>
      <c r="S199" s="54">
        <v>828264.51</v>
      </c>
      <c r="T199" s="15">
        <v>6626116.0800000001</v>
      </c>
      <c r="U199" s="15">
        <v>828264.51</v>
      </c>
    </row>
    <row r="200" spans="1:21" s="15" customFormat="1" x14ac:dyDescent="0.3">
      <c r="A200" s="17"/>
      <c r="B200"/>
      <c r="C200"/>
      <c r="D200"/>
      <c r="E200"/>
      <c r="F200" s="50">
        <v>43009</v>
      </c>
      <c r="G200" s="53">
        <v>95.1</v>
      </c>
      <c r="H200" s="53">
        <v>190.2</v>
      </c>
      <c r="I200" s="53">
        <v>95.1</v>
      </c>
      <c r="J200"/>
      <c r="K200"/>
      <c r="L200"/>
      <c r="M200"/>
      <c r="N200" s="38"/>
      <c r="O200" s="54">
        <v>855243.80999999994</v>
      </c>
      <c r="P200" s="54">
        <v>6841950.4799999995</v>
      </c>
      <c r="Q200" s="54">
        <v>855243.80999999994</v>
      </c>
      <c r="R200" s="54"/>
      <c r="S200" s="54">
        <v>855243.80999999994</v>
      </c>
      <c r="T200" s="15">
        <v>6841950.4799999995</v>
      </c>
      <c r="U200" s="15">
        <v>855243.80999999994</v>
      </c>
    </row>
    <row r="201" spans="1:21" s="15" customFormat="1" x14ac:dyDescent="0.3">
      <c r="A201" s="17"/>
      <c r="B201"/>
      <c r="C201"/>
      <c r="D201"/>
      <c r="E201"/>
      <c r="F201" s="50">
        <v>43040</v>
      </c>
      <c r="G201" s="53">
        <v>90.6</v>
      </c>
      <c r="H201" s="53">
        <v>181.2</v>
      </c>
      <c r="I201" s="53">
        <v>90.6</v>
      </c>
      <c r="J201"/>
      <c r="K201"/>
      <c r="L201"/>
      <c r="M201"/>
      <c r="N201" s="38"/>
      <c r="O201" s="54">
        <v>801293.57999999984</v>
      </c>
      <c r="P201" s="54">
        <v>6410348.6399999987</v>
      </c>
      <c r="Q201" s="54">
        <v>801293.57999999984</v>
      </c>
      <c r="R201" s="54"/>
      <c r="S201" s="54">
        <v>801293.57999999984</v>
      </c>
      <c r="T201" s="15">
        <v>6410348.6399999987</v>
      </c>
      <c r="U201" s="15">
        <v>801293.57999999984</v>
      </c>
    </row>
    <row r="202" spans="1:21" s="15" customFormat="1" x14ac:dyDescent="0.3">
      <c r="A202" s="17"/>
      <c r="B202"/>
      <c r="C202"/>
      <c r="D202"/>
      <c r="E202"/>
      <c r="F202" s="50">
        <v>43070</v>
      </c>
      <c r="G202" s="53">
        <v>81</v>
      </c>
      <c r="H202" s="53">
        <v>162</v>
      </c>
      <c r="I202" s="53">
        <v>81</v>
      </c>
      <c r="J202"/>
      <c r="K202"/>
      <c r="L202"/>
      <c r="M202"/>
      <c r="N202" s="38"/>
      <c r="O202" s="54">
        <v>697900.86</v>
      </c>
      <c r="P202" s="54">
        <v>5583206.8799999999</v>
      </c>
      <c r="Q202" s="54">
        <v>697900.86</v>
      </c>
      <c r="R202" s="54"/>
      <c r="S202" s="54">
        <v>697900.86</v>
      </c>
      <c r="T202" s="15">
        <v>5583206.8799999999</v>
      </c>
      <c r="U202" s="15">
        <v>697900.86</v>
      </c>
    </row>
    <row r="203" spans="1:21" s="15" customFormat="1" x14ac:dyDescent="0.3">
      <c r="A203" s="17"/>
      <c r="B203"/>
      <c r="C203"/>
      <c r="D203"/>
      <c r="E203"/>
      <c r="F203" s="50">
        <v>43101</v>
      </c>
      <c r="G203" s="53">
        <v>82.3</v>
      </c>
      <c r="H203" s="53">
        <v>164.6</v>
      </c>
      <c r="I203" s="53">
        <v>82.3</v>
      </c>
      <c r="J203"/>
      <c r="K203"/>
      <c r="L203"/>
      <c r="M203"/>
      <c r="N203" s="38"/>
      <c r="O203" s="54">
        <v>603966.77999999991</v>
      </c>
      <c r="P203" s="54">
        <v>4831734.2399999993</v>
      </c>
      <c r="Q203" s="54">
        <v>603966.77999999991</v>
      </c>
      <c r="R203" s="54"/>
      <c r="S203" s="54">
        <v>603966.77999999991</v>
      </c>
      <c r="T203" s="15">
        <v>4831734.2399999993</v>
      </c>
      <c r="U203" s="15">
        <v>603966.77999999991</v>
      </c>
    </row>
    <row r="204" spans="1:21" s="15" customFormat="1" x14ac:dyDescent="0.3">
      <c r="A204" s="17"/>
      <c r="B204"/>
      <c r="C204"/>
      <c r="D204"/>
      <c r="E204"/>
      <c r="F204" s="50">
        <v>43132</v>
      </c>
      <c r="G204" s="53">
        <v>77.3</v>
      </c>
      <c r="H204" s="53">
        <v>154.6</v>
      </c>
      <c r="I204" s="53">
        <v>77.3</v>
      </c>
      <c r="J204"/>
      <c r="K204"/>
      <c r="L204"/>
      <c r="M204"/>
      <c r="N204" s="38"/>
      <c r="O204" s="54">
        <v>515304.99</v>
      </c>
      <c r="P204" s="54">
        <v>4122439.92</v>
      </c>
      <c r="Q204" s="54">
        <v>515304.99</v>
      </c>
      <c r="R204" s="54"/>
      <c r="S204" s="54">
        <v>515304.99</v>
      </c>
      <c r="T204" s="15">
        <v>4122439.92</v>
      </c>
      <c r="U204" s="15">
        <v>515304.99</v>
      </c>
    </row>
    <row r="205" spans="1:21" s="15" customFormat="1" x14ac:dyDescent="0.3">
      <c r="A205" s="17"/>
      <c r="B205"/>
      <c r="C205"/>
      <c r="D205"/>
      <c r="E205"/>
      <c r="F205" s="50">
        <v>43160</v>
      </c>
      <c r="G205" s="53">
        <v>86.2</v>
      </c>
      <c r="H205" s="53">
        <v>172.4</v>
      </c>
      <c r="I205" s="53">
        <v>86.2</v>
      </c>
      <c r="J205"/>
      <c r="K205"/>
      <c r="L205"/>
      <c r="M205"/>
      <c r="N205" s="38"/>
      <c r="O205" s="54">
        <v>548386.29800000007</v>
      </c>
      <c r="P205" s="54">
        <v>4387090.3840000005</v>
      </c>
      <c r="Q205" s="54">
        <v>548386.29800000007</v>
      </c>
      <c r="R205" s="54"/>
      <c r="S205" s="54">
        <v>548386.29800000007</v>
      </c>
      <c r="T205" s="15">
        <v>4387090.3840000005</v>
      </c>
      <c r="U205" s="15">
        <v>548386.29800000007</v>
      </c>
    </row>
    <row r="206" spans="1:21" s="15" customFormat="1" x14ac:dyDescent="0.3">
      <c r="A206" s="17"/>
      <c r="B206"/>
      <c r="C206"/>
      <c r="D206"/>
      <c r="E206"/>
      <c r="F206" s="50">
        <v>43191</v>
      </c>
      <c r="G206" s="53">
        <v>86.5</v>
      </c>
      <c r="H206" s="53">
        <v>173</v>
      </c>
      <c r="I206" s="53">
        <v>86.5</v>
      </c>
      <c r="J206"/>
      <c r="K206"/>
      <c r="L206"/>
      <c r="M206"/>
      <c r="N206" s="38"/>
      <c r="O206" s="54">
        <v>576371.99</v>
      </c>
      <c r="P206" s="54">
        <v>4610975.92</v>
      </c>
      <c r="Q206" s="54">
        <v>576371.99</v>
      </c>
      <c r="R206" s="54"/>
      <c r="S206" s="54">
        <v>576371.99</v>
      </c>
      <c r="T206" s="15">
        <v>4610975.92</v>
      </c>
      <c r="U206" s="15">
        <v>576371.99</v>
      </c>
    </row>
    <row r="207" spans="1:21" s="15" customFormat="1" x14ac:dyDescent="0.3">
      <c r="A207" s="17"/>
      <c r="B207"/>
      <c r="C207"/>
      <c r="D207"/>
      <c r="E207"/>
      <c r="F207" s="50">
        <v>43221</v>
      </c>
      <c r="G207" s="53">
        <v>84.4</v>
      </c>
      <c r="H207" s="53">
        <v>168.8</v>
      </c>
      <c r="I207" s="53">
        <v>84.4</v>
      </c>
      <c r="J207"/>
      <c r="K207"/>
      <c r="L207"/>
      <c r="M207"/>
      <c r="N207" s="38"/>
      <c r="O207" s="54">
        <v>629311.72000000009</v>
      </c>
      <c r="P207" s="54">
        <v>5034493.7600000007</v>
      </c>
      <c r="Q207" s="54">
        <v>629311.72000000009</v>
      </c>
      <c r="R207" s="54"/>
      <c r="S207" s="54">
        <v>629311.72000000009</v>
      </c>
      <c r="T207" s="15">
        <v>5034493.7600000007</v>
      </c>
      <c r="U207" s="15">
        <v>629311.72000000009</v>
      </c>
    </row>
    <row r="208" spans="1:21" s="15" customFormat="1" x14ac:dyDescent="0.3">
      <c r="A208" s="17"/>
      <c r="B208"/>
      <c r="C208"/>
      <c r="D208"/>
      <c r="E208"/>
      <c r="F208" s="50">
        <v>43252</v>
      </c>
      <c r="G208" s="53">
        <v>91.1</v>
      </c>
      <c r="H208" s="53">
        <v>182.2</v>
      </c>
      <c r="I208" s="53">
        <v>91.1</v>
      </c>
      <c r="J208"/>
      <c r="K208"/>
      <c r="L208"/>
      <c r="M208"/>
      <c r="N208" s="38"/>
      <c r="O208" s="54">
        <v>665084.66</v>
      </c>
      <c r="P208" s="54">
        <v>5320677.28</v>
      </c>
      <c r="Q208" s="54">
        <v>665084.66</v>
      </c>
      <c r="R208" s="54"/>
      <c r="S208" s="54">
        <v>665084.66</v>
      </c>
      <c r="T208" s="15">
        <v>5320677.28</v>
      </c>
      <c r="U208" s="15">
        <v>665084.66</v>
      </c>
    </row>
    <row r="209" spans="1:21" s="15" customFormat="1" x14ac:dyDescent="0.3">
      <c r="A209" s="17"/>
      <c r="B209"/>
      <c r="C209"/>
      <c r="D209"/>
      <c r="E209"/>
      <c r="F209" s="50">
        <v>43282</v>
      </c>
      <c r="G209" s="53">
        <v>95.8</v>
      </c>
      <c r="H209" s="53">
        <v>191.6</v>
      </c>
      <c r="I209" s="53">
        <v>95.8</v>
      </c>
      <c r="J209"/>
      <c r="K209"/>
      <c r="L209"/>
      <c r="M209"/>
      <c r="N209" s="38"/>
      <c r="O209" s="54">
        <v>736590.87199999997</v>
      </c>
      <c r="P209" s="54">
        <v>5892726.9759999998</v>
      </c>
      <c r="Q209" s="54">
        <v>736590.87199999997</v>
      </c>
      <c r="R209" s="54"/>
      <c r="S209" s="54">
        <v>736590.87199999997</v>
      </c>
      <c r="T209" s="15">
        <v>5892726.9759999998</v>
      </c>
      <c r="U209" s="15">
        <v>736590.87199999997</v>
      </c>
    </row>
    <row r="210" spans="1:21" s="15" customFormat="1" x14ac:dyDescent="0.3">
      <c r="A210" s="17"/>
      <c r="B210"/>
      <c r="C210"/>
      <c r="D210"/>
      <c r="E210"/>
      <c r="F210" s="50">
        <v>43313</v>
      </c>
      <c r="G210" s="53">
        <v>98.2</v>
      </c>
      <c r="H210" s="53">
        <v>196.4</v>
      </c>
      <c r="I210" s="53">
        <v>98.2</v>
      </c>
      <c r="J210"/>
      <c r="K210"/>
      <c r="L210"/>
      <c r="M210"/>
      <c r="N210" s="38"/>
      <c r="O210" s="54">
        <v>857028.7159999999</v>
      </c>
      <c r="P210" s="54">
        <v>6856229.7279999992</v>
      </c>
      <c r="Q210" s="54">
        <v>857028.7159999999</v>
      </c>
      <c r="R210" s="54"/>
      <c r="S210" s="54">
        <v>857028.7159999999</v>
      </c>
      <c r="T210" s="15">
        <v>6856229.7279999992</v>
      </c>
      <c r="U210" s="15">
        <v>857028.7159999999</v>
      </c>
    </row>
    <row r="211" spans="1:21" s="15" customFormat="1" x14ac:dyDescent="0.3">
      <c r="A211" s="17"/>
      <c r="B211"/>
      <c r="C211"/>
      <c r="D211"/>
      <c r="E211"/>
      <c r="F211" s="50">
        <v>43344</v>
      </c>
      <c r="G211" s="53">
        <v>90.7</v>
      </c>
      <c r="H211" s="53">
        <v>181.4</v>
      </c>
      <c r="I211" s="53">
        <v>90.7</v>
      </c>
      <c r="J211"/>
      <c r="K211"/>
      <c r="L211"/>
      <c r="M211"/>
      <c r="N211" s="38"/>
      <c r="O211" s="54">
        <v>853265.69199999992</v>
      </c>
      <c r="P211" s="54">
        <v>6826125.5359999994</v>
      </c>
      <c r="Q211" s="54">
        <v>853265.69199999992</v>
      </c>
      <c r="R211" s="54"/>
      <c r="S211" s="54">
        <v>853265.69199999992</v>
      </c>
      <c r="T211" s="15">
        <v>6826125.5359999994</v>
      </c>
      <c r="U211" s="15">
        <v>853265.69199999992</v>
      </c>
    </row>
    <row r="212" spans="1:21" s="15" customFormat="1" x14ac:dyDescent="0.3">
      <c r="A212" s="17"/>
      <c r="B212"/>
      <c r="C212"/>
      <c r="D212"/>
      <c r="E212"/>
      <c r="F212" s="50">
        <v>43374</v>
      </c>
      <c r="G212" s="53">
        <v>95.8</v>
      </c>
      <c r="H212" s="53">
        <v>191.6</v>
      </c>
      <c r="I212" s="53">
        <v>95.8</v>
      </c>
      <c r="J212"/>
      <c r="K212"/>
      <c r="L212"/>
      <c r="M212"/>
      <c r="N212" s="38"/>
      <c r="O212" s="54">
        <v>853265.69199999992</v>
      </c>
      <c r="P212" s="54">
        <v>6826125.5359999994</v>
      </c>
      <c r="Q212" s="54">
        <v>853265.69199999992</v>
      </c>
      <c r="R212" s="54"/>
      <c r="S212" s="54">
        <v>853265.69199999992</v>
      </c>
      <c r="T212" s="15">
        <v>6826125.5359999994</v>
      </c>
      <c r="U212" s="15">
        <v>853265.69199999992</v>
      </c>
    </row>
    <row r="213" spans="1:21" s="15" customFormat="1" x14ac:dyDescent="0.3">
      <c r="A213" s="17"/>
      <c r="B213"/>
      <c r="C213"/>
      <c r="D213"/>
      <c r="E213"/>
      <c r="F213" s="50">
        <v>43405</v>
      </c>
      <c r="G213" s="53">
        <v>89.5</v>
      </c>
      <c r="H213" s="53">
        <v>179</v>
      </c>
      <c r="I213" s="53">
        <v>89.5</v>
      </c>
      <c r="J213"/>
      <c r="K213"/>
      <c r="L213"/>
      <c r="M213"/>
      <c r="N213" s="38"/>
      <c r="O213" s="54">
        <v>777670.87</v>
      </c>
      <c r="P213" s="54">
        <v>6221366.96</v>
      </c>
      <c r="Q213" s="54">
        <v>777670.87</v>
      </c>
      <c r="R213" s="54"/>
      <c r="S213" s="54">
        <v>777670.87</v>
      </c>
      <c r="T213" s="15">
        <v>6221366.96</v>
      </c>
      <c r="U213" s="15">
        <v>777670.87</v>
      </c>
    </row>
    <row r="214" spans="1:21" s="15" customFormat="1" x14ac:dyDescent="0.3">
      <c r="A214" s="17"/>
      <c r="B214"/>
      <c r="C214"/>
      <c r="D214"/>
      <c r="E214"/>
      <c r="F214" s="50">
        <v>43435</v>
      </c>
      <c r="G214" s="53">
        <v>78</v>
      </c>
      <c r="H214" s="53">
        <v>156</v>
      </c>
      <c r="I214" s="53">
        <v>78</v>
      </c>
      <c r="J214"/>
      <c r="K214"/>
      <c r="L214"/>
      <c r="M214"/>
      <c r="N214" s="38"/>
      <c r="O214" s="54">
        <v>668779.80000000005</v>
      </c>
      <c r="P214" s="54">
        <v>5350238.4000000004</v>
      </c>
      <c r="Q214" s="54">
        <v>668779.80000000005</v>
      </c>
      <c r="R214" s="54"/>
      <c r="S214" s="54">
        <v>668779.80000000005</v>
      </c>
      <c r="T214" s="15">
        <v>5350238.4000000004</v>
      </c>
      <c r="U214" s="15">
        <v>668779.80000000005</v>
      </c>
    </row>
    <row r="215" spans="1:21" s="15" customFormat="1" x14ac:dyDescent="0.3">
      <c r="A215" s="17"/>
      <c r="B215"/>
      <c r="C215"/>
      <c r="D215"/>
      <c r="E215"/>
      <c r="F215" s="50">
        <v>43466</v>
      </c>
      <c r="G215" s="53">
        <v>80.7</v>
      </c>
      <c r="H215" s="53">
        <v>161.4</v>
      </c>
      <c r="I215" s="53">
        <v>80.7</v>
      </c>
      <c r="J215"/>
      <c r="K215"/>
      <c r="L215"/>
      <c r="M215"/>
      <c r="N215" s="38"/>
      <c r="O215" s="54">
        <v>563366.70000000007</v>
      </c>
      <c r="P215" s="54">
        <v>4506933.6000000006</v>
      </c>
      <c r="Q215" s="54">
        <v>563366.70000000007</v>
      </c>
      <c r="R215" s="54"/>
      <c r="S215" s="54">
        <v>563366.70000000007</v>
      </c>
      <c r="T215" s="15">
        <v>4506933.6000000006</v>
      </c>
      <c r="U215" s="15">
        <v>563366.70000000007</v>
      </c>
    </row>
    <row r="216" spans="1:21" s="15" customFormat="1" x14ac:dyDescent="0.3">
      <c r="A216" s="17"/>
      <c r="B216"/>
      <c r="C216"/>
      <c r="D216"/>
      <c r="E216"/>
      <c r="F216" s="50">
        <v>43497</v>
      </c>
      <c r="G216" s="53">
        <v>79.099999999999994</v>
      </c>
      <c r="H216" s="53">
        <v>158.19999999999999</v>
      </c>
      <c r="I216" s="53">
        <v>79.099999999999994</v>
      </c>
      <c r="J216"/>
      <c r="K216"/>
      <c r="L216"/>
      <c r="M216"/>
      <c r="N216" s="38"/>
      <c r="O216" s="54">
        <v>497902.86</v>
      </c>
      <c r="P216" s="54">
        <v>3983222.88</v>
      </c>
      <c r="Q216" s="54">
        <v>497902.86</v>
      </c>
      <c r="R216" s="54"/>
      <c r="S216" s="54">
        <v>497902.86</v>
      </c>
      <c r="T216" s="15">
        <v>3983222.88</v>
      </c>
      <c r="U216" s="15">
        <v>497902.86</v>
      </c>
    </row>
    <row r="217" spans="1:21" s="15" customFormat="1" x14ac:dyDescent="0.3">
      <c r="A217" s="17"/>
      <c r="B217"/>
      <c r="C217"/>
      <c r="D217"/>
      <c r="E217"/>
      <c r="F217" s="50">
        <v>43525</v>
      </c>
      <c r="G217" s="53">
        <v>81</v>
      </c>
      <c r="H217" s="53">
        <v>162</v>
      </c>
      <c r="I217" s="53">
        <v>81</v>
      </c>
      <c r="J217"/>
      <c r="K217"/>
      <c r="L217"/>
      <c r="M217"/>
      <c r="N217" s="38"/>
      <c r="O217" s="54">
        <v>517052.97</v>
      </c>
      <c r="P217" s="54">
        <v>4136423.76</v>
      </c>
      <c r="Q217" s="54">
        <v>517052.97</v>
      </c>
      <c r="R217" s="54"/>
      <c r="S217" s="54">
        <v>517052.97</v>
      </c>
      <c r="T217" s="15">
        <v>4136423.76</v>
      </c>
      <c r="U217" s="15">
        <v>517052.97</v>
      </c>
    </row>
    <row r="218" spans="1:21" s="15" customFormat="1" x14ac:dyDescent="0.3">
      <c r="A218" s="17"/>
      <c r="B218"/>
      <c r="C218"/>
      <c r="D218"/>
      <c r="E218"/>
      <c r="F218" s="50">
        <v>43556</v>
      </c>
      <c r="G218" s="53">
        <v>83.3</v>
      </c>
      <c r="H218" s="53">
        <v>166.6</v>
      </c>
      <c r="I218" s="53">
        <v>83.3</v>
      </c>
      <c r="J218"/>
      <c r="K218"/>
      <c r="L218"/>
      <c r="M218"/>
      <c r="N218" s="38"/>
      <c r="O218" s="54">
        <v>533711.42999999993</v>
      </c>
      <c r="P218" s="54">
        <v>4269691.4399999995</v>
      </c>
      <c r="Q218" s="54">
        <v>533711.42999999993</v>
      </c>
      <c r="R218" s="54"/>
      <c r="S218" s="54">
        <v>533711.42999999993</v>
      </c>
      <c r="T218" s="15">
        <v>4269691.4399999995</v>
      </c>
      <c r="U218" s="15">
        <v>533711.42999999993</v>
      </c>
    </row>
    <row r="219" spans="1:21" s="15" customFormat="1" x14ac:dyDescent="0.3">
      <c r="A219" s="17"/>
      <c r="B219"/>
      <c r="C219"/>
      <c r="D219"/>
      <c r="E219"/>
      <c r="F219" s="50">
        <v>43586</v>
      </c>
      <c r="G219" s="53">
        <v>91</v>
      </c>
      <c r="H219" s="53">
        <v>182</v>
      </c>
      <c r="I219" s="53">
        <v>91</v>
      </c>
      <c r="J219"/>
      <c r="K219"/>
      <c r="L219"/>
      <c r="M219"/>
      <c r="N219" s="38"/>
      <c r="O219" s="54">
        <v>614004.30000000005</v>
      </c>
      <c r="P219" s="54">
        <v>4912034.4000000004</v>
      </c>
      <c r="Q219" s="54">
        <v>614004.30000000005</v>
      </c>
      <c r="R219" s="54"/>
      <c r="S219" s="54">
        <v>614004.30000000005</v>
      </c>
      <c r="T219" s="15">
        <v>4912034.4000000004</v>
      </c>
      <c r="U219" s="15">
        <v>614004.30000000005</v>
      </c>
    </row>
    <row r="220" spans="1:21" s="15" customFormat="1" x14ac:dyDescent="0.3">
      <c r="A220" s="17"/>
      <c r="B220"/>
      <c r="C220"/>
      <c r="D220"/>
      <c r="E220"/>
      <c r="F220" s="50">
        <v>43617</v>
      </c>
      <c r="G220" s="53">
        <v>85.8</v>
      </c>
      <c r="H220" s="53">
        <v>171.6</v>
      </c>
      <c r="I220" s="53">
        <v>85.8</v>
      </c>
      <c r="J220"/>
      <c r="K220"/>
      <c r="L220"/>
      <c r="M220"/>
      <c r="N220" s="38"/>
      <c r="O220" s="54">
        <v>650389.74</v>
      </c>
      <c r="P220" s="54">
        <v>5203117.92</v>
      </c>
      <c r="Q220" s="54">
        <v>650389.74</v>
      </c>
      <c r="R220" s="54"/>
      <c r="S220" s="54">
        <v>650389.74</v>
      </c>
      <c r="T220" s="15">
        <v>5203117.92</v>
      </c>
      <c r="U220" s="15">
        <v>650389.74</v>
      </c>
    </row>
    <row r="221" spans="1:21" s="15" customFormat="1" x14ac:dyDescent="0.3">
      <c r="A221" s="17"/>
      <c r="B221"/>
      <c r="C221"/>
      <c r="D221"/>
      <c r="E221"/>
      <c r="F221" s="50">
        <v>43647</v>
      </c>
      <c r="G221" s="53">
        <v>93.4</v>
      </c>
      <c r="H221" s="53">
        <v>186.8</v>
      </c>
      <c r="I221" s="53">
        <v>93.4</v>
      </c>
      <c r="J221"/>
      <c r="K221"/>
      <c r="L221"/>
      <c r="M221"/>
      <c r="N221" s="38"/>
      <c r="O221" s="54">
        <v>729248.52</v>
      </c>
      <c r="P221" s="54">
        <v>5833988.1600000001</v>
      </c>
      <c r="Q221" s="54">
        <v>729248.52</v>
      </c>
      <c r="R221" s="54"/>
      <c r="S221" s="54">
        <v>729248.52</v>
      </c>
      <c r="T221" s="15">
        <v>5833988.1600000001</v>
      </c>
      <c r="U221" s="15">
        <v>729248.52</v>
      </c>
    </row>
    <row r="222" spans="1:21" s="15" customFormat="1" x14ac:dyDescent="0.3">
      <c r="A222" s="17"/>
      <c r="B222"/>
      <c r="C222"/>
      <c r="D222"/>
      <c r="E222"/>
      <c r="F222" s="50">
        <v>43678</v>
      </c>
      <c r="G222" s="53">
        <v>96.2</v>
      </c>
      <c r="H222" s="53">
        <v>192.4</v>
      </c>
      <c r="I222" s="53">
        <v>96.2</v>
      </c>
      <c r="J222"/>
      <c r="K222"/>
      <c r="L222"/>
      <c r="M222"/>
      <c r="N222" s="38"/>
      <c r="O222" s="54">
        <v>770919.86400000006</v>
      </c>
      <c r="P222" s="54">
        <v>6167358.9120000005</v>
      </c>
      <c r="Q222" s="54">
        <v>770919.86400000006</v>
      </c>
      <c r="R222" s="54"/>
      <c r="S222" s="54">
        <v>770919.86400000006</v>
      </c>
      <c r="T222" s="15">
        <v>6167358.9120000005</v>
      </c>
      <c r="U222" s="15">
        <v>770919.86400000006</v>
      </c>
    </row>
    <row r="223" spans="1:21" s="15" customFormat="1" x14ac:dyDescent="0.3">
      <c r="A223" s="17"/>
      <c r="B223"/>
      <c r="C223"/>
      <c r="D223"/>
      <c r="E223"/>
      <c r="F223" s="50">
        <v>43709</v>
      </c>
      <c r="G223" s="53">
        <v>91.8</v>
      </c>
      <c r="H223" s="53">
        <v>183.6</v>
      </c>
      <c r="I223" s="53">
        <v>91.8</v>
      </c>
      <c r="J223"/>
      <c r="K223"/>
      <c r="L223"/>
      <c r="M223"/>
      <c r="N223" s="38"/>
      <c r="O223" s="54">
        <v>824830.34399999992</v>
      </c>
      <c r="P223" s="54">
        <v>6598642.7519999994</v>
      </c>
      <c r="Q223" s="54">
        <v>824830.34399999992</v>
      </c>
      <c r="R223" s="54"/>
      <c r="S223" s="54">
        <v>824830.34399999992</v>
      </c>
      <c r="T223" s="15">
        <v>6598642.7519999994</v>
      </c>
      <c r="U223" s="15">
        <v>824830.34399999992</v>
      </c>
    </row>
    <row r="224" spans="1:21" s="15" customFormat="1" x14ac:dyDescent="0.3">
      <c r="A224" s="17"/>
      <c r="B224"/>
      <c r="C224"/>
      <c r="D224"/>
      <c r="E224"/>
      <c r="F224" s="50">
        <v>43739</v>
      </c>
      <c r="G224" s="53">
        <v>97</v>
      </c>
      <c r="H224" s="53">
        <v>194</v>
      </c>
      <c r="I224" s="53">
        <v>97</v>
      </c>
      <c r="J224"/>
      <c r="K224"/>
      <c r="L224"/>
      <c r="M224"/>
      <c r="N224" s="38"/>
      <c r="O224" s="54">
        <v>856622.52</v>
      </c>
      <c r="P224" s="54">
        <v>6852980.1600000001</v>
      </c>
      <c r="Q224" s="54">
        <v>856622.52</v>
      </c>
      <c r="R224" s="54"/>
      <c r="S224" s="54">
        <v>856622.52</v>
      </c>
      <c r="T224" s="15">
        <v>6852980.1600000001</v>
      </c>
      <c r="U224" s="15">
        <v>856622.52</v>
      </c>
    </row>
    <row r="225" spans="1:21" s="15" customFormat="1" x14ac:dyDescent="0.3">
      <c r="A225" s="17"/>
      <c r="B225"/>
      <c r="C225"/>
      <c r="D225"/>
      <c r="E225"/>
      <c r="F225" s="50">
        <v>43770</v>
      </c>
      <c r="G225" s="53">
        <v>88</v>
      </c>
      <c r="H225" s="53">
        <v>176</v>
      </c>
      <c r="I225" s="53">
        <v>88</v>
      </c>
      <c r="J225"/>
      <c r="K225"/>
      <c r="L225"/>
      <c r="M225"/>
      <c r="N225" s="38"/>
      <c r="O225" s="54">
        <v>783604.8</v>
      </c>
      <c r="P225" s="54">
        <v>6268838.4000000004</v>
      </c>
      <c r="Q225" s="54">
        <v>783604.8</v>
      </c>
      <c r="R225" s="54"/>
      <c r="S225" s="54">
        <v>783604.8</v>
      </c>
      <c r="T225" s="15">
        <v>6268838.4000000004</v>
      </c>
      <c r="U225" s="15">
        <v>783604.8</v>
      </c>
    </row>
    <row r="226" spans="1:21" s="15" customFormat="1" x14ac:dyDescent="0.3">
      <c r="A226" s="17"/>
      <c r="B226"/>
      <c r="C226"/>
      <c r="D226"/>
      <c r="E226"/>
      <c r="F226" s="50">
        <v>43800</v>
      </c>
      <c r="G226" s="53">
        <v>76.900000000000006</v>
      </c>
      <c r="H226" s="53">
        <v>153.80000000000001</v>
      </c>
      <c r="I226" s="53">
        <v>76.900000000000006</v>
      </c>
      <c r="J226"/>
      <c r="K226"/>
      <c r="L226"/>
      <c r="M226"/>
      <c r="N226" s="38"/>
      <c r="O226" s="54">
        <v>656418.4</v>
      </c>
      <c r="P226" s="54">
        <v>5251347.2</v>
      </c>
      <c r="Q226" s="54">
        <v>656418.4</v>
      </c>
      <c r="R226" s="54"/>
      <c r="S226" s="54">
        <v>656418.4</v>
      </c>
      <c r="T226" s="15">
        <v>5251347.2</v>
      </c>
      <c r="U226" s="15">
        <v>656418.4</v>
      </c>
    </row>
    <row r="227" spans="1:21" s="15" customFormat="1" x14ac:dyDescent="0.3">
      <c r="A227" s="17"/>
      <c r="B227"/>
      <c r="C227"/>
      <c r="D227"/>
      <c r="E227"/>
      <c r="F227" s="50">
        <v>43831</v>
      </c>
      <c r="G227" s="53">
        <v>80</v>
      </c>
      <c r="H227" s="53">
        <v>160</v>
      </c>
      <c r="I227" s="53">
        <v>80</v>
      </c>
      <c r="J227"/>
      <c r="K227"/>
      <c r="L227"/>
      <c r="M227"/>
      <c r="N227" s="38"/>
      <c r="O227" s="54">
        <v>541376</v>
      </c>
      <c r="P227" s="54">
        <v>4331008</v>
      </c>
      <c r="Q227" s="54">
        <v>541376</v>
      </c>
      <c r="R227" s="54"/>
      <c r="S227" s="54">
        <v>541376</v>
      </c>
      <c r="T227" s="15">
        <v>4331008</v>
      </c>
      <c r="U227" s="15">
        <v>541376</v>
      </c>
    </row>
    <row r="228" spans="1:21" s="15" customFormat="1" x14ac:dyDescent="0.3">
      <c r="A228" s="17"/>
      <c r="B228"/>
      <c r="C228"/>
      <c r="D228"/>
      <c r="E228"/>
      <c r="F228" s="50">
        <v>43862</v>
      </c>
      <c r="G228" s="53">
        <v>78.900000000000006</v>
      </c>
      <c r="H228" s="53">
        <v>157.80000000000001</v>
      </c>
      <c r="I228" s="53">
        <v>78.900000000000006</v>
      </c>
      <c r="J228"/>
      <c r="K228"/>
      <c r="L228"/>
      <c r="M228"/>
      <c r="N228" s="38"/>
      <c r="O228" s="54">
        <v>485392.80000000005</v>
      </c>
      <c r="P228" s="54">
        <v>3883142.4000000004</v>
      </c>
      <c r="Q228" s="54">
        <v>485392.80000000005</v>
      </c>
      <c r="R228" s="54"/>
      <c r="S228" s="54">
        <v>485392.80000000005</v>
      </c>
      <c r="T228" s="15">
        <v>3883142.4000000004</v>
      </c>
      <c r="U228" s="15">
        <v>485392.80000000005</v>
      </c>
    </row>
    <row r="229" spans="1:21" s="15" customFormat="1" x14ac:dyDescent="0.3">
      <c r="A229" s="17"/>
      <c r="B229"/>
      <c r="C229"/>
      <c r="D229"/>
      <c r="E229"/>
      <c r="F229" s="50">
        <v>43891</v>
      </c>
      <c r="G229" s="53">
        <v>77.900000000000006</v>
      </c>
      <c r="H229" s="53">
        <v>155.80000000000001</v>
      </c>
      <c r="I229" s="53">
        <v>77.900000000000006</v>
      </c>
      <c r="J229"/>
      <c r="K229"/>
      <c r="L229"/>
      <c r="M229"/>
      <c r="N229" s="38"/>
      <c r="O229" s="54">
        <v>491704.80000000005</v>
      </c>
      <c r="P229" s="54">
        <v>3933638.4000000004</v>
      </c>
      <c r="Q229" s="54">
        <v>491704.80000000005</v>
      </c>
      <c r="R229" s="54"/>
      <c r="S229" s="54">
        <v>491704.80000000005</v>
      </c>
      <c r="T229" s="15">
        <v>3933638.4000000004</v>
      </c>
      <c r="U229" s="15">
        <v>491704.80000000005</v>
      </c>
    </row>
    <row r="230" spans="1:21" s="15" customFormat="1" x14ac:dyDescent="0.3">
      <c r="A230" s="17"/>
      <c r="B230"/>
      <c r="C230"/>
      <c r="D230"/>
      <c r="E230"/>
      <c r="F230" s="50">
        <v>43922</v>
      </c>
      <c r="G230" s="53">
        <v>60.3</v>
      </c>
      <c r="H230" s="53">
        <v>120.6</v>
      </c>
      <c r="I230" s="53">
        <v>60.3</v>
      </c>
      <c r="J230"/>
      <c r="K230"/>
      <c r="L230"/>
      <c r="M230"/>
      <c r="N230" s="38"/>
      <c r="O230" s="54">
        <v>370622.49300000007</v>
      </c>
      <c r="P230" s="54">
        <v>2964979.9440000006</v>
      </c>
      <c r="Q230" s="54">
        <v>370622.49300000007</v>
      </c>
      <c r="R230" s="54"/>
      <c r="S230" s="54">
        <v>370622.49300000007</v>
      </c>
      <c r="T230" s="15">
        <v>2964979.9440000006</v>
      </c>
      <c r="U230" s="15">
        <v>370622.49300000007</v>
      </c>
    </row>
    <row r="231" spans="1:21" s="15" customFormat="1" x14ac:dyDescent="0.3">
      <c r="A231" s="17"/>
      <c r="B231"/>
      <c r="C231"/>
      <c r="D231"/>
      <c r="E231"/>
      <c r="F231" s="50">
        <v>43952</v>
      </c>
      <c r="G231" s="53">
        <v>71.2</v>
      </c>
      <c r="H231" s="53">
        <v>142.4</v>
      </c>
      <c r="I231" s="53">
        <v>71.2</v>
      </c>
      <c r="J231"/>
      <c r="K231"/>
      <c r="L231"/>
      <c r="M231"/>
      <c r="N231" s="38"/>
      <c r="O231" s="54">
        <v>334452.74400000001</v>
      </c>
      <c r="P231" s="54">
        <v>2675621.952</v>
      </c>
      <c r="Q231" s="54">
        <v>334452.74400000001</v>
      </c>
      <c r="R231" s="54"/>
      <c r="S231" s="54">
        <v>334452.74400000001</v>
      </c>
      <c r="T231" s="15">
        <v>2675621.952</v>
      </c>
      <c r="U231" s="15">
        <v>334452.74400000001</v>
      </c>
    </row>
    <row r="232" spans="1:21" s="15" customFormat="1" x14ac:dyDescent="0.3">
      <c r="A232" s="17"/>
      <c r="B232"/>
      <c r="C232"/>
      <c r="D232"/>
      <c r="E232"/>
      <c r="F232" s="50">
        <v>43983</v>
      </c>
      <c r="G232" s="53">
        <v>78.400000000000006</v>
      </c>
      <c r="H232" s="53">
        <v>156.80000000000001</v>
      </c>
      <c r="I232" s="53">
        <v>78.400000000000006</v>
      </c>
      <c r="J232"/>
      <c r="K232"/>
      <c r="L232"/>
      <c r="M232"/>
      <c r="N232" s="38"/>
      <c r="O232" s="54">
        <v>336599.424</v>
      </c>
      <c r="P232" s="54">
        <v>2692795.392</v>
      </c>
      <c r="Q232" s="54">
        <v>336599.424</v>
      </c>
      <c r="R232" s="54"/>
      <c r="S232" s="54">
        <v>336599.424</v>
      </c>
      <c r="T232" s="15">
        <v>2692795.392</v>
      </c>
      <c r="U232" s="15">
        <v>336599.424</v>
      </c>
    </row>
    <row r="233" spans="1:21" s="15" customFormat="1" x14ac:dyDescent="0.3">
      <c r="A233" s="17"/>
      <c r="B233"/>
      <c r="C233"/>
      <c r="D233"/>
      <c r="E233"/>
      <c r="F233" s="50">
        <v>44013</v>
      </c>
      <c r="G233" s="53">
        <v>91</v>
      </c>
      <c r="H233" s="53">
        <v>182</v>
      </c>
      <c r="I233" s="53">
        <v>91</v>
      </c>
      <c r="J233"/>
      <c r="K233"/>
      <c r="L233"/>
      <c r="M233"/>
      <c r="N233" s="38"/>
      <c r="O233" s="54">
        <v>507969.28000000009</v>
      </c>
      <c r="P233" s="54">
        <v>4063754.2400000007</v>
      </c>
      <c r="Q233" s="54">
        <v>507969.28000000009</v>
      </c>
      <c r="R233" s="54"/>
      <c r="S233" s="54">
        <v>507969.28000000009</v>
      </c>
      <c r="T233" s="15">
        <v>4063754.2400000007</v>
      </c>
      <c r="U233" s="15">
        <v>507969.28000000009</v>
      </c>
    </row>
    <row r="234" spans="1:21" s="15" customFormat="1" x14ac:dyDescent="0.3">
      <c r="A234" s="17"/>
      <c r="B234"/>
      <c r="C234"/>
      <c r="D234"/>
      <c r="E234"/>
      <c r="F234" s="50">
        <v>44044</v>
      </c>
      <c r="G234" s="53">
        <v>93.9</v>
      </c>
      <c r="H234" s="53">
        <v>187.8</v>
      </c>
      <c r="I234" s="53">
        <v>93.9</v>
      </c>
      <c r="J234"/>
      <c r="K234"/>
      <c r="L234"/>
      <c r="M234"/>
      <c r="N234" s="38"/>
      <c r="O234" s="54">
        <v>669920.16000000015</v>
      </c>
      <c r="P234" s="54">
        <v>5359361.2800000012</v>
      </c>
      <c r="Q234" s="54">
        <v>669920.16000000015</v>
      </c>
      <c r="R234" s="54"/>
      <c r="S234" s="54">
        <v>669920.16000000015</v>
      </c>
      <c r="T234" s="15">
        <v>5359361.2800000012</v>
      </c>
      <c r="U234" s="15">
        <v>669920.16000000015</v>
      </c>
    </row>
    <row r="235" spans="1:21" s="15" customFormat="1" x14ac:dyDescent="0.3">
      <c r="A235" s="17"/>
      <c r="B235"/>
      <c r="C235"/>
      <c r="D235"/>
      <c r="E235"/>
      <c r="F235" s="50">
        <v>44075</v>
      </c>
      <c r="G235" s="53">
        <v>95.4</v>
      </c>
      <c r="H235" s="53">
        <v>190.8</v>
      </c>
      <c r="I235" s="53">
        <v>95.4</v>
      </c>
      <c r="J235"/>
      <c r="K235"/>
      <c r="L235"/>
      <c r="M235"/>
      <c r="N235" s="38"/>
      <c r="O235" s="54">
        <v>815183.46</v>
      </c>
      <c r="P235" s="54">
        <v>6521467.6799999997</v>
      </c>
      <c r="Q235" s="54">
        <v>815183.46</v>
      </c>
      <c r="R235" s="54"/>
      <c r="S235" s="54">
        <v>815183.46</v>
      </c>
      <c r="T235" s="15">
        <v>6521467.6799999997</v>
      </c>
      <c r="U235" s="15">
        <v>815183.46</v>
      </c>
    </row>
    <row r="236" spans="1:21" s="15" customFormat="1" x14ac:dyDescent="0.3">
      <c r="A236" s="17"/>
      <c r="B236"/>
      <c r="C236"/>
      <c r="D236"/>
      <c r="E236"/>
      <c r="F236" s="50">
        <v>44105</v>
      </c>
      <c r="G236" s="53">
        <v>97.3</v>
      </c>
      <c r="H236" s="53">
        <v>194.6</v>
      </c>
      <c r="I236" s="53">
        <v>97.3</v>
      </c>
      <c r="J236"/>
      <c r="K236"/>
      <c r="L236"/>
      <c r="M236"/>
      <c r="N236" s="38"/>
      <c r="O236" s="54">
        <v>871619.23800000013</v>
      </c>
      <c r="P236" s="54">
        <v>6972953.904000001</v>
      </c>
      <c r="Q236" s="54">
        <v>871619.23800000013</v>
      </c>
      <c r="R236" s="54"/>
      <c r="S236" s="54">
        <v>871619.23800000013</v>
      </c>
      <c r="T236" s="15">
        <v>6972953.904000001</v>
      </c>
      <c r="U236" s="15">
        <v>871619.23800000013</v>
      </c>
    </row>
    <row r="237" spans="1:21" s="15" customFormat="1" x14ac:dyDescent="0.3">
      <c r="A237" s="17"/>
      <c r="B237"/>
      <c r="C237"/>
      <c r="D237"/>
      <c r="E237"/>
      <c r="F237" s="50">
        <v>44136</v>
      </c>
      <c r="G237" s="53">
        <v>90.2</v>
      </c>
      <c r="H237" s="53">
        <v>180.4</v>
      </c>
      <c r="I237" s="53">
        <v>90.2</v>
      </c>
      <c r="J237"/>
      <c r="K237"/>
      <c r="L237"/>
      <c r="M237"/>
      <c r="N237" s="38"/>
      <c r="O237" s="54">
        <v>837274.28399999999</v>
      </c>
      <c r="P237" s="54">
        <v>6698194.2719999999</v>
      </c>
      <c r="Q237" s="54">
        <v>837274.28399999999</v>
      </c>
      <c r="R237" s="54"/>
      <c r="S237" s="54">
        <v>837274.28399999999</v>
      </c>
      <c r="T237" s="15">
        <v>6698194.2719999999</v>
      </c>
      <c r="U237" s="15">
        <v>837274.28399999999</v>
      </c>
    </row>
    <row r="238" spans="1:21" s="15" customFormat="1" x14ac:dyDescent="0.3">
      <c r="A238" s="17"/>
      <c r="B238"/>
      <c r="C238"/>
      <c r="D238"/>
      <c r="E238"/>
      <c r="F238" s="50">
        <v>44166</v>
      </c>
      <c r="G238" s="53">
        <v>83.3</v>
      </c>
      <c r="H238" s="53">
        <v>166.6</v>
      </c>
      <c r="I238" s="53">
        <v>83.3</v>
      </c>
      <c r="J238"/>
      <c r="K238"/>
      <c r="L238"/>
      <c r="M238"/>
      <c r="N238" s="38"/>
      <c r="O238" s="54">
        <v>731079.1179999999</v>
      </c>
      <c r="P238" s="54">
        <v>5848632.9439999992</v>
      </c>
      <c r="Q238" s="54">
        <v>731079.1179999999</v>
      </c>
      <c r="R238" s="54"/>
      <c r="S238" s="54">
        <v>731079.1179999999</v>
      </c>
      <c r="T238" s="15">
        <v>5848632.9439999992</v>
      </c>
      <c r="U238" s="15">
        <v>731079.1179999999</v>
      </c>
    </row>
    <row r="239" spans="1:21" s="15" customFormat="1" x14ac:dyDescent="0.3">
      <c r="A239" s="17"/>
      <c r="B239"/>
      <c r="C239"/>
      <c r="D239"/>
      <c r="E239"/>
      <c r="F239" s="50">
        <v>44197</v>
      </c>
      <c r="G239" s="53">
        <v>81.900000000000006</v>
      </c>
      <c r="H239" s="53">
        <v>163.80000000000001</v>
      </c>
      <c r="I239" s="53">
        <v>81.900000000000006</v>
      </c>
      <c r="J239"/>
      <c r="K239"/>
      <c r="L239"/>
      <c r="M239"/>
      <c r="N239" s="38"/>
      <c r="O239" s="54">
        <v>615368.75400000007</v>
      </c>
      <c r="P239" s="54">
        <v>4922950.0320000006</v>
      </c>
      <c r="Q239" s="54">
        <v>615368.75400000007</v>
      </c>
      <c r="R239" s="54"/>
      <c r="S239" s="54">
        <v>615368.75400000007</v>
      </c>
      <c r="T239" s="15">
        <v>4922950.0320000006</v>
      </c>
      <c r="U239" s="15">
        <v>615368.75400000007</v>
      </c>
    </row>
    <row r="240" spans="1:21" s="15" customFormat="1" x14ac:dyDescent="0.3">
      <c r="A240" s="17"/>
      <c r="B240"/>
      <c r="C240"/>
      <c r="D240"/>
      <c r="E240"/>
      <c r="F240" s="50">
        <v>44228</v>
      </c>
      <c r="G240" s="53">
        <v>79.099999999999994</v>
      </c>
      <c r="H240" s="53">
        <v>158.19999999999999</v>
      </c>
      <c r="I240" s="53">
        <v>79.099999999999994</v>
      </c>
      <c r="J240"/>
      <c r="K240"/>
      <c r="L240"/>
      <c r="M240"/>
      <c r="N240" s="38"/>
      <c r="O240" s="54">
        <v>539641.55700000003</v>
      </c>
      <c r="P240" s="54">
        <v>4317132.4560000002</v>
      </c>
      <c r="Q240" s="54">
        <v>539641.55700000003</v>
      </c>
      <c r="R240" s="54"/>
      <c r="S240" s="54">
        <v>539641.55700000003</v>
      </c>
      <c r="T240" s="15">
        <v>4317132.4560000002</v>
      </c>
      <c r="U240" s="15">
        <v>539641.55700000003</v>
      </c>
    </row>
    <row r="241" spans="1:21" s="15" customFormat="1" x14ac:dyDescent="0.3">
      <c r="A241" s="17"/>
      <c r="B241"/>
      <c r="C241"/>
      <c r="D241"/>
      <c r="E241"/>
      <c r="F241" s="50">
        <v>44256</v>
      </c>
      <c r="G241" s="53">
        <v>86.1</v>
      </c>
      <c r="H241" s="53">
        <v>172.2</v>
      </c>
      <c r="I241" s="53">
        <v>86.1</v>
      </c>
      <c r="J241"/>
      <c r="K241"/>
      <c r="L241"/>
      <c r="M241"/>
      <c r="N241" s="38"/>
      <c r="O241" s="54">
        <v>557780.76899999997</v>
      </c>
      <c r="P241" s="54">
        <v>4462246.1519999998</v>
      </c>
      <c r="Q241" s="54">
        <v>557780.76899999997</v>
      </c>
      <c r="R241" s="54"/>
      <c r="S241" s="54">
        <v>557780.76899999997</v>
      </c>
      <c r="T241" s="15">
        <v>4462246.1519999998</v>
      </c>
      <c r="U241" s="15">
        <v>557780.76899999997</v>
      </c>
    </row>
    <row r="242" spans="1:21" s="15" customFormat="1" x14ac:dyDescent="0.3">
      <c r="A242" s="17"/>
      <c r="B242"/>
      <c r="C242"/>
      <c r="D242"/>
      <c r="E242"/>
      <c r="F242" s="50">
        <v>44287</v>
      </c>
      <c r="G242" s="53">
        <v>81.3</v>
      </c>
      <c r="H242" s="53">
        <v>162.6</v>
      </c>
      <c r="I242" s="53">
        <v>81.3</v>
      </c>
      <c r="J242"/>
      <c r="K242"/>
      <c r="L242"/>
      <c r="M242"/>
      <c r="N242" s="38"/>
      <c r="O242" s="54">
        <v>553694.46299999987</v>
      </c>
      <c r="P242" s="54">
        <v>4429555.703999999</v>
      </c>
      <c r="Q242" s="54">
        <v>553694.46299999987</v>
      </c>
      <c r="R242" s="54"/>
      <c r="S242" s="54">
        <v>553694.46299999987</v>
      </c>
      <c r="T242" s="15">
        <v>4429555.703999999</v>
      </c>
      <c r="U242" s="15">
        <v>553694.46299999987</v>
      </c>
    </row>
    <row r="243" spans="1:21" s="15" customFormat="1" x14ac:dyDescent="0.3">
      <c r="A243" s="17"/>
      <c r="B243"/>
      <c r="C243"/>
      <c r="D243"/>
      <c r="E243"/>
      <c r="F243" s="50">
        <v>44317</v>
      </c>
      <c r="G243" s="53">
        <v>88.4</v>
      </c>
      <c r="H243" s="53">
        <v>176.8</v>
      </c>
      <c r="I243" s="53">
        <v>88.4</v>
      </c>
      <c r="J243"/>
      <c r="K243"/>
      <c r="L243"/>
      <c r="M243"/>
      <c r="N243" s="38"/>
      <c r="O243" s="54">
        <v>618793.81200000003</v>
      </c>
      <c r="P243" s="54">
        <v>4950350.4960000003</v>
      </c>
      <c r="Q243" s="54">
        <v>618793.81200000003</v>
      </c>
      <c r="R243" s="54"/>
      <c r="S243" s="54">
        <v>618793.81200000003</v>
      </c>
      <c r="T243" s="15">
        <v>4950350.4960000003</v>
      </c>
      <c r="U243" s="15">
        <v>618793.81200000003</v>
      </c>
    </row>
    <row r="244" spans="1:21" s="15" customFormat="1" x14ac:dyDescent="0.3">
      <c r="A244" s="17"/>
      <c r="B244"/>
      <c r="C244"/>
      <c r="D244"/>
      <c r="E244"/>
      <c r="F244" s="50">
        <v>44348</v>
      </c>
      <c r="G244" s="53">
        <v>87.9</v>
      </c>
      <c r="H244" s="53">
        <v>175.8</v>
      </c>
      <c r="I244" s="53">
        <v>87.9</v>
      </c>
      <c r="J244"/>
      <c r="K244"/>
      <c r="L244"/>
      <c r="M244"/>
      <c r="N244" s="38"/>
      <c r="O244" s="54">
        <v>631730.26800000004</v>
      </c>
      <c r="P244" s="54">
        <v>5053842.1440000003</v>
      </c>
      <c r="Q244" s="54">
        <v>631730.26800000004</v>
      </c>
      <c r="R244" s="54"/>
      <c r="S244" s="54">
        <v>631730.26800000004</v>
      </c>
      <c r="T244" s="15">
        <v>5053842.1440000003</v>
      </c>
      <c r="U244" s="15">
        <v>631730.26800000004</v>
      </c>
    </row>
    <row r="245" spans="1:21" s="15" customFormat="1" x14ac:dyDescent="0.3">
      <c r="A245" s="17"/>
      <c r="B245"/>
      <c r="C245"/>
      <c r="D245"/>
      <c r="E245"/>
      <c r="F245" s="50">
        <v>44378</v>
      </c>
      <c r="G245" s="53">
        <v>92.2</v>
      </c>
      <c r="H245" s="53">
        <v>184.4</v>
      </c>
      <c r="I245" s="53">
        <v>92.2</v>
      </c>
      <c r="J245"/>
      <c r="K245"/>
      <c r="L245"/>
      <c r="M245"/>
      <c r="N245" s="38"/>
      <c r="O245" s="54">
        <v>716427.19200000004</v>
      </c>
      <c r="P245" s="54">
        <v>5731417.5360000003</v>
      </c>
      <c r="Q245" s="54">
        <v>716427.19200000004</v>
      </c>
      <c r="R245" s="54"/>
      <c r="S245" s="54">
        <v>716427.19200000004</v>
      </c>
      <c r="T245" s="15">
        <v>5731417.5360000003</v>
      </c>
      <c r="U245" s="15">
        <v>716427.19200000004</v>
      </c>
    </row>
    <row r="246" spans="1:21" s="15" customFormat="1" x14ac:dyDescent="0.3">
      <c r="A246" s="17"/>
      <c r="B246"/>
      <c r="C246"/>
      <c r="D246"/>
      <c r="E246"/>
      <c r="F246" s="50">
        <v>44409</v>
      </c>
      <c r="G246" s="53">
        <v>93.4</v>
      </c>
      <c r="H246" s="53">
        <v>186.8</v>
      </c>
      <c r="I246" s="53">
        <v>93.4</v>
      </c>
      <c r="J246"/>
      <c r="K246"/>
      <c r="L246"/>
      <c r="M246"/>
      <c r="N246" s="38"/>
      <c r="O246" s="54">
        <v>756949.09200000018</v>
      </c>
      <c r="P246" s="54">
        <v>6055592.7360000014</v>
      </c>
      <c r="Q246" s="54">
        <v>756949.09200000018</v>
      </c>
      <c r="R246" s="54"/>
      <c r="S246" s="54">
        <v>756949.09200000018</v>
      </c>
      <c r="T246" s="15">
        <v>6055592.7360000014</v>
      </c>
      <c r="U246" s="15">
        <v>756949.09200000018</v>
      </c>
    </row>
    <row r="247" spans="1:21" s="15" customFormat="1" x14ac:dyDescent="0.3">
      <c r="A247" s="17"/>
      <c r="B247"/>
      <c r="C247"/>
      <c r="D247"/>
      <c r="E247"/>
      <c r="F247" s="50">
        <v>44440</v>
      </c>
      <c r="G247" s="53">
        <v>91.5</v>
      </c>
      <c r="H247" s="53">
        <v>183</v>
      </c>
      <c r="I247" s="53">
        <v>91.5</v>
      </c>
      <c r="J247"/>
      <c r="K247"/>
      <c r="L247"/>
      <c r="M247"/>
      <c r="N247" s="38"/>
      <c r="O247" s="54">
        <v>787950.42000000016</v>
      </c>
      <c r="P247" s="54">
        <v>6303603.3600000013</v>
      </c>
      <c r="Q247" s="54">
        <v>787950.42000000016</v>
      </c>
      <c r="R247" s="54"/>
      <c r="S247" s="54">
        <v>787950.42000000016</v>
      </c>
      <c r="T247" s="15">
        <v>6303603.3600000013</v>
      </c>
      <c r="U247" s="15">
        <v>787950.42000000016</v>
      </c>
    </row>
    <row r="248" spans="1:21" s="15" customFormat="1" x14ac:dyDescent="0.3">
      <c r="A248" s="17"/>
      <c r="B248"/>
      <c r="C248"/>
      <c r="D248"/>
      <c r="E248"/>
      <c r="F248" s="50">
        <v>44470</v>
      </c>
      <c r="G248" s="53">
        <v>89.7</v>
      </c>
      <c r="H248" s="53">
        <v>179.4</v>
      </c>
      <c r="I248" s="53">
        <v>89.7</v>
      </c>
      <c r="J248"/>
      <c r="K248"/>
      <c r="L248"/>
      <c r="M248"/>
      <c r="N248" s="38"/>
      <c r="O248" s="54">
        <v>766585.17</v>
      </c>
      <c r="P248" s="54">
        <v>6132681.3600000003</v>
      </c>
      <c r="Q248" s="54">
        <v>766585.17</v>
      </c>
      <c r="R248" s="54"/>
      <c r="S248" s="54">
        <v>766585.17</v>
      </c>
      <c r="T248" s="15">
        <v>6132681.3600000003</v>
      </c>
      <c r="U248" s="15">
        <v>766585.17</v>
      </c>
    </row>
    <row r="249" spans="1:21" s="15" customFormat="1" x14ac:dyDescent="0.3">
      <c r="A249" s="17"/>
      <c r="B249"/>
      <c r="C249"/>
      <c r="D249"/>
      <c r="E249"/>
      <c r="F249" s="50">
        <v>44501</v>
      </c>
      <c r="G249" s="53">
        <v>86.3</v>
      </c>
      <c r="H249" s="53">
        <v>172.6</v>
      </c>
      <c r="I249" s="53">
        <v>86.3</v>
      </c>
      <c r="J249"/>
      <c r="K249"/>
      <c r="L249"/>
      <c r="M249"/>
      <c r="N249" s="38"/>
      <c r="O249" s="54">
        <v>708311.56500000006</v>
      </c>
      <c r="P249" s="54">
        <v>5666492.5200000005</v>
      </c>
      <c r="Q249" s="54">
        <v>708311.56500000006</v>
      </c>
      <c r="R249" s="54"/>
      <c r="S249" s="54">
        <v>708311.56500000006</v>
      </c>
      <c r="T249" s="15">
        <v>5666492.5200000005</v>
      </c>
      <c r="U249" s="15">
        <v>708311.56500000006</v>
      </c>
    </row>
    <row r="250" spans="1:21" s="15" customFormat="1" x14ac:dyDescent="0.3">
      <c r="A250" s="17"/>
      <c r="B250"/>
      <c r="C250"/>
      <c r="D250"/>
      <c r="E250"/>
      <c r="F250" s="50">
        <v>44531</v>
      </c>
      <c r="G250" s="53">
        <v>79.2</v>
      </c>
      <c r="H250" s="53">
        <v>158.4</v>
      </c>
      <c r="I250" s="53">
        <v>79.2</v>
      </c>
      <c r="J250"/>
      <c r="K250"/>
      <c r="L250"/>
      <c r="M250"/>
      <c r="N250" s="38"/>
      <c r="O250" s="54">
        <v>613095.91200000001</v>
      </c>
      <c r="P250" s="54">
        <v>4904767.2960000001</v>
      </c>
      <c r="Q250" s="54">
        <v>613095.91200000001</v>
      </c>
      <c r="R250" s="54"/>
      <c r="S250" s="54">
        <v>613095.91200000001</v>
      </c>
      <c r="T250" s="15">
        <v>4904767.2960000001</v>
      </c>
      <c r="U250" s="15">
        <v>613095.91200000001</v>
      </c>
    </row>
    <row r="251" spans="1:21" s="15" customFormat="1" x14ac:dyDescent="0.3">
      <c r="A251" s="17"/>
      <c r="B251"/>
      <c r="C251"/>
      <c r="D251"/>
      <c r="E251"/>
      <c r="F251"/>
      <c r="G251"/>
      <c r="H251"/>
      <c r="I251"/>
      <c r="J251"/>
      <c r="K251"/>
      <c r="L251"/>
      <c r="M251"/>
      <c r="N251"/>
      <c r="O251" s="27"/>
      <c r="P251" s="27"/>
      <c r="Q251" s="27"/>
      <c r="R251" s="27"/>
      <c r="S251" s="27"/>
    </row>
    <row r="252" spans="1:21" s="15" customFormat="1" x14ac:dyDescent="0.3">
      <c r="A252" s="17"/>
      <c r="B252"/>
      <c r="C252"/>
      <c r="D252"/>
      <c r="E252"/>
      <c r="F252"/>
      <c r="G252"/>
      <c r="H252"/>
      <c r="I252"/>
      <c r="J252"/>
      <c r="K252"/>
      <c r="L252"/>
      <c r="M252"/>
      <c r="N252"/>
      <c r="O252" s="27"/>
      <c r="P252" s="27"/>
      <c r="Q252" s="27"/>
      <c r="R252" s="27"/>
      <c r="S252" s="27"/>
    </row>
    <row r="253" spans="1:21" s="15" customFormat="1" x14ac:dyDescent="0.3">
      <c r="A253" s="17"/>
      <c r="B253"/>
      <c r="C253"/>
      <c r="D253"/>
      <c r="E253"/>
      <c r="F253"/>
      <c r="G253"/>
      <c r="H253"/>
      <c r="I253"/>
      <c r="J253"/>
      <c r="K253"/>
      <c r="L253"/>
      <c r="M253"/>
      <c r="N253"/>
      <c r="O253" s="27"/>
      <c r="P253" s="27"/>
      <c r="Q253" s="27"/>
      <c r="R253" s="27"/>
      <c r="S253" s="27"/>
    </row>
    <row r="254" spans="1:21" s="15" customFormat="1" x14ac:dyDescent="0.3">
      <c r="A254" s="17"/>
      <c r="B254"/>
      <c r="C254"/>
      <c r="D254"/>
      <c r="E254"/>
      <c r="F254"/>
      <c r="G254"/>
      <c r="H254"/>
      <c r="I254"/>
      <c r="J254"/>
      <c r="K254"/>
      <c r="L254"/>
      <c r="M254"/>
      <c r="N254"/>
      <c r="O254" s="27"/>
      <c r="P254" s="27"/>
      <c r="Q254" s="27"/>
      <c r="R254" s="27"/>
      <c r="S254" s="27"/>
    </row>
    <row r="255" spans="1:21" s="15" customFormat="1" x14ac:dyDescent="0.3">
      <c r="A255" s="17"/>
      <c r="B255"/>
      <c r="C255"/>
      <c r="D255"/>
      <c r="E255"/>
      <c r="F255"/>
      <c r="G255"/>
      <c r="H255"/>
      <c r="I255"/>
      <c r="J255"/>
      <c r="K255"/>
      <c r="L255"/>
      <c r="M255"/>
      <c r="N255"/>
      <c r="O255" s="27"/>
      <c r="P255" s="27"/>
      <c r="Q255" s="27"/>
      <c r="R255" s="27"/>
      <c r="S255" s="27"/>
    </row>
    <row r="256" spans="1:21" s="15" customFormat="1" x14ac:dyDescent="0.3">
      <c r="A256" s="17"/>
      <c r="B256"/>
      <c r="C256"/>
      <c r="D256"/>
      <c r="E256"/>
      <c r="F256"/>
      <c r="G256"/>
      <c r="H256"/>
      <c r="I256"/>
      <c r="J256"/>
      <c r="K256"/>
      <c r="L256"/>
      <c r="M256"/>
      <c r="N256"/>
      <c r="O256" s="27"/>
      <c r="P256" s="27"/>
      <c r="Q256" s="27"/>
      <c r="R256" s="27"/>
      <c r="S256" s="27"/>
    </row>
    <row r="257" spans="1:19" s="15" customFormat="1" x14ac:dyDescent="0.3">
      <c r="A257" s="17"/>
      <c r="B257"/>
      <c r="C257"/>
      <c r="D257"/>
      <c r="E257"/>
      <c r="F257"/>
      <c r="G257"/>
      <c r="H257"/>
      <c r="I257"/>
      <c r="J257"/>
      <c r="K257"/>
      <c r="L257"/>
      <c r="M257"/>
      <c r="N257"/>
      <c r="O257" s="27"/>
      <c r="P257" s="27"/>
      <c r="Q257" s="27"/>
      <c r="R257" s="27"/>
      <c r="S257" s="27"/>
    </row>
    <row r="258" spans="1:19" s="15" customFormat="1" x14ac:dyDescent="0.3">
      <c r="A258" s="17"/>
      <c r="B258"/>
      <c r="C258"/>
      <c r="D258"/>
      <c r="E258"/>
      <c r="F258"/>
      <c r="G258"/>
      <c r="H258"/>
      <c r="I258"/>
      <c r="J258"/>
      <c r="K258"/>
      <c r="L258"/>
      <c r="M258"/>
      <c r="N258"/>
      <c r="O258" s="27"/>
      <c r="P258" s="27"/>
      <c r="Q258" s="27"/>
      <c r="R258" s="27"/>
      <c r="S258" s="27"/>
    </row>
    <row r="259" spans="1:19" s="15" customFormat="1" x14ac:dyDescent="0.3">
      <c r="A259" s="17"/>
      <c r="B259"/>
      <c r="C259"/>
      <c r="D259"/>
      <c r="E259"/>
      <c r="F259"/>
      <c r="G259"/>
      <c r="H259"/>
      <c r="I259"/>
      <c r="J259"/>
      <c r="K259"/>
      <c r="L259"/>
      <c r="M259"/>
      <c r="N259"/>
      <c r="O259" s="27"/>
      <c r="P259" s="27"/>
      <c r="Q259" s="27"/>
      <c r="R259" s="27"/>
      <c r="S259" s="27"/>
    </row>
    <row r="260" spans="1:19" s="15" customFormat="1" x14ac:dyDescent="0.3">
      <c r="A260" s="17"/>
      <c r="B260"/>
      <c r="C260"/>
      <c r="D260"/>
      <c r="E260"/>
      <c r="F260"/>
      <c r="G260"/>
      <c r="H260"/>
      <c r="I260"/>
      <c r="J260"/>
      <c r="K260"/>
      <c r="L260"/>
      <c r="M260"/>
      <c r="N260"/>
      <c r="O260" s="27"/>
      <c r="P260" s="27"/>
      <c r="Q260" s="27"/>
      <c r="R260" s="27"/>
      <c r="S260" s="27"/>
    </row>
    <row r="261" spans="1:19" s="15" customFormat="1" x14ac:dyDescent="0.3">
      <c r="A261" s="17"/>
      <c r="B261"/>
      <c r="C261"/>
      <c r="D261"/>
      <c r="E261"/>
      <c r="F261"/>
      <c r="G261"/>
      <c r="H261"/>
      <c r="I261"/>
      <c r="J261"/>
      <c r="K261"/>
      <c r="L261"/>
      <c r="M261"/>
      <c r="N261"/>
      <c r="O261" s="27"/>
      <c r="P261" s="27"/>
      <c r="Q261" s="27"/>
      <c r="R261" s="27"/>
      <c r="S261" s="27"/>
    </row>
    <row r="262" spans="1:19" s="15" customFormat="1" x14ac:dyDescent="0.3">
      <c r="A262" s="17"/>
      <c r="B262"/>
      <c r="C262"/>
      <c r="D262"/>
      <c r="E262"/>
      <c r="F262"/>
      <c r="G262"/>
      <c r="H262"/>
      <c r="I262"/>
      <c r="J262"/>
      <c r="K262"/>
      <c r="L262"/>
      <c r="M262"/>
      <c r="N262"/>
      <c r="O262" s="27"/>
      <c r="P262" s="27"/>
      <c r="Q262" s="27"/>
      <c r="R262" s="27"/>
      <c r="S262" s="27"/>
    </row>
    <row r="263" spans="1:19" s="15" customFormat="1" x14ac:dyDescent="0.3">
      <c r="A263" s="17"/>
      <c r="B263"/>
      <c r="C263"/>
      <c r="D263"/>
      <c r="E263"/>
      <c r="F263"/>
      <c r="G263"/>
      <c r="H263"/>
      <c r="I263"/>
      <c r="J263"/>
      <c r="K263"/>
      <c r="L263"/>
      <c r="M263"/>
      <c r="N263"/>
      <c r="O263" s="27"/>
      <c r="P263" s="27"/>
      <c r="Q263" s="27"/>
      <c r="R263" s="27"/>
      <c r="S263" s="27"/>
    </row>
    <row r="264" spans="1:19" s="15" customFormat="1" x14ac:dyDescent="0.3">
      <c r="A264" s="17"/>
      <c r="B264"/>
      <c r="C264"/>
      <c r="D264"/>
      <c r="E264"/>
      <c r="F264"/>
      <c r="G264"/>
      <c r="H264"/>
      <c r="I264"/>
      <c r="J264"/>
      <c r="K264"/>
      <c r="L264"/>
      <c r="M264"/>
      <c r="N264"/>
      <c r="O264" s="27"/>
      <c r="P264" s="27"/>
      <c r="Q264" s="27"/>
      <c r="R264" s="27"/>
      <c r="S264" s="27"/>
    </row>
    <row r="265" spans="1:19" s="15" customFormat="1" x14ac:dyDescent="0.3">
      <c r="A265" s="17"/>
      <c r="B265"/>
      <c r="C265"/>
      <c r="D265"/>
      <c r="E265"/>
      <c r="F265"/>
      <c r="G265"/>
      <c r="H265"/>
      <c r="I265"/>
      <c r="J265"/>
      <c r="K265"/>
      <c r="L265"/>
      <c r="M265"/>
      <c r="N265"/>
      <c r="O265" s="27"/>
      <c r="P265" s="27"/>
      <c r="Q265" s="27"/>
      <c r="R265" s="27"/>
      <c r="S265" s="27"/>
    </row>
    <row r="266" spans="1:19" s="15" customFormat="1" x14ac:dyDescent="0.3">
      <c r="A266" s="17"/>
      <c r="B266"/>
      <c r="C266"/>
      <c r="D266"/>
      <c r="E266"/>
      <c r="F266"/>
      <c r="G266"/>
      <c r="H266"/>
      <c r="I266"/>
      <c r="J266"/>
      <c r="K266"/>
      <c r="L266"/>
      <c r="M266"/>
      <c r="N266"/>
      <c r="O266" s="27"/>
      <c r="P266" s="27"/>
      <c r="Q266" s="27"/>
      <c r="R266" s="27"/>
      <c r="S266" s="27"/>
    </row>
    <row r="267" spans="1:19" s="15" customFormat="1" x14ac:dyDescent="0.3">
      <c r="A267" s="17"/>
      <c r="B267"/>
      <c r="C267"/>
      <c r="D267"/>
      <c r="E267"/>
      <c r="F267"/>
      <c r="G267"/>
      <c r="H267"/>
      <c r="I267"/>
      <c r="J267"/>
      <c r="K267"/>
      <c r="L267"/>
      <c r="M267"/>
      <c r="N267"/>
      <c r="O267" s="27"/>
      <c r="P267" s="27"/>
      <c r="Q267" s="27"/>
      <c r="R267" s="27"/>
      <c r="S267" s="27"/>
    </row>
    <row r="268" spans="1:19" s="15" customFormat="1" x14ac:dyDescent="0.3">
      <c r="A268" s="17"/>
      <c r="B268"/>
      <c r="C268"/>
      <c r="D268"/>
      <c r="E268"/>
      <c r="F268"/>
      <c r="G268"/>
      <c r="H268"/>
      <c r="I268"/>
      <c r="J268"/>
      <c r="K268"/>
      <c r="L268"/>
      <c r="M268"/>
      <c r="N268"/>
      <c r="O268" s="27"/>
      <c r="P268" s="27"/>
      <c r="Q268" s="27"/>
      <c r="R268" s="27"/>
      <c r="S268" s="27"/>
    </row>
    <row r="269" spans="1:19" s="15" customFormat="1" x14ac:dyDescent="0.3">
      <c r="A269" s="17"/>
      <c r="B269"/>
      <c r="C269"/>
      <c r="D269"/>
      <c r="E269"/>
      <c r="F269"/>
      <c r="G269"/>
      <c r="H269"/>
      <c r="I269"/>
      <c r="J269"/>
      <c r="K269"/>
      <c r="L269"/>
      <c r="M269"/>
      <c r="N269"/>
      <c r="O269" s="27"/>
      <c r="P269" s="27"/>
      <c r="Q269" s="27"/>
      <c r="R269" s="27"/>
      <c r="S269" s="27"/>
    </row>
    <row r="270" spans="1:19" s="15" customFormat="1" x14ac:dyDescent="0.3">
      <c r="A270" s="17"/>
      <c r="B270"/>
      <c r="C270"/>
      <c r="D270"/>
      <c r="E270"/>
      <c r="F270"/>
      <c r="G270"/>
      <c r="H270"/>
      <c r="I270"/>
      <c r="J270"/>
      <c r="K270"/>
      <c r="L270"/>
      <c r="M270"/>
      <c r="N270"/>
      <c r="O270" s="27"/>
      <c r="P270" s="27"/>
      <c r="Q270" s="27"/>
      <c r="R270" s="27"/>
      <c r="S270" s="27"/>
    </row>
    <row r="271" spans="1:19" s="15" customFormat="1" x14ac:dyDescent="0.3">
      <c r="A271" s="17"/>
      <c r="B271"/>
      <c r="C271"/>
      <c r="D271"/>
      <c r="E271"/>
      <c r="F271"/>
      <c r="G271"/>
      <c r="H271"/>
      <c r="I271"/>
      <c r="J271"/>
      <c r="K271"/>
      <c r="L271"/>
      <c r="M271"/>
      <c r="N271"/>
      <c r="O271" s="27"/>
      <c r="P271" s="27"/>
      <c r="Q271" s="27"/>
      <c r="R271" s="27"/>
      <c r="S271" s="27"/>
    </row>
    <row r="272" spans="1:19" s="15" customFormat="1" x14ac:dyDescent="0.3">
      <c r="A272" s="17"/>
      <c r="B272"/>
      <c r="C272"/>
      <c r="D272"/>
      <c r="E272"/>
      <c r="F272"/>
      <c r="G272"/>
      <c r="H272"/>
      <c r="I272"/>
      <c r="J272"/>
      <c r="K272"/>
      <c r="L272"/>
      <c r="M272"/>
      <c r="N272"/>
      <c r="O272" s="27"/>
      <c r="P272" s="27"/>
      <c r="Q272" s="27"/>
      <c r="R272" s="27"/>
      <c r="S272" s="27"/>
    </row>
    <row r="273" spans="1:19" s="15" customFormat="1" x14ac:dyDescent="0.3">
      <c r="A273" s="17"/>
      <c r="B273"/>
      <c r="C273"/>
      <c r="D273"/>
      <c r="E273"/>
      <c r="F273"/>
      <c r="G273"/>
      <c r="H273"/>
      <c r="I273"/>
      <c r="J273"/>
      <c r="K273"/>
      <c r="L273"/>
      <c r="M273"/>
      <c r="N273"/>
      <c r="O273" s="27"/>
      <c r="P273" s="27"/>
      <c r="Q273" s="27"/>
      <c r="R273" s="27"/>
      <c r="S273" s="27"/>
    </row>
    <row r="274" spans="1:19" s="15" customFormat="1" x14ac:dyDescent="0.3">
      <c r="A274" s="17"/>
      <c r="B274"/>
      <c r="C274"/>
      <c r="D274"/>
      <c r="E274"/>
      <c r="F274"/>
      <c r="G274"/>
      <c r="H274"/>
      <c r="I274"/>
      <c r="J274"/>
      <c r="K274"/>
      <c r="L274"/>
      <c r="M274"/>
      <c r="N274"/>
      <c r="O274" s="27"/>
      <c r="P274" s="27"/>
      <c r="Q274" s="27"/>
      <c r="R274" s="27"/>
      <c r="S274" s="27"/>
    </row>
    <row r="275" spans="1:19" s="15" customFormat="1" x14ac:dyDescent="0.3">
      <c r="A275" s="17"/>
      <c r="B275"/>
      <c r="C275"/>
      <c r="D275"/>
      <c r="E275"/>
      <c r="F275"/>
      <c r="G275"/>
      <c r="H275"/>
      <c r="I275"/>
      <c r="J275"/>
      <c r="K275"/>
      <c r="L275"/>
      <c r="M275"/>
      <c r="N275"/>
      <c r="O275" s="27"/>
      <c r="P275" s="27"/>
      <c r="Q275" s="27"/>
      <c r="R275" s="27"/>
      <c r="S275" s="27"/>
    </row>
    <row r="276" spans="1:19" s="15" customFormat="1" x14ac:dyDescent="0.3">
      <c r="A276" s="17"/>
      <c r="B276"/>
      <c r="C276"/>
      <c r="D276"/>
      <c r="E276"/>
      <c r="F276"/>
      <c r="G276"/>
      <c r="H276"/>
      <c r="I276"/>
      <c r="J276"/>
      <c r="K276"/>
      <c r="L276"/>
      <c r="M276"/>
      <c r="N276"/>
      <c r="O276" s="27"/>
      <c r="P276" s="27"/>
      <c r="Q276" s="27"/>
      <c r="R276" s="27"/>
      <c r="S276" s="27"/>
    </row>
    <row r="277" spans="1:19" s="15" customFormat="1" x14ac:dyDescent="0.3">
      <c r="A277" s="17"/>
      <c r="B277"/>
      <c r="C277"/>
      <c r="D277"/>
      <c r="E277"/>
      <c r="F277"/>
      <c r="G277"/>
      <c r="H277"/>
      <c r="I277"/>
      <c r="J277"/>
      <c r="K277"/>
      <c r="L277"/>
      <c r="M277"/>
      <c r="N277"/>
      <c r="O277" s="27"/>
      <c r="P277" s="27"/>
      <c r="Q277" s="27"/>
      <c r="R277" s="27"/>
      <c r="S277" s="27"/>
    </row>
    <row r="278" spans="1:19" s="15" customFormat="1" x14ac:dyDescent="0.3">
      <c r="A278" s="17"/>
      <c r="B278"/>
      <c r="C278"/>
      <c r="D278"/>
      <c r="E278"/>
      <c r="F278"/>
      <c r="G278"/>
      <c r="H278"/>
      <c r="I278"/>
      <c r="J278"/>
      <c r="K278"/>
      <c r="L278"/>
      <c r="M278"/>
      <c r="N278"/>
      <c r="O278" s="27"/>
      <c r="P278" s="27"/>
      <c r="Q278" s="27"/>
      <c r="R278" s="27"/>
      <c r="S278" s="27"/>
    </row>
    <row r="279" spans="1:19" s="15" customFormat="1" x14ac:dyDescent="0.3">
      <c r="A279" s="17"/>
      <c r="B279"/>
      <c r="C279"/>
      <c r="D279"/>
      <c r="E279"/>
      <c r="F279"/>
      <c r="G279"/>
      <c r="H279"/>
      <c r="I279"/>
      <c r="J279"/>
      <c r="K279"/>
      <c r="L279"/>
      <c r="M279"/>
      <c r="N279"/>
      <c r="O279" s="27"/>
      <c r="P279" s="27"/>
      <c r="Q279" s="27"/>
      <c r="R279" s="27"/>
      <c r="S279" s="27"/>
    </row>
    <row r="280" spans="1:19" s="15" customFormat="1" x14ac:dyDescent="0.3">
      <c r="A280" s="17"/>
      <c r="B280"/>
      <c r="C280"/>
      <c r="D280"/>
      <c r="E280"/>
      <c r="F280"/>
      <c r="G280"/>
      <c r="H280"/>
      <c r="I280"/>
      <c r="J280"/>
      <c r="K280"/>
      <c r="L280"/>
      <c r="M280"/>
      <c r="N280"/>
      <c r="O280" s="27"/>
      <c r="P280" s="27"/>
      <c r="Q280" s="27"/>
      <c r="R280" s="27"/>
      <c r="S280" s="27"/>
    </row>
    <row r="281" spans="1:19" s="15" customFormat="1" x14ac:dyDescent="0.3">
      <c r="A281" s="17"/>
      <c r="B281"/>
      <c r="C281"/>
      <c r="D281"/>
      <c r="E281"/>
      <c r="F281"/>
      <c r="G281"/>
      <c r="H281"/>
      <c r="I281"/>
      <c r="J281"/>
      <c r="K281"/>
      <c r="L281"/>
      <c r="M281"/>
      <c r="N281"/>
      <c r="O281" s="27"/>
      <c r="P281" s="27"/>
      <c r="Q281" s="27"/>
      <c r="R281" s="27"/>
      <c r="S281" s="27"/>
    </row>
    <row r="282" spans="1:19" s="15" customFormat="1" x14ac:dyDescent="0.3">
      <c r="A282" s="17"/>
      <c r="B282"/>
      <c r="C282"/>
      <c r="D282"/>
      <c r="E282"/>
      <c r="F282"/>
      <c r="G282"/>
      <c r="H282"/>
      <c r="I282"/>
      <c r="J282"/>
      <c r="K282"/>
      <c r="L282"/>
      <c r="M282"/>
      <c r="N282"/>
      <c r="O282" s="27"/>
      <c r="P282" s="27"/>
      <c r="Q282" s="27"/>
      <c r="R282" s="27"/>
      <c r="S282" s="27"/>
    </row>
    <row r="283" spans="1:19" s="15" customFormat="1" x14ac:dyDescent="0.3">
      <c r="A283" s="17"/>
      <c r="B283"/>
      <c r="C283"/>
      <c r="D283"/>
      <c r="E283"/>
      <c r="F283"/>
      <c r="G283"/>
      <c r="H283"/>
      <c r="I283"/>
      <c r="J283"/>
      <c r="K283"/>
      <c r="L283"/>
      <c r="M283"/>
      <c r="N283"/>
      <c r="O283" s="27"/>
      <c r="P283" s="27"/>
      <c r="Q283" s="27"/>
      <c r="R283" s="27"/>
      <c r="S283" s="27"/>
    </row>
    <row r="284" spans="1:19" s="15" customFormat="1" x14ac:dyDescent="0.3">
      <c r="A284" s="17"/>
      <c r="B284"/>
      <c r="C284"/>
      <c r="D284"/>
      <c r="E284"/>
      <c r="F284"/>
      <c r="G284"/>
      <c r="H284"/>
      <c r="I284"/>
      <c r="J284"/>
      <c r="K284"/>
      <c r="L284"/>
      <c r="M284"/>
      <c r="N284"/>
      <c r="O284" s="27"/>
      <c r="P284" s="27"/>
      <c r="Q284" s="27"/>
      <c r="R284" s="27"/>
      <c r="S284" s="27"/>
    </row>
    <row r="285" spans="1:19" s="15" customFormat="1" x14ac:dyDescent="0.3">
      <c r="A285" s="17"/>
      <c r="B285"/>
      <c r="C285"/>
      <c r="D285"/>
      <c r="E285"/>
      <c r="F285"/>
      <c r="G285"/>
      <c r="H285"/>
      <c r="I285"/>
      <c r="J285"/>
      <c r="K285"/>
      <c r="L285"/>
      <c r="M285"/>
      <c r="N285"/>
      <c r="O285" s="27"/>
      <c r="P285" s="27"/>
      <c r="Q285" s="27"/>
      <c r="R285" s="27"/>
      <c r="S285" s="27"/>
    </row>
    <row r="286" spans="1:19" s="15" customFormat="1" x14ac:dyDescent="0.3">
      <c r="A286" s="17"/>
      <c r="B286"/>
      <c r="C286"/>
      <c r="D286"/>
      <c r="E286"/>
      <c r="F286"/>
      <c r="G286"/>
      <c r="H286"/>
      <c r="I286"/>
      <c r="J286"/>
      <c r="K286"/>
      <c r="L286"/>
      <c r="M286"/>
      <c r="N286"/>
      <c r="O286" s="27"/>
      <c r="P286" s="27"/>
      <c r="Q286" s="27"/>
      <c r="R286" s="27"/>
      <c r="S286" s="27"/>
    </row>
    <row r="287" spans="1:19" s="15" customFormat="1" x14ac:dyDescent="0.3">
      <c r="A287" s="17"/>
      <c r="B287"/>
      <c r="C287"/>
      <c r="D287"/>
      <c r="E287"/>
      <c r="F287"/>
      <c r="G287"/>
      <c r="H287"/>
      <c r="I287"/>
      <c r="J287"/>
      <c r="K287"/>
      <c r="L287"/>
      <c r="M287"/>
      <c r="N287"/>
      <c r="O287" s="27"/>
      <c r="P287" s="27"/>
      <c r="Q287" s="27"/>
      <c r="R287" s="27"/>
      <c r="S287" s="27"/>
    </row>
    <row r="288" spans="1:19" s="15" customFormat="1" x14ac:dyDescent="0.3">
      <c r="A288" s="17"/>
      <c r="B288"/>
      <c r="C288"/>
      <c r="D288"/>
      <c r="E288"/>
      <c r="F288"/>
      <c r="G288"/>
      <c r="H288"/>
      <c r="I288"/>
      <c r="J288"/>
      <c r="K288"/>
      <c r="L288"/>
      <c r="M288"/>
      <c r="N288"/>
      <c r="O288" s="27"/>
      <c r="P288" s="27"/>
      <c r="Q288" s="27"/>
      <c r="R288" s="27"/>
      <c r="S288" s="27"/>
    </row>
    <row r="289" spans="1:19" s="15" customFormat="1" x14ac:dyDescent="0.3">
      <c r="A289" s="17"/>
      <c r="B289"/>
      <c r="C289"/>
      <c r="D289"/>
      <c r="E289"/>
      <c r="F289"/>
      <c r="G289"/>
      <c r="H289"/>
      <c r="I289"/>
      <c r="J289"/>
      <c r="K289"/>
      <c r="L289"/>
      <c r="M289"/>
      <c r="N289"/>
      <c r="O289" s="27"/>
      <c r="P289" s="27"/>
      <c r="Q289" s="27"/>
      <c r="R289" s="27"/>
      <c r="S289" s="27"/>
    </row>
    <row r="290" spans="1:19" s="15" customFormat="1" x14ac:dyDescent="0.3">
      <c r="A290" s="17"/>
      <c r="B290"/>
      <c r="C290"/>
      <c r="D290"/>
      <c r="E290"/>
      <c r="F290"/>
      <c r="G290"/>
      <c r="H290"/>
      <c r="I290"/>
      <c r="J290"/>
      <c r="K290"/>
      <c r="L290"/>
      <c r="M290"/>
      <c r="N290"/>
      <c r="O290" s="27"/>
      <c r="P290" s="27"/>
      <c r="Q290" s="27"/>
      <c r="R290" s="27"/>
      <c r="S290" s="27"/>
    </row>
    <row r="291" spans="1:19" s="15" customFormat="1" x14ac:dyDescent="0.3">
      <c r="A291" s="17"/>
      <c r="B291"/>
      <c r="C291"/>
      <c r="D291"/>
      <c r="E291"/>
      <c r="F291"/>
      <c r="G291"/>
      <c r="H291"/>
      <c r="I291"/>
      <c r="J291"/>
      <c r="K291"/>
      <c r="L291"/>
      <c r="M291"/>
      <c r="N291"/>
      <c r="O291" s="27"/>
      <c r="P291" s="27"/>
      <c r="Q291" s="27"/>
      <c r="R291" s="27"/>
      <c r="S291" s="27"/>
    </row>
    <row r="292" spans="1:19" s="15" customFormat="1" x14ac:dyDescent="0.3">
      <c r="A292" s="17"/>
      <c r="B292"/>
      <c r="C292"/>
      <c r="D292"/>
      <c r="E292"/>
      <c r="F292"/>
      <c r="G292"/>
      <c r="H292"/>
      <c r="I292"/>
      <c r="J292"/>
      <c r="K292"/>
      <c r="L292"/>
      <c r="M292"/>
      <c r="N292"/>
      <c r="O292" s="27"/>
      <c r="P292" s="27"/>
      <c r="Q292" s="27"/>
      <c r="R292" s="27"/>
      <c r="S292" s="27"/>
    </row>
    <row r="293" spans="1:19" s="15" customFormat="1" x14ac:dyDescent="0.3">
      <c r="A293" s="17"/>
      <c r="B293"/>
      <c r="C293"/>
      <c r="D293"/>
      <c r="E293"/>
      <c r="F293"/>
      <c r="G293"/>
      <c r="H293"/>
      <c r="I293"/>
      <c r="J293"/>
      <c r="K293"/>
      <c r="L293"/>
      <c r="M293"/>
      <c r="N293"/>
      <c r="O293" s="27"/>
      <c r="P293" s="27"/>
      <c r="Q293" s="27"/>
      <c r="R293" s="27"/>
      <c r="S293" s="27"/>
    </row>
    <row r="294" spans="1:19" s="15" customFormat="1" x14ac:dyDescent="0.3">
      <c r="A294" s="17"/>
      <c r="B294"/>
      <c r="C294"/>
      <c r="D294"/>
      <c r="E294"/>
      <c r="F294"/>
      <c r="G294"/>
      <c r="H294"/>
      <c r="I294"/>
      <c r="J294"/>
      <c r="K294"/>
      <c r="L294"/>
      <c r="M294"/>
      <c r="N294"/>
      <c r="O294" s="27"/>
      <c r="P294" s="27"/>
      <c r="Q294" s="27"/>
      <c r="R294" s="27"/>
      <c r="S294" s="27"/>
    </row>
    <row r="295" spans="1:19" s="15" customFormat="1" x14ac:dyDescent="0.3">
      <c r="A295" s="17"/>
      <c r="B295"/>
      <c r="C295"/>
      <c r="D295"/>
      <c r="E295"/>
      <c r="F295"/>
      <c r="G295"/>
      <c r="H295"/>
      <c r="I295"/>
      <c r="J295"/>
      <c r="K295"/>
      <c r="L295"/>
      <c r="M295"/>
      <c r="N295"/>
      <c r="O295" s="27"/>
      <c r="P295" s="27"/>
      <c r="Q295" s="27"/>
      <c r="R295" s="27"/>
      <c r="S295" s="27"/>
    </row>
    <row r="296" spans="1:19" s="15" customFormat="1" x14ac:dyDescent="0.3">
      <c r="A296" s="17"/>
      <c r="B296"/>
      <c r="C296"/>
      <c r="D296"/>
      <c r="E296"/>
      <c r="F296"/>
      <c r="G296"/>
      <c r="H296"/>
      <c r="I296"/>
      <c r="J296"/>
      <c r="K296"/>
      <c r="L296"/>
      <c r="M296"/>
      <c r="N296"/>
      <c r="O296" s="27"/>
      <c r="P296" s="27"/>
      <c r="Q296" s="27"/>
      <c r="R296" s="27"/>
      <c r="S296" s="27"/>
    </row>
    <row r="297" spans="1:19" s="15" customFormat="1" x14ac:dyDescent="0.3">
      <c r="A297" s="17"/>
      <c r="B297"/>
      <c r="C297"/>
      <c r="D297"/>
      <c r="E297"/>
      <c r="F297"/>
      <c r="G297"/>
      <c r="H297"/>
      <c r="I297"/>
      <c r="J297"/>
      <c r="K297"/>
      <c r="L297"/>
      <c r="M297"/>
      <c r="N297"/>
      <c r="O297" s="27"/>
      <c r="P297" s="27"/>
      <c r="Q297" s="27"/>
      <c r="R297" s="27"/>
      <c r="S297" s="27"/>
    </row>
    <row r="298" spans="1:19" s="15" customFormat="1" x14ac:dyDescent="0.3">
      <c r="A298" s="17"/>
      <c r="B298"/>
      <c r="C298"/>
      <c r="D298"/>
      <c r="E298"/>
      <c r="F298"/>
      <c r="G298"/>
      <c r="H298"/>
      <c r="I298"/>
      <c r="J298"/>
      <c r="K298"/>
      <c r="L298"/>
      <c r="M298"/>
      <c r="N298"/>
      <c r="O298" s="27"/>
      <c r="P298" s="27"/>
      <c r="Q298" s="27"/>
      <c r="R298" s="27"/>
      <c r="S298" s="27"/>
    </row>
    <row r="299" spans="1:19" s="15" customFormat="1" x14ac:dyDescent="0.3">
      <c r="A299" s="17"/>
      <c r="B299"/>
      <c r="C299"/>
      <c r="D299"/>
      <c r="E299"/>
      <c r="F299"/>
      <c r="G299"/>
      <c r="H299"/>
      <c r="I299"/>
      <c r="J299"/>
      <c r="K299"/>
      <c r="L299"/>
      <c r="M299"/>
      <c r="N299"/>
      <c r="O299" s="27"/>
      <c r="P299" s="27"/>
      <c r="Q299" s="27"/>
      <c r="R299" s="27"/>
      <c r="S299" s="27"/>
    </row>
    <row r="300" spans="1:19" s="15" customFormat="1" x14ac:dyDescent="0.3">
      <c r="A300" s="17"/>
      <c r="B300"/>
      <c r="C300"/>
      <c r="D300"/>
      <c r="E300"/>
      <c r="F300"/>
      <c r="G300"/>
      <c r="H300"/>
      <c r="I300"/>
      <c r="J300"/>
      <c r="K300"/>
      <c r="L300"/>
      <c r="M300"/>
      <c r="N300"/>
      <c r="O300" s="27"/>
      <c r="P300" s="27"/>
      <c r="Q300" s="27"/>
      <c r="R300" s="27"/>
      <c r="S300" s="27"/>
    </row>
  </sheetData>
  <mergeCells count="2">
    <mergeCell ref="G10:I10"/>
    <mergeCell ref="D14:D15"/>
  </mergeCells>
  <pageMargins left="0.511811024" right="0.511811024" top="0.78740157499999996" bottom="0.78740157499999996" header="0.31496062000000002" footer="0.3149606200000000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51727-383D-43D5-BBAD-729532AF11A1}">
  <sheetPr codeName="Planilha11">
    <tabColor theme="9" tint="0.59999389629810485"/>
  </sheetPr>
  <dimension ref="A1:U297"/>
  <sheetViews>
    <sheetView showGridLines="0" workbookViewId="0">
      <selection activeCell="H4" sqref="H4"/>
    </sheetView>
  </sheetViews>
  <sheetFormatPr defaultColWidth="8.85546875" defaultRowHeight="18.75" x14ac:dyDescent="0.3"/>
  <cols>
    <col min="1" max="1" width="12.7109375" style="17" customWidth="1"/>
    <col min="2" max="2" width="24.85546875" bestFit="1" customWidth="1"/>
    <col min="4" max="4" width="44.28515625" bestFit="1" customWidth="1"/>
    <col min="5" max="5" width="4.5703125" customWidth="1"/>
    <col min="6" max="7" width="7.140625" bestFit="1" customWidth="1"/>
    <col min="8" max="8" width="9.28515625" bestFit="1" customWidth="1"/>
    <col min="10" max="12" width="9" style="15" customWidth="1"/>
    <col min="13" max="21" width="8.85546875" style="15"/>
  </cols>
  <sheetData>
    <row r="1" spans="1:21" x14ac:dyDescent="0.3">
      <c r="A1" s="16" t="s">
        <v>185</v>
      </c>
      <c r="J1" s="14"/>
      <c r="K1" s="14"/>
      <c r="L1" s="14"/>
      <c r="M1" s="14"/>
      <c r="N1" s="14"/>
      <c r="O1" s="14"/>
      <c r="P1" s="14"/>
      <c r="Q1" s="14"/>
      <c r="R1" s="14"/>
      <c r="S1" s="14"/>
      <c r="T1" s="14"/>
      <c r="U1" s="14"/>
    </row>
    <row r="2" spans="1:21" x14ac:dyDescent="0.3">
      <c r="A2" s="17" t="s">
        <v>186</v>
      </c>
      <c r="J2" s="14"/>
      <c r="K2" s="14"/>
      <c r="L2" s="14"/>
      <c r="M2" s="14"/>
      <c r="N2" s="14"/>
      <c r="O2" s="14"/>
      <c r="P2" s="14"/>
      <c r="Q2" s="14"/>
      <c r="R2" s="14"/>
      <c r="S2" s="14"/>
      <c r="T2" s="14"/>
      <c r="U2" s="14"/>
    </row>
    <row r="4" spans="1:21" ht="15.75" x14ac:dyDescent="0.25">
      <c r="A4" s="2" t="s">
        <v>15</v>
      </c>
      <c r="B4" s="2" t="s">
        <v>16</v>
      </c>
    </row>
    <row r="5" spans="1:21" ht="15.75" x14ac:dyDescent="0.25">
      <c r="A5" s="23" t="s">
        <v>167</v>
      </c>
      <c r="B5" s="24" t="s">
        <v>169</v>
      </c>
    </row>
    <row r="6" spans="1:21" ht="63" x14ac:dyDescent="0.25">
      <c r="A6" s="23" t="s">
        <v>522</v>
      </c>
      <c r="B6" s="24" t="s">
        <v>520</v>
      </c>
    </row>
    <row r="7" spans="1:21" x14ac:dyDescent="0.3">
      <c r="D7" s="1" t="s">
        <v>17</v>
      </c>
      <c r="G7" s="13" t="s">
        <v>167</v>
      </c>
      <c r="H7" s="13" t="s">
        <v>187</v>
      </c>
    </row>
    <row r="8" spans="1:21" x14ac:dyDescent="0.3">
      <c r="D8" t="s">
        <v>178</v>
      </c>
      <c r="F8" s="50">
        <v>37257</v>
      </c>
      <c r="G8" s="53">
        <v>72.400000000000006</v>
      </c>
      <c r="H8" s="55" t="s">
        <v>521</v>
      </c>
      <c r="J8" s="54" cm="1">
        <f t="array" ref="J8:J247">_xlfn.LAMBDA(_xlpm.values,_xlop.type, _xlfn.LET(_xlpm.nPower, IF( OR(_xlfn.ISOMITTED(_xlpm.type), UPPER(_xlpm.type) = "LOG"), 1, _xlpm.type),
IF(ISNUMBER(_xlpm.type),
_xlpm.values - OLS_FITTED(_xlpm.values, ADDCONST(_xlfn.SEQUENCE(ROWS(_xlpm.values))^_xlpm.nPower)),
EXP( LN(_xlpm.values) ) - EXP(  OLS_FITTED(LN(_xlpm.values), ADDCONST(_xlfn.SEQUENCE(ROWS(_xlpm.values))^_xlpm.nPower)) )
) ) )($G$8:$G$247,$H$8)</f>
        <v>-17.996783312622867</v>
      </c>
      <c r="K8" s="54"/>
      <c r="L8" s="54" cm="1">
        <f t="array" ref="L8:L247">DETREND($G$8:$G$247,$H$8)</f>
        <v>-17.996783312622867</v>
      </c>
    </row>
    <row r="9" spans="1:21" x14ac:dyDescent="0.3">
      <c r="D9" t="s">
        <v>179</v>
      </c>
      <c r="F9" s="50">
        <v>37288</v>
      </c>
      <c r="G9" s="53">
        <v>69.7</v>
      </c>
      <c r="J9" s="54">
        <v>-20.700272758308301</v>
      </c>
      <c r="K9" s="54"/>
      <c r="L9" s="54">
        <v>-20.700272758308301</v>
      </c>
    </row>
    <row r="10" spans="1:21" x14ac:dyDescent="0.3">
      <c r="D10" t="s">
        <v>157</v>
      </c>
      <c r="F10" s="50">
        <v>37316</v>
      </c>
      <c r="G10" s="53">
        <v>77.400000000000006</v>
      </c>
      <c r="J10" s="54">
        <v>-13.00376233869126</v>
      </c>
      <c r="K10" s="54"/>
      <c r="L10" s="54">
        <v>-13.00376233869126</v>
      </c>
    </row>
    <row r="11" spans="1:21" ht="18.75" customHeight="1" x14ac:dyDescent="0.3">
      <c r="D11" s="134"/>
      <c r="F11" s="50">
        <v>37347</v>
      </c>
      <c r="G11" s="53">
        <v>79.599999999999994</v>
      </c>
      <c r="J11" s="54">
        <v>-10.807252053777134</v>
      </c>
      <c r="K11" s="54"/>
      <c r="L11" s="54">
        <v>-10.807252053777134</v>
      </c>
    </row>
    <row r="12" spans="1:21" x14ac:dyDescent="0.3">
      <c r="D12" s="134"/>
      <c r="F12" s="50">
        <v>37377</v>
      </c>
      <c r="G12" s="53">
        <v>80.400000000000006</v>
      </c>
      <c r="J12" s="54">
        <v>-10.010741903570903</v>
      </c>
      <c r="K12" s="54"/>
      <c r="L12" s="54">
        <v>-10.010741903570903</v>
      </c>
    </row>
    <row r="13" spans="1:21" x14ac:dyDescent="0.3">
      <c r="D13" s="47"/>
      <c r="F13" s="50">
        <v>37408</v>
      </c>
      <c r="G13" s="53">
        <v>77.5</v>
      </c>
      <c r="J13" s="54">
        <v>-12.914231888077978</v>
      </c>
      <c r="K13" s="54"/>
      <c r="L13" s="54">
        <v>-12.914231888077978</v>
      </c>
    </row>
    <row r="14" spans="1:21" x14ac:dyDescent="0.3">
      <c r="F14" s="50">
        <v>37438</v>
      </c>
      <c r="G14" s="53">
        <v>83.3</v>
      </c>
      <c r="J14" s="54">
        <v>-7.1177220073033851</v>
      </c>
      <c r="K14" s="54"/>
      <c r="L14" s="54">
        <v>-7.1177220073033851</v>
      </c>
    </row>
    <row r="15" spans="1:21" x14ac:dyDescent="0.3">
      <c r="F15" s="50">
        <v>37469</v>
      </c>
      <c r="G15" s="53">
        <v>83.6</v>
      </c>
      <c r="J15" s="54">
        <v>-6.8212122612525121</v>
      </c>
      <c r="K15" s="54"/>
      <c r="L15" s="54">
        <v>-6.8212122612525121</v>
      </c>
    </row>
    <row r="16" spans="1:21" x14ac:dyDescent="0.3">
      <c r="F16" s="50">
        <v>37500</v>
      </c>
      <c r="G16" s="53">
        <v>82.1</v>
      </c>
      <c r="J16" s="54">
        <v>-8.3247026499303303</v>
      </c>
      <c r="K16" s="54"/>
      <c r="L16" s="54">
        <v>-8.3247026499303303</v>
      </c>
    </row>
    <row r="17" spans="6:12" x14ac:dyDescent="0.3">
      <c r="F17" s="50">
        <v>37530</v>
      </c>
      <c r="G17" s="53">
        <v>89.2</v>
      </c>
      <c r="J17" s="54">
        <v>-1.2281931733422908</v>
      </c>
      <c r="K17" s="54"/>
      <c r="L17" s="54">
        <v>-1.2281931733422908</v>
      </c>
    </row>
    <row r="18" spans="6:12" x14ac:dyDescent="0.3">
      <c r="F18" s="50">
        <v>37561</v>
      </c>
      <c r="G18" s="53">
        <v>83.9</v>
      </c>
      <c r="J18" s="54">
        <v>-6.5316838314933534</v>
      </c>
      <c r="K18" s="54"/>
      <c r="L18" s="54">
        <v>-6.5316838314933534</v>
      </c>
    </row>
    <row r="19" spans="6:12" x14ac:dyDescent="0.3">
      <c r="F19" s="50">
        <v>37591</v>
      </c>
      <c r="G19" s="53">
        <v>74.599999999999994</v>
      </c>
      <c r="J19" s="54">
        <v>-15.835174624388941</v>
      </c>
      <c r="K19" s="54"/>
      <c r="L19" s="54">
        <v>-15.835174624388941</v>
      </c>
    </row>
    <row r="20" spans="6:12" x14ac:dyDescent="0.3">
      <c r="F20" s="50">
        <v>37622</v>
      </c>
      <c r="G20" s="53">
        <v>74</v>
      </c>
      <c r="J20" s="54">
        <v>-16.438665552034053</v>
      </c>
      <c r="K20" s="54"/>
      <c r="L20" s="54">
        <v>-16.438665552034053</v>
      </c>
    </row>
    <row r="21" spans="6:12" x14ac:dyDescent="0.3">
      <c r="F21" s="50">
        <v>37653</v>
      </c>
      <c r="G21" s="53">
        <v>71.8</v>
      </c>
      <c r="J21" s="54">
        <v>-18.642156614434143</v>
      </c>
      <c r="K21" s="54"/>
      <c r="L21" s="54">
        <v>-18.642156614434143</v>
      </c>
    </row>
    <row r="22" spans="6:12" x14ac:dyDescent="0.3">
      <c r="F22" s="50">
        <v>37681</v>
      </c>
      <c r="G22" s="53">
        <v>77.400000000000006</v>
      </c>
      <c r="J22" s="54">
        <v>-13.045647811594066</v>
      </c>
      <c r="K22" s="54"/>
      <c r="L22" s="54">
        <v>-13.045647811594066</v>
      </c>
    </row>
    <row r="23" spans="6:12" x14ac:dyDescent="0.3">
      <c r="F23" s="50">
        <v>37712</v>
      </c>
      <c r="G23" s="53">
        <v>76.5</v>
      </c>
      <c r="J23" s="54">
        <v>-13.949139143519361</v>
      </c>
      <c r="K23" s="54"/>
      <c r="L23" s="54">
        <v>-13.949139143519361</v>
      </c>
    </row>
    <row r="24" spans="6:12" x14ac:dyDescent="0.3">
      <c r="F24" s="50">
        <v>37742</v>
      </c>
      <c r="G24" s="53">
        <v>79.7</v>
      </c>
      <c r="J24" s="54">
        <v>-10.752630610214965</v>
      </c>
      <c r="K24" s="54"/>
      <c r="L24" s="54">
        <v>-10.752630610214965</v>
      </c>
    </row>
    <row r="25" spans="6:12" x14ac:dyDescent="0.3">
      <c r="F25" s="50">
        <v>37773</v>
      </c>
      <c r="G25" s="53">
        <v>76.3</v>
      </c>
      <c r="J25" s="54">
        <v>-14.156122211686238</v>
      </c>
      <c r="K25" s="54"/>
      <c r="L25" s="54">
        <v>-14.156122211686238</v>
      </c>
    </row>
    <row r="26" spans="6:12" x14ac:dyDescent="0.3">
      <c r="F26" s="50">
        <v>37803</v>
      </c>
      <c r="G26" s="53">
        <v>81.3</v>
      </c>
      <c r="J26" s="54">
        <v>-9.1596139479383396</v>
      </c>
      <c r="K26" s="54"/>
      <c r="L26" s="54">
        <v>-9.1596139479383396</v>
      </c>
    </row>
    <row r="27" spans="6:12" x14ac:dyDescent="0.3">
      <c r="F27" s="50">
        <v>37834</v>
      </c>
      <c r="G27" s="53">
        <v>81.599999999999994</v>
      </c>
      <c r="J27" s="54">
        <v>-8.8631058189765213</v>
      </c>
      <c r="K27" s="54"/>
      <c r="L27" s="54">
        <v>-8.8631058189765213</v>
      </c>
    </row>
    <row r="28" spans="6:12" x14ac:dyDescent="0.3">
      <c r="F28" s="50">
        <v>37865</v>
      </c>
      <c r="G28" s="53">
        <v>85.7</v>
      </c>
      <c r="J28" s="54">
        <v>-4.7665978248059133</v>
      </c>
      <c r="K28" s="54"/>
      <c r="L28" s="54">
        <v>-4.7665978248059133</v>
      </c>
    </row>
    <row r="29" spans="6:12" x14ac:dyDescent="0.3">
      <c r="F29" s="50">
        <v>37895</v>
      </c>
      <c r="G29" s="53">
        <v>90</v>
      </c>
      <c r="J29" s="54">
        <v>-0.47008996543171122</v>
      </c>
      <c r="K29" s="54"/>
      <c r="L29" s="54">
        <v>-0.47008996543171122</v>
      </c>
    </row>
    <row r="30" spans="6:12" x14ac:dyDescent="0.3">
      <c r="F30" s="50">
        <v>37926</v>
      </c>
      <c r="G30" s="53">
        <v>84.6</v>
      </c>
      <c r="J30" s="54">
        <v>-5.8735822408592071</v>
      </c>
      <c r="K30" s="54"/>
      <c r="L30" s="54">
        <v>-5.8735822408592071</v>
      </c>
    </row>
    <row r="31" spans="6:12" x14ac:dyDescent="0.3">
      <c r="F31" s="50">
        <v>37956</v>
      </c>
      <c r="G31" s="53">
        <v>77.900000000000006</v>
      </c>
      <c r="J31" s="54">
        <v>-12.57707465109354</v>
      </c>
      <c r="K31" s="54"/>
      <c r="L31" s="54">
        <v>-12.57707465109354</v>
      </c>
    </row>
    <row r="32" spans="6:12" x14ac:dyDescent="0.3">
      <c r="F32" s="50">
        <v>37987</v>
      </c>
      <c r="G32" s="53">
        <v>76.8</v>
      </c>
      <c r="J32" s="54">
        <v>-13.680567196139947</v>
      </c>
      <c r="K32" s="54"/>
      <c r="L32" s="54">
        <v>-13.680567196139947</v>
      </c>
    </row>
    <row r="33" spans="6:12" x14ac:dyDescent="0.3">
      <c r="F33" s="50">
        <v>38018</v>
      </c>
      <c r="G33" s="53">
        <v>74</v>
      </c>
      <c r="J33" s="54">
        <v>-16.484059876003499</v>
      </c>
      <c r="K33" s="54"/>
      <c r="L33" s="54">
        <v>-16.484059876003499</v>
      </c>
    </row>
    <row r="34" spans="6:12" x14ac:dyDescent="0.3">
      <c r="F34" s="50">
        <v>38047</v>
      </c>
      <c r="G34" s="53">
        <v>86.9</v>
      </c>
      <c r="J34" s="54">
        <v>-3.5875526906896766</v>
      </c>
      <c r="K34" s="54"/>
      <c r="L34" s="54">
        <v>-3.5875526906896766</v>
      </c>
    </row>
    <row r="35" spans="6:12" x14ac:dyDescent="0.3">
      <c r="F35" s="50">
        <v>38078</v>
      </c>
      <c r="G35" s="53">
        <v>82.2</v>
      </c>
      <c r="J35" s="54">
        <v>-8.2910456402033503</v>
      </c>
      <c r="K35" s="54"/>
      <c r="L35" s="54">
        <v>-8.2910456402033503</v>
      </c>
    </row>
    <row r="36" spans="6:12" x14ac:dyDescent="0.3">
      <c r="F36" s="50">
        <v>38108</v>
      </c>
      <c r="G36" s="53">
        <v>86.3</v>
      </c>
      <c r="J36" s="54">
        <v>-4.1945387245500854</v>
      </c>
      <c r="K36" s="54"/>
      <c r="L36" s="54">
        <v>-4.1945387245500854</v>
      </c>
    </row>
    <row r="37" spans="6:12" x14ac:dyDescent="0.3">
      <c r="F37" s="50">
        <v>38139</v>
      </c>
      <c r="G37" s="53">
        <v>86.1</v>
      </c>
      <c r="J37" s="54">
        <v>-4.3980319437347646</v>
      </c>
      <c r="K37" s="54"/>
      <c r="L37" s="54">
        <v>-4.3980319437347646</v>
      </c>
    </row>
    <row r="38" spans="6:12" x14ac:dyDescent="0.3">
      <c r="F38" s="50">
        <v>38169</v>
      </c>
      <c r="G38" s="53">
        <v>90.1</v>
      </c>
      <c r="J38" s="54">
        <v>-0.40152529776275969</v>
      </c>
      <c r="K38" s="54"/>
      <c r="L38" s="54">
        <v>-0.40152529776275969</v>
      </c>
    </row>
    <row r="39" spans="6:12" x14ac:dyDescent="0.3">
      <c r="F39" s="50">
        <v>38200</v>
      </c>
      <c r="G39" s="53">
        <v>92.1</v>
      </c>
      <c r="J39" s="54">
        <v>1.5949812133608248</v>
      </c>
      <c r="K39" s="54"/>
      <c r="L39" s="54">
        <v>1.5949812133608248</v>
      </c>
    </row>
    <row r="40" spans="6:12" x14ac:dyDescent="0.3">
      <c r="F40" s="50">
        <v>38231</v>
      </c>
      <c r="G40" s="53">
        <v>92.1</v>
      </c>
      <c r="J40" s="54">
        <v>1.5914875896307166</v>
      </c>
      <c r="K40" s="54"/>
      <c r="L40" s="54">
        <v>1.5914875896307166</v>
      </c>
    </row>
    <row r="41" spans="6:12" x14ac:dyDescent="0.3">
      <c r="F41" s="50">
        <v>38261</v>
      </c>
      <c r="G41" s="53">
        <v>93.5</v>
      </c>
      <c r="J41" s="54">
        <v>2.9879938310416634</v>
      </c>
      <c r="K41" s="54"/>
      <c r="L41" s="54">
        <v>2.9879938310416634</v>
      </c>
    </row>
    <row r="42" spans="6:12" x14ac:dyDescent="0.3">
      <c r="F42" s="50">
        <v>38292</v>
      </c>
      <c r="G42" s="53">
        <v>91.8</v>
      </c>
      <c r="J42" s="54">
        <v>1.2844999375885493</v>
      </c>
      <c r="K42" s="54"/>
      <c r="L42" s="54">
        <v>1.2844999375885493</v>
      </c>
    </row>
    <row r="43" spans="6:12" x14ac:dyDescent="0.3">
      <c r="F43" s="50">
        <v>38322</v>
      </c>
      <c r="G43" s="53">
        <v>84.7</v>
      </c>
      <c r="J43" s="54">
        <v>-5.8189940907339235</v>
      </c>
      <c r="K43" s="54"/>
      <c r="L43" s="54">
        <v>-5.8189940907339235</v>
      </c>
    </row>
    <row r="44" spans="6:12" x14ac:dyDescent="0.3">
      <c r="F44" s="50">
        <v>38353</v>
      </c>
      <c r="G44" s="53">
        <v>81</v>
      </c>
      <c r="J44" s="54">
        <v>-9.5224882539308311</v>
      </c>
      <c r="K44" s="54"/>
      <c r="L44" s="54">
        <v>-9.5224882539308311</v>
      </c>
    </row>
    <row r="45" spans="6:12" x14ac:dyDescent="0.3">
      <c r="F45" s="50">
        <v>38384</v>
      </c>
      <c r="G45" s="53">
        <v>76.400000000000006</v>
      </c>
      <c r="J45" s="54">
        <v>-14.125982552007599</v>
      </c>
      <c r="K45" s="54"/>
      <c r="L45" s="54">
        <v>-14.125982552007599</v>
      </c>
    </row>
    <row r="46" spans="6:12" x14ac:dyDescent="0.3">
      <c r="F46" s="50">
        <v>38412</v>
      </c>
      <c r="G46" s="53">
        <v>88</v>
      </c>
      <c r="J46" s="54">
        <v>-2.5294769849691221</v>
      </c>
      <c r="K46" s="54"/>
      <c r="L46" s="54">
        <v>-2.5294769849691221</v>
      </c>
    </row>
    <row r="47" spans="6:12" x14ac:dyDescent="0.3">
      <c r="F47" s="50">
        <v>38443</v>
      </c>
      <c r="G47" s="53">
        <v>87</v>
      </c>
      <c r="J47" s="54">
        <v>-3.5329715528209391</v>
      </c>
      <c r="K47" s="54"/>
      <c r="L47" s="54">
        <v>-3.5329715528209391</v>
      </c>
    </row>
    <row r="48" spans="6:12" x14ac:dyDescent="0.3">
      <c r="F48" s="50">
        <v>38473</v>
      </c>
      <c r="G48" s="53">
        <v>91.1</v>
      </c>
      <c r="J48" s="54">
        <v>0.563533744431993</v>
      </c>
      <c r="K48" s="54"/>
      <c r="L48" s="54">
        <v>0.563533744431993</v>
      </c>
    </row>
    <row r="49" spans="6:12" x14ac:dyDescent="0.3">
      <c r="F49" s="50">
        <v>38504</v>
      </c>
      <c r="G49" s="53">
        <v>91.4</v>
      </c>
      <c r="J49" s="54">
        <v>0.86003890678438211</v>
      </c>
      <c r="K49" s="54"/>
      <c r="L49" s="54">
        <v>0.86003890678438211</v>
      </c>
    </row>
    <row r="50" spans="6:12" x14ac:dyDescent="0.3">
      <c r="F50" s="50">
        <v>38534</v>
      </c>
      <c r="G50" s="53">
        <v>90.5</v>
      </c>
      <c r="J50" s="54">
        <v>-4.3456065768950225E-2</v>
      </c>
      <c r="K50" s="54"/>
      <c r="L50" s="54">
        <v>-4.3456065768950225E-2</v>
      </c>
    </row>
    <row r="51" spans="6:12" x14ac:dyDescent="0.3">
      <c r="F51" s="50">
        <v>38565</v>
      </c>
      <c r="G51" s="53">
        <v>95.6</v>
      </c>
      <c r="J51" s="54">
        <v>5.0530488267666698</v>
      </c>
      <c r="K51" s="54"/>
      <c r="L51" s="54">
        <v>5.0530488267666698</v>
      </c>
    </row>
    <row r="52" spans="6:12" x14ac:dyDescent="0.3">
      <c r="F52" s="50">
        <v>38596</v>
      </c>
      <c r="G52" s="53">
        <v>92</v>
      </c>
      <c r="J52" s="54">
        <v>1.4495535843861944</v>
      </c>
      <c r="K52" s="54"/>
      <c r="L52" s="54">
        <v>1.4495535843861944</v>
      </c>
    </row>
    <row r="53" spans="6:12" x14ac:dyDescent="0.3">
      <c r="F53" s="50">
        <v>38626</v>
      </c>
      <c r="G53" s="53">
        <v>93.7</v>
      </c>
      <c r="J53" s="54">
        <v>3.1460582070842236</v>
      </c>
      <c r="K53" s="54"/>
      <c r="L53" s="54">
        <v>3.1460582070842236</v>
      </c>
    </row>
    <row r="54" spans="6:12" x14ac:dyDescent="0.3">
      <c r="F54" s="50">
        <v>38657</v>
      </c>
      <c r="G54" s="53">
        <v>92.4</v>
      </c>
      <c r="J54" s="54">
        <v>1.8425626948558005</v>
      </c>
      <c r="K54" s="54"/>
      <c r="L54" s="54">
        <v>1.8425626948558005</v>
      </c>
    </row>
    <row r="55" spans="6:12" x14ac:dyDescent="0.3">
      <c r="F55" s="50">
        <v>38687</v>
      </c>
      <c r="G55" s="53">
        <v>86.6</v>
      </c>
      <c r="J55" s="54">
        <v>-3.9609329523044039</v>
      </c>
      <c r="K55" s="54"/>
      <c r="L55" s="54">
        <v>-3.9609329523044039</v>
      </c>
    </row>
    <row r="56" spans="6:12" x14ac:dyDescent="0.3">
      <c r="F56" s="50">
        <v>38718</v>
      </c>
      <c r="G56" s="53">
        <v>83.7</v>
      </c>
      <c r="J56" s="54">
        <v>-6.8644287344016988</v>
      </c>
      <c r="K56" s="54"/>
      <c r="L56" s="54">
        <v>-6.8644287344016988</v>
      </c>
    </row>
    <row r="57" spans="6:12" x14ac:dyDescent="0.3">
      <c r="F57" s="50">
        <v>38749</v>
      </c>
      <c r="G57" s="53">
        <v>80.2</v>
      </c>
      <c r="J57" s="54">
        <v>-10.367924651441115</v>
      </c>
      <c r="K57" s="54"/>
      <c r="L57" s="54">
        <v>-10.367924651441115</v>
      </c>
    </row>
    <row r="58" spans="6:12" x14ac:dyDescent="0.3">
      <c r="F58" s="50">
        <v>38777</v>
      </c>
      <c r="G58" s="53">
        <v>92.4</v>
      </c>
      <c r="J58" s="54">
        <v>1.8285792965719025</v>
      </c>
      <c r="K58" s="54"/>
      <c r="L58" s="54">
        <v>1.8285792965719025</v>
      </c>
    </row>
    <row r="59" spans="6:12" x14ac:dyDescent="0.3">
      <c r="F59" s="50">
        <v>38808</v>
      </c>
      <c r="G59" s="53">
        <v>85.7</v>
      </c>
      <c r="J59" s="54">
        <v>-4.8749168903675297</v>
      </c>
      <c r="K59" s="54"/>
      <c r="L59" s="54">
        <v>-4.8749168903675297</v>
      </c>
    </row>
    <row r="60" spans="6:12" x14ac:dyDescent="0.3">
      <c r="F60" s="50">
        <v>38838</v>
      </c>
      <c r="G60" s="53">
        <v>95.4</v>
      </c>
      <c r="J60" s="54">
        <v>4.821586787735086</v>
      </c>
      <c r="K60" s="54"/>
      <c r="L60" s="54">
        <v>4.821586787735086</v>
      </c>
    </row>
    <row r="61" spans="6:12" x14ac:dyDescent="0.3">
      <c r="F61" s="50">
        <v>38869</v>
      </c>
      <c r="G61" s="53">
        <v>91.1</v>
      </c>
      <c r="J61" s="54">
        <v>0.5180903308746565</v>
      </c>
      <c r="K61" s="54"/>
      <c r="L61" s="54">
        <v>0.5180903308746565</v>
      </c>
    </row>
    <row r="62" spans="6:12" x14ac:dyDescent="0.3">
      <c r="F62" s="50">
        <v>38899</v>
      </c>
      <c r="G62" s="53">
        <v>93.8</v>
      </c>
      <c r="J62" s="54">
        <v>3.2145937390459665</v>
      </c>
      <c r="K62" s="54"/>
      <c r="L62" s="54">
        <v>3.2145937390459665</v>
      </c>
    </row>
    <row r="63" spans="6:12" x14ac:dyDescent="0.3">
      <c r="F63" s="50">
        <v>38930</v>
      </c>
      <c r="G63" s="53">
        <v>98.6</v>
      </c>
      <c r="J63" s="54">
        <v>8.0110970122438658</v>
      </c>
      <c r="K63" s="54"/>
      <c r="L63" s="54">
        <v>8.0110970122438658</v>
      </c>
    </row>
    <row r="64" spans="6:12" x14ac:dyDescent="0.3">
      <c r="F64" s="50">
        <v>38961</v>
      </c>
      <c r="G64" s="53">
        <v>93.2</v>
      </c>
      <c r="J64" s="54">
        <v>2.6076001504630995</v>
      </c>
      <c r="K64" s="54"/>
      <c r="L64" s="54">
        <v>2.6076001504630995</v>
      </c>
    </row>
    <row r="65" spans="6:12" x14ac:dyDescent="0.3">
      <c r="F65" s="50">
        <v>38991</v>
      </c>
      <c r="G65" s="53">
        <v>97.5</v>
      </c>
      <c r="J65" s="54">
        <v>6.9041031536983866</v>
      </c>
      <c r="K65" s="54"/>
      <c r="L65" s="54">
        <v>6.9041031536983866</v>
      </c>
    </row>
    <row r="66" spans="6:12" x14ac:dyDescent="0.3">
      <c r="F66" s="50">
        <v>39022</v>
      </c>
      <c r="G66" s="53">
        <v>95.9</v>
      </c>
      <c r="J66" s="54">
        <v>5.3006060219445743</v>
      </c>
      <c r="K66" s="54"/>
      <c r="L66" s="54">
        <v>5.3006060219445743</v>
      </c>
    </row>
    <row r="67" spans="6:12" x14ac:dyDescent="0.3">
      <c r="F67" s="50">
        <v>39052</v>
      </c>
      <c r="G67" s="53">
        <v>87</v>
      </c>
      <c r="J67" s="54">
        <v>-3.6028912448035015</v>
      </c>
      <c r="K67" s="54"/>
      <c r="L67" s="54">
        <v>-3.6028912448035015</v>
      </c>
    </row>
    <row r="68" spans="6:12" x14ac:dyDescent="0.3">
      <c r="F68" s="50">
        <v>39083</v>
      </c>
      <c r="G68" s="53">
        <v>87</v>
      </c>
      <c r="J68" s="54">
        <v>-3.6063886465511672</v>
      </c>
      <c r="K68" s="54"/>
      <c r="L68" s="54">
        <v>-3.6063886465511672</v>
      </c>
    </row>
    <row r="69" spans="6:12" x14ac:dyDescent="0.3">
      <c r="F69" s="50">
        <v>39114</v>
      </c>
      <c r="G69" s="53">
        <v>82.6</v>
      </c>
      <c r="J69" s="54">
        <v>-8.0098861833034505</v>
      </c>
      <c r="K69" s="54"/>
      <c r="L69" s="54">
        <v>-8.0098861833034505</v>
      </c>
    </row>
    <row r="70" spans="6:12" x14ac:dyDescent="0.3">
      <c r="F70" s="50">
        <v>39142</v>
      </c>
      <c r="G70" s="53">
        <v>96.4</v>
      </c>
      <c r="J70" s="54">
        <v>5.7866161449341575</v>
      </c>
      <c r="K70" s="54"/>
      <c r="L70" s="54">
        <v>5.7866161449341575</v>
      </c>
    </row>
    <row r="71" spans="6:12" x14ac:dyDescent="0.3">
      <c r="F71" s="50">
        <v>39173</v>
      </c>
      <c r="G71" s="53">
        <v>90.6</v>
      </c>
      <c r="J71" s="54">
        <v>-1.6881661843214602E-2</v>
      </c>
      <c r="K71" s="54"/>
      <c r="L71" s="54">
        <v>-1.6881661843214602E-2</v>
      </c>
    </row>
    <row r="72" spans="6:12" x14ac:dyDescent="0.3">
      <c r="F72" s="50">
        <v>39203</v>
      </c>
      <c r="G72" s="53">
        <v>99.9</v>
      </c>
      <c r="J72" s="54">
        <v>9.2796203963590074</v>
      </c>
      <c r="K72" s="54"/>
      <c r="L72" s="54">
        <v>9.2796203963590074</v>
      </c>
    </row>
    <row r="73" spans="6:12" x14ac:dyDescent="0.3">
      <c r="F73" s="50">
        <v>39234</v>
      </c>
      <c r="G73" s="53">
        <v>96.9</v>
      </c>
      <c r="J73" s="54">
        <v>6.2761223195355456</v>
      </c>
      <c r="K73" s="54"/>
      <c r="L73" s="54">
        <v>6.2761223195355456</v>
      </c>
    </row>
    <row r="74" spans="6:12" x14ac:dyDescent="0.3">
      <c r="F74" s="50">
        <v>39264</v>
      </c>
      <c r="G74" s="53">
        <v>99.8</v>
      </c>
      <c r="J74" s="54">
        <v>9.1726241076814148</v>
      </c>
      <c r="K74" s="54"/>
      <c r="L74" s="54">
        <v>9.1726241076814148</v>
      </c>
    </row>
    <row r="75" spans="6:12" x14ac:dyDescent="0.3">
      <c r="F75" s="50">
        <v>39295</v>
      </c>
      <c r="G75" s="53">
        <v>104.9</v>
      </c>
      <c r="J75" s="54">
        <v>14.269125760791155</v>
      </c>
      <c r="K75" s="54"/>
      <c r="L75" s="54">
        <v>14.269125760791155</v>
      </c>
    </row>
    <row r="76" spans="6:12" x14ac:dyDescent="0.3">
      <c r="F76" s="50">
        <v>39326</v>
      </c>
      <c r="G76" s="53">
        <v>98.4</v>
      </c>
      <c r="J76" s="54">
        <v>7.7656272788597818</v>
      </c>
      <c r="K76" s="54"/>
      <c r="L76" s="54">
        <v>7.7656272788597818</v>
      </c>
    </row>
    <row r="77" spans="6:12" x14ac:dyDescent="0.3">
      <c r="F77" s="50">
        <v>39356</v>
      </c>
      <c r="G77" s="53">
        <v>107.8</v>
      </c>
      <c r="J77" s="54">
        <v>17.162128661881979</v>
      </c>
      <c r="K77" s="54"/>
      <c r="L77" s="54">
        <v>17.162128661881979</v>
      </c>
    </row>
    <row r="78" spans="6:12" x14ac:dyDescent="0.3">
      <c r="F78" s="50">
        <v>39387</v>
      </c>
      <c r="G78" s="53">
        <v>102.4</v>
      </c>
      <c r="J78" s="54">
        <v>11.758629909852488</v>
      </c>
      <c r="K78" s="54"/>
      <c r="L78" s="54">
        <v>11.758629909852488</v>
      </c>
    </row>
    <row r="79" spans="6:12" x14ac:dyDescent="0.3">
      <c r="F79" s="50">
        <v>39417</v>
      </c>
      <c r="G79" s="53">
        <v>92.6</v>
      </c>
      <c r="J79" s="54">
        <v>1.9551310227661389</v>
      </c>
      <c r="K79" s="54"/>
      <c r="L79" s="54">
        <v>1.9551310227661389</v>
      </c>
    </row>
    <row r="80" spans="6:12" x14ac:dyDescent="0.3">
      <c r="F80" s="50">
        <v>39448</v>
      </c>
      <c r="G80" s="53">
        <v>94.8</v>
      </c>
      <c r="J80" s="54">
        <v>4.1516320006178233</v>
      </c>
      <c r="K80" s="54"/>
      <c r="L80" s="54">
        <v>4.1516320006178233</v>
      </c>
    </row>
    <row r="81" spans="6:12" x14ac:dyDescent="0.3">
      <c r="F81" s="50">
        <v>39479</v>
      </c>
      <c r="G81" s="53">
        <v>91.1</v>
      </c>
      <c r="J81" s="54">
        <v>0.44813284340204973</v>
      </c>
      <c r="K81" s="54"/>
      <c r="L81" s="54">
        <v>0.44813284340204973</v>
      </c>
    </row>
    <row r="82" spans="6:12" x14ac:dyDescent="0.3">
      <c r="F82" s="50">
        <v>39508</v>
      </c>
      <c r="G82" s="53">
        <v>97.7</v>
      </c>
      <c r="J82" s="54">
        <v>7.0446335511139893</v>
      </c>
      <c r="K82" s="54"/>
      <c r="L82" s="54">
        <v>7.0446335511139893</v>
      </c>
    </row>
    <row r="83" spans="6:12" x14ac:dyDescent="0.3">
      <c r="F83" s="50">
        <v>39539</v>
      </c>
      <c r="G83" s="53">
        <v>99.2</v>
      </c>
      <c r="J83" s="54">
        <v>8.5411341237480656</v>
      </c>
      <c r="K83" s="54"/>
      <c r="L83" s="54">
        <v>8.5411341237480656</v>
      </c>
    </row>
    <row r="84" spans="6:12" x14ac:dyDescent="0.3">
      <c r="F84" s="50">
        <v>39569</v>
      </c>
      <c r="G84" s="53">
        <v>102.5</v>
      </c>
      <c r="J84" s="54">
        <v>11.837634561299282</v>
      </c>
      <c r="K84" s="54"/>
      <c r="L84" s="54">
        <v>11.837634561299282</v>
      </c>
    </row>
    <row r="85" spans="6:12" x14ac:dyDescent="0.3">
      <c r="F85" s="50">
        <v>39600</v>
      </c>
      <c r="G85" s="53">
        <v>103.3</v>
      </c>
      <c r="J85" s="54">
        <v>12.63413486376227</v>
      </c>
      <c r="K85" s="54"/>
      <c r="L85" s="54">
        <v>12.63413486376227</v>
      </c>
    </row>
    <row r="86" spans="6:12" x14ac:dyDescent="0.3">
      <c r="F86" s="50">
        <v>39630</v>
      </c>
      <c r="G86" s="53">
        <v>108.5</v>
      </c>
      <c r="J86" s="54">
        <v>17.830635031132061</v>
      </c>
      <c r="K86" s="54"/>
      <c r="L86" s="54">
        <v>17.830635031132061</v>
      </c>
    </row>
    <row r="87" spans="6:12" x14ac:dyDescent="0.3">
      <c r="F87" s="50">
        <v>39661</v>
      </c>
      <c r="G87" s="53">
        <v>106.9</v>
      </c>
      <c r="J87" s="54">
        <v>16.227135063403111</v>
      </c>
      <c r="K87" s="54"/>
      <c r="L87" s="54">
        <v>16.227135063403111</v>
      </c>
    </row>
    <row r="88" spans="6:12" x14ac:dyDescent="0.3">
      <c r="F88" s="50">
        <v>39692</v>
      </c>
      <c r="G88" s="53">
        <v>107.3</v>
      </c>
      <c r="J88" s="54">
        <v>16.623634960570527</v>
      </c>
      <c r="K88" s="54"/>
      <c r="L88" s="54">
        <v>16.623634960570527</v>
      </c>
    </row>
    <row r="89" spans="6:12" x14ac:dyDescent="0.3">
      <c r="F89" s="50">
        <v>39722</v>
      </c>
      <c r="G89" s="53">
        <v>108.4</v>
      </c>
      <c r="J89" s="54">
        <v>17.720134722628956</v>
      </c>
      <c r="K89" s="54"/>
      <c r="L89" s="54">
        <v>17.720134722628956</v>
      </c>
    </row>
    <row r="90" spans="6:12" x14ac:dyDescent="0.3">
      <c r="F90" s="50">
        <v>39753</v>
      </c>
      <c r="G90" s="53">
        <v>96.2</v>
      </c>
      <c r="J90" s="54">
        <v>5.5166343495730246</v>
      </c>
      <c r="K90" s="54"/>
      <c r="L90" s="54">
        <v>5.5166343495730246</v>
      </c>
    </row>
    <row r="91" spans="6:12" x14ac:dyDescent="0.3">
      <c r="F91" s="50">
        <v>39783</v>
      </c>
      <c r="G91" s="53">
        <v>79.099999999999994</v>
      </c>
      <c r="J91" s="54">
        <v>-11.586866158602177</v>
      </c>
      <c r="K91" s="54"/>
      <c r="L91" s="54">
        <v>-11.586866158602177</v>
      </c>
    </row>
    <row r="92" spans="6:12" x14ac:dyDescent="0.3">
      <c r="F92" s="50">
        <v>39814</v>
      </c>
      <c r="G92" s="53">
        <v>78.7</v>
      </c>
      <c r="J92" s="54">
        <v>-11.990366801902169</v>
      </c>
      <c r="K92" s="54"/>
      <c r="L92" s="54">
        <v>-11.990366801902169</v>
      </c>
    </row>
    <row r="93" spans="6:12" x14ac:dyDescent="0.3">
      <c r="F93" s="50">
        <v>39845</v>
      </c>
      <c r="G93" s="53">
        <v>76.099999999999994</v>
      </c>
      <c r="J93" s="54">
        <v>-14.593867580331889</v>
      </c>
      <c r="K93" s="54"/>
      <c r="L93" s="54">
        <v>-14.593867580331889</v>
      </c>
    </row>
    <row r="94" spans="6:12" x14ac:dyDescent="0.3">
      <c r="F94" s="50">
        <v>39873</v>
      </c>
      <c r="G94" s="53">
        <v>88.6</v>
      </c>
      <c r="J94" s="54">
        <v>-2.0973684938967807</v>
      </c>
      <c r="K94" s="54"/>
      <c r="L94" s="54">
        <v>-2.0973684938967807</v>
      </c>
    </row>
    <row r="95" spans="6:12" x14ac:dyDescent="0.3">
      <c r="F95" s="50">
        <v>39904</v>
      </c>
      <c r="G95" s="53">
        <v>85.2</v>
      </c>
      <c r="J95" s="54">
        <v>-5.5008695426018619</v>
      </c>
      <c r="K95" s="54"/>
      <c r="L95" s="54">
        <v>-5.5008695426018619</v>
      </c>
    </row>
    <row r="96" spans="6:12" x14ac:dyDescent="0.3">
      <c r="F96" s="50">
        <v>39934</v>
      </c>
      <c r="G96" s="53">
        <v>91.3</v>
      </c>
      <c r="J96" s="54">
        <v>0.59562927354743067</v>
      </c>
      <c r="K96" s="54"/>
      <c r="L96" s="54">
        <v>0.59562927354743067</v>
      </c>
    </row>
    <row r="97" spans="6:12" x14ac:dyDescent="0.3">
      <c r="F97" s="50">
        <v>39965</v>
      </c>
      <c r="G97" s="53">
        <v>92.2</v>
      </c>
      <c r="J97" s="54">
        <v>1.4921279545460635</v>
      </c>
      <c r="K97" s="54"/>
      <c r="L97" s="54">
        <v>1.4921279545460635</v>
      </c>
    </row>
    <row r="98" spans="6:12" x14ac:dyDescent="0.3">
      <c r="F98" s="50">
        <v>39995</v>
      </c>
      <c r="G98" s="53">
        <v>97.7</v>
      </c>
      <c r="J98" s="54">
        <v>6.9886265003887331</v>
      </c>
      <c r="K98" s="54"/>
      <c r="L98" s="54">
        <v>6.9886265003887331</v>
      </c>
    </row>
    <row r="99" spans="6:12" x14ac:dyDescent="0.3">
      <c r="F99" s="50">
        <v>40026</v>
      </c>
      <c r="G99" s="53">
        <v>99.6</v>
      </c>
      <c r="J99" s="54">
        <v>8.8851249110702213</v>
      </c>
      <c r="K99" s="54"/>
      <c r="L99" s="54">
        <v>8.8851249110702213</v>
      </c>
    </row>
    <row r="100" spans="6:12" x14ac:dyDescent="0.3">
      <c r="F100" s="50">
        <v>40057</v>
      </c>
      <c r="G100" s="53">
        <v>99.4</v>
      </c>
      <c r="J100" s="54">
        <v>8.6816231865853553</v>
      </c>
      <c r="K100" s="54"/>
      <c r="L100" s="54">
        <v>8.6816231865853553</v>
      </c>
    </row>
    <row r="101" spans="6:12" x14ac:dyDescent="0.3">
      <c r="F101" s="50">
        <v>40087</v>
      </c>
      <c r="G101" s="53">
        <v>105.6</v>
      </c>
      <c r="J101" s="54">
        <v>14.878121326928905</v>
      </c>
      <c r="K101" s="54"/>
      <c r="L101" s="54">
        <v>14.878121326928905</v>
      </c>
    </row>
    <row r="102" spans="6:12" x14ac:dyDescent="0.3">
      <c r="F102" s="50">
        <v>40118</v>
      </c>
      <c r="G102" s="53">
        <v>101.4</v>
      </c>
      <c r="J102" s="54">
        <v>10.674619332095631</v>
      </c>
      <c r="K102" s="54"/>
      <c r="L102" s="54">
        <v>10.674619332095631</v>
      </c>
    </row>
    <row r="103" spans="6:12" x14ac:dyDescent="0.3">
      <c r="F103" s="50">
        <v>40148</v>
      </c>
      <c r="G103" s="53">
        <v>94.1</v>
      </c>
      <c r="J103" s="54">
        <v>3.3711172020803701</v>
      </c>
      <c r="K103" s="54"/>
      <c r="L103" s="54">
        <v>3.3711172020803701</v>
      </c>
    </row>
    <row r="104" spans="6:12" x14ac:dyDescent="0.3">
      <c r="F104" s="50">
        <v>40179</v>
      </c>
      <c r="G104" s="53">
        <v>91.2</v>
      </c>
      <c r="J104" s="54">
        <v>0.46761493687785105</v>
      </c>
      <c r="K104" s="54"/>
      <c r="L104" s="54">
        <v>0.46761493687785105</v>
      </c>
    </row>
    <row r="105" spans="6:12" x14ac:dyDescent="0.3">
      <c r="F105" s="50">
        <v>40210</v>
      </c>
      <c r="G105" s="53">
        <v>89</v>
      </c>
      <c r="J105" s="54">
        <v>-1.7358874635172441</v>
      </c>
      <c r="K105" s="54"/>
      <c r="L105" s="54">
        <v>-1.7358874635172441</v>
      </c>
    </row>
    <row r="106" spans="6:12" x14ac:dyDescent="0.3">
      <c r="F106" s="50">
        <v>40238</v>
      </c>
      <c r="G106" s="53">
        <v>105.1</v>
      </c>
      <c r="J106" s="54">
        <v>14.360610000890119</v>
      </c>
      <c r="K106" s="54"/>
      <c r="L106" s="54">
        <v>14.360610000890119</v>
      </c>
    </row>
    <row r="107" spans="6:12" x14ac:dyDescent="0.3">
      <c r="F107" s="50">
        <v>40269</v>
      </c>
      <c r="G107" s="53">
        <v>99.3</v>
      </c>
      <c r="J107" s="54">
        <v>8.5571073300944676</v>
      </c>
      <c r="K107" s="54"/>
      <c r="L107" s="54">
        <v>8.5571073300944676</v>
      </c>
    </row>
    <row r="108" spans="6:12" x14ac:dyDescent="0.3">
      <c r="F108" s="50">
        <v>40299</v>
      </c>
      <c r="G108" s="53">
        <v>104.3</v>
      </c>
      <c r="J108" s="54">
        <v>13.553604524090758</v>
      </c>
      <c r="K108" s="54"/>
      <c r="L108" s="54">
        <v>13.553604524090758</v>
      </c>
    </row>
    <row r="109" spans="6:12" x14ac:dyDescent="0.3">
      <c r="F109" s="50">
        <v>40330</v>
      </c>
      <c r="G109" s="53">
        <v>102.5</v>
      </c>
      <c r="J109" s="54">
        <v>11.750101582873654</v>
      </c>
      <c r="K109" s="54"/>
      <c r="L109" s="54">
        <v>11.750101582873654</v>
      </c>
    </row>
    <row r="110" spans="6:12" x14ac:dyDescent="0.3">
      <c r="F110" s="50">
        <v>40360</v>
      </c>
      <c r="G110" s="53">
        <v>106.9</v>
      </c>
      <c r="J110" s="54">
        <v>16.146598506437996</v>
      </c>
      <c r="K110" s="54"/>
      <c r="L110" s="54">
        <v>16.146598506437996</v>
      </c>
    </row>
    <row r="111" spans="6:12" x14ac:dyDescent="0.3">
      <c r="F111" s="50">
        <v>40391</v>
      </c>
      <c r="G111" s="53">
        <v>108.1</v>
      </c>
      <c r="J111" s="54">
        <v>17.343095294778522</v>
      </c>
      <c r="K111" s="54"/>
      <c r="L111" s="54">
        <v>17.343095294778522</v>
      </c>
    </row>
    <row r="112" spans="6:12" x14ac:dyDescent="0.3">
      <c r="F112" s="50">
        <v>40422</v>
      </c>
      <c r="G112" s="53">
        <v>105.8</v>
      </c>
      <c r="J112" s="54">
        <v>15.039591947890173</v>
      </c>
      <c r="K112" s="54"/>
      <c r="L112" s="54">
        <v>15.039591947890173</v>
      </c>
    </row>
    <row r="113" spans="6:12" x14ac:dyDescent="0.3">
      <c r="F113" s="50">
        <v>40452</v>
      </c>
      <c r="G113" s="53">
        <v>107.7</v>
      </c>
      <c r="J113" s="54">
        <v>16.936088465767469</v>
      </c>
      <c r="K113" s="54"/>
      <c r="L113" s="54">
        <v>16.936088465767469</v>
      </c>
    </row>
    <row r="114" spans="6:12" x14ac:dyDescent="0.3">
      <c r="F114" s="50">
        <v>40483</v>
      </c>
      <c r="G114" s="53">
        <v>106.8</v>
      </c>
      <c r="J114" s="54">
        <v>16.032584848405463</v>
      </c>
      <c r="K114" s="54"/>
      <c r="L114" s="54">
        <v>16.032584848405463</v>
      </c>
    </row>
    <row r="115" spans="6:12" x14ac:dyDescent="0.3">
      <c r="F115" s="50">
        <v>40513</v>
      </c>
      <c r="G115" s="53">
        <v>96.6</v>
      </c>
      <c r="J115" s="54">
        <v>5.8290810957986849</v>
      </c>
      <c r="K115" s="54"/>
      <c r="L115" s="54">
        <v>5.8290810957986849</v>
      </c>
    </row>
    <row r="116" spans="6:12" x14ac:dyDescent="0.3">
      <c r="F116" s="50">
        <v>40544</v>
      </c>
      <c r="G116" s="53">
        <v>93.2</v>
      </c>
      <c r="J116" s="54">
        <v>2.4255772079420979</v>
      </c>
      <c r="K116" s="54"/>
      <c r="L116" s="54">
        <v>2.4255772079420979</v>
      </c>
    </row>
    <row r="117" spans="6:12" x14ac:dyDescent="0.3">
      <c r="F117" s="50">
        <v>40575</v>
      </c>
      <c r="G117" s="53">
        <v>95.4</v>
      </c>
      <c r="J117" s="54">
        <v>4.6220731848302989</v>
      </c>
      <c r="K117" s="54"/>
      <c r="L117" s="54">
        <v>4.6220731848302989</v>
      </c>
    </row>
    <row r="118" spans="6:12" x14ac:dyDescent="0.3">
      <c r="F118" s="50">
        <v>40603</v>
      </c>
      <c r="G118" s="53">
        <v>104.4</v>
      </c>
      <c r="J118" s="54">
        <v>13.61856902645826</v>
      </c>
      <c r="K118" s="54"/>
      <c r="L118" s="54">
        <v>13.61856902645826</v>
      </c>
    </row>
    <row r="119" spans="6:12" x14ac:dyDescent="0.3">
      <c r="F119" s="50">
        <v>40634</v>
      </c>
      <c r="G119" s="53">
        <v>97.5</v>
      </c>
      <c r="J119" s="54">
        <v>6.7150647328206645</v>
      </c>
      <c r="K119" s="54"/>
      <c r="L119" s="54">
        <v>6.7150647328206645</v>
      </c>
    </row>
    <row r="120" spans="6:12" x14ac:dyDescent="0.3">
      <c r="F120" s="50">
        <v>40664</v>
      </c>
      <c r="G120" s="53">
        <v>107.1</v>
      </c>
      <c r="J120" s="54">
        <v>16.311560303912231</v>
      </c>
      <c r="K120" s="54"/>
      <c r="L120" s="54">
        <v>16.311560303912231</v>
      </c>
    </row>
    <row r="121" spans="6:12" x14ac:dyDescent="0.3">
      <c r="F121" s="50">
        <v>40695</v>
      </c>
      <c r="G121" s="53">
        <v>102.8</v>
      </c>
      <c r="J121" s="54">
        <v>12.008055739727936</v>
      </c>
      <c r="K121" s="54"/>
      <c r="L121" s="54">
        <v>12.008055739727936</v>
      </c>
    </row>
    <row r="122" spans="6:12" x14ac:dyDescent="0.3">
      <c r="F122" s="50">
        <v>40725</v>
      </c>
      <c r="G122" s="53">
        <v>106.1</v>
      </c>
      <c r="J122" s="54">
        <v>15.30455104026224</v>
      </c>
      <c r="K122" s="54"/>
      <c r="L122" s="54">
        <v>15.30455104026224</v>
      </c>
    </row>
    <row r="123" spans="6:12" x14ac:dyDescent="0.3">
      <c r="F123" s="50">
        <v>40756</v>
      </c>
      <c r="G123" s="53">
        <v>110.8</v>
      </c>
      <c r="J123" s="54">
        <v>20.001046205510306</v>
      </c>
      <c r="K123" s="54"/>
      <c r="L123" s="54">
        <v>20.001046205510306</v>
      </c>
    </row>
    <row r="124" spans="6:12" x14ac:dyDescent="0.3">
      <c r="F124" s="50">
        <v>40787</v>
      </c>
      <c r="G124" s="53">
        <v>104.8</v>
      </c>
      <c r="J124" s="54">
        <v>13.997541235466571</v>
      </c>
      <c r="K124" s="54"/>
      <c r="L124" s="54">
        <v>13.997541235466571</v>
      </c>
    </row>
    <row r="125" spans="6:12" x14ac:dyDescent="0.3">
      <c r="F125" s="50">
        <v>40817</v>
      </c>
      <c r="G125" s="53">
        <v>106.3</v>
      </c>
      <c r="J125" s="54">
        <v>15.494036130126048</v>
      </c>
      <c r="K125" s="54"/>
      <c r="L125" s="54">
        <v>15.494036130126048</v>
      </c>
    </row>
    <row r="126" spans="6:12" x14ac:dyDescent="0.3">
      <c r="F126" s="50">
        <v>40848</v>
      </c>
      <c r="G126" s="53">
        <v>104.2</v>
      </c>
      <c r="J126" s="54">
        <v>13.390530889483387</v>
      </c>
      <c r="K126" s="54"/>
      <c r="L126" s="54">
        <v>13.390530889483387</v>
      </c>
    </row>
    <row r="127" spans="6:12" x14ac:dyDescent="0.3">
      <c r="F127" s="50">
        <v>40878</v>
      </c>
      <c r="G127" s="53">
        <v>95.7</v>
      </c>
      <c r="J127" s="54">
        <v>4.8870255135334446</v>
      </c>
      <c r="K127" s="54"/>
      <c r="L127" s="54">
        <v>4.8870255135334446</v>
      </c>
    </row>
    <row r="128" spans="6:12" x14ac:dyDescent="0.3">
      <c r="F128" s="50">
        <v>40909</v>
      </c>
      <c r="G128" s="53">
        <v>88.7</v>
      </c>
      <c r="J128" s="54">
        <v>-2.1164799977290727</v>
      </c>
      <c r="K128" s="54"/>
      <c r="L128" s="54">
        <v>-2.1164799977290727</v>
      </c>
    </row>
    <row r="129" spans="6:12" x14ac:dyDescent="0.3">
      <c r="F129" s="50">
        <v>40940</v>
      </c>
      <c r="G129" s="53">
        <v>89.8</v>
      </c>
      <c r="J129" s="54">
        <v>-1.0199856443093438</v>
      </c>
      <c r="K129" s="54"/>
      <c r="L129" s="54">
        <v>-1.0199856443093438</v>
      </c>
    </row>
    <row r="130" spans="6:12" x14ac:dyDescent="0.3">
      <c r="F130" s="50">
        <v>40969</v>
      </c>
      <c r="G130" s="53">
        <v>99.7</v>
      </c>
      <c r="J130" s="54">
        <v>8.8765085737872909</v>
      </c>
      <c r="K130" s="54"/>
      <c r="L130" s="54">
        <v>8.8765085737872909</v>
      </c>
    </row>
    <row r="131" spans="6:12" x14ac:dyDescent="0.3">
      <c r="F131" s="50">
        <v>41000</v>
      </c>
      <c r="G131" s="53">
        <v>92.8</v>
      </c>
      <c r="J131" s="54">
        <v>1.9730026565558489</v>
      </c>
      <c r="K131" s="54"/>
      <c r="L131" s="54">
        <v>1.9730026565558489</v>
      </c>
    </row>
    <row r="132" spans="6:12" x14ac:dyDescent="0.3">
      <c r="F132" s="50">
        <v>41030</v>
      </c>
      <c r="G132" s="53">
        <v>102.5</v>
      </c>
      <c r="J132" s="54">
        <v>11.669496603990879</v>
      </c>
      <c r="K132" s="54"/>
      <c r="L132" s="54">
        <v>11.669496603990879</v>
      </c>
    </row>
    <row r="133" spans="6:12" x14ac:dyDescent="0.3">
      <c r="F133" s="50">
        <v>41061</v>
      </c>
      <c r="G133" s="53">
        <v>98.3</v>
      </c>
      <c r="J133" s="54">
        <v>7.4659904160872657</v>
      </c>
      <c r="K133" s="54"/>
      <c r="L133" s="54">
        <v>7.4659904160872657</v>
      </c>
    </row>
    <row r="134" spans="6:12" x14ac:dyDescent="0.3">
      <c r="F134" s="50">
        <v>41091</v>
      </c>
      <c r="G134" s="53">
        <v>104.5</v>
      </c>
      <c r="J134" s="54">
        <v>13.662484092839733</v>
      </c>
      <c r="K134" s="54"/>
      <c r="L134" s="54">
        <v>13.662484092839733</v>
      </c>
    </row>
    <row r="135" spans="6:12" x14ac:dyDescent="0.3">
      <c r="F135" s="50">
        <v>41122</v>
      </c>
      <c r="G135" s="53">
        <v>111.5</v>
      </c>
      <c r="J135" s="54">
        <v>20.658977634243172</v>
      </c>
      <c r="K135" s="54"/>
      <c r="L135" s="54">
        <v>20.658977634243172</v>
      </c>
    </row>
    <row r="136" spans="6:12" x14ac:dyDescent="0.3">
      <c r="F136" s="50">
        <v>41153</v>
      </c>
      <c r="G136" s="53">
        <v>103.4</v>
      </c>
      <c r="J136" s="54">
        <v>12.555471040292247</v>
      </c>
      <c r="K136" s="54"/>
      <c r="L136" s="54">
        <v>12.555471040292247</v>
      </c>
    </row>
    <row r="137" spans="6:12" x14ac:dyDescent="0.3">
      <c r="F137" s="50">
        <v>41183</v>
      </c>
      <c r="G137" s="53">
        <v>111.8</v>
      </c>
      <c r="J137" s="54">
        <v>20.951964310981694</v>
      </c>
      <c r="K137" s="54"/>
      <c r="L137" s="54">
        <v>20.951964310981694</v>
      </c>
    </row>
    <row r="138" spans="6:12" x14ac:dyDescent="0.3">
      <c r="F138" s="50">
        <v>41214</v>
      </c>
      <c r="G138" s="53">
        <v>104.8</v>
      </c>
      <c r="J138" s="54">
        <v>13.948457446306406</v>
      </c>
      <c r="K138" s="54"/>
      <c r="L138" s="54">
        <v>13.948457446306406</v>
      </c>
    </row>
    <row r="139" spans="6:12" x14ac:dyDescent="0.3">
      <c r="F139" s="50">
        <v>41244</v>
      </c>
      <c r="G139" s="53">
        <v>92.2</v>
      </c>
      <c r="J139" s="54">
        <v>1.3449504462610662</v>
      </c>
      <c r="K139" s="54"/>
      <c r="L139" s="54">
        <v>1.3449504462610662</v>
      </c>
    </row>
    <row r="140" spans="6:12" x14ac:dyDescent="0.3">
      <c r="F140" s="50">
        <v>41275</v>
      </c>
      <c r="G140" s="53">
        <v>94.5</v>
      </c>
      <c r="J140" s="54">
        <v>3.6414433108405717</v>
      </c>
      <c r="K140" s="54"/>
      <c r="L140" s="54">
        <v>3.6414433108405717</v>
      </c>
    </row>
    <row r="141" spans="6:12" x14ac:dyDescent="0.3">
      <c r="F141" s="50">
        <v>41306</v>
      </c>
      <c r="G141" s="53">
        <v>88.1</v>
      </c>
      <c r="J141" s="54">
        <v>-2.7620639599604857</v>
      </c>
      <c r="K141" s="54"/>
      <c r="L141" s="54">
        <v>-2.7620639599604857</v>
      </c>
    </row>
    <row r="142" spans="6:12" x14ac:dyDescent="0.3">
      <c r="F142" s="50">
        <v>41334</v>
      </c>
      <c r="G142" s="53">
        <v>97.7</v>
      </c>
      <c r="J142" s="54">
        <v>6.8344286338528519</v>
      </c>
      <c r="K142" s="54"/>
      <c r="L142" s="54">
        <v>6.8344286338528519</v>
      </c>
    </row>
    <row r="143" spans="6:12" x14ac:dyDescent="0.3">
      <c r="F143" s="50">
        <v>41365</v>
      </c>
      <c r="G143" s="53">
        <v>101.8</v>
      </c>
      <c r="J143" s="54">
        <v>10.930921092275128</v>
      </c>
      <c r="K143" s="54"/>
      <c r="L143" s="54">
        <v>10.930921092275128</v>
      </c>
    </row>
    <row r="144" spans="6:12" x14ac:dyDescent="0.3">
      <c r="F144" s="50">
        <v>41395</v>
      </c>
      <c r="G144" s="53">
        <v>105</v>
      </c>
      <c r="J144" s="54">
        <v>14.12741341530139</v>
      </c>
      <c r="K144" s="54"/>
      <c r="L144" s="54">
        <v>14.12741341530139</v>
      </c>
    </row>
    <row r="145" spans="6:12" x14ac:dyDescent="0.3">
      <c r="F145" s="50">
        <v>41426</v>
      </c>
      <c r="G145" s="53">
        <v>101.7</v>
      </c>
      <c r="J145" s="54">
        <v>10.823905602926203</v>
      </c>
      <c r="K145" s="54"/>
      <c r="L145" s="54">
        <v>10.823905602926203</v>
      </c>
    </row>
    <row r="146" spans="6:12" x14ac:dyDescent="0.3">
      <c r="F146" s="50">
        <v>41456</v>
      </c>
      <c r="G146" s="53">
        <v>108</v>
      </c>
      <c r="J146" s="54">
        <v>17.120397655144558</v>
      </c>
      <c r="K146" s="54"/>
      <c r="L146" s="54">
        <v>17.120397655144558</v>
      </c>
    </row>
    <row r="147" spans="6:12" x14ac:dyDescent="0.3">
      <c r="F147" s="50">
        <v>41487</v>
      </c>
      <c r="G147" s="53">
        <v>112</v>
      </c>
      <c r="J147" s="54">
        <v>21.116889571950892</v>
      </c>
      <c r="K147" s="54"/>
      <c r="L147" s="54">
        <v>21.116889571950892</v>
      </c>
    </row>
    <row r="148" spans="6:12" x14ac:dyDescent="0.3">
      <c r="F148" s="50">
        <v>41518</v>
      </c>
      <c r="G148" s="53">
        <v>107.3</v>
      </c>
      <c r="J148" s="54">
        <v>16.413381353340341</v>
      </c>
      <c r="K148" s="54"/>
      <c r="L148" s="54">
        <v>16.413381353340341</v>
      </c>
    </row>
    <row r="149" spans="6:12" x14ac:dyDescent="0.3">
      <c r="F149" s="50">
        <v>41548</v>
      </c>
      <c r="G149" s="53">
        <v>112.6</v>
      </c>
      <c r="J149" s="54">
        <v>21.709872999307436</v>
      </c>
      <c r="K149" s="54"/>
      <c r="L149" s="54">
        <v>21.709872999307436</v>
      </c>
    </row>
    <row r="150" spans="6:12" x14ac:dyDescent="0.3">
      <c r="F150" s="50">
        <v>41579</v>
      </c>
      <c r="G150" s="53">
        <v>106.1</v>
      </c>
      <c r="J150" s="54">
        <v>15.20636450984702</v>
      </c>
      <c r="K150" s="54"/>
      <c r="L150" s="54">
        <v>15.20636450984702</v>
      </c>
    </row>
    <row r="151" spans="6:12" x14ac:dyDescent="0.3">
      <c r="F151" s="50">
        <v>41609</v>
      </c>
      <c r="G151" s="53">
        <v>90.1</v>
      </c>
      <c r="J151" s="54">
        <v>-0.79714411504613736</v>
      </c>
      <c r="K151" s="54"/>
      <c r="L151" s="54">
        <v>-0.79714411504613736</v>
      </c>
    </row>
    <row r="152" spans="6:12" x14ac:dyDescent="0.3">
      <c r="F152" s="50">
        <v>41640</v>
      </c>
      <c r="G152" s="53">
        <v>92.6</v>
      </c>
      <c r="J152" s="54">
        <v>1.6993471246228324</v>
      </c>
      <c r="K152" s="54"/>
      <c r="L152" s="54">
        <v>1.6993471246228324</v>
      </c>
    </row>
    <row r="153" spans="6:12" x14ac:dyDescent="0.3">
      <c r="F153" s="50">
        <v>41671</v>
      </c>
      <c r="G153" s="53">
        <v>92.3</v>
      </c>
      <c r="J153" s="54">
        <v>1.395838228848632</v>
      </c>
      <c r="K153" s="54"/>
      <c r="L153" s="54">
        <v>1.395838228848632</v>
      </c>
    </row>
    <row r="154" spans="6:12" x14ac:dyDescent="0.3">
      <c r="F154" s="50">
        <v>41699</v>
      </c>
      <c r="G154" s="53">
        <v>97.3</v>
      </c>
      <c r="J154" s="54">
        <v>6.392329197625827</v>
      </c>
      <c r="K154" s="54"/>
      <c r="L154" s="54">
        <v>6.392329197625827</v>
      </c>
    </row>
    <row r="155" spans="6:12" x14ac:dyDescent="0.3">
      <c r="F155" s="50">
        <v>41730</v>
      </c>
      <c r="G155" s="53">
        <v>96</v>
      </c>
      <c r="J155" s="54">
        <v>5.0888200309495488</v>
      </c>
      <c r="K155" s="54"/>
      <c r="L155" s="54">
        <v>5.0888200309495488</v>
      </c>
    </row>
    <row r="156" spans="6:12" x14ac:dyDescent="0.3">
      <c r="F156" s="50">
        <v>41760</v>
      </c>
      <c r="G156" s="53">
        <v>101.7</v>
      </c>
      <c r="J156" s="54">
        <v>10.785310728814281</v>
      </c>
      <c r="K156" s="54"/>
      <c r="L156" s="54">
        <v>10.785310728814281</v>
      </c>
    </row>
    <row r="157" spans="6:12" x14ac:dyDescent="0.3">
      <c r="F157" s="50">
        <v>41791</v>
      </c>
      <c r="G157" s="53">
        <v>94.9</v>
      </c>
      <c r="J157" s="54">
        <v>3.9818012912150209</v>
      </c>
      <c r="K157" s="54"/>
      <c r="L157" s="54">
        <v>3.9818012912150209</v>
      </c>
    </row>
    <row r="158" spans="6:12" x14ac:dyDescent="0.3">
      <c r="F158" s="50">
        <v>41821</v>
      </c>
      <c r="G158" s="53">
        <v>104.4</v>
      </c>
      <c r="J158" s="54">
        <v>13.478291718146352</v>
      </c>
      <c r="K158" s="54"/>
      <c r="L158" s="54">
        <v>13.478291718146352</v>
      </c>
    </row>
    <row r="159" spans="6:12" x14ac:dyDescent="0.3">
      <c r="F159" s="50">
        <v>41852</v>
      </c>
      <c r="G159" s="53">
        <v>106.3</v>
      </c>
      <c r="J159" s="54">
        <v>15.374782009603109</v>
      </c>
      <c r="K159" s="54"/>
      <c r="L159" s="54">
        <v>15.374782009603109</v>
      </c>
    </row>
    <row r="160" spans="6:12" x14ac:dyDescent="0.3">
      <c r="F160" s="50">
        <v>41883</v>
      </c>
      <c r="G160" s="53">
        <v>105.6</v>
      </c>
      <c r="J160" s="54">
        <v>14.671272165580092</v>
      </c>
      <c r="K160" s="54"/>
      <c r="L160" s="54">
        <v>14.671272165580092</v>
      </c>
    </row>
    <row r="161" spans="6:12" x14ac:dyDescent="0.3">
      <c r="F161" s="50">
        <v>41913</v>
      </c>
      <c r="G161" s="53">
        <v>109.3</v>
      </c>
      <c r="J161" s="54">
        <v>18.367762186072127</v>
      </c>
      <c r="K161" s="54"/>
      <c r="L161" s="54">
        <v>18.367762186072127</v>
      </c>
    </row>
    <row r="162" spans="6:12" x14ac:dyDescent="0.3">
      <c r="F162" s="50">
        <v>41944</v>
      </c>
      <c r="G162" s="53">
        <v>99.8</v>
      </c>
      <c r="J162" s="54">
        <v>8.8642520710737926</v>
      </c>
      <c r="K162" s="54"/>
      <c r="L162" s="54">
        <v>8.8642520710737926</v>
      </c>
    </row>
    <row r="163" spans="6:12" x14ac:dyDescent="0.3">
      <c r="F163" s="50">
        <v>41974</v>
      </c>
      <c r="G163" s="53">
        <v>87.7</v>
      </c>
      <c r="J163" s="54">
        <v>-3.2392581794199486</v>
      </c>
      <c r="K163" s="54"/>
      <c r="L163" s="54">
        <v>-3.2392581794199486</v>
      </c>
    </row>
    <row r="164" spans="6:12" x14ac:dyDescent="0.3">
      <c r="F164" s="50">
        <v>42005</v>
      </c>
      <c r="G164" s="53">
        <v>88.1</v>
      </c>
      <c r="J164" s="54">
        <v>-2.842768565414417</v>
      </c>
      <c r="K164" s="54"/>
      <c r="L164" s="54">
        <v>-2.842768565414417</v>
      </c>
    </row>
    <row r="165" spans="6:12" x14ac:dyDescent="0.3">
      <c r="F165" s="50">
        <v>42036</v>
      </c>
      <c r="G165" s="53">
        <v>83.7</v>
      </c>
      <c r="J165" s="54">
        <v>-7.2462790869148108</v>
      </c>
      <c r="K165" s="54"/>
      <c r="L165" s="54">
        <v>-7.2462790869148108</v>
      </c>
    </row>
    <row r="166" spans="6:12" x14ac:dyDescent="0.3">
      <c r="F166" s="50">
        <v>42064</v>
      </c>
      <c r="G166" s="53">
        <v>94.3</v>
      </c>
      <c r="J166" s="54">
        <v>3.3502102560735665</v>
      </c>
      <c r="K166" s="54"/>
      <c r="L166" s="54">
        <v>3.3502102560735665</v>
      </c>
    </row>
    <row r="167" spans="6:12" x14ac:dyDescent="0.3">
      <c r="F167" s="50">
        <v>42095</v>
      </c>
      <c r="G167" s="53">
        <v>88.8</v>
      </c>
      <c r="J167" s="54">
        <v>-2.1533005364543953</v>
      </c>
      <c r="K167" s="54"/>
      <c r="L167" s="54">
        <v>-2.1533005364543953</v>
      </c>
    </row>
    <row r="168" spans="6:12" x14ac:dyDescent="0.3">
      <c r="F168" s="50">
        <v>42125</v>
      </c>
      <c r="G168" s="53">
        <v>93.1</v>
      </c>
      <c r="J168" s="54">
        <v>2.1431885354960372</v>
      </c>
      <c r="K168" s="54"/>
      <c r="L168" s="54">
        <v>2.1431885354960372</v>
      </c>
    </row>
    <row r="169" spans="6:12" x14ac:dyDescent="0.3">
      <c r="F169" s="50">
        <v>42156</v>
      </c>
      <c r="G169" s="53">
        <v>92.5</v>
      </c>
      <c r="J169" s="54">
        <v>1.5396774719195605</v>
      </c>
      <c r="K169" s="54"/>
      <c r="L169" s="54">
        <v>1.5396774719195605</v>
      </c>
    </row>
    <row r="170" spans="6:12" x14ac:dyDescent="0.3">
      <c r="F170" s="50">
        <v>42186</v>
      </c>
      <c r="G170" s="53">
        <v>95.5</v>
      </c>
      <c r="J170" s="54">
        <v>4.5361662728109735</v>
      </c>
      <c r="K170" s="54"/>
      <c r="L170" s="54">
        <v>4.5361662728109735</v>
      </c>
    </row>
    <row r="171" spans="6:12" x14ac:dyDescent="0.3">
      <c r="F171" s="50">
        <v>42217</v>
      </c>
      <c r="G171" s="53">
        <v>97.6</v>
      </c>
      <c r="J171" s="54">
        <v>6.6326549381650324</v>
      </c>
      <c r="K171" s="54"/>
      <c r="L171" s="54">
        <v>6.6326549381650324</v>
      </c>
    </row>
    <row r="172" spans="6:12" x14ac:dyDescent="0.3">
      <c r="F172" s="50">
        <v>42248</v>
      </c>
      <c r="G172" s="53">
        <v>94.3</v>
      </c>
      <c r="J172" s="54">
        <v>3.3291434679765644</v>
      </c>
      <c r="K172" s="54"/>
      <c r="L172" s="54">
        <v>3.3291434679765644</v>
      </c>
    </row>
    <row r="173" spans="6:12" x14ac:dyDescent="0.3">
      <c r="F173" s="50">
        <v>42278</v>
      </c>
      <c r="G173" s="53">
        <v>97.2</v>
      </c>
      <c r="J173" s="54">
        <v>6.2256318622402347</v>
      </c>
      <c r="K173" s="54"/>
      <c r="L173" s="54">
        <v>6.2256318622402347</v>
      </c>
    </row>
    <row r="174" spans="6:12" x14ac:dyDescent="0.3">
      <c r="F174" s="50">
        <v>42309</v>
      </c>
      <c r="G174" s="53">
        <v>87.6</v>
      </c>
      <c r="J174" s="54">
        <v>-3.3778798790489901</v>
      </c>
      <c r="K174" s="54"/>
      <c r="L174" s="54">
        <v>-3.3778798790489901</v>
      </c>
    </row>
    <row r="175" spans="6:12" x14ac:dyDescent="0.3">
      <c r="F175" s="50">
        <v>42339</v>
      </c>
      <c r="G175" s="53">
        <v>77.2</v>
      </c>
      <c r="J175" s="54">
        <v>-13.781391755896578</v>
      </c>
      <c r="K175" s="54"/>
      <c r="L175" s="54">
        <v>-13.781391755896578</v>
      </c>
    </row>
    <row r="176" spans="6:12" x14ac:dyDescent="0.3">
      <c r="F176" s="50">
        <v>42370</v>
      </c>
      <c r="G176" s="53">
        <v>76.3</v>
      </c>
      <c r="J176" s="54">
        <v>-14.68490376830762</v>
      </c>
      <c r="K176" s="54"/>
      <c r="L176" s="54">
        <v>-14.68490376830762</v>
      </c>
    </row>
    <row r="177" spans="6:12" x14ac:dyDescent="0.3">
      <c r="F177" s="50">
        <v>42401</v>
      </c>
      <c r="G177" s="53">
        <v>75.8</v>
      </c>
      <c r="J177" s="54">
        <v>-15.188415916287411</v>
      </c>
      <c r="K177" s="54"/>
      <c r="L177" s="54">
        <v>-15.188415916287411</v>
      </c>
    </row>
    <row r="178" spans="6:12" x14ac:dyDescent="0.3">
      <c r="F178" s="50">
        <v>42430</v>
      </c>
      <c r="G178" s="53">
        <v>83.7</v>
      </c>
      <c r="J178" s="54">
        <v>-7.2919281998410952</v>
      </c>
      <c r="K178" s="54"/>
      <c r="L178" s="54">
        <v>-7.2919281998410952</v>
      </c>
    </row>
    <row r="179" spans="6:12" x14ac:dyDescent="0.3">
      <c r="F179" s="50">
        <v>42461</v>
      </c>
      <c r="G179" s="53">
        <v>83</v>
      </c>
      <c r="J179" s="54">
        <v>-7.9954406189740155</v>
      </c>
      <c r="K179" s="54"/>
      <c r="L179" s="54">
        <v>-7.9954406189740155</v>
      </c>
    </row>
    <row r="180" spans="6:12" x14ac:dyDescent="0.3">
      <c r="F180" s="50">
        <v>42491</v>
      </c>
      <c r="G180" s="53">
        <v>86.3</v>
      </c>
      <c r="J180" s="54">
        <v>-4.698953173691379</v>
      </c>
      <c r="K180" s="54"/>
      <c r="L180" s="54">
        <v>-4.698953173691379</v>
      </c>
    </row>
    <row r="181" spans="6:12" x14ac:dyDescent="0.3">
      <c r="F181" s="50">
        <v>42522</v>
      </c>
      <c r="G181" s="53">
        <v>87.7</v>
      </c>
      <c r="J181" s="54">
        <v>-3.3024658639984068</v>
      </c>
      <c r="K181" s="54"/>
      <c r="L181" s="54">
        <v>-3.3024658639984068</v>
      </c>
    </row>
    <row r="182" spans="6:12" x14ac:dyDescent="0.3">
      <c r="F182" s="50">
        <v>42552</v>
      </c>
      <c r="G182" s="53">
        <v>89.6</v>
      </c>
      <c r="J182" s="54">
        <v>-1.405978689900266</v>
      </c>
      <c r="K182" s="54"/>
      <c r="L182" s="54">
        <v>-1.405978689900266</v>
      </c>
    </row>
    <row r="183" spans="6:12" x14ac:dyDescent="0.3">
      <c r="F183" s="50">
        <v>42583</v>
      </c>
      <c r="G183" s="53">
        <v>93</v>
      </c>
      <c r="J183" s="54">
        <v>1.9905083485978281</v>
      </c>
      <c r="K183" s="54"/>
      <c r="L183" s="54">
        <v>1.9905083485978281</v>
      </c>
    </row>
    <row r="184" spans="6:12" x14ac:dyDescent="0.3">
      <c r="F184" s="50">
        <v>42614</v>
      </c>
      <c r="G184" s="53">
        <v>90.7</v>
      </c>
      <c r="J184" s="54">
        <v>-0.31300474850959858</v>
      </c>
      <c r="K184" s="54"/>
      <c r="L184" s="54">
        <v>-0.31300474850959858</v>
      </c>
    </row>
    <row r="185" spans="6:12" x14ac:dyDescent="0.3">
      <c r="F185" s="50">
        <v>42644</v>
      </c>
      <c r="G185" s="53">
        <v>90.2</v>
      </c>
      <c r="J185" s="54">
        <v>-0.81651798122753405</v>
      </c>
      <c r="K185" s="54"/>
      <c r="L185" s="54">
        <v>-0.81651798122753405</v>
      </c>
    </row>
    <row r="186" spans="6:12" x14ac:dyDescent="0.3">
      <c r="F186" s="50">
        <v>42675</v>
      </c>
      <c r="G186" s="53">
        <v>86.5</v>
      </c>
      <c r="J186" s="54">
        <v>-4.5200313495613642</v>
      </c>
      <c r="K186" s="54"/>
      <c r="L186" s="54">
        <v>-4.5200313495613642</v>
      </c>
    </row>
    <row r="187" spans="6:12" x14ac:dyDescent="0.3">
      <c r="F187" s="50">
        <v>42705</v>
      </c>
      <c r="G187" s="53">
        <v>77.2</v>
      </c>
      <c r="J187" s="54">
        <v>-13.823544853516211</v>
      </c>
      <c r="K187" s="54"/>
      <c r="L187" s="54">
        <v>-13.823544853516211</v>
      </c>
    </row>
    <row r="188" spans="6:12" x14ac:dyDescent="0.3">
      <c r="F188" s="50">
        <v>42736</v>
      </c>
      <c r="G188" s="53">
        <v>77.900000000000006</v>
      </c>
      <c r="J188" s="54">
        <v>-13.127058493097437</v>
      </c>
      <c r="K188" s="54"/>
      <c r="L188" s="54">
        <v>-13.127058493097437</v>
      </c>
    </row>
    <row r="189" spans="6:12" x14ac:dyDescent="0.3">
      <c r="F189" s="50">
        <v>42767</v>
      </c>
      <c r="G189" s="53">
        <v>75.900000000000006</v>
      </c>
      <c r="J189" s="54">
        <v>-15.130572268310061</v>
      </c>
      <c r="K189" s="54"/>
      <c r="L189" s="54">
        <v>-15.130572268310061</v>
      </c>
    </row>
    <row r="190" spans="6:12" x14ac:dyDescent="0.3">
      <c r="F190" s="50">
        <v>42795</v>
      </c>
      <c r="G190" s="53">
        <v>85.4</v>
      </c>
      <c r="J190" s="54">
        <v>-5.6340861791595813</v>
      </c>
      <c r="K190" s="54"/>
      <c r="L190" s="54">
        <v>-5.6340861791595813</v>
      </c>
    </row>
    <row r="191" spans="6:12" x14ac:dyDescent="0.3">
      <c r="F191" s="50">
        <v>42826</v>
      </c>
      <c r="G191" s="53">
        <v>79.3</v>
      </c>
      <c r="J191" s="54">
        <v>-11.737600225650993</v>
      </c>
      <c r="K191" s="54"/>
      <c r="L191" s="54">
        <v>-11.737600225650993</v>
      </c>
    </row>
    <row r="192" spans="6:12" x14ac:dyDescent="0.3">
      <c r="F192" s="50">
        <v>42856</v>
      </c>
      <c r="G192" s="53">
        <v>90.1</v>
      </c>
      <c r="J192" s="54">
        <v>-0.94111440778981148</v>
      </c>
      <c r="K192" s="54"/>
      <c r="L192" s="54">
        <v>-0.94111440778981148</v>
      </c>
    </row>
    <row r="193" spans="6:12" x14ac:dyDescent="0.3">
      <c r="F193" s="50">
        <v>42887</v>
      </c>
      <c r="G193" s="53">
        <v>88.4</v>
      </c>
      <c r="J193" s="54">
        <v>-2.6446287255808869</v>
      </c>
      <c r="K193" s="54"/>
      <c r="L193" s="54">
        <v>-2.6446287255808869</v>
      </c>
    </row>
    <row r="194" spans="6:12" x14ac:dyDescent="0.3">
      <c r="F194" s="50">
        <v>42917</v>
      </c>
      <c r="G194" s="53">
        <v>92.1</v>
      </c>
      <c r="J194" s="54">
        <v>1.0518568209701016</v>
      </c>
      <c r="K194" s="54"/>
      <c r="L194" s="54">
        <v>1.0518568209701016</v>
      </c>
    </row>
    <row r="195" spans="6:12" x14ac:dyDescent="0.3">
      <c r="F195" s="50">
        <v>42948</v>
      </c>
      <c r="G195" s="53">
        <v>96.7</v>
      </c>
      <c r="J195" s="54">
        <v>5.6483422318582512</v>
      </c>
      <c r="K195" s="54"/>
      <c r="L195" s="54">
        <v>5.6483422318582512</v>
      </c>
    </row>
    <row r="196" spans="6:12" x14ac:dyDescent="0.3">
      <c r="F196" s="50">
        <v>42979</v>
      </c>
      <c r="G196" s="53">
        <v>93</v>
      </c>
      <c r="J196" s="54">
        <v>1.9448275070782302</v>
      </c>
      <c r="K196" s="54"/>
      <c r="L196" s="54">
        <v>1.9448275070782302</v>
      </c>
    </row>
    <row r="197" spans="6:12" x14ac:dyDescent="0.3">
      <c r="F197" s="50">
        <v>43009</v>
      </c>
      <c r="G197" s="53">
        <v>95.1</v>
      </c>
      <c r="J197" s="54">
        <v>4.0413126466247462</v>
      </c>
      <c r="K197" s="54"/>
      <c r="L197" s="54">
        <v>4.0413126466247462</v>
      </c>
    </row>
    <row r="198" spans="6:12" x14ac:dyDescent="0.3">
      <c r="F198" s="50">
        <v>43040</v>
      </c>
      <c r="G198" s="53">
        <v>90.6</v>
      </c>
      <c r="J198" s="54">
        <v>-0.46220234950740746</v>
      </c>
      <c r="K198" s="54"/>
      <c r="L198" s="54">
        <v>-0.46220234950740746</v>
      </c>
    </row>
    <row r="199" spans="6:12" x14ac:dyDescent="0.3">
      <c r="F199" s="50">
        <v>43070</v>
      </c>
      <c r="G199" s="53">
        <v>81</v>
      </c>
      <c r="J199" s="54">
        <v>-10.065717481323375</v>
      </c>
      <c r="K199" s="54"/>
      <c r="L199" s="54">
        <v>-10.065717481323375</v>
      </c>
    </row>
    <row r="200" spans="6:12" x14ac:dyDescent="0.3">
      <c r="F200" s="50">
        <v>43101</v>
      </c>
      <c r="G200" s="53">
        <v>82.3</v>
      </c>
      <c r="J200" s="54">
        <v>-8.7692327488285571</v>
      </c>
      <c r="K200" s="54"/>
      <c r="L200" s="54">
        <v>-8.7692327488285571</v>
      </c>
    </row>
    <row r="201" spans="6:12" x14ac:dyDescent="0.3">
      <c r="F201" s="50">
        <v>43132</v>
      </c>
      <c r="G201" s="53">
        <v>77.3</v>
      </c>
      <c r="J201" s="54">
        <v>-13.772748152028115</v>
      </c>
      <c r="K201" s="54"/>
      <c r="L201" s="54">
        <v>-13.772748152028115</v>
      </c>
    </row>
    <row r="202" spans="6:12" x14ac:dyDescent="0.3">
      <c r="F202" s="50">
        <v>43160</v>
      </c>
      <c r="G202" s="53">
        <v>86.2</v>
      </c>
      <c r="J202" s="54">
        <v>-4.8762636909272175</v>
      </c>
      <c r="K202" s="54"/>
      <c r="L202" s="54">
        <v>-4.8762636909272175</v>
      </c>
    </row>
    <row r="203" spans="6:12" x14ac:dyDescent="0.3">
      <c r="F203" s="50">
        <v>43191</v>
      </c>
      <c r="G203" s="53">
        <v>86.5</v>
      </c>
      <c r="J203" s="54">
        <v>-4.5797793655312802</v>
      </c>
      <c r="K203" s="54"/>
      <c r="L203" s="54">
        <v>-4.5797793655312802</v>
      </c>
    </row>
    <row r="204" spans="6:12" x14ac:dyDescent="0.3">
      <c r="F204" s="50">
        <v>43221</v>
      </c>
      <c r="G204" s="53">
        <v>84.4</v>
      </c>
      <c r="J204" s="54">
        <v>-6.6832951758453731</v>
      </c>
      <c r="K204" s="54"/>
      <c r="L204" s="54">
        <v>-6.6832951758453731</v>
      </c>
    </row>
    <row r="205" spans="6:12" x14ac:dyDescent="0.3">
      <c r="F205" s="50">
        <v>43252</v>
      </c>
      <c r="G205" s="53">
        <v>91.1</v>
      </c>
      <c r="J205" s="54">
        <v>1.3188878125120596E-2</v>
      </c>
      <c r="K205" s="54"/>
      <c r="L205" s="54">
        <v>1.3188878125120596E-2</v>
      </c>
    </row>
    <row r="206" spans="6:12" x14ac:dyDescent="0.3">
      <c r="F206" s="50">
        <v>43282</v>
      </c>
      <c r="G206" s="53">
        <v>95.8</v>
      </c>
      <c r="J206" s="54">
        <v>4.7096727963751448</v>
      </c>
      <c r="K206" s="54"/>
      <c r="L206" s="54">
        <v>4.7096727963751448</v>
      </c>
    </row>
    <row r="207" spans="6:12" x14ac:dyDescent="0.3">
      <c r="F207" s="50">
        <v>43313</v>
      </c>
      <c r="G207" s="53">
        <v>98.2</v>
      </c>
      <c r="J207" s="54">
        <v>7.1061565788993022</v>
      </c>
      <c r="K207" s="54"/>
      <c r="L207" s="54">
        <v>7.1061565788993022</v>
      </c>
    </row>
    <row r="208" spans="6:12" x14ac:dyDescent="0.3">
      <c r="F208" s="50">
        <v>43344</v>
      </c>
      <c r="G208" s="53">
        <v>90.7</v>
      </c>
      <c r="J208" s="54">
        <v>-0.3973597743074464</v>
      </c>
      <c r="K208" s="54"/>
      <c r="L208" s="54">
        <v>-0.3973597743074464</v>
      </c>
    </row>
    <row r="209" spans="6:12" x14ac:dyDescent="0.3">
      <c r="F209" s="50">
        <v>43374</v>
      </c>
      <c r="G209" s="53">
        <v>95.8</v>
      </c>
      <c r="J209" s="54">
        <v>4.6991237367493142</v>
      </c>
      <c r="K209" s="54"/>
      <c r="L209" s="54">
        <v>4.6991237367493142</v>
      </c>
    </row>
    <row r="210" spans="6:12" x14ac:dyDescent="0.3">
      <c r="F210" s="50">
        <v>43405</v>
      </c>
      <c r="G210" s="53">
        <v>89.5</v>
      </c>
      <c r="J210" s="54">
        <v>-1.6043928879352762</v>
      </c>
      <c r="K210" s="54"/>
      <c r="L210" s="54">
        <v>-1.6043928879352762</v>
      </c>
    </row>
    <row r="211" spans="6:12" x14ac:dyDescent="0.3">
      <c r="F211" s="50">
        <v>43435</v>
      </c>
      <c r="G211" s="53">
        <v>78</v>
      </c>
      <c r="J211" s="54">
        <v>-13.107909648366729</v>
      </c>
      <c r="K211" s="54"/>
      <c r="L211" s="54">
        <v>-13.107909648366729</v>
      </c>
    </row>
    <row r="212" spans="6:12" x14ac:dyDescent="0.3">
      <c r="F212" s="50">
        <v>43466</v>
      </c>
      <c r="G212" s="53">
        <v>80.7</v>
      </c>
      <c r="J212" s="54">
        <v>-10.41142654455011</v>
      </c>
      <c r="K212" s="54"/>
      <c r="L212" s="54">
        <v>-10.41142654455011</v>
      </c>
    </row>
    <row r="213" spans="6:12" x14ac:dyDescent="0.3">
      <c r="F213" s="50">
        <v>43497</v>
      </c>
      <c r="G213" s="53">
        <v>79.099999999999994</v>
      </c>
      <c r="J213" s="54">
        <v>-12.014943576490822</v>
      </c>
      <c r="K213" s="54"/>
      <c r="L213" s="54">
        <v>-12.014943576490822</v>
      </c>
    </row>
    <row r="214" spans="6:12" x14ac:dyDescent="0.3">
      <c r="F214" s="50">
        <v>43525</v>
      </c>
      <c r="G214" s="53">
        <v>81</v>
      </c>
      <c r="J214" s="54">
        <v>-10.118460744193925</v>
      </c>
      <c r="K214" s="54"/>
      <c r="L214" s="54">
        <v>-10.118460744193925</v>
      </c>
    </row>
    <row r="215" spans="6:12" x14ac:dyDescent="0.3">
      <c r="F215" s="50">
        <v>43556</v>
      </c>
      <c r="G215" s="53">
        <v>83.3</v>
      </c>
      <c r="J215" s="54">
        <v>-7.8219780476648708</v>
      </c>
      <c r="K215" s="54"/>
      <c r="L215" s="54">
        <v>-7.8219780476648708</v>
      </c>
    </row>
    <row r="216" spans="6:12" x14ac:dyDescent="0.3">
      <c r="F216" s="50">
        <v>43586</v>
      </c>
      <c r="G216" s="53">
        <v>91</v>
      </c>
      <c r="J216" s="54">
        <v>-0.12549548690871859</v>
      </c>
      <c r="K216" s="54"/>
      <c r="L216" s="54">
        <v>-0.12549548690871859</v>
      </c>
    </row>
    <row r="217" spans="6:12" x14ac:dyDescent="0.3">
      <c r="F217" s="50">
        <v>43617</v>
      </c>
      <c r="G217" s="53">
        <v>85.8</v>
      </c>
      <c r="J217" s="54">
        <v>-5.3290130619307234</v>
      </c>
      <c r="K217" s="54"/>
      <c r="L217" s="54">
        <v>-5.3290130619307234</v>
      </c>
    </row>
    <row r="218" spans="6:12" x14ac:dyDescent="0.3">
      <c r="F218" s="50">
        <v>43647</v>
      </c>
      <c r="G218" s="53">
        <v>93.4</v>
      </c>
      <c r="J218" s="54">
        <v>2.2674692272637458</v>
      </c>
      <c r="K218" s="54"/>
      <c r="L218" s="54">
        <v>2.2674692272637458</v>
      </c>
    </row>
    <row r="219" spans="6:12" x14ac:dyDescent="0.3">
      <c r="F219" s="50">
        <v>43678</v>
      </c>
      <c r="G219" s="53">
        <v>96.2</v>
      </c>
      <c r="J219" s="54">
        <v>5.0639513806695646</v>
      </c>
      <c r="K219" s="54"/>
      <c r="L219" s="54">
        <v>5.0639513806695646</v>
      </c>
    </row>
    <row r="220" spans="6:12" x14ac:dyDescent="0.3">
      <c r="F220" s="50">
        <v>43709</v>
      </c>
      <c r="G220" s="53">
        <v>91.8</v>
      </c>
      <c r="J220" s="54">
        <v>0.66043339828141256</v>
      </c>
      <c r="K220" s="54"/>
      <c r="L220" s="54">
        <v>0.66043339828141256</v>
      </c>
    </row>
    <row r="221" spans="6:12" x14ac:dyDescent="0.3">
      <c r="F221" s="50">
        <v>43739</v>
      </c>
      <c r="G221" s="53">
        <v>97</v>
      </c>
      <c r="J221" s="54">
        <v>5.8569152800941566</v>
      </c>
      <c r="K221" s="54"/>
      <c r="L221" s="54">
        <v>5.8569152800941566</v>
      </c>
    </row>
    <row r="222" spans="6:12" x14ac:dyDescent="0.3">
      <c r="F222" s="50">
        <v>43770</v>
      </c>
      <c r="G222" s="53">
        <v>88</v>
      </c>
      <c r="J222" s="54">
        <v>-3.146602973897572</v>
      </c>
      <c r="K222" s="54"/>
      <c r="L222" s="54">
        <v>-3.146602973897572</v>
      </c>
    </row>
    <row r="223" spans="6:12" x14ac:dyDescent="0.3">
      <c r="F223" s="50">
        <v>43800</v>
      </c>
      <c r="G223" s="53">
        <v>76.900000000000006</v>
      </c>
      <c r="J223" s="54">
        <v>-14.250121363698909</v>
      </c>
      <c r="K223" s="54"/>
      <c r="L223" s="54">
        <v>-14.250121363698909</v>
      </c>
    </row>
    <row r="224" spans="6:12" x14ac:dyDescent="0.3">
      <c r="F224" s="50">
        <v>43831</v>
      </c>
      <c r="G224" s="53">
        <v>80</v>
      </c>
      <c r="J224" s="54">
        <v>-11.153639889315286</v>
      </c>
      <c r="K224" s="54"/>
      <c r="L224" s="54">
        <v>-11.153639889315286</v>
      </c>
    </row>
    <row r="225" spans="6:12" x14ac:dyDescent="0.3">
      <c r="F225" s="50">
        <v>43862</v>
      </c>
      <c r="G225" s="53">
        <v>78.900000000000006</v>
      </c>
      <c r="J225" s="54">
        <v>-12.257158550751612</v>
      </c>
      <c r="K225" s="54"/>
      <c r="L225" s="54">
        <v>-12.257158550751612</v>
      </c>
    </row>
    <row r="226" spans="6:12" x14ac:dyDescent="0.3">
      <c r="F226" s="50">
        <v>43891</v>
      </c>
      <c r="G226" s="53">
        <v>77.900000000000006</v>
      </c>
      <c r="J226" s="54">
        <v>-13.260677348013502</v>
      </c>
      <c r="K226" s="54"/>
      <c r="L226" s="54">
        <v>-13.260677348013502</v>
      </c>
    </row>
    <row r="227" spans="6:12" x14ac:dyDescent="0.3">
      <c r="F227" s="50">
        <v>43922</v>
      </c>
      <c r="G227" s="53">
        <v>60.3</v>
      </c>
      <c r="J227" s="54">
        <v>-30.864196281105869</v>
      </c>
      <c r="K227" s="54"/>
      <c r="L227" s="54">
        <v>-30.864196281105869</v>
      </c>
    </row>
    <row r="228" spans="6:12" x14ac:dyDescent="0.3">
      <c r="F228" s="50">
        <v>43952</v>
      </c>
      <c r="G228" s="53">
        <v>71.2</v>
      </c>
      <c r="J228" s="54">
        <v>-19.967715350034226</v>
      </c>
      <c r="K228" s="54"/>
      <c r="L228" s="54">
        <v>-19.967715350034226</v>
      </c>
    </row>
    <row r="229" spans="6:12" x14ac:dyDescent="0.3">
      <c r="F229" s="50">
        <v>43983</v>
      </c>
      <c r="G229" s="53">
        <v>78.400000000000006</v>
      </c>
      <c r="J229" s="54">
        <v>-12.771234554803556</v>
      </c>
      <c r="K229" s="54"/>
      <c r="L229" s="54">
        <v>-12.771234554803556</v>
      </c>
    </row>
    <row r="230" spans="6:12" x14ac:dyDescent="0.3">
      <c r="F230" s="50">
        <v>44013</v>
      </c>
      <c r="G230" s="53">
        <v>91</v>
      </c>
      <c r="J230" s="54">
        <v>-0.17475389541944253</v>
      </c>
      <c r="K230" s="54"/>
      <c r="L230" s="54">
        <v>-0.17475389541944253</v>
      </c>
    </row>
    <row r="231" spans="6:12" x14ac:dyDescent="0.3">
      <c r="F231" s="50">
        <v>44044</v>
      </c>
      <c r="G231" s="53">
        <v>93.9</v>
      </c>
      <c r="J231" s="54">
        <v>2.7217266281132169</v>
      </c>
      <c r="K231" s="54"/>
      <c r="L231" s="54">
        <v>2.7217266281132169</v>
      </c>
    </row>
    <row r="232" spans="6:12" x14ac:dyDescent="0.3">
      <c r="F232" s="50">
        <v>44075</v>
      </c>
      <c r="G232" s="53">
        <v>95.4</v>
      </c>
      <c r="J232" s="54">
        <v>4.2182070157890763</v>
      </c>
      <c r="K232" s="54"/>
      <c r="L232" s="54">
        <v>4.2182070157890763</v>
      </c>
    </row>
    <row r="233" spans="6:12" x14ac:dyDescent="0.3">
      <c r="F233" s="50">
        <v>44105</v>
      </c>
      <c r="G233" s="53">
        <v>97.3</v>
      </c>
      <c r="J233" s="54">
        <v>6.1146872676026618</v>
      </c>
      <c r="K233" s="54"/>
      <c r="L233" s="54">
        <v>6.1146872676026618</v>
      </c>
    </row>
    <row r="234" spans="6:12" x14ac:dyDescent="0.3">
      <c r="F234" s="50">
        <v>44136</v>
      </c>
      <c r="G234" s="53">
        <v>90.2</v>
      </c>
      <c r="J234" s="54">
        <v>-0.9888326164509067</v>
      </c>
      <c r="K234" s="54"/>
      <c r="L234" s="54">
        <v>-0.9888326164509067</v>
      </c>
    </row>
    <row r="235" spans="6:12" x14ac:dyDescent="0.3">
      <c r="F235" s="50">
        <v>44166</v>
      </c>
      <c r="G235" s="53">
        <v>83.3</v>
      </c>
      <c r="J235" s="54">
        <v>-7.892352636377197</v>
      </c>
      <c r="K235" s="54"/>
      <c r="L235" s="54">
        <v>-7.892352636377197</v>
      </c>
    </row>
    <row r="236" spans="6:12" x14ac:dyDescent="0.3">
      <c r="F236" s="50">
        <v>44197</v>
      </c>
      <c r="G236" s="53">
        <v>81.900000000000006</v>
      </c>
      <c r="J236" s="54">
        <v>-9.2958727921812283</v>
      </c>
      <c r="K236" s="54"/>
      <c r="L236" s="54">
        <v>-9.2958727921812283</v>
      </c>
    </row>
    <row r="237" spans="6:12" x14ac:dyDescent="0.3">
      <c r="F237" s="50">
        <v>44228</v>
      </c>
      <c r="G237" s="53">
        <v>79.099999999999994</v>
      </c>
      <c r="J237" s="54">
        <v>-12.099393083868392</v>
      </c>
      <c r="K237" s="54"/>
      <c r="L237" s="54">
        <v>-12.099393083868392</v>
      </c>
    </row>
    <row r="238" spans="6:12" x14ac:dyDescent="0.3">
      <c r="F238" s="50">
        <v>44256</v>
      </c>
      <c r="G238" s="53">
        <v>86.1</v>
      </c>
      <c r="J238" s="54">
        <v>-5.1029135114438589</v>
      </c>
      <c r="K238" s="54"/>
      <c r="L238" s="54">
        <v>-5.1029135114438589</v>
      </c>
    </row>
    <row r="239" spans="6:12" x14ac:dyDescent="0.3">
      <c r="F239" s="50">
        <v>44287</v>
      </c>
      <c r="G239" s="53">
        <v>81.3</v>
      </c>
      <c r="J239" s="54">
        <v>-9.9064340749128377</v>
      </c>
      <c r="K239" s="54"/>
      <c r="L239" s="54">
        <v>-9.9064340749128377</v>
      </c>
    </row>
    <row r="240" spans="6:12" x14ac:dyDescent="0.3">
      <c r="F240" s="50">
        <v>44317</v>
      </c>
      <c r="G240" s="53">
        <v>88.4</v>
      </c>
      <c r="J240" s="54">
        <v>-2.8099547742805981</v>
      </c>
      <c r="K240" s="54"/>
      <c r="L240" s="54">
        <v>-2.8099547742805981</v>
      </c>
    </row>
    <row r="241" spans="6:12" x14ac:dyDescent="0.3">
      <c r="F241" s="50">
        <v>44348</v>
      </c>
      <c r="G241" s="53">
        <v>87.9</v>
      </c>
      <c r="J241" s="54">
        <v>-3.3134756095525262</v>
      </c>
      <c r="K241" s="54"/>
      <c r="L241" s="54">
        <v>-3.3134756095525262</v>
      </c>
    </row>
    <row r="242" spans="6:12" x14ac:dyDescent="0.3">
      <c r="F242" s="50">
        <v>44378</v>
      </c>
      <c r="G242" s="53">
        <v>92.2</v>
      </c>
      <c r="J242" s="54">
        <v>0.98300341926629642</v>
      </c>
      <c r="K242" s="54"/>
      <c r="L242" s="54">
        <v>0.98300341926629642</v>
      </c>
    </row>
    <row r="243" spans="6:12" x14ac:dyDescent="0.3">
      <c r="F243" s="50">
        <v>44409</v>
      </c>
      <c r="G243" s="53">
        <v>93.4</v>
      </c>
      <c r="J243" s="54">
        <v>2.1794823121705633</v>
      </c>
      <c r="K243" s="54"/>
      <c r="L243" s="54">
        <v>2.1794823121705633</v>
      </c>
    </row>
    <row r="244" spans="6:12" x14ac:dyDescent="0.3">
      <c r="F244" s="50">
        <v>44440</v>
      </c>
      <c r="G244" s="53">
        <v>91.5</v>
      </c>
      <c r="J244" s="54">
        <v>0.27596106915511598</v>
      </c>
      <c r="K244" s="54"/>
      <c r="L244" s="54">
        <v>0.27596106915511598</v>
      </c>
    </row>
    <row r="245" spans="6:12" x14ac:dyDescent="0.3">
      <c r="F245" s="50">
        <v>44470</v>
      </c>
      <c r="G245" s="53">
        <v>89.7</v>
      </c>
      <c r="J245" s="54">
        <v>-1.5275603097855281</v>
      </c>
      <c r="K245" s="54"/>
      <c r="L245" s="54">
        <v>-1.5275603097855281</v>
      </c>
    </row>
    <row r="246" spans="6:12" x14ac:dyDescent="0.3">
      <c r="F246" s="50">
        <v>44501</v>
      </c>
      <c r="G246" s="53">
        <v>86.3</v>
      </c>
      <c r="J246" s="54">
        <v>-4.9310818246563173</v>
      </c>
      <c r="K246" s="54"/>
      <c r="L246" s="54">
        <v>-4.9310818246563173</v>
      </c>
    </row>
    <row r="247" spans="6:12" x14ac:dyDescent="0.3">
      <c r="F247" s="50">
        <v>44531</v>
      </c>
      <c r="G247" s="53">
        <v>79.2</v>
      </c>
      <c r="J247" s="54">
        <v>-12.034603475462617</v>
      </c>
      <c r="K247" s="54"/>
      <c r="L247" s="54">
        <v>-12.034603475462617</v>
      </c>
    </row>
    <row r="248" spans="6:12" x14ac:dyDescent="0.3">
      <c r="J248" s="27"/>
      <c r="K248" s="27"/>
      <c r="L248" s="27"/>
    </row>
    <row r="249" spans="6:12" x14ac:dyDescent="0.3">
      <c r="J249" s="27"/>
      <c r="K249" s="27"/>
      <c r="L249" s="27"/>
    </row>
    <row r="250" spans="6:12" x14ac:dyDescent="0.3">
      <c r="J250" s="27"/>
      <c r="K250" s="27"/>
      <c r="L250" s="27"/>
    </row>
    <row r="251" spans="6:12" x14ac:dyDescent="0.3">
      <c r="J251" s="27"/>
      <c r="K251" s="27"/>
      <c r="L251" s="27"/>
    </row>
    <row r="252" spans="6:12" x14ac:dyDescent="0.3">
      <c r="J252" s="27"/>
      <c r="K252" s="27"/>
      <c r="L252" s="27"/>
    </row>
    <row r="253" spans="6:12" x14ac:dyDescent="0.3">
      <c r="J253" s="27"/>
      <c r="K253" s="27"/>
      <c r="L253" s="27"/>
    </row>
    <row r="254" spans="6:12" x14ac:dyDescent="0.3">
      <c r="J254" s="27"/>
      <c r="K254" s="27"/>
      <c r="L254" s="27"/>
    </row>
    <row r="255" spans="6:12" x14ac:dyDescent="0.3">
      <c r="J255" s="27"/>
      <c r="K255" s="27"/>
      <c r="L255" s="27"/>
    </row>
    <row r="256" spans="6:12" x14ac:dyDescent="0.3">
      <c r="J256" s="27"/>
      <c r="K256" s="27"/>
      <c r="L256" s="27"/>
    </row>
    <row r="257" spans="10:12" x14ac:dyDescent="0.3">
      <c r="J257" s="27"/>
      <c r="K257" s="27"/>
      <c r="L257" s="27"/>
    </row>
    <row r="258" spans="10:12" x14ac:dyDescent="0.3">
      <c r="J258" s="27"/>
      <c r="K258" s="27"/>
      <c r="L258" s="27"/>
    </row>
    <row r="259" spans="10:12" x14ac:dyDescent="0.3">
      <c r="J259" s="27"/>
      <c r="K259" s="27"/>
      <c r="L259" s="27"/>
    </row>
    <row r="260" spans="10:12" x14ac:dyDescent="0.3">
      <c r="J260" s="27"/>
      <c r="K260" s="27"/>
      <c r="L260" s="27"/>
    </row>
    <row r="261" spans="10:12" x14ac:dyDescent="0.3">
      <c r="J261" s="27"/>
      <c r="K261" s="27"/>
      <c r="L261" s="27"/>
    </row>
    <row r="262" spans="10:12" x14ac:dyDescent="0.3">
      <c r="J262" s="27"/>
      <c r="K262" s="27"/>
      <c r="L262" s="27"/>
    </row>
    <row r="263" spans="10:12" x14ac:dyDescent="0.3">
      <c r="J263" s="27"/>
      <c r="K263" s="27"/>
      <c r="L263" s="27"/>
    </row>
    <row r="264" spans="10:12" x14ac:dyDescent="0.3">
      <c r="J264" s="27"/>
      <c r="K264" s="27"/>
      <c r="L264" s="27"/>
    </row>
    <row r="265" spans="10:12" x14ac:dyDescent="0.3">
      <c r="J265" s="27"/>
      <c r="K265" s="27"/>
      <c r="L265" s="27"/>
    </row>
    <row r="266" spans="10:12" x14ac:dyDescent="0.3">
      <c r="J266" s="27"/>
      <c r="K266" s="27"/>
      <c r="L266" s="27"/>
    </row>
    <row r="267" spans="10:12" x14ac:dyDescent="0.3">
      <c r="J267" s="27"/>
      <c r="K267" s="27"/>
      <c r="L267" s="27"/>
    </row>
    <row r="268" spans="10:12" x14ac:dyDescent="0.3">
      <c r="J268" s="27"/>
      <c r="K268" s="27"/>
      <c r="L268" s="27"/>
    </row>
    <row r="269" spans="10:12" x14ac:dyDescent="0.3">
      <c r="J269" s="27"/>
      <c r="K269" s="27"/>
      <c r="L269" s="27"/>
    </row>
    <row r="270" spans="10:12" x14ac:dyDescent="0.3">
      <c r="J270" s="27"/>
      <c r="K270" s="27"/>
      <c r="L270" s="27"/>
    </row>
    <row r="271" spans="10:12" x14ac:dyDescent="0.3">
      <c r="J271" s="27"/>
      <c r="K271" s="27"/>
      <c r="L271" s="27"/>
    </row>
    <row r="272" spans="10:12" x14ac:dyDescent="0.3">
      <c r="J272" s="27"/>
      <c r="K272" s="27"/>
      <c r="L272" s="27"/>
    </row>
    <row r="273" spans="10:12" x14ac:dyDescent="0.3">
      <c r="J273" s="27"/>
      <c r="K273" s="27"/>
      <c r="L273" s="27"/>
    </row>
    <row r="274" spans="10:12" x14ac:dyDescent="0.3">
      <c r="J274" s="27"/>
      <c r="K274" s="27"/>
      <c r="L274" s="27"/>
    </row>
    <row r="275" spans="10:12" x14ac:dyDescent="0.3">
      <c r="J275" s="27"/>
      <c r="K275" s="27"/>
      <c r="L275" s="27"/>
    </row>
    <row r="276" spans="10:12" x14ac:dyDescent="0.3">
      <c r="J276" s="27"/>
      <c r="K276" s="27"/>
      <c r="L276" s="27"/>
    </row>
    <row r="277" spans="10:12" x14ac:dyDescent="0.3">
      <c r="J277" s="27"/>
      <c r="K277" s="27"/>
      <c r="L277" s="27"/>
    </row>
    <row r="278" spans="10:12" x14ac:dyDescent="0.3">
      <c r="J278" s="27"/>
      <c r="K278" s="27"/>
      <c r="L278" s="27"/>
    </row>
    <row r="279" spans="10:12" x14ac:dyDescent="0.3">
      <c r="J279" s="27"/>
      <c r="K279" s="27"/>
      <c r="L279" s="27"/>
    </row>
    <row r="280" spans="10:12" x14ac:dyDescent="0.3">
      <c r="J280" s="27"/>
      <c r="K280" s="27"/>
      <c r="L280" s="27"/>
    </row>
    <row r="281" spans="10:12" x14ac:dyDescent="0.3">
      <c r="J281" s="27"/>
      <c r="K281" s="27"/>
      <c r="L281" s="27"/>
    </row>
    <row r="282" spans="10:12" x14ac:dyDescent="0.3">
      <c r="J282" s="27"/>
      <c r="K282" s="27"/>
      <c r="L282" s="27"/>
    </row>
    <row r="283" spans="10:12" x14ac:dyDescent="0.3">
      <c r="J283" s="27"/>
      <c r="K283" s="27"/>
      <c r="L283" s="27"/>
    </row>
    <row r="284" spans="10:12" x14ac:dyDescent="0.3">
      <c r="J284" s="27"/>
      <c r="K284" s="27"/>
      <c r="L284" s="27"/>
    </row>
    <row r="285" spans="10:12" x14ac:dyDescent="0.3">
      <c r="J285" s="27"/>
      <c r="K285" s="27"/>
      <c r="L285" s="27"/>
    </row>
    <row r="286" spans="10:12" x14ac:dyDescent="0.3">
      <c r="J286" s="27"/>
      <c r="K286" s="27"/>
      <c r="L286" s="27"/>
    </row>
    <row r="287" spans="10:12" x14ac:dyDescent="0.3">
      <c r="J287" s="27"/>
      <c r="K287" s="27"/>
      <c r="L287" s="27"/>
    </row>
    <row r="288" spans="10:12" x14ac:dyDescent="0.3">
      <c r="J288" s="27"/>
      <c r="K288" s="27"/>
      <c r="L288" s="27"/>
    </row>
    <row r="289" spans="10:12" x14ac:dyDescent="0.3">
      <c r="J289" s="27"/>
      <c r="K289" s="27"/>
      <c r="L289" s="27"/>
    </row>
    <row r="290" spans="10:12" x14ac:dyDescent="0.3">
      <c r="J290" s="27"/>
      <c r="K290" s="27"/>
      <c r="L290" s="27"/>
    </row>
    <row r="291" spans="10:12" x14ac:dyDescent="0.3">
      <c r="J291" s="27"/>
      <c r="K291" s="27"/>
      <c r="L291" s="27"/>
    </row>
    <row r="292" spans="10:12" x14ac:dyDescent="0.3">
      <c r="J292" s="27"/>
      <c r="K292" s="27"/>
      <c r="L292" s="27"/>
    </row>
    <row r="293" spans="10:12" x14ac:dyDescent="0.3">
      <c r="J293" s="27"/>
      <c r="K293" s="27"/>
      <c r="L293" s="27"/>
    </row>
    <row r="294" spans="10:12" x14ac:dyDescent="0.3">
      <c r="J294" s="27"/>
      <c r="K294" s="27"/>
      <c r="L294" s="27"/>
    </row>
    <row r="295" spans="10:12" x14ac:dyDescent="0.3">
      <c r="J295" s="27"/>
      <c r="K295" s="27"/>
      <c r="L295" s="27"/>
    </row>
    <row r="296" spans="10:12" x14ac:dyDescent="0.3">
      <c r="J296" s="27"/>
      <c r="K296" s="27"/>
      <c r="L296" s="27"/>
    </row>
    <row r="297" spans="10:12" x14ac:dyDescent="0.3">
      <c r="J297" s="27"/>
      <c r="K297" s="27"/>
      <c r="L297" s="27"/>
    </row>
  </sheetData>
  <mergeCells count="1">
    <mergeCell ref="D11:D12"/>
  </mergeCells>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18DFC-2981-4D00-B762-AB865C54FB3A}">
  <sheetPr codeName="Planilha44">
    <tabColor theme="9" tint="0.59999389629810485"/>
  </sheetPr>
  <dimension ref="A1:U297"/>
  <sheetViews>
    <sheetView showGridLines="0" workbookViewId="0">
      <selection activeCell="R21" sqref="R21"/>
    </sheetView>
  </sheetViews>
  <sheetFormatPr defaultColWidth="8.85546875" defaultRowHeight="18.75" x14ac:dyDescent="0.3"/>
  <cols>
    <col min="1" max="1" width="12.7109375" style="17" customWidth="1"/>
    <col min="2" max="2" width="24.85546875" bestFit="1" customWidth="1"/>
    <col min="4" max="4" width="44.28515625" bestFit="1" customWidth="1"/>
    <col min="5" max="5" width="4.5703125" customWidth="1"/>
    <col min="6" max="7" width="7.140625" bestFit="1" customWidth="1"/>
    <col min="8" max="8" width="9.28515625" bestFit="1" customWidth="1"/>
    <col min="10" max="12" width="9" style="15" customWidth="1"/>
    <col min="13" max="21" width="8.85546875" style="15"/>
  </cols>
  <sheetData>
    <row r="1" spans="1:21" x14ac:dyDescent="0.3">
      <c r="A1" s="16" t="s">
        <v>518</v>
      </c>
      <c r="J1" s="14"/>
      <c r="K1" s="14"/>
      <c r="L1" s="14"/>
      <c r="M1" s="14"/>
      <c r="N1" s="14"/>
      <c r="O1" s="14"/>
      <c r="P1" s="14"/>
      <c r="Q1" s="14"/>
      <c r="R1" s="14"/>
      <c r="S1" s="14"/>
      <c r="T1" s="14"/>
      <c r="U1" s="14"/>
    </row>
    <row r="2" spans="1:21" x14ac:dyDescent="0.3">
      <c r="A2" s="17" t="s">
        <v>517</v>
      </c>
      <c r="J2" s="14"/>
      <c r="K2" s="14"/>
      <c r="L2" s="14"/>
      <c r="M2" s="14"/>
      <c r="N2" s="14"/>
      <c r="O2" s="14"/>
      <c r="P2" s="14"/>
      <c r="Q2" s="14"/>
      <c r="R2" s="14"/>
      <c r="S2" s="14"/>
      <c r="T2" s="14"/>
      <c r="U2" s="14"/>
    </row>
    <row r="4" spans="1:21" ht="15.75" x14ac:dyDescent="0.25">
      <c r="A4" s="2" t="s">
        <v>15</v>
      </c>
      <c r="B4" s="2" t="s">
        <v>16</v>
      </c>
    </row>
    <row r="5" spans="1:21" ht="15.75" x14ac:dyDescent="0.25">
      <c r="A5" s="23" t="s">
        <v>167</v>
      </c>
      <c r="B5" s="24" t="s">
        <v>169</v>
      </c>
    </row>
    <row r="6" spans="1:21" ht="31.5" x14ac:dyDescent="0.25">
      <c r="A6" s="23" t="s">
        <v>187</v>
      </c>
      <c r="B6" s="24" t="s">
        <v>188</v>
      </c>
    </row>
    <row r="7" spans="1:21" x14ac:dyDescent="0.3">
      <c r="D7" s="1" t="s">
        <v>17</v>
      </c>
      <c r="G7" s="13" t="s">
        <v>167</v>
      </c>
      <c r="H7" s="13" t="s">
        <v>187</v>
      </c>
    </row>
    <row r="8" spans="1:21" x14ac:dyDescent="0.3">
      <c r="D8" t="s">
        <v>178</v>
      </c>
      <c r="F8" s="50">
        <v>37257</v>
      </c>
      <c r="G8" s="53">
        <v>72.400000000000006</v>
      </c>
      <c r="H8" s="55">
        <v>1</v>
      </c>
      <c r="J8" s="54" cm="1">
        <f t="array" ref="J8:J247">_xlfn.LAMBDA(_xlpm.values,_xlop.nPower, _xlfn.LET(_xlpm.nPower, IF(_xlfn.ISOMITTED(_xlpm.nPower), 1, _xlpm.nPower),  OLS_FITTED(_xlpm.values, ADDCONST(_xlfn.SEQUENCE(ROWS(_xlpm.values))^_xlpm.nPower)) ) )($G$8:$G$247,$H$8)</f>
        <v>91.019097510373555</v>
      </c>
      <c r="K8" s="54"/>
      <c r="L8" s="54" cm="1">
        <f t="array" ref="L8:L247">TSTREND($G$8:$G$247,$H$8)</f>
        <v>91.019097510373555</v>
      </c>
    </row>
    <row r="9" spans="1:21" x14ac:dyDescent="0.3">
      <c r="D9" t="s">
        <v>179</v>
      </c>
      <c r="F9" s="50">
        <v>37288</v>
      </c>
      <c r="G9" s="53">
        <v>69.7</v>
      </c>
      <c r="J9" s="54">
        <v>91.021939790621474</v>
      </c>
      <c r="K9" s="54"/>
      <c r="L9" s="54">
        <v>91.021939790621474</v>
      </c>
    </row>
    <row r="10" spans="1:21" x14ac:dyDescent="0.3">
      <c r="D10" t="s">
        <v>157</v>
      </c>
      <c r="F10" s="50">
        <v>37316</v>
      </c>
      <c r="G10" s="53">
        <v>77.400000000000006</v>
      </c>
      <c r="J10" s="54">
        <v>91.024782070869392</v>
      </c>
      <c r="K10" s="54"/>
      <c r="L10" s="54">
        <v>91.024782070869392</v>
      </c>
    </row>
    <row r="11" spans="1:21" ht="18.75" customHeight="1" x14ac:dyDescent="0.3">
      <c r="D11" s="134"/>
      <c r="F11" s="50">
        <v>37347</v>
      </c>
      <c r="G11" s="53">
        <v>79.599999999999994</v>
      </c>
      <c r="J11" s="54">
        <v>91.027624351117325</v>
      </c>
      <c r="K11" s="54"/>
      <c r="L11" s="54">
        <v>91.027624351117325</v>
      </c>
    </row>
    <row r="12" spans="1:21" x14ac:dyDescent="0.3">
      <c r="D12" s="134"/>
      <c r="F12" s="50">
        <v>37377</v>
      </c>
      <c r="G12" s="53">
        <v>80.400000000000006</v>
      </c>
      <c r="J12" s="54">
        <v>91.030466631365243</v>
      </c>
      <c r="K12" s="54"/>
      <c r="L12" s="54">
        <v>91.030466631365243</v>
      </c>
    </row>
    <row r="13" spans="1:21" x14ac:dyDescent="0.3">
      <c r="D13" s="47"/>
      <c r="F13" s="50">
        <v>37408</v>
      </c>
      <c r="G13" s="53">
        <v>77.5</v>
      </c>
      <c r="J13" s="54">
        <v>91.033308911613162</v>
      </c>
      <c r="K13" s="54"/>
      <c r="L13" s="54">
        <v>91.033308911613162</v>
      </c>
    </row>
    <row r="14" spans="1:21" x14ac:dyDescent="0.3">
      <c r="F14" s="50">
        <v>37438</v>
      </c>
      <c r="G14" s="53">
        <v>83.3</v>
      </c>
      <c r="J14" s="54">
        <v>91.03615119186108</v>
      </c>
      <c r="K14" s="54"/>
      <c r="L14" s="54">
        <v>91.03615119186108</v>
      </c>
    </row>
    <row r="15" spans="1:21" x14ac:dyDescent="0.3">
      <c r="F15" s="50">
        <v>37469</v>
      </c>
      <c r="G15" s="53">
        <v>83.6</v>
      </c>
      <c r="J15" s="54">
        <v>91.038993472108999</v>
      </c>
      <c r="K15" s="54"/>
      <c r="L15" s="54">
        <v>91.038993472108999</v>
      </c>
    </row>
    <row r="16" spans="1:21" x14ac:dyDescent="0.3">
      <c r="F16" s="50">
        <v>37500</v>
      </c>
      <c r="G16" s="53">
        <v>82.1</v>
      </c>
      <c r="J16" s="54">
        <v>91.041835752356917</v>
      </c>
      <c r="K16" s="54"/>
      <c r="L16" s="54">
        <v>91.041835752356917</v>
      </c>
    </row>
    <row r="17" spans="6:12" x14ac:dyDescent="0.3">
      <c r="F17" s="50">
        <v>37530</v>
      </c>
      <c r="G17" s="53">
        <v>89.2</v>
      </c>
      <c r="J17" s="54">
        <v>91.04467803260485</v>
      </c>
      <c r="K17" s="54"/>
      <c r="L17" s="54">
        <v>91.04467803260485</v>
      </c>
    </row>
    <row r="18" spans="6:12" x14ac:dyDescent="0.3">
      <c r="F18" s="50">
        <v>37561</v>
      </c>
      <c r="G18" s="53">
        <v>83.9</v>
      </c>
      <c r="J18" s="54">
        <v>91.047520312852768</v>
      </c>
      <c r="K18" s="54"/>
      <c r="L18" s="54">
        <v>91.047520312852768</v>
      </c>
    </row>
    <row r="19" spans="6:12" x14ac:dyDescent="0.3">
      <c r="F19" s="50">
        <v>37591</v>
      </c>
      <c r="G19" s="53">
        <v>74.599999999999994</v>
      </c>
      <c r="J19" s="54">
        <v>91.050362593100687</v>
      </c>
      <c r="K19" s="54"/>
      <c r="L19" s="54">
        <v>91.050362593100687</v>
      </c>
    </row>
    <row r="20" spans="6:12" x14ac:dyDescent="0.3">
      <c r="F20" s="50">
        <v>37622</v>
      </c>
      <c r="G20" s="53">
        <v>74</v>
      </c>
      <c r="J20" s="54">
        <v>91.053204873348605</v>
      </c>
      <c r="K20" s="54"/>
      <c r="L20" s="54">
        <v>91.053204873348605</v>
      </c>
    </row>
    <row r="21" spans="6:12" x14ac:dyDescent="0.3">
      <c r="F21" s="50">
        <v>37653</v>
      </c>
      <c r="G21" s="53">
        <v>71.8</v>
      </c>
      <c r="J21" s="54">
        <v>91.056047153596523</v>
      </c>
      <c r="K21" s="54"/>
      <c r="L21" s="54">
        <v>91.056047153596523</v>
      </c>
    </row>
    <row r="22" spans="6:12" x14ac:dyDescent="0.3">
      <c r="F22" s="50">
        <v>37681</v>
      </c>
      <c r="G22" s="53">
        <v>77.400000000000006</v>
      </c>
      <c r="J22" s="54">
        <v>91.058889433844442</v>
      </c>
      <c r="K22" s="54"/>
      <c r="L22" s="54">
        <v>91.058889433844442</v>
      </c>
    </row>
    <row r="23" spans="6:12" x14ac:dyDescent="0.3">
      <c r="F23" s="50">
        <v>37712</v>
      </c>
      <c r="G23" s="53">
        <v>76.5</v>
      </c>
      <c r="J23" s="54">
        <v>91.06173171409236</v>
      </c>
      <c r="K23" s="54"/>
      <c r="L23" s="54">
        <v>91.06173171409236</v>
      </c>
    </row>
    <row r="24" spans="6:12" x14ac:dyDescent="0.3">
      <c r="F24" s="50">
        <v>37742</v>
      </c>
      <c r="G24" s="53">
        <v>79.7</v>
      </c>
      <c r="J24" s="54">
        <v>91.064573994340293</v>
      </c>
      <c r="K24" s="54"/>
      <c r="L24" s="54">
        <v>91.064573994340293</v>
      </c>
    </row>
    <row r="25" spans="6:12" x14ac:dyDescent="0.3">
      <c r="F25" s="50">
        <v>37773</v>
      </c>
      <c r="G25" s="53">
        <v>76.3</v>
      </c>
      <c r="J25" s="54">
        <v>91.067416274588211</v>
      </c>
      <c r="K25" s="54"/>
      <c r="L25" s="54">
        <v>91.067416274588211</v>
      </c>
    </row>
    <row r="26" spans="6:12" x14ac:dyDescent="0.3">
      <c r="F26" s="50">
        <v>37803</v>
      </c>
      <c r="G26" s="53">
        <v>81.3</v>
      </c>
      <c r="J26" s="54">
        <v>91.07025855483613</v>
      </c>
      <c r="K26" s="54"/>
      <c r="L26" s="54">
        <v>91.07025855483613</v>
      </c>
    </row>
    <row r="27" spans="6:12" x14ac:dyDescent="0.3">
      <c r="F27" s="50">
        <v>37834</v>
      </c>
      <c r="G27" s="53">
        <v>81.599999999999994</v>
      </c>
      <c r="J27" s="54">
        <v>91.073100835084048</v>
      </c>
      <c r="K27" s="54"/>
      <c r="L27" s="54">
        <v>91.073100835084048</v>
      </c>
    </row>
    <row r="28" spans="6:12" x14ac:dyDescent="0.3">
      <c r="F28" s="50">
        <v>37865</v>
      </c>
      <c r="G28" s="53">
        <v>85.7</v>
      </c>
      <c r="J28" s="54">
        <v>91.075943115331967</v>
      </c>
      <c r="K28" s="54"/>
      <c r="L28" s="54">
        <v>91.075943115331967</v>
      </c>
    </row>
    <row r="29" spans="6:12" x14ac:dyDescent="0.3">
      <c r="F29" s="50">
        <v>37895</v>
      </c>
      <c r="G29" s="53">
        <v>90</v>
      </c>
      <c r="J29" s="54">
        <v>91.078785395579885</v>
      </c>
      <c r="K29" s="54"/>
      <c r="L29" s="54">
        <v>91.078785395579885</v>
      </c>
    </row>
    <row r="30" spans="6:12" x14ac:dyDescent="0.3">
      <c r="F30" s="50">
        <v>37926</v>
      </c>
      <c r="G30" s="53">
        <v>84.6</v>
      </c>
      <c r="J30" s="54">
        <v>91.081627675827818</v>
      </c>
      <c r="K30" s="54"/>
      <c r="L30" s="54">
        <v>91.081627675827818</v>
      </c>
    </row>
    <row r="31" spans="6:12" x14ac:dyDescent="0.3">
      <c r="F31" s="50">
        <v>37956</v>
      </c>
      <c r="G31" s="53">
        <v>77.900000000000006</v>
      </c>
      <c r="J31" s="54">
        <v>91.084469956075736</v>
      </c>
      <c r="K31" s="54"/>
      <c r="L31" s="54">
        <v>91.084469956075736</v>
      </c>
    </row>
    <row r="32" spans="6:12" x14ac:dyDescent="0.3">
      <c r="F32" s="50">
        <v>37987</v>
      </c>
      <c r="G32" s="53">
        <v>76.8</v>
      </c>
      <c r="J32" s="54">
        <v>91.087312236323655</v>
      </c>
      <c r="K32" s="54"/>
      <c r="L32" s="54">
        <v>91.087312236323655</v>
      </c>
    </row>
    <row r="33" spans="6:12" x14ac:dyDescent="0.3">
      <c r="F33" s="50">
        <v>38018</v>
      </c>
      <c r="G33" s="53">
        <v>74</v>
      </c>
      <c r="J33" s="54">
        <v>91.090154516571573</v>
      </c>
      <c r="K33" s="54"/>
      <c r="L33" s="54">
        <v>91.090154516571573</v>
      </c>
    </row>
    <row r="34" spans="6:12" x14ac:dyDescent="0.3">
      <c r="F34" s="50">
        <v>38047</v>
      </c>
      <c r="G34" s="53">
        <v>86.9</v>
      </c>
      <c r="J34" s="54">
        <v>91.092996796819492</v>
      </c>
      <c r="K34" s="54"/>
      <c r="L34" s="54">
        <v>91.092996796819492</v>
      </c>
    </row>
    <row r="35" spans="6:12" x14ac:dyDescent="0.3">
      <c r="F35" s="50">
        <v>38078</v>
      </c>
      <c r="G35" s="53">
        <v>82.2</v>
      </c>
      <c r="J35" s="54">
        <v>91.09583907706741</v>
      </c>
      <c r="K35" s="54"/>
      <c r="L35" s="54">
        <v>91.09583907706741</v>
      </c>
    </row>
    <row r="36" spans="6:12" x14ac:dyDescent="0.3">
      <c r="F36" s="50">
        <v>38108</v>
      </c>
      <c r="G36" s="53">
        <v>86.3</v>
      </c>
      <c r="J36" s="54">
        <v>91.098681357315343</v>
      </c>
      <c r="K36" s="54"/>
      <c r="L36" s="54">
        <v>91.098681357315343</v>
      </c>
    </row>
    <row r="37" spans="6:12" x14ac:dyDescent="0.3">
      <c r="F37" s="50">
        <v>38139</v>
      </c>
      <c r="G37" s="53">
        <v>86.1</v>
      </c>
      <c r="J37" s="54">
        <v>91.101523637563261</v>
      </c>
      <c r="K37" s="54"/>
      <c r="L37" s="54">
        <v>91.101523637563261</v>
      </c>
    </row>
    <row r="38" spans="6:12" x14ac:dyDescent="0.3">
      <c r="F38" s="50">
        <v>38169</v>
      </c>
      <c r="G38" s="53">
        <v>90.1</v>
      </c>
      <c r="J38" s="54">
        <v>91.10436591781118</v>
      </c>
      <c r="K38" s="54"/>
      <c r="L38" s="54">
        <v>91.10436591781118</v>
      </c>
    </row>
    <row r="39" spans="6:12" x14ac:dyDescent="0.3">
      <c r="F39" s="50">
        <v>38200</v>
      </c>
      <c r="G39" s="53">
        <v>92.1</v>
      </c>
      <c r="J39" s="54">
        <v>91.107208198059098</v>
      </c>
      <c r="K39" s="54"/>
      <c r="L39" s="54">
        <v>91.107208198059098</v>
      </c>
    </row>
    <row r="40" spans="6:12" x14ac:dyDescent="0.3">
      <c r="F40" s="50">
        <v>38231</v>
      </c>
      <c r="G40" s="53">
        <v>92.1</v>
      </c>
      <c r="J40" s="54">
        <v>91.110050478307016</v>
      </c>
      <c r="K40" s="54"/>
      <c r="L40" s="54">
        <v>91.110050478307016</v>
      </c>
    </row>
    <row r="41" spans="6:12" x14ac:dyDescent="0.3">
      <c r="F41" s="50">
        <v>38261</v>
      </c>
      <c r="G41" s="53">
        <v>93.5</v>
      </c>
      <c r="J41" s="54">
        <v>91.112892758554935</v>
      </c>
      <c r="K41" s="54"/>
      <c r="L41" s="54">
        <v>91.112892758554935</v>
      </c>
    </row>
    <row r="42" spans="6:12" x14ac:dyDescent="0.3">
      <c r="F42" s="50">
        <v>38292</v>
      </c>
      <c r="G42" s="53">
        <v>91.8</v>
      </c>
      <c r="J42" s="54">
        <v>91.115735038802853</v>
      </c>
      <c r="K42" s="54"/>
      <c r="L42" s="54">
        <v>91.115735038802853</v>
      </c>
    </row>
    <row r="43" spans="6:12" x14ac:dyDescent="0.3">
      <c r="F43" s="50">
        <v>38322</v>
      </c>
      <c r="G43" s="53">
        <v>84.7</v>
      </c>
      <c r="J43" s="54">
        <v>91.118577319050786</v>
      </c>
      <c r="K43" s="54"/>
      <c r="L43" s="54">
        <v>91.118577319050786</v>
      </c>
    </row>
    <row r="44" spans="6:12" x14ac:dyDescent="0.3">
      <c r="F44" s="50">
        <v>38353</v>
      </c>
      <c r="G44" s="53">
        <v>81</v>
      </c>
      <c r="J44" s="54">
        <v>91.121419599298704</v>
      </c>
      <c r="K44" s="54"/>
      <c r="L44" s="54">
        <v>91.121419599298704</v>
      </c>
    </row>
    <row r="45" spans="6:12" x14ac:dyDescent="0.3">
      <c r="F45" s="50">
        <v>38384</v>
      </c>
      <c r="G45" s="53">
        <v>76.400000000000006</v>
      </c>
      <c r="J45" s="54">
        <v>91.124261879546623</v>
      </c>
      <c r="K45" s="54"/>
      <c r="L45" s="54">
        <v>91.124261879546623</v>
      </c>
    </row>
    <row r="46" spans="6:12" x14ac:dyDescent="0.3">
      <c r="F46" s="50">
        <v>38412</v>
      </c>
      <c r="G46" s="53">
        <v>88</v>
      </c>
      <c r="J46" s="54">
        <v>91.127104159794541</v>
      </c>
      <c r="K46" s="54"/>
      <c r="L46" s="54">
        <v>91.127104159794541</v>
      </c>
    </row>
    <row r="47" spans="6:12" x14ac:dyDescent="0.3">
      <c r="F47" s="50">
        <v>38443</v>
      </c>
      <c r="G47" s="53">
        <v>87</v>
      </c>
      <c r="J47" s="54">
        <v>91.12994644004246</v>
      </c>
      <c r="K47" s="54"/>
      <c r="L47" s="54">
        <v>91.12994644004246</v>
      </c>
    </row>
    <row r="48" spans="6:12" x14ac:dyDescent="0.3">
      <c r="F48" s="50">
        <v>38473</v>
      </c>
      <c r="G48" s="53">
        <v>91.1</v>
      </c>
      <c r="J48" s="54">
        <v>91.132788720290378</v>
      </c>
      <c r="K48" s="54"/>
      <c r="L48" s="54">
        <v>91.132788720290378</v>
      </c>
    </row>
    <row r="49" spans="6:12" x14ac:dyDescent="0.3">
      <c r="F49" s="50">
        <v>38504</v>
      </c>
      <c r="G49" s="53">
        <v>91.4</v>
      </c>
      <c r="J49" s="54">
        <v>91.135631000538311</v>
      </c>
      <c r="K49" s="54"/>
      <c r="L49" s="54">
        <v>91.135631000538311</v>
      </c>
    </row>
    <row r="50" spans="6:12" x14ac:dyDescent="0.3">
      <c r="F50" s="50">
        <v>38534</v>
      </c>
      <c r="G50" s="53">
        <v>90.5</v>
      </c>
      <c r="J50" s="54">
        <v>91.138473280786229</v>
      </c>
      <c r="K50" s="54"/>
      <c r="L50" s="54">
        <v>91.138473280786229</v>
      </c>
    </row>
    <row r="51" spans="6:12" x14ac:dyDescent="0.3">
      <c r="F51" s="50">
        <v>38565</v>
      </c>
      <c r="G51" s="53">
        <v>95.6</v>
      </c>
      <c r="J51" s="54">
        <v>91.141315561034148</v>
      </c>
      <c r="K51" s="54"/>
      <c r="L51" s="54">
        <v>91.141315561034148</v>
      </c>
    </row>
    <row r="52" spans="6:12" x14ac:dyDescent="0.3">
      <c r="F52" s="50">
        <v>38596</v>
      </c>
      <c r="G52" s="53">
        <v>92</v>
      </c>
      <c r="J52" s="54">
        <v>91.144157841282066</v>
      </c>
      <c r="K52" s="54"/>
      <c r="L52" s="54">
        <v>91.144157841282066</v>
      </c>
    </row>
    <row r="53" spans="6:12" x14ac:dyDescent="0.3">
      <c r="F53" s="50">
        <v>38626</v>
      </c>
      <c r="G53" s="53">
        <v>93.7</v>
      </c>
      <c r="J53" s="54">
        <v>91.147000121529985</v>
      </c>
      <c r="K53" s="54"/>
      <c r="L53" s="54">
        <v>91.147000121529985</v>
      </c>
    </row>
    <row r="54" spans="6:12" x14ac:dyDescent="0.3">
      <c r="F54" s="50">
        <v>38657</v>
      </c>
      <c r="G54" s="53">
        <v>92.4</v>
      </c>
      <c r="J54" s="54">
        <v>91.149842401777903</v>
      </c>
      <c r="K54" s="54"/>
      <c r="L54" s="54">
        <v>91.149842401777903</v>
      </c>
    </row>
    <row r="55" spans="6:12" x14ac:dyDescent="0.3">
      <c r="F55" s="50">
        <v>38687</v>
      </c>
      <c r="G55" s="53">
        <v>86.6</v>
      </c>
      <c r="J55" s="54">
        <v>91.152684682025836</v>
      </c>
      <c r="K55" s="54"/>
      <c r="L55" s="54">
        <v>91.152684682025836</v>
      </c>
    </row>
    <row r="56" spans="6:12" x14ac:dyDescent="0.3">
      <c r="F56" s="50">
        <v>38718</v>
      </c>
      <c r="G56" s="53">
        <v>83.7</v>
      </c>
      <c r="J56" s="54">
        <v>91.155526962273754</v>
      </c>
      <c r="K56" s="54"/>
      <c r="L56" s="54">
        <v>91.155526962273754</v>
      </c>
    </row>
    <row r="57" spans="6:12" x14ac:dyDescent="0.3">
      <c r="F57" s="50">
        <v>38749</v>
      </c>
      <c r="G57" s="53">
        <v>80.2</v>
      </c>
      <c r="J57" s="54">
        <v>91.158369242521673</v>
      </c>
      <c r="K57" s="54"/>
      <c r="L57" s="54">
        <v>91.158369242521673</v>
      </c>
    </row>
    <row r="58" spans="6:12" x14ac:dyDescent="0.3">
      <c r="F58" s="50">
        <v>38777</v>
      </c>
      <c r="G58" s="53">
        <v>92.4</v>
      </c>
      <c r="J58" s="54">
        <v>91.161211522769591</v>
      </c>
      <c r="K58" s="54"/>
      <c r="L58" s="54">
        <v>91.161211522769591</v>
      </c>
    </row>
    <row r="59" spans="6:12" x14ac:dyDescent="0.3">
      <c r="F59" s="50">
        <v>38808</v>
      </c>
      <c r="G59" s="53">
        <v>85.7</v>
      </c>
      <c r="J59" s="54">
        <v>91.164053803017509</v>
      </c>
      <c r="K59" s="54"/>
      <c r="L59" s="54">
        <v>91.164053803017509</v>
      </c>
    </row>
    <row r="60" spans="6:12" x14ac:dyDescent="0.3">
      <c r="F60" s="50">
        <v>38838</v>
      </c>
      <c r="G60" s="53">
        <v>95.4</v>
      </c>
      <c r="J60" s="54">
        <v>91.166896083265428</v>
      </c>
      <c r="K60" s="54"/>
      <c r="L60" s="54">
        <v>91.166896083265428</v>
      </c>
    </row>
    <row r="61" spans="6:12" x14ac:dyDescent="0.3">
      <c r="F61" s="50">
        <v>38869</v>
      </c>
      <c r="G61" s="53">
        <v>91.1</v>
      </c>
      <c r="J61" s="54">
        <v>91.169738363513346</v>
      </c>
      <c r="K61" s="54"/>
      <c r="L61" s="54">
        <v>91.169738363513346</v>
      </c>
    </row>
    <row r="62" spans="6:12" x14ac:dyDescent="0.3">
      <c r="F62" s="50">
        <v>38899</v>
      </c>
      <c r="G62" s="53">
        <v>93.8</v>
      </c>
      <c r="J62" s="54">
        <v>91.172580643761279</v>
      </c>
      <c r="K62" s="54"/>
      <c r="L62" s="54">
        <v>91.172580643761279</v>
      </c>
    </row>
    <row r="63" spans="6:12" x14ac:dyDescent="0.3">
      <c r="F63" s="50">
        <v>38930</v>
      </c>
      <c r="G63" s="53">
        <v>98.6</v>
      </c>
      <c r="J63" s="54">
        <v>91.175422924009197</v>
      </c>
      <c r="K63" s="54"/>
      <c r="L63" s="54">
        <v>91.175422924009197</v>
      </c>
    </row>
    <row r="64" spans="6:12" x14ac:dyDescent="0.3">
      <c r="F64" s="50">
        <v>38961</v>
      </c>
      <c r="G64" s="53">
        <v>93.2</v>
      </c>
      <c r="J64" s="54">
        <v>91.178265204257116</v>
      </c>
      <c r="K64" s="54"/>
      <c r="L64" s="54">
        <v>91.178265204257116</v>
      </c>
    </row>
    <row r="65" spans="6:12" x14ac:dyDescent="0.3">
      <c r="F65" s="50">
        <v>38991</v>
      </c>
      <c r="G65" s="53">
        <v>97.5</v>
      </c>
      <c r="J65" s="54">
        <v>91.181107484505034</v>
      </c>
      <c r="K65" s="54"/>
      <c r="L65" s="54">
        <v>91.181107484505034</v>
      </c>
    </row>
    <row r="66" spans="6:12" x14ac:dyDescent="0.3">
      <c r="F66" s="50">
        <v>39022</v>
      </c>
      <c r="G66" s="53">
        <v>95.9</v>
      </c>
      <c r="J66" s="54">
        <v>91.183949764752953</v>
      </c>
      <c r="K66" s="54"/>
      <c r="L66" s="54">
        <v>91.183949764752953</v>
      </c>
    </row>
    <row r="67" spans="6:12" x14ac:dyDescent="0.3">
      <c r="F67" s="50">
        <v>39052</v>
      </c>
      <c r="G67" s="53">
        <v>87</v>
      </c>
      <c r="J67" s="54">
        <v>91.186792045000871</v>
      </c>
      <c r="K67" s="54"/>
      <c r="L67" s="54">
        <v>91.186792045000871</v>
      </c>
    </row>
    <row r="68" spans="6:12" x14ac:dyDescent="0.3">
      <c r="F68" s="50">
        <v>39083</v>
      </c>
      <c r="G68" s="53">
        <v>87</v>
      </c>
      <c r="J68" s="54">
        <v>91.189634325248804</v>
      </c>
      <c r="K68" s="54"/>
      <c r="L68" s="54">
        <v>91.189634325248804</v>
      </c>
    </row>
    <row r="69" spans="6:12" x14ac:dyDescent="0.3">
      <c r="F69" s="50">
        <v>39114</v>
      </c>
      <c r="G69" s="53">
        <v>82.6</v>
      </c>
      <c r="J69" s="54">
        <v>91.192476605496722</v>
      </c>
      <c r="K69" s="54"/>
      <c r="L69" s="54">
        <v>91.192476605496722</v>
      </c>
    </row>
    <row r="70" spans="6:12" x14ac:dyDescent="0.3">
      <c r="F70" s="50">
        <v>39142</v>
      </c>
      <c r="G70" s="53">
        <v>96.4</v>
      </c>
      <c r="J70" s="54">
        <v>91.195318885744641</v>
      </c>
      <c r="K70" s="54"/>
      <c r="L70" s="54">
        <v>91.195318885744641</v>
      </c>
    </row>
    <row r="71" spans="6:12" x14ac:dyDescent="0.3">
      <c r="F71" s="50">
        <v>39173</v>
      </c>
      <c r="G71" s="53">
        <v>90.6</v>
      </c>
      <c r="J71" s="54">
        <v>91.198161165992559</v>
      </c>
      <c r="K71" s="54"/>
      <c r="L71" s="54">
        <v>91.198161165992559</v>
      </c>
    </row>
    <row r="72" spans="6:12" x14ac:dyDescent="0.3">
      <c r="F72" s="50">
        <v>39203</v>
      </c>
      <c r="G72" s="53">
        <v>99.9</v>
      </c>
      <c r="J72" s="54">
        <v>91.201003446240478</v>
      </c>
      <c r="K72" s="54"/>
      <c r="L72" s="54">
        <v>91.201003446240478</v>
      </c>
    </row>
    <row r="73" spans="6:12" x14ac:dyDescent="0.3">
      <c r="F73" s="50">
        <v>39234</v>
      </c>
      <c r="G73" s="53">
        <v>96.9</v>
      </c>
      <c r="J73" s="54">
        <v>91.203845726488396</v>
      </c>
      <c r="K73" s="54"/>
      <c r="L73" s="54">
        <v>91.203845726488396</v>
      </c>
    </row>
    <row r="74" spans="6:12" x14ac:dyDescent="0.3">
      <c r="F74" s="50">
        <v>39264</v>
      </c>
      <c r="G74" s="53">
        <v>99.8</v>
      </c>
      <c r="J74" s="54">
        <v>91.206688006736314</v>
      </c>
      <c r="K74" s="54"/>
      <c r="L74" s="54">
        <v>91.206688006736314</v>
      </c>
    </row>
    <row r="75" spans="6:12" x14ac:dyDescent="0.3">
      <c r="F75" s="50">
        <v>39295</v>
      </c>
      <c r="G75" s="53">
        <v>104.9</v>
      </c>
      <c r="J75" s="54">
        <v>91.209530286984247</v>
      </c>
      <c r="K75" s="54"/>
      <c r="L75" s="54">
        <v>91.209530286984247</v>
      </c>
    </row>
    <row r="76" spans="6:12" x14ac:dyDescent="0.3">
      <c r="F76" s="50">
        <v>39326</v>
      </c>
      <c r="G76" s="53">
        <v>98.4</v>
      </c>
      <c r="J76" s="54">
        <v>91.212372567232165</v>
      </c>
      <c r="K76" s="54"/>
      <c r="L76" s="54">
        <v>91.212372567232165</v>
      </c>
    </row>
    <row r="77" spans="6:12" x14ac:dyDescent="0.3">
      <c r="F77" s="50">
        <v>39356</v>
      </c>
      <c r="G77" s="53">
        <v>107.8</v>
      </c>
      <c r="J77" s="54">
        <v>91.215214847480084</v>
      </c>
      <c r="K77" s="54"/>
      <c r="L77" s="54">
        <v>91.215214847480084</v>
      </c>
    </row>
    <row r="78" spans="6:12" x14ac:dyDescent="0.3">
      <c r="F78" s="50">
        <v>39387</v>
      </c>
      <c r="G78" s="53">
        <v>102.4</v>
      </c>
      <c r="J78" s="54">
        <v>91.218057127728002</v>
      </c>
      <c r="K78" s="54"/>
      <c r="L78" s="54">
        <v>91.218057127728002</v>
      </c>
    </row>
    <row r="79" spans="6:12" x14ac:dyDescent="0.3">
      <c r="F79" s="50">
        <v>39417</v>
      </c>
      <c r="G79" s="53">
        <v>92.6</v>
      </c>
      <c r="J79" s="54">
        <v>91.220899407975921</v>
      </c>
      <c r="K79" s="54"/>
      <c r="L79" s="54">
        <v>91.220899407975921</v>
      </c>
    </row>
    <row r="80" spans="6:12" x14ac:dyDescent="0.3">
      <c r="F80" s="50">
        <v>39448</v>
      </c>
      <c r="G80" s="53">
        <v>94.8</v>
      </c>
      <c r="J80" s="54">
        <v>91.223741688223839</v>
      </c>
      <c r="K80" s="54"/>
      <c r="L80" s="54">
        <v>91.223741688223839</v>
      </c>
    </row>
    <row r="81" spans="6:12" x14ac:dyDescent="0.3">
      <c r="F81" s="50">
        <v>39479</v>
      </c>
      <c r="G81" s="53">
        <v>91.1</v>
      </c>
      <c r="J81" s="54">
        <v>91.226583968471772</v>
      </c>
      <c r="K81" s="54"/>
      <c r="L81" s="54">
        <v>91.226583968471772</v>
      </c>
    </row>
    <row r="82" spans="6:12" x14ac:dyDescent="0.3">
      <c r="F82" s="50">
        <v>39508</v>
      </c>
      <c r="G82" s="53">
        <v>97.7</v>
      </c>
      <c r="J82" s="54">
        <v>91.22942624871969</v>
      </c>
      <c r="K82" s="54"/>
      <c r="L82" s="54">
        <v>91.22942624871969</v>
      </c>
    </row>
    <row r="83" spans="6:12" x14ac:dyDescent="0.3">
      <c r="F83" s="50">
        <v>39539</v>
      </c>
      <c r="G83" s="53">
        <v>99.2</v>
      </c>
      <c r="J83" s="54">
        <v>91.232268528967609</v>
      </c>
      <c r="K83" s="54"/>
      <c r="L83" s="54">
        <v>91.232268528967609</v>
      </c>
    </row>
    <row r="84" spans="6:12" x14ac:dyDescent="0.3">
      <c r="F84" s="50">
        <v>39569</v>
      </c>
      <c r="G84" s="53">
        <v>102.5</v>
      </c>
      <c r="J84" s="54">
        <v>91.235110809215527</v>
      </c>
      <c r="K84" s="54"/>
      <c r="L84" s="54">
        <v>91.235110809215527</v>
      </c>
    </row>
    <row r="85" spans="6:12" x14ac:dyDescent="0.3">
      <c r="F85" s="50">
        <v>39600</v>
      </c>
      <c r="G85" s="53">
        <v>103.3</v>
      </c>
      <c r="J85" s="54">
        <v>91.237953089463446</v>
      </c>
      <c r="K85" s="54"/>
      <c r="L85" s="54">
        <v>91.237953089463446</v>
      </c>
    </row>
    <row r="86" spans="6:12" x14ac:dyDescent="0.3">
      <c r="F86" s="50">
        <v>39630</v>
      </c>
      <c r="G86" s="53">
        <v>108.5</v>
      </c>
      <c r="J86" s="54">
        <v>91.240795369711364</v>
      </c>
      <c r="K86" s="54"/>
      <c r="L86" s="54">
        <v>91.240795369711364</v>
      </c>
    </row>
    <row r="87" spans="6:12" x14ac:dyDescent="0.3">
      <c r="F87" s="50">
        <v>39661</v>
      </c>
      <c r="G87" s="53">
        <v>106.9</v>
      </c>
      <c r="J87" s="54">
        <v>91.243637649959282</v>
      </c>
      <c r="K87" s="54"/>
      <c r="L87" s="54">
        <v>91.243637649959282</v>
      </c>
    </row>
    <row r="88" spans="6:12" x14ac:dyDescent="0.3">
      <c r="F88" s="50">
        <v>39692</v>
      </c>
      <c r="G88" s="53">
        <v>107.3</v>
      </c>
      <c r="J88" s="54">
        <v>91.246479930207215</v>
      </c>
      <c r="K88" s="54"/>
      <c r="L88" s="54">
        <v>91.246479930207215</v>
      </c>
    </row>
    <row r="89" spans="6:12" x14ac:dyDescent="0.3">
      <c r="F89" s="50">
        <v>39722</v>
      </c>
      <c r="G89" s="53">
        <v>108.4</v>
      </c>
      <c r="J89" s="54">
        <v>91.249322210455134</v>
      </c>
      <c r="K89" s="54"/>
      <c r="L89" s="54">
        <v>91.249322210455134</v>
      </c>
    </row>
    <row r="90" spans="6:12" x14ac:dyDescent="0.3">
      <c r="F90" s="50">
        <v>39753</v>
      </c>
      <c r="G90" s="53">
        <v>96.2</v>
      </c>
      <c r="J90" s="54">
        <v>91.252164490703052</v>
      </c>
      <c r="K90" s="54"/>
      <c r="L90" s="54">
        <v>91.252164490703052</v>
      </c>
    </row>
    <row r="91" spans="6:12" x14ac:dyDescent="0.3">
      <c r="F91" s="50">
        <v>39783</v>
      </c>
      <c r="G91" s="53">
        <v>79.099999999999994</v>
      </c>
      <c r="J91" s="54">
        <v>91.25500677095097</v>
      </c>
      <c r="K91" s="54"/>
      <c r="L91" s="54">
        <v>91.25500677095097</v>
      </c>
    </row>
    <row r="92" spans="6:12" x14ac:dyDescent="0.3">
      <c r="F92" s="50">
        <v>39814</v>
      </c>
      <c r="G92" s="53">
        <v>78.7</v>
      </c>
      <c r="J92" s="54">
        <v>91.257849051198889</v>
      </c>
      <c r="K92" s="54"/>
      <c r="L92" s="54">
        <v>91.257849051198889</v>
      </c>
    </row>
    <row r="93" spans="6:12" x14ac:dyDescent="0.3">
      <c r="F93" s="50">
        <v>39845</v>
      </c>
      <c r="G93" s="53">
        <v>76.099999999999994</v>
      </c>
      <c r="J93" s="54">
        <v>91.260691331446807</v>
      </c>
      <c r="K93" s="54"/>
      <c r="L93" s="54">
        <v>91.260691331446807</v>
      </c>
    </row>
    <row r="94" spans="6:12" x14ac:dyDescent="0.3">
      <c r="F94" s="50">
        <v>39873</v>
      </c>
      <c r="G94" s="53">
        <v>88.6</v>
      </c>
      <c r="J94" s="54">
        <v>91.26353361169474</v>
      </c>
      <c r="K94" s="54"/>
      <c r="L94" s="54">
        <v>91.26353361169474</v>
      </c>
    </row>
    <row r="95" spans="6:12" x14ac:dyDescent="0.3">
      <c r="F95" s="50">
        <v>39904</v>
      </c>
      <c r="G95" s="53">
        <v>85.2</v>
      </c>
      <c r="J95" s="54">
        <v>91.266375891942658</v>
      </c>
      <c r="K95" s="54"/>
      <c r="L95" s="54">
        <v>91.266375891942658</v>
      </c>
    </row>
    <row r="96" spans="6:12" x14ac:dyDescent="0.3">
      <c r="F96" s="50">
        <v>39934</v>
      </c>
      <c r="G96" s="53">
        <v>91.3</v>
      </c>
      <c r="J96" s="54">
        <v>91.269218172190577</v>
      </c>
      <c r="K96" s="54"/>
      <c r="L96" s="54">
        <v>91.269218172190577</v>
      </c>
    </row>
    <row r="97" spans="6:12" x14ac:dyDescent="0.3">
      <c r="F97" s="50">
        <v>39965</v>
      </c>
      <c r="G97" s="53">
        <v>92.2</v>
      </c>
      <c r="J97" s="54">
        <v>91.272060452438495</v>
      </c>
      <c r="K97" s="54"/>
      <c r="L97" s="54">
        <v>91.272060452438495</v>
      </c>
    </row>
    <row r="98" spans="6:12" x14ac:dyDescent="0.3">
      <c r="F98" s="50">
        <v>39995</v>
      </c>
      <c r="G98" s="53">
        <v>97.7</v>
      </c>
      <c r="J98" s="54">
        <v>91.274902732686414</v>
      </c>
      <c r="K98" s="54"/>
      <c r="L98" s="54">
        <v>91.274902732686414</v>
      </c>
    </row>
    <row r="99" spans="6:12" x14ac:dyDescent="0.3">
      <c r="F99" s="50">
        <v>40026</v>
      </c>
      <c r="G99" s="53">
        <v>99.6</v>
      </c>
      <c r="J99" s="54">
        <v>91.277745012934332</v>
      </c>
      <c r="K99" s="54"/>
      <c r="L99" s="54">
        <v>91.277745012934332</v>
      </c>
    </row>
    <row r="100" spans="6:12" x14ac:dyDescent="0.3">
      <c r="F100" s="50">
        <v>40057</v>
      </c>
      <c r="G100" s="53">
        <v>99.4</v>
      </c>
      <c r="J100" s="54">
        <v>91.280587293182265</v>
      </c>
      <c r="K100" s="54"/>
      <c r="L100" s="54">
        <v>91.280587293182265</v>
      </c>
    </row>
    <row r="101" spans="6:12" x14ac:dyDescent="0.3">
      <c r="F101" s="50">
        <v>40087</v>
      </c>
      <c r="G101" s="53">
        <v>105.6</v>
      </c>
      <c r="J101" s="54">
        <v>91.283429573430183</v>
      </c>
      <c r="K101" s="54"/>
      <c r="L101" s="54">
        <v>91.283429573430183</v>
      </c>
    </row>
    <row r="102" spans="6:12" x14ac:dyDescent="0.3">
      <c r="F102" s="50">
        <v>40118</v>
      </c>
      <c r="G102" s="53">
        <v>101.4</v>
      </c>
      <c r="J102" s="54">
        <v>91.286271853678102</v>
      </c>
      <c r="K102" s="54"/>
      <c r="L102" s="54">
        <v>91.286271853678102</v>
      </c>
    </row>
    <row r="103" spans="6:12" x14ac:dyDescent="0.3">
      <c r="F103" s="50">
        <v>40148</v>
      </c>
      <c r="G103" s="53">
        <v>94.1</v>
      </c>
      <c r="J103" s="54">
        <v>91.28911413392602</v>
      </c>
      <c r="K103" s="54"/>
      <c r="L103" s="54">
        <v>91.28911413392602</v>
      </c>
    </row>
    <row r="104" spans="6:12" x14ac:dyDescent="0.3">
      <c r="F104" s="50">
        <v>40179</v>
      </c>
      <c r="G104" s="53">
        <v>91.2</v>
      </c>
      <c r="J104" s="54">
        <v>91.291956414173939</v>
      </c>
      <c r="K104" s="54"/>
      <c r="L104" s="54">
        <v>91.291956414173939</v>
      </c>
    </row>
    <row r="105" spans="6:12" x14ac:dyDescent="0.3">
      <c r="F105" s="50">
        <v>40210</v>
      </c>
      <c r="G105" s="53">
        <v>89</v>
      </c>
      <c r="J105" s="54">
        <v>91.294798694421857</v>
      </c>
      <c r="K105" s="54"/>
      <c r="L105" s="54">
        <v>91.294798694421857</v>
      </c>
    </row>
    <row r="106" spans="6:12" x14ac:dyDescent="0.3">
      <c r="F106" s="50">
        <v>40238</v>
      </c>
      <c r="G106" s="53">
        <v>105.1</v>
      </c>
      <c r="J106" s="54">
        <v>91.297640974669775</v>
      </c>
      <c r="K106" s="54"/>
      <c r="L106" s="54">
        <v>91.297640974669775</v>
      </c>
    </row>
    <row r="107" spans="6:12" x14ac:dyDescent="0.3">
      <c r="F107" s="50">
        <v>40269</v>
      </c>
      <c r="G107" s="53">
        <v>99.3</v>
      </c>
      <c r="J107" s="54">
        <v>91.300483254917708</v>
      </c>
      <c r="K107" s="54"/>
      <c r="L107" s="54">
        <v>91.300483254917708</v>
      </c>
    </row>
    <row r="108" spans="6:12" x14ac:dyDescent="0.3">
      <c r="F108" s="50">
        <v>40299</v>
      </c>
      <c r="G108" s="53">
        <v>104.3</v>
      </c>
      <c r="J108" s="54">
        <v>91.303325535165627</v>
      </c>
      <c r="K108" s="54"/>
      <c r="L108" s="54">
        <v>91.303325535165627</v>
      </c>
    </row>
    <row r="109" spans="6:12" x14ac:dyDescent="0.3">
      <c r="F109" s="50">
        <v>40330</v>
      </c>
      <c r="G109" s="53">
        <v>102.5</v>
      </c>
      <c r="J109" s="54">
        <v>91.306167815413545</v>
      </c>
      <c r="K109" s="54"/>
      <c r="L109" s="54">
        <v>91.306167815413545</v>
      </c>
    </row>
    <row r="110" spans="6:12" x14ac:dyDescent="0.3">
      <c r="F110" s="50">
        <v>40360</v>
      </c>
      <c r="G110" s="53">
        <v>106.9</v>
      </c>
      <c r="J110" s="54">
        <v>91.309010095661463</v>
      </c>
      <c r="K110" s="54"/>
      <c r="L110" s="54">
        <v>91.309010095661463</v>
      </c>
    </row>
    <row r="111" spans="6:12" x14ac:dyDescent="0.3">
      <c r="F111" s="50">
        <v>40391</v>
      </c>
      <c r="G111" s="53">
        <v>108.1</v>
      </c>
      <c r="J111" s="54">
        <v>91.311852375909382</v>
      </c>
      <c r="K111" s="54"/>
      <c r="L111" s="54">
        <v>91.311852375909382</v>
      </c>
    </row>
    <row r="112" spans="6:12" x14ac:dyDescent="0.3">
      <c r="F112" s="50">
        <v>40422</v>
      </c>
      <c r="G112" s="53">
        <v>105.8</v>
      </c>
      <c r="J112" s="54">
        <v>91.3146946561573</v>
      </c>
      <c r="K112" s="54"/>
      <c r="L112" s="54">
        <v>91.3146946561573</v>
      </c>
    </row>
    <row r="113" spans="6:12" x14ac:dyDescent="0.3">
      <c r="F113" s="50">
        <v>40452</v>
      </c>
      <c r="G113" s="53">
        <v>107.7</v>
      </c>
      <c r="J113" s="54">
        <v>91.317536936405233</v>
      </c>
      <c r="K113" s="54"/>
      <c r="L113" s="54">
        <v>91.317536936405233</v>
      </c>
    </row>
    <row r="114" spans="6:12" x14ac:dyDescent="0.3">
      <c r="F114" s="50">
        <v>40483</v>
      </c>
      <c r="G114" s="53">
        <v>106.8</v>
      </c>
      <c r="J114" s="54">
        <v>91.320379216653151</v>
      </c>
      <c r="K114" s="54"/>
      <c r="L114" s="54">
        <v>91.320379216653151</v>
      </c>
    </row>
    <row r="115" spans="6:12" x14ac:dyDescent="0.3">
      <c r="F115" s="50">
        <v>40513</v>
      </c>
      <c r="G115" s="53">
        <v>96.6</v>
      </c>
      <c r="J115" s="54">
        <v>91.32322149690107</v>
      </c>
      <c r="K115" s="54"/>
      <c r="L115" s="54">
        <v>91.32322149690107</v>
      </c>
    </row>
    <row r="116" spans="6:12" x14ac:dyDescent="0.3">
      <c r="F116" s="50">
        <v>40544</v>
      </c>
      <c r="G116" s="53">
        <v>93.2</v>
      </c>
      <c r="J116" s="54">
        <v>91.326063777148988</v>
      </c>
      <c r="K116" s="54"/>
      <c r="L116" s="54">
        <v>91.326063777148988</v>
      </c>
    </row>
    <row r="117" spans="6:12" x14ac:dyDescent="0.3">
      <c r="F117" s="50">
        <v>40575</v>
      </c>
      <c r="G117" s="53">
        <v>95.4</v>
      </c>
      <c r="J117" s="54">
        <v>91.328906057396907</v>
      </c>
      <c r="K117" s="54"/>
      <c r="L117" s="54">
        <v>91.328906057396907</v>
      </c>
    </row>
    <row r="118" spans="6:12" x14ac:dyDescent="0.3">
      <c r="F118" s="50">
        <v>40603</v>
      </c>
      <c r="G118" s="53">
        <v>104.4</v>
      </c>
      <c r="J118" s="54">
        <v>91.331748337644825</v>
      </c>
      <c r="K118" s="54"/>
      <c r="L118" s="54">
        <v>91.331748337644825</v>
      </c>
    </row>
    <row r="119" spans="6:12" x14ac:dyDescent="0.3">
      <c r="F119" s="50">
        <v>40634</v>
      </c>
      <c r="G119" s="53">
        <v>97.5</v>
      </c>
      <c r="J119" s="54">
        <v>91.334590617892758</v>
      </c>
      <c r="K119" s="54"/>
      <c r="L119" s="54">
        <v>91.334590617892758</v>
      </c>
    </row>
    <row r="120" spans="6:12" x14ac:dyDescent="0.3">
      <c r="F120" s="50">
        <v>40664</v>
      </c>
      <c r="G120" s="53">
        <v>107.1</v>
      </c>
      <c r="J120" s="54">
        <v>91.337432898140676</v>
      </c>
      <c r="K120" s="54"/>
      <c r="L120" s="54">
        <v>91.337432898140676</v>
      </c>
    </row>
    <row r="121" spans="6:12" x14ac:dyDescent="0.3">
      <c r="F121" s="50">
        <v>40695</v>
      </c>
      <c r="G121" s="53">
        <v>102.8</v>
      </c>
      <c r="J121" s="54">
        <v>91.340275178388595</v>
      </c>
      <c r="K121" s="54"/>
      <c r="L121" s="54">
        <v>91.340275178388595</v>
      </c>
    </row>
    <row r="122" spans="6:12" x14ac:dyDescent="0.3">
      <c r="F122" s="50">
        <v>40725</v>
      </c>
      <c r="G122" s="53">
        <v>106.1</v>
      </c>
      <c r="J122" s="54">
        <v>91.343117458636513</v>
      </c>
      <c r="K122" s="54"/>
      <c r="L122" s="54">
        <v>91.343117458636513</v>
      </c>
    </row>
    <row r="123" spans="6:12" x14ac:dyDescent="0.3">
      <c r="F123" s="50">
        <v>40756</v>
      </c>
      <c r="G123" s="53">
        <v>110.8</v>
      </c>
      <c r="J123" s="54">
        <v>91.345959738884432</v>
      </c>
      <c r="K123" s="54"/>
      <c r="L123" s="54">
        <v>91.345959738884432</v>
      </c>
    </row>
    <row r="124" spans="6:12" x14ac:dyDescent="0.3">
      <c r="F124" s="50">
        <v>40787</v>
      </c>
      <c r="G124" s="53">
        <v>104.8</v>
      </c>
      <c r="J124" s="54">
        <v>91.34880201913235</v>
      </c>
      <c r="K124" s="54"/>
      <c r="L124" s="54">
        <v>91.34880201913235</v>
      </c>
    </row>
    <row r="125" spans="6:12" x14ac:dyDescent="0.3">
      <c r="F125" s="50">
        <v>40817</v>
      </c>
      <c r="G125" s="53">
        <v>106.3</v>
      </c>
      <c r="J125" s="54">
        <v>91.351644299380268</v>
      </c>
      <c r="K125" s="54"/>
      <c r="L125" s="54">
        <v>91.351644299380268</v>
      </c>
    </row>
    <row r="126" spans="6:12" x14ac:dyDescent="0.3">
      <c r="F126" s="50">
        <v>40848</v>
      </c>
      <c r="G126" s="53">
        <v>104.2</v>
      </c>
      <c r="J126" s="54">
        <v>91.354486579628201</v>
      </c>
      <c r="K126" s="54"/>
      <c r="L126" s="54">
        <v>91.354486579628201</v>
      </c>
    </row>
    <row r="127" spans="6:12" x14ac:dyDescent="0.3">
      <c r="F127" s="50">
        <v>40878</v>
      </c>
      <c r="G127" s="53">
        <v>95.7</v>
      </c>
      <c r="J127" s="54">
        <v>91.35732885987612</v>
      </c>
      <c r="K127" s="54"/>
      <c r="L127" s="54">
        <v>91.35732885987612</v>
      </c>
    </row>
    <row r="128" spans="6:12" x14ac:dyDescent="0.3">
      <c r="F128" s="50">
        <v>40909</v>
      </c>
      <c r="G128" s="53">
        <v>88.7</v>
      </c>
      <c r="J128" s="54">
        <v>91.360171140124038</v>
      </c>
      <c r="K128" s="54"/>
      <c r="L128" s="54">
        <v>91.360171140124038</v>
      </c>
    </row>
    <row r="129" spans="6:12" x14ac:dyDescent="0.3">
      <c r="F129" s="50">
        <v>40940</v>
      </c>
      <c r="G129" s="53">
        <v>89.8</v>
      </c>
      <c r="J129" s="54">
        <v>91.363013420371956</v>
      </c>
      <c r="K129" s="54"/>
      <c r="L129" s="54">
        <v>91.363013420371956</v>
      </c>
    </row>
    <row r="130" spans="6:12" x14ac:dyDescent="0.3">
      <c r="F130" s="50">
        <v>40969</v>
      </c>
      <c r="G130" s="53">
        <v>99.7</v>
      </c>
      <c r="J130" s="54">
        <v>91.365855700619875</v>
      </c>
      <c r="K130" s="54"/>
      <c r="L130" s="54">
        <v>91.365855700619875</v>
      </c>
    </row>
    <row r="131" spans="6:12" x14ac:dyDescent="0.3">
      <c r="F131" s="50">
        <v>41000</v>
      </c>
      <c r="G131" s="53">
        <v>92.8</v>
      </c>
      <c r="J131" s="54">
        <v>91.368697980867793</v>
      </c>
      <c r="K131" s="54"/>
      <c r="L131" s="54">
        <v>91.368697980867793</v>
      </c>
    </row>
    <row r="132" spans="6:12" x14ac:dyDescent="0.3">
      <c r="F132" s="50">
        <v>41030</v>
      </c>
      <c r="G132" s="53">
        <v>102.5</v>
      </c>
      <c r="J132" s="54">
        <v>91.371540261115726</v>
      </c>
      <c r="K132" s="54"/>
      <c r="L132" s="54">
        <v>91.371540261115726</v>
      </c>
    </row>
    <row r="133" spans="6:12" x14ac:dyDescent="0.3">
      <c r="F133" s="50">
        <v>41061</v>
      </c>
      <c r="G133" s="53">
        <v>98.3</v>
      </c>
      <c r="J133" s="54">
        <v>91.374382541363644</v>
      </c>
      <c r="K133" s="54"/>
      <c r="L133" s="54">
        <v>91.374382541363644</v>
      </c>
    </row>
    <row r="134" spans="6:12" x14ac:dyDescent="0.3">
      <c r="F134" s="50">
        <v>41091</v>
      </c>
      <c r="G134" s="53">
        <v>104.5</v>
      </c>
      <c r="J134" s="54">
        <v>91.377224821611563</v>
      </c>
      <c r="K134" s="54"/>
      <c r="L134" s="54">
        <v>91.377224821611563</v>
      </c>
    </row>
    <row r="135" spans="6:12" x14ac:dyDescent="0.3">
      <c r="F135" s="50">
        <v>41122</v>
      </c>
      <c r="G135" s="53">
        <v>111.5</v>
      </c>
      <c r="J135" s="54">
        <v>91.380067101859481</v>
      </c>
      <c r="K135" s="54"/>
      <c r="L135" s="54">
        <v>91.380067101859481</v>
      </c>
    </row>
    <row r="136" spans="6:12" x14ac:dyDescent="0.3">
      <c r="F136" s="50">
        <v>41153</v>
      </c>
      <c r="G136" s="53">
        <v>103.4</v>
      </c>
      <c r="J136" s="54">
        <v>91.3829093821074</v>
      </c>
      <c r="K136" s="54"/>
      <c r="L136" s="54">
        <v>91.3829093821074</v>
      </c>
    </row>
    <row r="137" spans="6:12" x14ac:dyDescent="0.3">
      <c r="F137" s="50">
        <v>41183</v>
      </c>
      <c r="G137" s="53">
        <v>111.8</v>
      </c>
      <c r="J137" s="54">
        <v>91.385751662355318</v>
      </c>
      <c r="K137" s="54"/>
      <c r="L137" s="54">
        <v>91.385751662355318</v>
      </c>
    </row>
    <row r="138" spans="6:12" x14ac:dyDescent="0.3">
      <c r="F138" s="50">
        <v>41214</v>
      </c>
      <c r="G138" s="53">
        <v>104.8</v>
      </c>
      <c r="J138" s="54">
        <v>91.388593942603237</v>
      </c>
      <c r="K138" s="54"/>
      <c r="L138" s="54">
        <v>91.388593942603237</v>
      </c>
    </row>
    <row r="139" spans="6:12" x14ac:dyDescent="0.3">
      <c r="F139" s="50">
        <v>41244</v>
      </c>
      <c r="G139" s="53">
        <v>92.2</v>
      </c>
      <c r="J139" s="54">
        <v>91.391436222851169</v>
      </c>
      <c r="K139" s="54"/>
      <c r="L139" s="54">
        <v>91.391436222851169</v>
      </c>
    </row>
    <row r="140" spans="6:12" x14ac:dyDescent="0.3">
      <c r="F140" s="50">
        <v>41275</v>
      </c>
      <c r="G140" s="53">
        <v>94.5</v>
      </c>
      <c r="J140" s="54">
        <v>91.394278503099088</v>
      </c>
      <c r="K140" s="54"/>
      <c r="L140" s="54">
        <v>91.394278503099088</v>
      </c>
    </row>
    <row r="141" spans="6:12" x14ac:dyDescent="0.3">
      <c r="F141" s="50">
        <v>41306</v>
      </c>
      <c r="G141" s="53">
        <v>88.1</v>
      </c>
      <c r="J141" s="54">
        <v>91.397120783347006</v>
      </c>
      <c r="K141" s="54"/>
      <c r="L141" s="54">
        <v>91.397120783347006</v>
      </c>
    </row>
    <row r="142" spans="6:12" x14ac:dyDescent="0.3">
      <c r="F142" s="50">
        <v>41334</v>
      </c>
      <c r="G142" s="53">
        <v>97.7</v>
      </c>
      <c r="J142" s="54">
        <v>91.399963063594925</v>
      </c>
      <c r="K142" s="54"/>
      <c r="L142" s="54">
        <v>91.399963063594925</v>
      </c>
    </row>
    <row r="143" spans="6:12" x14ac:dyDescent="0.3">
      <c r="F143" s="50">
        <v>41365</v>
      </c>
      <c r="G143" s="53">
        <v>101.8</v>
      </c>
      <c r="J143" s="54">
        <v>91.402805343842843</v>
      </c>
      <c r="K143" s="54"/>
      <c r="L143" s="54">
        <v>91.402805343842843</v>
      </c>
    </row>
    <row r="144" spans="6:12" x14ac:dyDescent="0.3">
      <c r="F144" s="50">
        <v>41395</v>
      </c>
      <c r="G144" s="53">
        <v>105</v>
      </c>
      <c r="J144" s="54">
        <v>91.405647624090761</v>
      </c>
      <c r="K144" s="54"/>
      <c r="L144" s="54">
        <v>91.405647624090761</v>
      </c>
    </row>
    <row r="145" spans="6:12" x14ac:dyDescent="0.3">
      <c r="F145" s="50">
        <v>41426</v>
      </c>
      <c r="G145" s="53">
        <v>101.7</v>
      </c>
      <c r="J145" s="54">
        <v>91.408489904338694</v>
      </c>
      <c r="K145" s="54"/>
      <c r="L145" s="54">
        <v>91.408489904338694</v>
      </c>
    </row>
    <row r="146" spans="6:12" x14ac:dyDescent="0.3">
      <c r="F146" s="50">
        <v>41456</v>
      </c>
      <c r="G146" s="53">
        <v>108</v>
      </c>
      <c r="J146" s="54">
        <v>91.411332184586612</v>
      </c>
      <c r="K146" s="54"/>
      <c r="L146" s="54">
        <v>91.411332184586612</v>
      </c>
    </row>
    <row r="147" spans="6:12" x14ac:dyDescent="0.3">
      <c r="F147" s="50">
        <v>41487</v>
      </c>
      <c r="G147" s="53">
        <v>112</v>
      </c>
      <c r="J147" s="54">
        <v>91.414174464834531</v>
      </c>
      <c r="K147" s="54"/>
      <c r="L147" s="54">
        <v>91.414174464834531</v>
      </c>
    </row>
    <row r="148" spans="6:12" x14ac:dyDescent="0.3">
      <c r="F148" s="50">
        <v>41518</v>
      </c>
      <c r="G148" s="53">
        <v>107.3</v>
      </c>
      <c r="J148" s="54">
        <v>91.417016745082449</v>
      </c>
      <c r="K148" s="54"/>
      <c r="L148" s="54">
        <v>91.417016745082449</v>
      </c>
    </row>
    <row r="149" spans="6:12" x14ac:dyDescent="0.3">
      <c r="F149" s="50">
        <v>41548</v>
      </c>
      <c r="G149" s="53">
        <v>112.6</v>
      </c>
      <c r="J149" s="54">
        <v>91.419859025330368</v>
      </c>
      <c r="K149" s="54"/>
      <c r="L149" s="54">
        <v>91.419859025330368</v>
      </c>
    </row>
    <row r="150" spans="6:12" x14ac:dyDescent="0.3">
      <c r="F150" s="50">
        <v>41579</v>
      </c>
      <c r="G150" s="53">
        <v>106.1</v>
      </c>
      <c r="J150" s="54">
        <v>91.422701305578286</v>
      </c>
      <c r="K150" s="54"/>
      <c r="L150" s="54">
        <v>91.422701305578286</v>
      </c>
    </row>
    <row r="151" spans="6:12" x14ac:dyDescent="0.3">
      <c r="F151" s="50">
        <v>41609</v>
      </c>
      <c r="G151" s="53">
        <v>90.1</v>
      </c>
      <c r="J151" s="54">
        <v>91.425543585826205</v>
      </c>
      <c r="K151" s="54"/>
      <c r="L151" s="54">
        <v>91.425543585826205</v>
      </c>
    </row>
    <row r="152" spans="6:12" x14ac:dyDescent="0.3">
      <c r="F152" s="50">
        <v>41640</v>
      </c>
      <c r="G152" s="53">
        <v>92.6</v>
      </c>
      <c r="J152" s="54">
        <v>91.428385866074137</v>
      </c>
      <c r="K152" s="54"/>
      <c r="L152" s="54">
        <v>91.428385866074137</v>
      </c>
    </row>
    <row r="153" spans="6:12" x14ac:dyDescent="0.3">
      <c r="F153" s="50">
        <v>41671</v>
      </c>
      <c r="G153" s="53">
        <v>92.3</v>
      </c>
      <c r="J153" s="54">
        <v>91.431228146322056</v>
      </c>
      <c r="K153" s="54"/>
      <c r="L153" s="54">
        <v>91.431228146322056</v>
      </c>
    </row>
    <row r="154" spans="6:12" x14ac:dyDescent="0.3">
      <c r="F154" s="50">
        <v>41699</v>
      </c>
      <c r="G154" s="53">
        <v>97.3</v>
      </c>
      <c r="J154" s="54">
        <v>91.434070426569974</v>
      </c>
      <c r="K154" s="54"/>
      <c r="L154" s="54">
        <v>91.434070426569974</v>
      </c>
    </row>
    <row r="155" spans="6:12" x14ac:dyDescent="0.3">
      <c r="F155" s="50">
        <v>41730</v>
      </c>
      <c r="G155" s="53">
        <v>96</v>
      </c>
      <c r="J155" s="54">
        <v>91.436912706817893</v>
      </c>
      <c r="K155" s="54"/>
      <c r="L155" s="54">
        <v>91.436912706817893</v>
      </c>
    </row>
    <row r="156" spans="6:12" x14ac:dyDescent="0.3">
      <c r="F156" s="50">
        <v>41760</v>
      </c>
      <c r="G156" s="53">
        <v>101.7</v>
      </c>
      <c r="J156" s="54">
        <v>91.439754987065811</v>
      </c>
      <c r="K156" s="54"/>
      <c r="L156" s="54">
        <v>91.439754987065811</v>
      </c>
    </row>
    <row r="157" spans="6:12" x14ac:dyDescent="0.3">
      <c r="F157" s="50">
        <v>41791</v>
      </c>
      <c r="G157" s="53">
        <v>94.9</v>
      </c>
      <c r="J157" s="54">
        <v>91.44259726731373</v>
      </c>
      <c r="K157" s="54"/>
      <c r="L157" s="54">
        <v>91.44259726731373</v>
      </c>
    </row>
    <row r="158" spans="6:12" x14ac:dyDescent="0.3">
      <c r="F158" s="50">
        <v>41821</v>
      </c>
      <c r="G158" s="53">
        <v>104.4</v>
      </c>
      <c r="J158" s="54">
        <v>91.445439547561662</v>
      </c>
      <c r="K158" s="54"/>
      <c r="L158" s="54">
        <v>91.445439547561662</v>
      </c>
    </row>
    <row r="159" spans="6:12" x14ac:dyDescent="0.3">
      <c r="F159" s="50">
        <v>41852</v>
      </c>
      <c r="G159" s="53">
        <v>106.3</v>
      </c>
      <c r="J159" s="54">
        <v>91.448281827809581</v>
      </c>
      <c r="K159" s="54"/>
      <c r="L159" s="54">
        <v>91.448281827809581</v>
      </c>
    </row>
    <row r="160" spans="6:12" x14ac:dyDescent="0.3">
      <c r="F160" s="50">
        <v>41883</v>
      </c>
      <c r="G160" s="53">
        <v>105.6</v>
      </c>
      <c r="J160" s="54">
        <v>91.451124108057499</v>
      </c>
      <c r="K160" s="54"/>
      <c r="L160" s="54">
        <v>91.451124108057499</v>
      </c>
    </row>
    <row r="161" spans="6:12" x14ac:dyDescent="0.3">
      <c r="F161" s="50">
        <v>41913</v>
      </c>
      <c r="G161" s="53">
        <v>109.3</v>
      </c>
      <c r="J161" s="54">
        <v>91.453966388305417</v>
      </c>
      <c r="K161" s="54"/>
      <c r="L161" s="54">
        <v>91.453966388305417</v>
      </c>
    </row>
    <row r="162" spans="6:12" x14ac:dyDescent="0.3">
      <c r="F162" s="50">
        <v>41944</v>
      </c>
      <c r="G162" s="53">
        <v>99.8</v>
      </c>
      <c r="J162" s="54">
        <v>91.456808668553336</v>
      </c>
      <c r="K162" s="54"/>
      <c r="L162" s="54">
        <v>91.456808668553336</v>
      </c>
    </row>
    <row r="163" spans="6:12" x14ac:dyDescent="0.3">
      <c r="F163" s="50">
        <v>41974</v>
      </c>
      <c r="G163" s="53">
        <v>87.7</v>
      </c>
      <c r="J163" s="54">
        <v>91.459650948801254</v>
      </c>
      <c r="K163" s="54"/>
      <c r="L163" s="54">
        <v>91.459650948801254</v>
      </c>
    </row>
    <row r="164" spans="6:12" x14ac:dyDescent="0.3">
      <c r="F164" s="50">
        <v>42005</v>
      </c>
      <c r="G164" s="53">
        <v>88.1</v>
      </c>
      <c r="J164" s="54">
        <v>91.462493229049187</v>
      </c>
      <c r="K164" s="54"/>
      <c r="L164" s="54">
        <v>91.462493229049187</v>
      </c>
    </row>
    <row r="165" spans="6:12" x14ac:dyDescent="0.3">
      <c r="F165" s="50">
        <v>42036</v>
      </c>
      <c r="G165" s="53">
        <v>83.7</v>
      </c>
      <c r="J165" s="54">
        <v>91.465335509297105</v>
      </c>
      <c r="K165" s="54"/>
      <c r="L165" s="54">
        <v>91.465335509297105</v>
      </c>
    </row>
    <row r="166" spans="6:12" x14ac:dyDescent="0.3">
      <c r="F166" s="50">
        <v>42064</v>
      </c>
      <c r="G166" s="53">
        <v>94.3</v>
      </c>
      <c r="J166" s="54">
        <v>91.468177789545024</v>
      </c>
      <c r="K166" s="54"/>
      <c r="L166" s="54">
        <v>91.468177789545024</v>
      </c>
    </row>
    <row r="167" spans="6:12" x14ac:dyDescent="0.3">
      <c r="F167" s="50">
        <v>42095</v>
      </c>
      <c r="G167" s="53">
        <v>88.8</v>
      </c>
      <c r="J167" s="54">
        <v>91.471020069792942</v>
      </c>
      <c r="K167" s="54"/>
      <c r="L167" s="54">
        <v>91.471020069792942</v>
      </c>
    </row>
    <row r="168" spans="6:12" x14ac:dyDescent="0.3">
      <c r="F168" s="50">
        <v>42125</v>
      </c>
      <c r="G168" s="53">
        <v>93.1</v>
      </c>
      <c r="J168" s="54">
        <v>91.473862350040861</v>
      </c>
      <c r="K168" s="54"/>
      <c r="L168" s="54">
        <v>91.473862350040861</v>
      </c>
    </row>
    <row r="169" spans="6:12" x14ac:dyDescent="0.3">
      <c r="F169" s="50">
        <v>42156</v>
      </c>
      <c r="G169" s="53">
        <v>92.5</v>
      </c>
      <c r="J169" s="54">
        <v>91.476704630288779</v>
      </c>
      <c r="K169" s="54"/>
      <c r="L169" s="54">
        <v>91.476704630288779</v>
      </c>
    </row>
    <row r="170" spans="6:12" x14ac:dyDescent="0.3">
      <c r="F170" s="50">
        <v>42186</v>
      </c>
      <c r="G170" s="53">
        <v>95.5</v>
      </c>
      <c r="J170" s="54">
        <v>91.479546910536698</v>
      </c>
      <c r="K170" s="54"/>
      <c r="L170" s="54">
        <v>91.479546910536698</v>
      </c>
    </row>
    <row r="171" spans="6:12" x14ac:dyDescent="0.3">
      <c r="F171" s="50">
        <v>42217</v>
      </c>
      <c r="G171" s="53">
        <v>97.6</v>
      </c>
      <c r="J171" s="54">
        <v>91.48238919078463</v>
      </c>
      <c r="K171" s="54"/>
      <c r="L171" s="54">
        <v>91.48238919078463</v>
      </c>
    </row>
    <row r="172" spans="6:12" x14ac:dyDescent="0.3">
      <c r="F172" s="50">
        <v>42248</v>
      </c>
      <c r="G172" s="53">
        <v>94.3</v>
      </c>
      <c r="J172" s="54">
        <v>91.485231471032549</v>
      </c>
      <c r="K172" s="54"/>
      <c r="L172" s="54">
        <v>91.485231471032549</v>
      </c>
    </row>
    <row r="173" spans="6:12" x14ac:dyDescent="0.3">
      <c r="F173" s="50">
        <v>42278</v>
      </c>
      <c r="G173" s="53">
        <v>97.2</v>
      </c>
      <c r="J173" s="54">
        <v>91.488073751280467</v>
      </c>
      <c r="K173" s="54"/>
      <c r="L173" s="54">
        <v>91.488073751280467</v>
      </c>
    </row>
    <row r="174" spans="6:12" x14ac:dyDescent="0.3">
      <c r="F174" s="50">
        <v>42309</v>
      </c>
      <c r="G174" s="53">
        <v>87.6</v>
      </c>
      <c r="J174" s="54">
        <v>91.490916031528386</v>
      </c>
      <c r="K174" s="54"/>
      <c r="L174" s="54">
        <v>91.490916031528386</v>
      </c>
    </row>
    <row r="175" spans="6:12" x14ac:dyDescent="0.3">
      <c r="F175" s="50">
        <v>42339</v>
      </c>
      <c r="G175" s="53">
        <v>77.2</v>
      </c>
      <c r="J175" s="54">
        <v>91.493758311776304</v>
      </c>
      <c r="K175" s="54"/>
      <c r="L175" s="54">
        <v>91.493758311776304</v>
      </c>
    </row>
    <row r="176" spans="6:12" x14ac:dyDescent="0.3">
      <c r="F176" s="50">
        <v>42370</v>
      </c>
      <c r="G176" s="53">
        <v>76.3</v>
      </c>
      <c r="J176" s="54">
        <v>91.496600592024222</v>
      </c>
      <c r="K176" s="54"/>
      <c r="L176" s="54">
        <v>91.496600592024222</v>
      </c>
    </row>
    <row r="177" spans="6:12" x14ac:dyDescent="0.3">
      <c r="F177" s="50">
        <v>42401</v>
      </c>
      <c r="G177" s="53">
        <v>75.8</v>
      </c>
      <c r="J177" s="54">
        <v>91.499442872272155</v>
      </c>
      <c r="K177" s="54"/>
      <c r="L177" s="54">
        <v>91.499442872272155</v>
      </c>
    </row>
    <row r="178" spans="6:12" x14ac:dyDescent="0.3">
      <c r="F178" s="50">
        <v>42430</v>
      </c>
      <c r="G178" s="53">
        <v>83.7</v>
      </c>
      <c r="J178" s="54">
        <v>91.502285152520074</v>
      </c>
      <c r="K178" s="54"/>
      <c r="L178" s="54">
        <v>91.502285152520074</v>
      </c>
    </row>
    <row r="179" spans="6:12" x14ac:dyDescent="0.3">
      <c r="F179" s="50">
        <v>42461</v>
      </c>
      <c r="G179" s="53">
        <v>83</v>
      </c>
      <c r="J179" s="54">
        <v>91.505127432767992</v>
      </c>
      <c r="K179" s="54"/>
      <c r="L179" s="54">
        <v>91.505127432767992</v>
      </c>
    </row>
    <row r="180" spans="6:12" x14ac:dyDescent="0.3">
      <c r="F180" s="50">
        <v>42491</v>
      </c>
      <c r="G180" s="53">
        <v>86.3</v>
      </c>
      <c r="J180" s="54">
        <v>91.50796971301591</v>
      </c>
      <c r="K180" s="54"/>
      <c r="L180" s="54">
        <v>91.50796971301591</v>
      </c>
    </row>
    <row r="181" spans="6:12" x14ac:dyDescent="0.3">
      <c r="F181" s="50">
        <v>42522</v>
      </c>
      <c r="G181" s="53">
        <v>87.7</v>
      </c>
      <c r="J181" s="54">
        <v>91.510811993263829</v>
      </c>
      <c r="K181" s="54"/>
      <c r="L181" s="54">
        <v>91.510811993263829</v>
      </c>
    </row>
    <row r="182" spans="6:12" x14ac:dyDescent="0.3">
      <c r="F182" s="50">
        <v>42552</v>
      </c>
      <c r="G182" s="53">
        <v>89.6</v>
      </c>
      <c r="J182" s="54">
        <v>91.513654273511747</v>
      </c>
      <c r="K182" s="54"/>
      <c r="L182" s="54">
        <v>91.513654273511747</v>
      </c>
    </row>
    <row r="183" spans="6:12" x14ac:dyDescent="0.3">
      <c r="F183" s="50">
        <v>42583</v>
      </c>
      <c r="G183" s="53">
        <v>93</v>
      </c>
      <c r="J183" s="54">
        <v>91.51649655375968</v>
      </c>
      <c r="K183" s="54"/>
      <c r="L183" s="54">
        <v>91.51649655375968</v>
      </c>
    </row>
    <row r="184" spans="6:12" x14ac:dyDescent="0.3">
      <c r="F184" s="50">
        <v>42614</v>
      </c>
      <c r="G184" s="53">
        <v>90.7</v>
      </c>
      <c r="J184" s="54">
        <v>91.519338834007598</v>
      </c>
      <c r="K184" s="54"/>
      <c r="L184" s="54">
        <v>91.519338834007598</v>
      </c>
    </row>
    <row r="185" spans="6:12" x14ac:dyDescent="0.3">
      <c r="F185" s="50">
        <v>42644</v>
      </c>
      <c r="G185" s="53">
        <v>90.2</v>
      </c>
      <c r="J185" s="54">
        <v>91.522181114255517</v>
      </c>
      <c r="K185" s="54"/>
      <c r="L185" s="54">
        <v>91.522181114255517</v>
      </c>
    </row>
    <row r="186" spans="6:12" x14ac:dyDescent="0.3">
      <c r="F186" s="50">
        <v>42675</v>
      </c>
      <c r="G186" s="53">
        <v>86.5</v>
      </c>
      <c r="J186" s="54">
        <v>91.525023394503435</v>
      </c>
      <c r="K186" s="54"/>
      <c r="L186" s="54">
        <v>91.525023394503435</v>
      </c>
    </row>
    <row r="187" spans="6:12" x14ac:dyDescent="0.3">
      <c r="F187" s="50">
        <v>42705</v>
      </c>
      <c r="G187" s="53">
        <v>77.2</v>
      </c>
      <c r="J187" s="54">
        <v>91.527865674751354</v>
      </c>
      <c r="K187" s="54"/>
      <c r="L187" s="54">
        <v>91.527865674751354</v>
      </c>
    </row>
    <row r="188" spans="6:12" x14ac:dyDescent="0.3">
      <c r="F188" s="50">
        <v>42736</v>
      </c>
      <c r="G188" s="53">
        <v>77.900000000000006</v>
      </c>
      <c r="J188" s="54">
        <v>91.530707954999272</v>
      </c>
      <c r="K188" s="54"/>
      <c r="L188" s="54">
        <v>91.530707954999272</v>
      </c>
    </row>
    <row r="189" spans="6:12" x14ac:dyDescent="0.3">
      <c r="F189" s="50">
        <v>42767</v>
      </c>
      <c r="G189" s="53">
        <v>75.900000000000006</v>
      </c>
      <c r="J189" s="54">
        <v>91.533550235247191</v>
      </c>
      <c r="K189" s="54"/>
      <c r="L189" s="54">
        <v>91.533550235247191</v>
      </c>
    </row>
    <row r="190" spans="6:12" x14ac:dyDescent="0.3">
      <c r="F190" s="50">
        <v>42795</v>
      </c>
      <c r="G190" s="53">
        <v>85.4</v>
      </c>
      <c r="J190" s="54">
        <v>91.536392515495123</v>
      </c>
      <c r="K190" s="54"/>
      <c r="L190" s="54">
        <v>91.536392515495123</v>
      </c>
    </row>
    <row r="191" spans="6:12" x14ac:dyDescent="0.3">
      <c r="F191" s="50">
        <v>42826</v>
      </c>
      <c r="G191" s="53">
        <v>79.3</v>
      </c>
      <c r="J191" s="54">
        <v>91.539234795743042</v>
      </c>
      <c r="K191" s="54"/>
      <c r="L191" s="54">
        <v>91.539234795743042</v>
      </c>
    </row>
    <row r="192" spans="6:12" x14ac:dyDescent="0.3">
      <c r="F192" s="50">
        <v>42856</v>
      </c>
      <c r="G192" s="53">
        <v>90.1</v>
      </c>
      <c r="J192" s="54">
        <v>91.54207707599096</v>
      </c>
      <c r="K192" s="54"/>
      <c r="L192" s="54">
        <v>91.54207707599096</v>
      </c>
    </row>
    <row r="193" spans="6:12" x14ac:dyDescent="0.3">
      <c r="F193" s="50">
        <v>42887</v>
      </c>
      <c r="G193" s="53">
        <v>88.4</v>
      </c>
      <c r="J193" s="54">
        <v>91.544919356238879</v>
      </c>
      <c r="K193" s="54"/>
      <c r="L193" s="54">
        <v>91.544919356238879</v>
      </c>
    </row>
    <row r="194" spans="6:12" x14ac:dyDescent="0.3">
      <c r="F194" s="50">
        <v>42917</v>
      </c>
      <c r="G194" s="53">
        <v>92.1</v>
      </c>
      <c r="J194" s="54">
        <v>91.547761636486797</v>
      </c>
      <c r="K194" s="54"/>
      <c r="L194" s="54">
        <v>91.547761636486797</v>
      </c>
    </row>
    <row r="195" spans="6:12" x14ac:dyDescent="0.3">
      <c r="F195" s="50">
        <v>42948</v>
      </c>
      <c r="G195" s="53">
        <v>96.7</v>
      </c>
      <c r="J195" s="54">
        <v>91.550603916734715</v>
      </c>
      <c r="K195" s="54"/>
      <c r="L195" s="54">
        <v>91.550603916734715</v>
      </c>
    </row>
    <row r="196" spans="6:12" x14ac:dyDescent="0.3">
      <c r="F196" s="50">
        <v>42979</v>
      </c>
      <c r="G196" s="53">
        <v>93</v>
      </c>
      <c r="J196" s="54">
        <v>91.553446196982648</v>
      </c>
      <c r="K196" s="54"/>
      <c r="L196" s="54">
        <v>91.553446196982648</v>
      </c>
    </row>
    <row r="197" spans="6:12" x14ac:dyDescent="0.3">
      <c r="F197" s="50">
        <v>43009</v>
      </c>
      <c r="G197" s="53">
        <v>95.1</v>
      </c>
      <c r="J197" s="54">
        <v>91.556288477230567</v>
      </c>
      <c r="K197" s="54"/>
      <c r="L197" s="54">
        <v>91.556288477230567</v>
      </c>
    </row>
    <row r="198" spans="6:12" x14ac:dyDescent="0.3">
      <c r="F198" s="50">
        <v>43040</v>
      </c>
      <c r="G198" s="53">
        <v>90.6</v>
      </c>
      <c r="J198" s="54">
        <v>91.559130757478485</v>
      </c>
      <c r="K198" s="54"/>
      <c r="L198" s="54">
        <v>91.559130757478485</v>
      </c>
    </row>
    <row r="199" spans="6:12" x14ac:dyDescent="0.3">
      <c r="F199" s="50">
        <v>43070</v>
      </c>
      <c r="G199" s="53">
        <v>81</v>
      </c>
      <c r="J199" s="54">
        <v>91.561973037726403</v>
      </c>
      <c r="K199" s="54"/>
      <c r="L199" s="54">
        <v>91.561973037726403</v>
      </c>
    </row>
    <row r="200" spans="6:12" x14ac:dyDescent="0.3">
      <c r="F200" s="50">
        <v>43101</v>
      </c>
      <c r="G200" s="53">
        <v>82.3</v>
      </c>
      <c r="J200" s="54">
        <v>91.564815317974322</v>
      </c>
      <c r="K200" s="54"/>
      <c r="L200" s="54">
        <v>91.564815317974322</v>
      </c>
    </row>
    <row r="201" spans="6:12" x14ac:dyDescent="0.3">
      <c r="F201" s="50">
        <v>43132</v>
      </c>
      <c r="G201" s="53">
        <v>77.3</v>
      </c>
      <c r="J201" s="54">
        <v>91.56765759822224</v>
      </c>
      <c r="K201" s="54"/>
      <c r="L201" s="54">
        <v>91.56765759822224</v>
      </c>
    </row>
    <row r="202" spans="6:12" x14ac:dyDescent="0.3">
      <c r="F202" s="50">
        <v>43160</v>
      </c>
      <c r="G202" s="53">
        <v>86.2</v>
      </c>
      <c r="J202" s="54">
        <v>91.570499878470159</v>
      </c>
      <c r="K202" s="54"/>
      <c r="L202" s="54">
        <v>91.570499878470159</v>
      </c>
    </row>
    <row r="203" spans="6:12" x14ac:dyDescent="0.3">
      <c r="F203" s="50">
        <v>43191</v>
      </c>
      <c r="G203" s="53">
        <v>86.5</v>
      </c>
      <c r="J203" s="54">
        <v>91.573342158718091</v>
      </c>
      <c r="K203" s="54"/>
      <c r="L203" s="54">
        <v>91.573342158718091</v>
      </c>
    </row>
    <row r="204" spans="6:12" x14ac:dyDescent="0.3">
      <c r="F204" s="50">
        <v>43221</v>
      </c>
      <c r="G204" s="53">
        <v>84.4</v>
      </c>
      <c r="J204" s="54">
        <v>91.57618443896601</v>
      </c>
      <c r="K204" s="54"/>
      <c r="L204" s="54">
        <v>91.57618443896601</v>
      </c>
    </row>
    <row r="205" spans="6:12" x14ac:dyDescent="0.3">
      <c r="F205" s="50">
        <v>43252</v>
      </c>
      <c r="G205" s="53">
        <v>91.1</v>
      </c>
      <c r="J205" s="54">
        <v>91.579026719213928</v>
      </c>
      <c r="K205" s="54"/>
      <c r="L205" s="54">
        <v>91.579026719213928</v>
      </c>
    </row>
    <row r="206" spans="6:12" x14ac:dyDescent="0.3">
      <c r="F206" s="50">
        <v>43282</v>
      </c>
      <c r="G206" s="53">
        <v>95.8</v>
      </c>
      <c r="J206" s="54">
        <v>91.581868999461847</v>
      </c>
      <c r="K206" s="54"/>
      <c r="L206" s="54">
        <v>91.581868999461847</v>
      </c>
    </row>
    <row r="207" spans="6:12" x14ac:dyDescent="0.3">
      <c r="F207" s="50">
        <v>43313</v>
      </c>
      <c r="G207" s="53">
        <v>98.2</v>
      </c>
      <c r="J207" s="54">
        <v>91.584711279709765</v>
      </c>
      <c r="K207" s="54"/>
      <c r="L207" s="54">
        <v>91.584711279709765</v>
      </c>
    </row>
    <row r="208" spans="6:12" x14ac:dyDescent="0.3">
      <c r="F208" s="50">
        <v>43344</v>
      </c>
      <c r="G208" s="53">
        <v>90.7</v>
      </c>
      <c r="J208" s="54">
        <v>91.587553559957684</v>
      </c>
      <c r="K208" s="54"/>
      <c r="L208" s="54">
        <v>91.587553559957684</v>
      </c>
    </row>
    <row r="209" spans="6:12" x14ac:dyDescent="0.3">
      <c r="F209" s="50">
        <v>43374</v>
      </c>
      <c r="G209" s="53">
        <v>95.8</v>
      </c>
      <c r="J209" s="54">
        <v>91.590395840205616</v>
      </c>
      <c r="K209" s="54"/>
      <c r="L209" s="54">
        <v>91.590395840205616</v>
      </c>
    </row>
    <row r="210" spans="6:12" x14ac:dyDescent="0.3">
      <c r="F210" s="50">
        <v>43405</v>
      </c>
      <c r="G210" s="53">
        <v>89.5</v>
      </c>
      <c r="J210" s="54">
        <v>91.593238120453535</v>
      </c>
      <c r="K210" s="54"/>
      <c r="L210" s="54">
        <v>91.593238120453535</v>
      </c>
    </row>
    <row r="211" spans="6:12" x14ac:dyDescent="0.3">
      <c r="F211" s="50">
        <v>43435</v>
      </c>
      <c r="G211" s="53">
        <v>78</v>
      </c>
      <c r="J211" s="54">
        <v>91.596080400701453</v>
      </c>
      <c r="K211" s="54"/>
      <c r="L211" s="54">
        <v>91.596080400701453</v>
      </c>
    </row>
    <row r="212" spans="6:12" x14ac:dyDescent="0.3">
      <c r="F212" s="50">
        <v>43466</v>
      </c>
      <c r="G212" s="53">
        <v>80.7</v>
      </c>
      <c r="J212" s="54">
        <v>91.598922680949372</v>
      </c>
      <c r="K212" s="54"/>
      <c r="L212" s="54">
        <v>91.598922680949372</v>
      </c>
    </row>
    <row r="213" spans="6:12" x14ac:dyDescent="0.3">
      <c r="F213" s="50">
        <v>43497</v>
      </c>
      <c r="G213" s="53">
        <v>79.099999999999994</v>
      </c>
      <c r="J213" s="54">
        <v>91.60176496119729</v>
      </c>
      <c r="K213" s="54"/>
      <c r="L213" s="54">
        <v>91.60176496119729</v>
      </c>
    </row>
    <row r="214" spans="6:12" x14ac:dyDescent="0.3">
      <c r="F214" s="50">
        <v>43525</v>
      </c>
      <c r="G214" s="53">
        <v>81</v>
      </c>
      <c r="J214" s="54">
        <v>91.604607241445208</v>
      </c>
      <c r="K214" s="54"/>
      <c r="L214" s="54">
        <v>91.604607241445208</v>
      </c>
    </row>
    <row r="215" spans="6:12" x14ac:dyDescent="0.3">
      <c r="F215" s="50">
        <v>43556</v>
      </c>
      <c r="G215" s="53">
        <v>83.3</v>
      </c>
      <c r="J215" s="54">
        <v>91.607449521693127</v>
      </c>
      <c r="K215" s="54"/>
      <c r="L215" s="54">
        <v>91.607449521693127</v>
      </c>
    </row>
    <row r="216" spans="6:12" x14ac:dyDescent="0.3">
      <c r="F216" s="50">
        <v>43586</v>
      </c>
      <c r="G216" s="53">
        <v>91</v>
      </c>
      <c r="J216" s="54">
        <v>91.610291801941059</v>
      </c>
      <c r="K216" s="54"/>
      <c r="L216" s="54">
        <v>91.610291801941059</v>
      </c>
    </row>
    <row r="217" spans="6:12" x14ac:dyDescent="0.3">
      <c r="F217" s="50">
        <v>43617</v>
      </c>
      <c r="G217" s="53">
        <v>85.8</v>
      </c>
      <c r="J217" s="54">
        <v>91.613134082188978</v>
      </c>
      <c r="K217" s="54"/>
      <c r="L217" s="54">
        <v>91.613134082188978</v>
      </c>
    </row>
    <row r="218" spans="6:12" x14ac:dyDescent="0.3">
      <c r="F218" s="50">
        <v>43647</v>
      </c>
      <c r="G218" s="53">
        <v>93.4</v>
      </c>
      <c r="J218" s="54">
        <v>91.615976362436896</v>
      </c>
      <c r="K218" s="54"/>
      <c r="L218" s="54">
        <v>91.615976362436896</v>
      </c>
    </row>
    <row r="219" spans="6:12" x14ac:dyDescent="0.3">
      <c r="F219" s="50">
        <v>43678</v>
      </c>
      <c r="G219" s="53">
        <v>96.2</v>
      </c>
      <c r="J219" s="54">
        <v>91.618818642684815</v>
      </c>
      <c r="K219" s="54"/>
      <c r="L219" s="54">
        <v>91.618818642684815</v>
      </c>
    </row>
    <row r="220" spans="6:12" x14ac:dyDescent="0.3">
      <c r="F220" s="50">
        <v>43709</v>
      </c>
      <c r="G220" s="53">
        <v>91.8</v>
      </c>
      <c r="J220" s="54">
        <v>91.621660922932733</v>
      </c>
      <c r="K220" s="54"/>
      <c r="L220" s="54">
        <v>91.621660922932733</v>
      </c>
    </row>
    <row r="221" spans="6:12" x14ac:dyDescent="0.3">
      <c r="F221" s="50">
        <v>43739</v>
      </c>
      <c r="G221" s="53">
        <v>97</v>
      </c>
      <c r="J221" s="54">
        <v>91.624503203180652</v>
      </c>
      <c r="K221" s="54"/>
      <c r="L221" s="54">
        <v>91.624503203180652</v>
      </c>
    </row>
    <row r="222" spans="6:12" x14ac:dyDescent="0.3">
      <c r="F222" s="50">
        <v>43770</v>
      </c>
      <c r="G222" s="53">
        <v>88</v>
      </c>
      <c r="J222" s="54">
        <v>91.627345483428584</v>
      </c>
      <c r="K222" s="54"/>
      <c r="L222" s="54">
        <v>91.627345483428584</v>
      </c>
    </row>
    <row r="223" spans="6:12" x14ac:dyDescent="0.3">
      <c r="F223" s="50">
        <v>43800</v>
      </c>
      <c r="G223" s="53">
        <v>76.900000000000006</v>
      </c>
      <c r="J223" s="54">
        <v>91.630187763676503</v>
      </c>
      <c r="K223" s="54"/>
      <c r="L223" s="54">
        <v>91.630187763676503</v>
      </c>
    </row>
    <row r="224" spans="6:12" x14ac:dyDescent="0.3">
      <c r="F224" s="50">
        <v>43831</v>
      </c>
      <c r="G224" s="53">
        <v>80</v>
      </c>
      <c r="J224" s="54">
        <v>91.633030043924421</v>
      </c>
      <c r="K224" s="54"/>
      <c r="L224" s="54">
        <v>91.633030043924421</v>
      </c>
    </row>
    <row r="225" spans="6:12" x14ac:dyDescent="0.3">
      <c r="F225" s="50">
        <v>43862</v>
      </c>
      <c r="G225" s="53">
        <v>78.900000000000006</v>
      </c>
      <c r="J225" s="54">
        <v>91.63587232417234</v>
      </c>
      <c r="K225" s="54"/>
      <c r="L225" s="54">
        <v>91.63587232417234</v>
      </c>
    </row>
    <row r="226" spans="6:12" x14ac:dyDescent="0.3">
      <c r="F226" s="50">
        <v>43891</v>
      </c>
      <c r="G226" s="53">
        <v>77.900000000000006</v>
      </c>
      <c r="J226" s="54">
        <v>91.638714604420258</v>
      </c>
      <c r="K226" s="54"/>
      <c r="L226" s="54">
        <v>91.638714604420258</v>
      </c>
    </row>
    <row r="227" spans="6:12" x14ac:dyDescent="0.3">
      <c r="F227" s="50">
        <v>43922</v>
      </c>
      <c r="G227" s="53">
        <v>60.3</v>
      </c>
      <c r="J227" s="54">
        <v>91.641556884668177</v>
      </c>
      <c r="K227" s="54"/>
      <c r="L227" s="54">
        <v>91.641556884668177</v>
      </c>
    </row>
    <row r="228" spans="6:12" x14ac:dyDescent="0.3">
      <c r="F228" s="50">
        <v>43952</v>
      </c>
      <c r="G228" s="53">
        <v>71.2</v>
      </c>
      <c r="J228" s="54">
        <v>91.644399164916109</v>
      </c>
      <c r="K228" s="54"/>
      <c r="L228" s="54">
        <v>91.644399164916109</v>
      </c>
    </row>
    <row r="229" spans="6:12" x14ac:dyDescent="0.3">
      <c r="F229" s="50">
        <v>43983</v>
      </c>
      <c r="G229" s="53">
        <v>78.400000000000006</v>
      </c>
      <c r="J229" s="54">
        <v>91.647241445164028</v>
      </c>
      <c r="K229" s="54"/>
      <c r="L229" s="54">
        <v>91.647241445164028</v>
      </c>
    </row>
    <row r="230" spans="6:12" x14ac:dyDescent="0.3">
      <c r="F230" s="50">
        <v>44013</v>
      </c>
      <c r="G230" s="53">
        <v>91</v>
      </c>
      <c r="J230" s="54">
        <v>91.650083725411946</v>
      </c>
      <c r="K230" s="54"/>
      <c r="L230" s="54">
        <v>91.650083725411946</v>
      </c>
    </row>
    <row r="231" spans="6:12" x14ac:dyDescent="0.3">
      <c r="F231" s="50">
        <v>44044</v>
      </c>
      <c r="G231" s="53">
        <v>93.9</v>
      </c>
      <c r="J231" s="54">
        <v>91.652926005659864</v>
      </c>
      <c r="K231" s="54"/>
      <c r="L231" s="54">
        <v>91.652926005659864</v>
      </c>
    </row>
    <row r="232" spans="6:12" x14ac:dyDescent="0.3">
      <c r="F232" s="50">
        <v>44075</v>
      </c>
      <c r="G232" s="53">
        <v>95.4</v>
      </c>
      <c r="J232" s="54">
        <v>91.655768285907783</v>
      </c>
      <c r="K232" s="54"/>
      <c r="L232" s="54">
        <v>91.655768285907783</v>
      </c>
    </row>
    <row r="233" spans="6:12" x14ac:dyDescent="0.3">
      <c r="F233" s="50">
        <v>44105</v>
      </c>
      <c r="G233" s="53">
        <v>97.3</v>
      </c>
      <c r="J233" s="54">
        <v>91.658610566155701</v>
      </c>
      <c r="K233" s="54"/>
      <c r="L233" s="54">
        <v>91.658610566155701</v>
      </c>
    </row>
    <row r="234" spans="6:12" x14ac:dyDescent="0.3">
      <c r="F234" s="50">
        <v>44136</v>
      </c>
      <c r="G234" s="53">
        <v>90.2</v>
      </c>
      <c r="J234" s="54">
        <v>91.66145284640362</v>
      </c>
      <c r="K234" s="54"/>
      <c r="L234" s="54">
        <v>91.66145284640362</v>
      </c>
    </row>
    <row r="235" spans="6:12" x14ac:dyDescent="0.3">
      <c r="F235" s="50">
        <v>44166</v>
      </c>
      <c r="G235" s="53">
        <v>83.3</v>
      </c>
      <c r="J235" s="54">
        <v>91.664295126651552</v>
      </c>
      <c r="K235" s="54"/>
      <c r="L235" s="54">
        <v>91.664295126651552</v>
      </c>
    </row>
    <row r="236" spans="6:12" x14ac:dyDescent="0.3">
      <c r="F236" s="50">
        <v>44197</v>
      </c>
      <c r="G236" s="53">
        <v>81.900000000000006</v>
      </c>
      <c r="J236" s="54">
        <v>91.667137406899471</v>
      </c>
      <c r="K236" s="54"/>
      <c r="L236" s="54">
        <v>91.667137406899471</v>
      </c>
    </row>
    <row r="237" spans="6:12" x14ac:dyDescent="0.3">
      <c r="F237" s="50">
        <v>44228</v>
      </c>
      <c r="G237" s="53">
        <v>79.099999999999994</v>
      </c>
      <c r="J237" s="54">
        <v>91.669979687147389</v>
      </c>
      <c r="K237" s="54"/>
      <c r="L237" s="54">
        <v>91.669979687147389</v>
      </c>
    </row>
    <row r="238" spans="6:12" x14ac:dyDescent="0.3">
      <c r="F238" s="50">
        <v>44256</v>
      </c>
      <c r="G238" s="53">
        <v>86.1</v>
      </c>
      <c r="J238" s="54">
        <v>91.672821967395308</v>
      </c>
      <c r="K238" s="54"/>
      <c r="L238" s="54">
        <v>91.672821967395308</v>
      </c>
    </row>
    <row r="239" spans="6:12" x14ac:dyDescent="0.3">
      <c r="F239" s="50">
        <v>44287</v>
      </c>
      <c r="G239" s="53">
        <v>81.3</v>
      </c>
      <c r="J239" s="54">
        <v>91.675664247643226</v>
      </c>
      <c r="K239" s="54"/>
      <c r="L239" s="54">
        <v>91.675664247643226</v>
      </c>
    </row>
    <row r="240" spans="6:12" x14ac:dyDescent="0.3">
      <c r="F240" s="50">
        <v>44317</v>
      </c>
      <c r="G240" s="53">
        <v>88.4</v>
      </c>
      <c r="J240" s="54">
        <v>91.678506527891145</v>
      </c>
      <c r="K240" s="54"/>
      <c r="L240" s="54">
        <v>91.678506527891145</v>
      </c>
    </row>
    <row r="241" spans="6:12" x14ac:dyDescent="0.3">
      <c r="F241" s="50">
        <v>44348</v>
      </c>
      <c r="G241" s="53">
        <v>87.9</v>
      </c>
      <c r="J241" s="54">
        <v>91.681348808139077</v>
      </c>
      <c r="K241" s="54"/>
      <c r="L241" s="54">
        <v>91.681348808139077</v>
      </c>
    </row>
    <row r="242" spans="6:12" x14ac:dyDescent="0.3">
      <c r="F242" s="50">
        <v>44378</v>
      </c>
      <c r="G242" s="53">
        <v>92.2</v>
      </c>
      <c r="J242" s="54">
        <v>91.684191088386996</v>
      </c>
      <c r="K242" s="54"/>
      <c r="L242" s="54">
        <v>91.684191088386996</v>
      </c>
    </row>
    <row r="243" spans="6:12" x14ac:dyDescent="0.3">
      <c r="F243" s="50">
        <v>44409</v>
      </c>
      <c r="G243" s="53">
        <v>93.4</v>
      </c>
      <c r="J243" s="54">
        <v>91.687033368634914</v>
      </c>
      <c r="K243" s="54"/>
      <c r="L243" s="54">
        <v>91.687033368634914</v>
      </c>
    </row>
    <row r="244" spans="6:12" x14ac:dyDescent="0.3">
      <c r="F244" s="50">
        <v>44440</v>
      </c>
      <c r="G244" s="53">
        <v>91.5</v>
      </c>
      <c r="J244" s="54">
        <v>91.689875648882833</v>
      </c>
      <c r="K244" s="54"/>
      <c r="L244" s="54">
        <v>91.689875648882833</v>
      </c>
    </row>
    <row r="245" spans="6:12" x14ac:dyDescent="0.3">
      <c r="F245" s="50">
        <v>44470</v>
      </c>
      <c r="G245" s="53">
        <v>89.7</v>
      </c>
      <c r="J245" s="54">
        <v>91.692717929130751</v>
      </c>
      <c r="K245" s="54"/>
      <c r="L245" s="54">
        <v>91.692717929130751</v>
      </c>
    </row>
    <row r="246" spans="6:12" x14ac:dyDescent="0.3">
      <c r="F246" s="50">
        <v>44501</v>
      </c>
      <c r="G246" s="53">
        <v>86.3</v>
      </c>
      <c r="J246" s="54">
        <v>91.695560209378669</v>
      </c>
      <c r="K246" s="54"/>
      <c r="L246" s="54">
        <v>91.695560209378669</v>
      </c>
    </row>
    <row r="247" spans="6:12" x14ac:dyDescent="0.3">
      <c r="F247" s="50">
        <v>44531</v>
      </c>
      <c r="G247" s="53">
        <v>79.2</v>
      </c>
      <c r="J247" s="54">
        <v>91.698402489626602</v>
      </c>
      <c r="K247" s="54"/>
      <c r="L247" s="54">
        <v>91.698402489626602</v>
      </c>
    </row>
    <row r="248" spans="6:12" x14ac:dyDescent="0.3">
      <c r="J248" s="27"/>
      <c r="K248" s="27"/>
      <c r="L248" s="27"/>
    </row>
    <row r="249" spans="6:12" x14ac:dyDescent="0.3">
      <c r="J249" s="27"/>
      <c r="K249" s="27"/>
      <c r="L249" s="27"/>
    </row>
    <row r="250" spans="6:12" x14ac:dyDescent="0.3">
      <c r="J250" s="27"/>
      <c r="K250" s="27"/>
      <c r="L250" s="27"/>
    </row>
    <row r="251" spans="6:12" x14ac:dyDescent="0.3">
      <c r="J251" s="27"/>
      <c r="K251" s="27"/>
      <c r="L251" s="27"/>
    </row>
    <row r="252" spans="6:12" x14ac:dyDescent="0.3">
      <c r="J252" s="27"/>
      <c r="K252" s="27"/>
      <c r="L252" s="27"/>
    </row>
    <row r="253" spans="6:12" x14ac:dyDescent="0.3">
      <c r="J253" s="27"/>
      <c r="K253" s="27"/>
      <c r="L253" s="27"/>
    </row>
    <row r="254" spans="6:12" x14ac:dyDescent="0.3">
      <c r="J254" s="27"/>
      <c r="K254" s="27"/>
      <c r="L254" s="27"/>
    </row>
    <row r="255" spans="6:12" x14ac:dyDescent="0.3">
      <c r="J255" s="27"/>
      <c r="K255" s="27"/>
      <c r="L255" s="27"/>
    </row>
    <row r="256" spans="6:12" x14ac:dyDescent="0.3">
      <c r="J256" s="27"/>
      <c r="K256" s="27"/>
      <c r="L256" s="27"/>
    </row>
    <row r="257" spans="10:12" x14ac:dyDescent="0.3">
      <c r="J257" s="27"/>
      <c r="K257" s="27"/>
      <c r="L257" s="27"/>
    </row>
    <row r="258" spans="10:12" x14ac:dyDescent="0.3">
      <c r="J258" s="27"/>
      <c r="K258" s="27"/>
      <c r="L258" s="27"/>
    </row>
    <row r="259" spans="10:12" x14ac:dyDescent="0.3">
      <c r="J259" s="27"/>
      <c r="K259" s="27"/>
      <c r="L259" s="27"/>
    </row>
    <row r="260" spans="10:12" x14ac:dyDescent="0.3">
      <c r="J260" s="27"/>
      <c r="K260" s="27"/>
      <c r="L260" s="27"/>
    </row>
    <row r="261" spans="10:12" x14ac:dyDescent="0.3">
      <c r="J261" s="27"/>
      <c r="K261" s="27"/>
      <c r="L261" s="27"/>
    </row>
    <row r="262" spans="10:12" x14ac:dyDescent="0.3">
      <c r="J262" s="27"/>
      <c r="K262" s="27"/>
      <c r="L262" s="27"/>
    </row>
    <row r="263" spans="10:12" x14ac:dyDescent="0.3">
      <c r="J263" s="27"/>
      <c r="K263" s="27"/>
      <c r="L263" s="27"/>
    </row>
    <row r="264" spans="10:12" x14ac:dyDescent="0.3">
      <c r="J264" s="27"/>
      <c r="K264" s="27"/>
      <c r="L264" s="27"/>
    </row>
    <row r="265" spans="10:12" x14ac:dyDescent="0.3">
      <c r="J265" s="27"/>
      <c r="K265" s="27"/>
      <c r="L265" s="27"/>
    </row>
    <row r="266" spans="10:12" x14ac:dyDescent="0.3">
      <c r="J266" s="27"/>
      <c r="K266" s="27"/>
      <c r="L266" s="27"/>
    </row>
    <row r="267" spans="10:12" x14ac:dyDescent="0.3">
      <c r="J267" s="27"/>
      <c r="K267" s="27"/>
      <c r="L267" s="27"/>
    </row>
    <row r="268" spans="10:12" x14ac:dyDescent="0.3">
      <c r="J268" s="27"/>
      <c r="K268" s="27"/>
      <c r="L268" s="27"/>
    </row>
    <row r="269" spans="10:12" x14ac:dyDescent="0.3">
      <c r="J269" s="27"/>
      <c r="K269" s="27"/>
      <c r="L269" s="27"/>
    </row>
    <row r="270" spans="10:12" x14ac:dyDescent="0.3">
      <c r="J270" s="27"/>
      <c r="K270" s="27"/>
      <c r="L270" s="27"/>
    </row>
    <row r="271" spans="10:12" x14ac:dyDescent="0.3">
      <c r="J271" s="27"/>
      <c r="K271" s="27"/>
      <c r="L271" s="27"/>
    </row>
    <row r="272" spans="10:12" x14ac:dyDescent="0.3">
      <c r="J272" s="27"/>
      <c r="K272" s="27"/>
      <c r="L272" s="27"/>
    </row>
    <row r="273" spans="10:12" x14ac:dyDescent="0.3">
      <c r="J273" s="27"/>
      <c r="K273" s="27"/>
      <c r="L273" s="27"/>
    </row>
    <row r="274" spans="10:12" x14ac:dyDescent="0.3">
      <c r="J274" s="27"/>
      <c r="K274" s="27"/>
      <c r="L274" s="27"/>
    </row>
    <row r="275" spans="10:12" x14ac:dyDescent="0.3">
      <c r="J275" s="27"/>
      <c r="K275" s="27"/>
      <c r="L275" s="27"/>
    </row>
    <row r="276" spans="10:12" x14ac:dyDescent="0.3">
      <c r="J276" s="27"/>
      <c r="K276" s="27"/>
      <c r="L276" s="27"/>
    </row>
    <row r="277" spans="10:12" x14ac:dyDescent="0.3">
      <c r="J277" s="27"/>
      <c r="K277" s="27"/>
      <c r="L277" s="27"/>
    </row>
    <row r="278" spans="10:12" x14ac:dyDescent="0.3">
      <c r="J278" s="27"/>
      <c r="K278" s="27"/>
      <c r="L278" s="27"/>
    </row>
    <row r="279" spans="10:12" x14ac:dyDescent="0.3">
      <c r="J279" s="27"/>
      <c r="K279" s="27"/>
      <c r="L279" s="27"/>
    </row>
    <row r="280" spans="10:12" x14ac:dyDescent="0.3">
      <c r="J280" s="27"/>
      <c r="K280" s="27"/>
      <c r="L280" s="27"/>
    </row>
    <row r="281" spans="10:12" x14ac:dyDescent="0.3">
      <c r="J281" s="27"/>
      <c r="K281" s="27"/>
      <c r="L281" s="27"/>
    </row>
    <row r="282" spans="10:12" x14ac:dyDescent="0.3">
      <c r="J282" s="27"/>
      <c r="K282" s="27"/>
      <c r="L282" s="27"/>
    </row>
    <row r="283" spans="10:12" x14ac:dyDescent="0.3">
      <c r="J283" s="27"/>
      <c r="K283" s="27"/>
      <c r="L283" s="27"/>
    </row>
    <row r="284" spans="10:12" x14ac:dyDescent="0.3">
      <c r="J284" s="27"/>
      <c r="K284" s="27"/>
      <c r="L284" s="27"/>
    </row>
    <row r="285" spans="10:12" x14ac:dyDescent="0.3">
      <c r="J285" s="27"/>
      <c r="K285" s="27"/>
      <c r="L285" s="27"/>
    </row>
    <row r="286" spans="10:12" x14ac:dyDescent="0.3">
      <c r="J286" s="27"/>
      <c r="K286" s="27"/>
      <c r="L286" s="27"/>
    </row>
    <row r="287" spans="10:12" x14ac:dyDescent="0.3">
      <c r="J287" s="27"/>
      <c r="K287" s="27"/>
      <c r="L287" s="27"/>
    </row>
    <row r="288" spans="10:12" x14ac:dyDescent="0.3">
      <c r="J288" s="27"/>
      <c r="K288" s="27"/>
      <c r="L288" s="27"/>
    </row>
    <row r="289" spans="10:12" x14ac:dyDescent="0.3">
      <c r="J289" s="27"/>
      <c r="K289" s="27"/>
      <c r="L289" s="27"/>
    </row>
    <row r="290" spans="10:12" x14ac:dyDescent="0.3">
      <c r="J290" s="27"/>
      <c r="K290" s="27"/>
      <c r="L290" s="27"/>
    </row>
    <row r="291" spans="10:12" x14ac:dyDescent="0.3">
      <c r="J291" s="27"/>
      <c r="K291" s="27"/>
      <c r="L291" s="27"/>
    </row>
    <row r="292" spans="10:12" x14ac:dyDescent="0.3">
      <c r="J292" s="27"/>
      <c r="K292" s="27"/>
      <c r="L292" s="27"/>
    </row>
    <row r="293" spans="10:12" x14ac:dyDescent="0.3">
      <c r="J293" s="27"/>
      <c r="K293" s="27"/>
      <c r="L293" s="27"/>
    </row>
    <row r="294" spans="10:12" x14ac:dyDescent="0.3">
      <c r="J294" s="27"/>
      <c r="K294" s="27"/>
      <c r="L294" s="27"/>
    </row>
    <row r="295" spans="10:12" x14ac:dyDescent="0.3">
      <c r="J295" s="27"/>
      <c r="K295" s="27"/>
      <c r="L295" s="27"/>
    </row>
    <row r="296" spans="10:12" x14ac:dyDescent="0.3">
      <c r="J296" s="27"/>
      <c r="K296" s="27"/>
      <c r="L296" s="27"/>
    </row>
    <row r="297" spans="10:12" x14ac:dyDescent="0.3">
      <c r="J297" s="27"/>
      <c r="K297" s="27"/>
      <c r="L297" s="27"/>
    </row>
  </sheetData>
  <mergeCells count="1">
    <mergeCell ref="D11:D12"/>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95E39-402B-4B04-88B6-894551AF152C}">
  <sheetPr codeName="Planilha12">
    <tabColor theme="9" tint="0.59999389629810485"/>
  </sheetPr>
  <dimension ref="A1:V297"/>
  <sheetViews>
    <sheetView showGridLines="0" workbookViewId="0">
      <selection activeCell="D18" sqref="D18"/>
    </sheetView>
  </sheetViews>
  <sheetFormatPr defaultColWidth="8.85546875" defaultRowHeight="18.75" x14ac:dyDescent="0.3"/>
  <cols>
    <col min="1" max="1" width="12.7109375" style="17" customWidth="1"/>
    <col min="2" max="2" width="34.28515625" customWidth="1"/>
    <col min="4" max="4" width="44.28515625" bestFit="1" customWidth="1"/>
    <col min="5" max="5" width="4.5703125" customWidth="1"/>
    <col min="6" max="7" width="7.140625" bestFit="1" customWidth="1"/>
    <col min="8" max="8" width="9.28515625" bestFit="1" customWidth="1"/>
    <col min="11" max="12" width="8.85546875" style="15"/>
    <col min="13" max="13" width="5.5703125" style="15" bestFit="1" customWidth="1"/>
    <col min="14" max="22" width="8.85546875" style="15"/>
  </cols>
  <sheetData>
    <row r="1" spans="1:22" x14ac:dyDescent="0.3">
      <c r="A1" s="16" t="s">
        <v>155</v>
      </c>
      <c r="K1" s="14"/>
      <c r="L1" s="14"/>
      <c r="M1" s="14"/>
      <c r="N1" s="14"/>
      <c r="O1" s="14"/>
      <c r="P1" s="14"/>
      <c r="Q1" s="14"/>
      <c r="R1" s="14"/>
      <c r="S1" s="14"/>
      <c r="T1" s="14"/>
      <c r="U1" s="14"/>
      <c r="V1" s="14"/>
    </row>
    <row r="2" spans="1:22" x14ac:dyDescent="0.3">
      <c r="A2" s="17" t="s">
        <v>170</v>
      </c>
      <c r="K2" s="14"/>
      <c r="L2" s="14"/>
      <c r="M2" s="14"/>
      <c r="N2" s="14"/>
      <c r="O2" s="14"/>
      <c r="P2" s="14"/>
      <c r="Q2" s="14"/>
      <c r="R2" s="14"/>
      <c r="S2" s="14"/>
      <c r="T2" s="14"/>
      <c r="U2" s="14"/>
      <c r="V2" s="14"/>
    </row>
    <row r="4" spans="1:22" ht="15.75" x14ac:dyDescent="0.25">
      <c r="A4" s="2" t="s">
        <v>15</v>
      </c>
      <c r="B4" s="2" t="s">
        <v>16</v>
      </c>
    </row>
    <row r="5" spans="1:22" ht="47.25" x14ac:dyDescent="0.25">
      <c r="A5" s="23" t="s">
        <v>158</v>
      </c>
      <c r="B5" s="24" t="s">
        <v>505</v>
      </c>
    </row>
    <row r="6" spans="1:22" ht="15.75" x14ac:dyDescent="0.25">
      <c r="A6" s="23" t="s">
        <v>167</v>
      </c>
      <c r="B6" s="24" t="s">
        <v>506</v>
      </c>
    </row>
    <row r="7" spans="1:22" x14ac:dyDescent="0.3">
      <c r="D7" s="1" t="s">
        <v>17</v>
      </c>
      <c r="F7" s="13" t="s">
        <v>158</v>
      </c>
      <c r="G7" s="13" t="s">
        <v>167</v>
      </c>
      <c r="H7" s="13" t="s">
        <v>177</v>
      </c>
      <c r="I7" s="13" t="s">
        <v>156</v>
      </c>
    </row>
    <row r="8" spans="1:22" x14ac:dyDescent="0.3">
      <c r="D8" t="s">
        <v>178</v>
      </c>
      <c r="F8" s="50">
        <v>37257</v>
      </c>
      <c r="G8" s="46"/>
      <c r="H8" s="46">
        <v>72.400000000000006</v>
      </c>
      <c r="I8" s="46">
        <v>77.7</v>
      </c>
      <c r="K8" s="27"/>
      <c r="M8" s="27"/>
    </row>
    <row r="9" spans="1:22" x14ac:dyDescent="0.3">
      <c r="D9" t="s">
        <v>179</v>
      </c>
      <c r="F9" s="45">
        <v>37288</v>
      </c>
      <c r="G9" s="53">
        <f>LN(H9/H8)*100</f>
        <v>-3.8005981625192522</v>
      </c>
      <c r="H9" s="46">
        <v>69.7</v>
      </c>
      <c r="I9" s="46">
        <v>80.2</v>
      </c>
      <c r="K9" s="54" cm="1">
        <f t="array" ref="K9:K247">_xlfn.LAMBDA(_xlpm.dates,_xlpm.values, _xlfn.LET(_xlpm.dummies, DUMMYVAR( MONTH(_xlpm.dates), FALSE),  AVERAGE(_xlpm.values) + OLS_RESIDUALS(_xlpm.values, _xlpm.dummies  ) ) )($F$9:$F$247,$G$9:$G$247)</f>
        <v>-0.71753883388702944</v>
      </c>
      <c r="L9" s="54"/>
      <c r="M9" s="54" cm="1">
        <f t="array" ref="M9:M247">SEASADJ($F$9:$F$247,$G$9:$G$247)</f>
        <v>-0.71753883388702944</v>
      </c>
    </row>
    <row r="10" spans="1:22" x14ac:dyDescent="0.3">
      <c r="D10" t="s">
        <v>157</v>
      </c>
      <c r="F10" s="45">
        <v>37316</v>
      </c>
      <c r="G10" s="53">
        <f t="shared" ref="G10:G73" si="0">LN(H10/H9)*100</f>
        <v>10.478646282920332</v>
      </c>
      <c r="H10" s="46">
        <v>77.400000000000006</v>
      </c>
      <c r="I10" s="46">
        <v>79.8</v>
      </c>
      <c r="K10" s="54">
        <v>0.22460287827182232</v>
      </c>
      <c r="L10" s="54"/>
      <c r="M10" s="54">
        <v>0.22460287827182232</v>
      </c>
    </row>
    <row r="11" spans="1:22" ht="18.75" customHeight="1" x14ac:dyDescent="0.3">
      <c r="D11" s="134"/>
      <c r="F11" s="45">
        <v>37347</v>
      </c>
      <c r="G11" s="53">
        <f t="shared" si="0"/>
        <v>2.8027312254655659</v>
      </c>
      <c r="H11" s="46">
        <v>79.599999999999994</v>
      </c>
      <c r="I11" s="46">
        <v>79.599999999999994</v>
      </c>
      <c r="K11" s="54">
        <v>6.8688421574020353</v>
      </c>
      <c r="L11" s="54"/>
      <c r="M11" s="54">
        <v>6.8688421574020353</v>
      </c>
    </row>
    <row r="12" spans="1:22" x14ac:dyDescent="0.3">
      <c r="D12" s="134"/>
      <c r="F12" s="45">
        <v>37377</v>
      </c>
      <c r="G12" s="53">
        <f t="shared" si="0"/>
        <v>1.0000083334583398</v>
      </c>
      <c r="H12" s="46">
        <v>80.400000000000006</v>
      </c>
      <c r="I12" s="46">
        <v>79.099999999999994</v>
      </c>
      <c r="K12" s="54">
        <v>-5.5188277653232447</v>
      </c>
      <c r="L12" s="54"/>
      <c r="M12" s="54">
        <v>-5.5188277653232447</v>
      </c>
    </row>
    <row r="13" spans="1:22" x14ac:dyDescent="0.3">
      <c r="D13" s="47"/>
      <c r="F13" s="45">
        <v>37408</v>
      </c>
      <c r="G13" s="53">
        <f t="shared" si="0"/>
        <v>-3.6736239825619466</v>
      </c>
      <c r="H13" s="46">
        <v>77.5</v>
      </c>
      <c r="I13" s="46">
        <v>79.400000000000006</v>
      </c>
      <c r="K13" s="54">
        <v>-2.4312302589565311</v>
      </c>
      <c r="L13" s="54"/>
      <c r="M13" s="54">
        <v>-2.4312302589565311</v>
      </c>
    </row>
    <row r="14" spans="1:22" x14ac:dyDescent="0.3">
      <c r="F14" s="45">
        <v>37438</v>
      </c>
      <c r="G14" s="53">
        <f t="shared" si="0"/>
        <v>7.2170612813495589</v>
      </c>
      <c r="H14" s="46">
        <v>83.3</v>
      </c>
      <c r="I14" s="46">
        <v>79.7</v>
      </c>
      <c r="K14" s="54">
        <v>1.9869393011204659</v>
      </c>
      <c r="L14" s="54"/>
      <c r="M14" s="54">
        <v>1.9869393011204659</v>
      </c>
    </row>
    <row r="15" spans="1:22" x14ac:dyDescent="0.3">
      <c r="F15" s="45">
        <v>37469</v>
      </c>
      <c r="G15" s="53">
        <f t="shared" si="0"/>
        <v>0.3594970917858793</v>
      </c>
      <c r="H15" s="46">
        <v>83.6</v>
      </c>
      <c r="I15" s="46">
        <v>78.599999999999994</v>
      </c>
      <c r="K15" s="54">
        <v>-2.4443016238566138</v>
      </c>
      <c r="L15" s="54"/>
      <c r="M15" s="54">
        <v>-2.4443016238566138</v>
      </c>
    </row>
    <row r="16" spans="1:22" x14ac:dyDescent="0.3">
      <c r="F16" s="45">
        <v>37500</v>
      </c>
      <c r="G16" s="53">
        <f t="shared" si="0"/>
        <v>-1.8105503632273354</v>
      </c>
      <c r="H16" s="46">
        <v>82.1</v>
      </c>
      <c r="I16" s="46">
        <v>79.7</v>
      </c>
      <c r="K16" s="54">
        <v>1.0146606755559135</v>
      </c>
      <c r="L16" s="54"/>
      <c r="M16" s="54">
        <v>1.0146606755559135</v>
      </c>
    </row>
    <row r="17" spans="6:13" x14ac:dyDescent="0.3">
      <c r="F17" s="45">
        <v>37530</v>
      </c>
      <c r="G17" s="53">
        <f t="shared" si="0"/>
        <v>8.2943023127581306</v>
      </c>
      <c r="H17" s="46">
        <v>89.2</v>
      </c>
      <c r="I17" s="46">
        <v>80.2</v>
      </c>
      <c r="K17" s="54">
        <v>4.7225693217673861</v>
      </c>
      <c r="L17" s="54"/>
      <c r="M17" s="54">
        <v>4.7225693217673861</v>
      </c>
    </row>
    <row r="18" spans="6:13" x14ac:dyDescent="0.3">
      <c r="F18" s="45">
        <v>37561</v>
      </c>
      <c r="G18" s="53">
        <f t="shared" si="0"/>
        <v>-6.1255426112803208</v>
      </c>
      <c r="H18" s="46">
        <v>83.9</v>
      </c>
      <c r="I18" s="46">
        <v>80.2</v>
      </c>
      <c r="K18" s="54">
        <v>-0.58337465728584181</v>
      </c>
      <c r="L18" s="54"/>
      <c r="M18" s="54">
        <v>-0.58337465728584181</v>
      </c>
    </row>
    <row r="19" spans="6:13" x14ac:dyDescent="0.3">
      <c r="F19" s="45">
        <v>37591</v>
      </c>
      <c r="G19" s="53">
        <f t="shared" si="0"/>
        <v>-11.748510626344547</v>
      </c>
      <c r="H19" s="46">
        <v>74.599999999999994</v>
      </c>
      <c r="I19" s="46">
        <v>79.599999999999994</v>
      </c>
      <c r="K19" s="54">
        <v>-0.66122229185945081</v>
      </c>
      <c r="L19" s="54"/>
      <c r="M19" s="54">
        <v>-0.66122229185945081</v>
      </c>
    </row>
    <row r="20" spans="6:13" x14ac:dyDescent="0.3">
      <c r="F20" s="45">
        <v>37622</v>
      </c>
      <c r="G20" s="53">
        <f t="shared" si="0"/>
        <v>-0.80754140055453072</v>
      </c>
      <c r="H20" s="46">
        <v>74</v>
      </c>
      <c r="I20" s="46">
        <v>79.7</v>
      </c>
      <c r="K20" s="54">
        <v>-0.24722363333822142</v>
      </c>
      <c r="L20" s="54"/>
      <c r="M20" s="54">
        <v>-0.24722363333822142</v>
      </c>
    </row>
    <row r="21" spans="6:13" x14ac:dyDescent="0.3">
      <c r="F21" s="45">
        <v>37653</v>
      </c>
      <c r="G21" s="53">
        <f t="shared" si="0"/>
        <v>-3.0180617149991287</v>
      </c>
      <c r="H21" s="46">
        <v>71.8</v>
      </c>
      <c r="I21" s="46">
        <v>79.7</v>
      </c>
      <c r="K21" s="54">
        <v>6.4997613633094059E-2</v>
      </c>
      <c r="L21" s="54"/>
      <c r="M21" s="54">
        <v>6.4997613633094059E-2</v>
      </c>
    </row>
    <row r="22" spans="6:13" x14ac:dyDescent="0.3">
      <c r="F22" s="45">
        <v>37681</v>
      </c>
      <c r="G22" s="53">
        <f t="shared" si="0"/>
        <v>7.5102304541503075</v>
      </c>
      <c r="H22" s="46">
        <v>77.400000000000006</v>
      </c>
      <c r="I22" s="46">
        <v>79.8</v>
      </c>
      <c r="K22" s="54">
        <v>-2.7438129504982021</v>
      </c>
      <c r="L22" s="54"/>
      <c r="M22" s="54">
        <v>-2.7438129504982021</v>
      </c>
    </row>
    <row r="23" spans="6:13" x14ac:dyDescent="0.3">
      <c r="F23" s="45">
        <v>37712</v>
      </c>
      <c r="G23" s="53">
        <f t="shared" si="0"/>
        <v>-1.1696039763191299</v>
      </c>
      <c r="H23" s="46">
        <v>76.5</v>
      </c>
      <c r="I23" s="46">
        <v>79.400000000000006</v>
      </c>
      <c r="K23" s="54">
        <v>2.8965069556173395</v>
      </c>
      <c r="L23" s="54"/>
      <c r="M23" s="54">
        <v>2.8965069556173395</v>
      </c>
    </row>
    <row r="24" spans="6:13" x14ac:dyDescent="0.3">
      <c r="F24" s="45">
        <v>37742</v>
      </c>
      <c r="G24" s="53">
        <f t="shared" si="0"/>
        <v>4.0978844963679268</v>
      </c>
      <c r="H24" s="46">
        <v>79.7</v>
      </c>
      <c r="I24" s="46">
        <v>77.8</v>
      </c>
      <c r="K24" s="54">
        <v>-2.4209516024136573</v>
      </c>
      <c r="L24" s="54"/>
      <c r="M24" s="54">
        <v>-2.4209516024136573</v>
      </c>
    </row>
    <row r="25" spans="6:13" x14ac:dyDescent="0.3">
      <c r="F25" s="45">
        <v>37773</v>
      </c>
      <c r="G25" s="53">
        <f t="shared" si="0"/>
        <v>-4.3596647505758162</v>
      </c>
      <c r="H25" s="46">
        <v>76.3</v>
      </c>
      <c r="I25" s="46">
        <v>78.2</v>
      </c>
      <c r="K25" s="54">
        <v>-3.1172710269704007</v>
      </c>
      <c r="L25" s="54"/>
      <c r="M25" s="54">
        <v>-3.1172710269704007</v>
      </c>
    </row>
    <row r="26" spans="6:13" x14ac:dyDescent="0.3">
      <c r="F26" s="45">
        <v>37803</v>
      </c>
      <c r="G26" s="53">
        <f t="shared" si="0"/>
        <v>6.3473078263353662</v>
      </c>
      <c r="H26" s="46">
        <v>81.3</v>
      </c>
      <c r="I26" s="46">
        <v>77.400000000000006</v>
      </c>
      <c r="K26" s="54">
        <v>1.1171858461062731</v>
      </c>
      <c r="L26" s="54"/>
      <c r="M26" s="54">
        <v>1.1171858461062731</v>
      </c>
    </row>
    <row r="27" spans="6:13" x14ac:dyDescent="0.3">
      <c r="F27" s="45">
        <v>37834</v>
      </c>
      <c r="G27" s="53">
        <f t="shared" si="0"/>
        <v>0.36832454162963679</v>
      </c>
      <c r="H27" s="46">
        <v>81.599999999999994</v>
      </c>
      <c r="I27" s="46">
        <v>78.5</v>
      </c>
      <c r="K27" s="54">
        <v>-2.4354741740128558</v>
      </c>
      <c r="L27" s="54"/>
      <c r="M27" s="54">
        <v>-2.4354741740128558</v>
      </c>
    </row>
    <row r="28" spans="6:13" x14ac:dyDescent="0.3">
      <c r="F28" s="45">
        <v>37865</v>
      </c>
      <c r="G28" s="53">
        <f t="shared" si="0"/>
        <v>4.9023563633672822</v>
      </c>
      <c r="H28" s="46">
        <v>85.7</v>
      </c>
      <c r="I28" s="46">
        <v>81.3</v>
      </c>
      <c r="K28" s="54">
        <v>7.7275674021505312</v>
      </c>
      <c r="L28" s="54"/>
      <c r="M28" s="54">
        <v>7.7275674021505312</v>
      </c>
    </row>
    <row r="29" spans="6:13" x14ac:dyDescent="0.3">
      <c r="F29" s="45">
        <v>37895</v>
      </c>
      <c r="G29" s="53">
        <f t="shared" si="0"/>
        <v>4.8956844726530981</v>
      </c>
      <c r="H29" s="46">
        <v>90</v>
      </c>
      <c r="I29" s="46">
        <v>81.599999999999994</v>
      </c>
      <c r="K29" s="54">
        <v>1.3239514816623537</v>
      </c>
      <c r="L29" s="54"/>
      <c r="M29" s="54">
        <v>1.3239514816623537</v>
      </c>
    </row>
    <row r="30" spans="6:13" x14ac:dyDescent="0.3">
      <c r="F30" s="45">
        <v>37926</v>
      </c>
      <c r="G30" s="53">
        <f t="shared" si="0"/>
        <v>-6.1875403718087529</v>
      </c>
      <c r="H30" s="46">
        <v>84.6</v>
      </c>
      <c r="I30" s="46">
        <v>82.6</v>
      </c>
      <c r="K30" s="54">
        <v>-0.6453724178142739</v>
      </c>
      <c r="L30" s="54"/>
      <c r="M30" s="54">
        <v>-0.6453724178142739</v>
      </c>
    </row>
    <row r="31" spans="6:13" x14ac:dyDescent="0.3">
      <c r="F31" s="45">
        <v>37956</v>
      </c>
      <c r="G31" s="53">
        <f t="shared" si="0"/>
        <v>-8.2508313735474825</v>
      </c>
      <c r="H31" s="46">
        <v>77.900000000000006</v>
      </c>
      <c r="I31" s="46">
        <v>81.2</v>
      </c>
      <c r="K31" s="54">
        <v>2.836456960937614</v>
      </c>
      <c r="L31" s="54"/>
      <c r="M31" s="54">
        <v>2.836456960937614</v>
      </c>
    </row>
    <row r="32" spans="6:13" x14ac:dyDescent="0.3">
      <c r="F32" s="45">
        <v>37987</v>
      </c>
      <c r="G32" s="53">
        <f t="shared" si="0"/>
        <v>-1.4221312723076169</v>
      </c>
      <c r="H32" s="46">
        <v>76.8</v>
      </c>
      <c r="I32" s="46">
        <v>82.7</v>
      </c>
      <c r="K32" s="54">
        <v>-0.86181350509130761</v>
      </c>
      <c r="L32" s="54"/>
      <c r="M32" s="54">
        <v>-0.86181350509130761</v>
      </c>
    </row>
    <row r="33" spans="6:13" x14ac:dyDescent="0.3">
      <c r="F33" s="45">
        <v>38018</v>
      </c>
      <c r="G33" s="53">
        <f t="shared" si="0"/>
        <v>-3.7139546949456657</v>
      </c>
      <c r="H33" s="46">
        <v>74</v>
      </c>
      <c r="I33" s="46">
        <v>84</v>
      </c>
      <c r="K33" s="54">
        <v>-0.6308953663134429</v>
      </c>
      <c r="L33" s="54"/>
      <c r="M33" s="54">
        <v>-0.6308953663134429</v>
      </c>
    </row>
    <row r="34" spans="6:13" x14ac:dyDescent="0.3">
      <c r="F34" s="45">
        <v>38047</v>
      </c>
      <c r="G34" s="53">
        <f t="shared" si="0"/>
        <v>16.069293906717668</v>
      </c>
      <c r="H34" s="46">
        <v>86.9</v>
      </c>
      <c r="I34" s="46">
        <v>84.5</v>
      </c>
      <c r="K34" s="54">
        <v>5.8152505020691585</v>
      </c>
      <c r="L34" s="54"/>
      <c r="M34" s="54">
        <v>5.8152505020691585</v>
      </c>
    </row>
    <row r="35" spans="6:13" x14ac:dyDescent="0.3">
      <c r="F35" s="45">
        <v>38078</v>
      </c>
      <c r="G35" s="53">
        <f t="shared" si="0"/>
        <v>-5.5602730209212119</v>
      </c>
      <c r="H35" s="46">
        <v>82.2</v>
      </c>
      <c r="I35" s="46">
        <v>85.1</v>
      </c>
      <c r="K35" s="54">
        <v>-1.4941620889847425</v>
      </c>
      <c r="L35" s="54"/>
      <c r="M35" s="54">
        <v>-1.4941620889847425</v>
      </c>
    </row>
    <row r="36" spans="6:13" x14ac:dyDescent="0.3">
      <c r="F36" s="45">
        <v>38108</v>
      </c>
      <c r="G36" s="53">
        <f t="shared" si="0"/>
        <v>4.8674296027248021</v>
      </c>
      <c r="H36" s="46">
        <v>86.3</v>
      </c>
      <c r="I36" s="46">
        <v>85.9</v>
      </c>
      <c r="K36" s="54">
        <v>-1.651406496056782</v>
      </c>
      <c r="L36" s="54"/>
      <c r="M36" s="54">
        <v>-1.651406496056782</v>
      </c>
    </row>
    <row r="37" spans="6:13" x14ac:dyDescent="0.3">
      <c r="F37" s="45">
        <v>38139</v>
      </c>
      <c r="G37" s="53">
        <f t="shared" si="0"/>
        <v>-0.23201866556971981</v>
      </c>
      <c r="H37" s="46">
        <v>86.1</v>
      </c>
      <c r="I37" s="46">
        <v>86.1</v>
      </c>
      <c r="K37" s="54">
        <v>1.0103750580356954</v>
      </c>
      <c r="L37" s="54"/>
      <c r="M37" s="54">
        <v>1.0103750580356954</v>
      </c>
    </row>
    <row r="38" spans="6:13" x14ac:dyDescent="0.3">
      <c r="F38" s="45">
        <v>38169</v>
      </c>
      <c r="G38" s="53">
        <f t="shared" si="0"/>
        <v>4.5410753180607175</v>
      </c>
      <c r="H38" s="46">
        <v>90.1</v>
      </c>
      <c r="I38" s="46">
        <v>86.7</v>
      </c>
      <c r="K38" s="54">
        <v>-0.68904666216837551</v>
      </c>
      <c r="L38" s="54"/>
      <c r="M38" s="54">
        <v>-0.68904666216837551</v>
      </c>
    </row>
    <row r="39" spans="6:13" x14ac:dyDescent="0.3">
      <c r="F39" s="45">
        <v>38200</v>
      </c>
      <c r="G39" s="53">
        <f t="shared" si="0"/>
        <v>2.1954778646968967</v>
      </c>
      <c r="H39" s="46">
        <v>92.1</v>
      </c>
      <c r="I39" s="46">
        <v>87.6</v>
      </c>
      <c r="K39" s="54">
        <v>-0.60832085094559618</v>
      </c>
      <c r="L39" s="54"/>
      <c r="M39" s="54">
        <v>-0.60832085094559618</v>
      </c>
    </row>
    <row r="40" spans="6:13" x14ac:dyDescent="0.3">
      <c r="F40" s="45">
        <v>38231</v>
      </c>
      <c r="G40" s="53">
        <f t="shared" si="0"/>
        <v>0</v>
      </c>
      <c r="H40" s="46">
        <v>92.1</v>
      </c>
      <c r="I40" s="46">
        <v>88.2</v>
      </c>
      <c r="K40" s="54">
        <v>2.825211038783249</v>
      </c>
      <c r="L40" s="54"/>
      <c r="M40" s="54">
        <v>2.825211038783249</v>
      </c>
    </row>
    <row r="41" spans="6:13" x14ac:dyDescent="0.3">
      <c r="F41" s="45">
        <v>38261</v>
      </c>
      <c r="G41" s="53">
        <f t="shared" si="0"/>
        <v>1.5086493033380162</v>
      </c>
      <c r="H41" s="46">
        <v>93.5</v>
      </c>
      <c r="I41" s="46">
        <v>87.5</v>
      </c>
      <c r="K41" s="54">
        <v>-2.0630836876527283</v>
      </c>
      <c r="L41" s="54"/>
      <c r="M41" s="54">
        <v>-2.0630836876527283</v>
      </c>
    </row>
    <row r="42" spans="6:13" x14ac:dyDescent="0.3">
      <c r="F42" s="45">
        <v>38292</v>
      </c>
      <c r="G42" s="53">
        <f t="shared" si="0"/>
        <v>-1.8349138668196541</v>
      </c>
      <c r="H42" s="46">
        <v>91.8</v>
      </c>
      <c r="I42" s="46">
        <v>87.5</v>
      </c>
      <c r="K42" s="54">
        <v>3.707254087174825</v>
      </c>
      <c r="L42" s="54"/>
      <c r="M42" s="54">
        <v>3.707254087174825</v>
      </c>
    </row>
    <row r="43" spans="6:13" x14ac:dyDescent="0.3">
      <c r="F43" s="45">
        <v>38322</v>
      </c>
      <c r="G43" s="53">
        <f t="shared" si="0"/>
        <v>-8.0496695968436054</v>
      </c>
      <c r="H43" s="46">
        <v>84.7</v>
      </c>
      <c r="I43" s="46">
        <v>88.3</v>
      </c>
      <c r="K43" s="54">
        <v>3.0376187376414912</v>
      </c>
      <c r="L43" s="54"/>
      <c r="M43" s="54">
        <v>3.0376187376414912</v>
      </c>
    </row>
    <row r="44" spans="6:13" x14ac:dyDescent="0.3">
      <c r="F44" s="45">
        <v>38353</v>
      </c>
      <c r="G44" s="53">
        <f t="shared" si="0"/>
        <v>-4.4666446985569994</v>
      </c>
      <c r="H44" s="46">
        <v>81</v>
      </c>
      <c r="I44" s="46">
        <v>88.7</v>
      </c>
      <c r="K44" s="54">
        <v>-3.9063269313406899</v>
      </c>
      <c r="L44" s="54"/>
      <c r="M44" s="54">
        <v>-3.9063269313406899</v>
      </c>
    </row>
    <row r="45" spans="6:13" x14ac:dyDescent="0.3">
      <c r="F45" s="45">
        <v>38384</v>
      </c>
      <c r="G45" s="53">
        <f t="shared" si="0"/>
        <v>-5.8466458499963849</v>
      </c>
      <c r="H45" s="46">
        <v>76.400000000000006</v>
      </c>
      <c r="I45" s="46">
        <v>87.3</v>
      </c>
      <c r="K45" s="54">
        <v>-2.7635865213641622</v>
      </c>
      <c r="L45" s="54"/>
      <c r="M45" s="54">
        <v>-2.7635865213641622</v>
      </c>
    </row>
    <row r="46" spans="6:13" x14ac:dyDescent="0.3">
      <c r="F46" s="45">
        <v>38412</v>
      </c>
      <c r="G46" s="53">
        <f t="shared" si="0"/>
        <v>14.135411830573155</v>
      </c>
      <c r="H46" s="46">
        <v>88</v>
      </c>
      <c r="I46" s="46">
        <v>88.2</v>
      </c>
      <c r="K46" s="54">
        <v>3.881368425924645</v>
      </c>
      <c r="L46" s="54"/>
      <c r="M46" s="54">
        <v>3.881368425924645</v>
      </c>
    </row>
    <row r="47" spans="6:13" x14ac:dyDescent="0.3">
      <c r="F47" s="45">
        <v>38443</v>
      </c>
      <c r="G47" s="53">
        <f t="shared" si="0"/>
        <v>-1.1428695823622743</v>
      </c>
      <c r="H47" s="46">
        <v>87</v>
      </c>
      <c r="I47" s="46">
        <v>88.3</v>
      </c>
      <c r="K47" s="54">
        <v>2.9232413495741953</v>
      </c>
      <c r="L47" s="54"/>
      <c r="M47" s="54">
        <v>2.9232413495741953</v>
      </c>
    </row>
    <row r="48" spans="6:13" x14ac:dyDescent="0.3">
      <c r="F48" s="45">
        <v>38473</v>
      </c>
      <c r="G48" s="53">
        <f t="shared" si="0"/>
        <v>4.6049685611328837</v>
      </c>
      <c r="H48" s="46">
        <v>91.1</v>
      </c>
      <c r="I48" s="46">
        <v>91.3</v>
      </c>
      <c r="K48" s="54">
        <v>-1.9138675376487004</v>
      </c>
      <c r="L48" s="54"/>
      <c r="M48" s="54">
        <v>-1.9138675376487004</v>
      </c>
    </row>
    <row r="49" spans="6:13" x14ac:dyDescent="0.3">
      <c r="F49" s="45">
        <v>38504</v>
      </c>
      <c r="G49" s="53">
        <f t="shared" si="0"/>
        <v>0.32876741941917081</v>
      </c>
      <c r="H49" s="46">
        <v>91.4</v>
      </c>
      <c r="I49" s="46">
        <v>89.5</v>
      </c>
      <c r="K49" s="54">
        <v>1.571161143024586</v>
      </c>
      <c r="L49" s="54"/>
      <c r="M49" s="54">
        <v>1.571161143024586</v>
      </c>
    </row>
    <row r="50" spans="6:13" x14ac:dyDescent="0.3">
      <c r="F50" s="45">
        <v>38534</v>
      </c>
      <c r="G50" s="53">
        <f t="shared" si="0"/>
        <v>-0.98956277542239612</v>
      </c>
      <c r="H50" s="46">
        <v>90.5</v>
      </c>
      <c r="I50" s="46">
        <v>88.9</v>
      </c>
      <c r="K50" s="54">
        <v>-6.2196847556514889</v>
      </c>
      <c r="L50" s="54"/>
      <c r="M50" s="54">
        <v>-6.2196847556514889</v>
      </c>
    </row>
    <row r="51" spans="6:13" x14ac:dyDescent="0.3">
      <c r="F51" s="45">
        <v>38565</v>
      </c>
      <c r="G51" s="53">
        <f t="shared" si="0"/>
        <v>5.482296935147505</v>
      </c>
      <c r="H51" s="46">
        <v>95.6</v>
      </c>
      <c r="I51" s="46">
        <v>89.1</v>
      </c>
      <c r="K51" s="54">
        <v>2.6784982195050122</v>
      </c>
      <c r="L51" s="54"/>
      <c r="M51" s="54">
        <v>2.6784982195050122</v>
      </c>
    </row>
    <row r="52" spans="6:13" x14ac:dyDescent="0.3">
      <c r="F52" s="45">
        <v>38596</v>
      </c>
      <c r="G52" s="53">
        <f t="shared" si="0"/>
        <v>-3.8384243008315222</v>
      </c>
      <c r="H52" s="46">
        <v>92</v>
      </c>
      <c r="I52" s="46">
        <v>88.3</v>
      </c>
      <c r="K52" s="54">
        <v>-1.0132132620482732</v>
      </c>
      <c r="L52" s="54"/>
      <c r="M52" s="54">
        <v>-1.0132132620482732</v>
      </c>
    </row>
    <row r="53" spans="6:13" x14ac:dyDescent="0.3">
      <c r="F53" s="45">
        <v>38626</v>
      </c>
      <c r="G53" s="53">
        <f t="shared" si="0"/>
        <v>1.8309612195336253</v>
      </c>
      <c r="H53" s="46">
        <v>93.7</v>
      </c>
      <c r="I53" s="46">
        <v>87.6</v>
      </c>
      <c r="K53" s="54">
        <v>-1.7407717714571191</v>
      </c>
      <c r="L53" s="54"/>
      <c r="M53" s="54">
        <v>-1.7407717714571191</v>
      </c>
    </row>
    <row r="54" spans="6:13" x14ac:dyDescent="0.3">
      <c r="F54" s="45">
        <v>38657</v>
      </c>
      <c r="G54" s="53">
        <f t="shared" si="0"/>
        <v>-1.3971210596737951</v>
      </c>
      <c r="H54" s="46">
        <v>92.4</v>
      </c>
      <c r="I54" s="46">
        <v>88.6</v>
      </c>
      <c r="K54" s="54">
        <v>4.145046894320684</v>
      </c>
      <c r="L54" s="54"/>
      <c r="M54" s="54">
        <v>4.145046894320684</v>
      </c>
    </row>
    <row r="55" spans="6:13" x14ac:dyDescent="0.3">
      <c r="F55" s="45">
        <v>38687</v>
      </c>
      <c r="G55" s="53">
        <f t="shared" si="0"/>
        <v>-6.4827163079249166</v>
      </c>
      <c r="H55" s="46">
        <v>86.6</v>
      </c>
      <c r="I55" s="46">
        <v>90.5</v>
      </c>
      <c r="K55" s="54">
        <v>4.6045720265601799</v>
      </c>
      <c r="L55" s="54"/>
      <c r="M55" s="54">
        <v>4.6045720265601799</v>
      </c>
    </row>
    <row r="56" spans="6:13" x14ac:dyDescent="0.3">
      <c r="F56" s="45">
        <v>38718</v>
      </c>
      <c r="G56" s="53">
        <f t="shared" si="0"/>
        <v>-3.4060838072959752</v>
      </c>
      <c r="H56" s="46">
        <v>83.7</v>
      </c>
      <c r="I56" s="46">
        <v>90.8</v>
      </c>
      <c r="K56" s="54">
        <v>-2.845766040079666</v>
      </c>
      <c r="L56" s="54"/>
      <c r="M56" s="54">
        <v>-2.845766040079666</v>
      </c>
    </row>
    <row r="57" spans="6:13" x14ac:dyDescent="0.3">
      <c r="F57" s="45">
        <v>38749</v>
      </c>
      <c r="G57" s="53">
        <f t="shared" si="0"/>
        <v>-4.2715462622960851</v>
      </c>
      <c r="H57" s="46">
        <v>80.2</v>
      </c>
      <c r="I57" s="46">
        <v>91.4</v>
      </c>
      <c r="K57" s="54">
        <v>-1.1884869336638624</v>
      </c>
      <c r="L57" s="54"/>
      <c r="M57" s="54">
        <v>-1.1884869336638624</v>
      </c>
    </row>
    <row r="58" spans="6:13" x14ac:dyDescent="0.3">
      <c r="F58" s="45">
        <v>38777</v>
      </c>
      <c r="G58" s="53">
        <f t="shared" si="0"/>
        <v>14.160346377516964</v>
      </c>
      <c r="H58" s="46">
        <v>92.4</v>
      </c>
      <c r="I58" s="46">
        <v>90.7</v>
      </c>
      <c r="K58" s="54">
        <v>3.9063029728684544</v>
      </c>
      <c r="L58" s="54"/>
      <c r="M58" s="54">
        <v>3.9063029728684544</v>
      </c>
    </row>
    <row r="59" spans="6:13" x14ac:dyDescent="0.3">
      <c r="F59" s="45">
        <v>38808</v>
      </c>
      <c r="G59" s="53">
        <f t="shared" si="0"/>
        <v>-7.5274153043904395</v>
      </c>
      <c r="H59" s="46">
        <v>85.7</v>
      </c>
      <c r="I59" s="46">
        <v>91.4</v>
      </c>
      <c r="K59" s="54">
        <v>-3.46130437245397</v>
      </c>
      <c r="L59" s="54"/>
      <c r="M59" s="54">
        <v>-3.46130437245397</v>
      </c>
    </row>
    <row r="60" spans="6:13" x14ac:dyDescent="0.3">
      <c r="F60" s="45">
        <v>38838</v>
      </c>
      <c r="G60" s="53">
        <f t="shared" si="0"/>
        <v>10.722575285050679</v>
      </c>
      <c r="H60" s="46">
        <v>95.4</v>
      </c>
      <c r="I60" s="46">
        <v>92.2</v>
      </c>
      <c r="K60" s="54">
        <v>4.2037391862690949</v>
      </c>
      <c r="L60" s="54"/>
      <c r="M60" s="54">
        <v>4.2037391862690949</v>
      </c>
    </row>
    <row r="61" spans="6:13" x14ac:dyDescent="0.3">
      <c r="F61" s="45">
        <v>38869</v>
      </c>
      <c r="G61" s="53">
        <f t="shared" si="0"/>
        <v>-4.6120774188328273</v>
      </c>
      <c r="H61" s="46">
        <v>91.1</v>
      </c>
      <c r="I61" s="46">
        <v>90.6</v>
      </c>
      <c r="K61" s="54">
        <v>-3.3696836952274118</v>
      </c>
      <c r="L61" s="54"/>
      <c r="M61" s="54">
        <v>-3.3696836952274118</v>
      </c>
    </row>
    <row r="62" spans="6:13" x14ac:dyDescent="0.3">
      <c r="F62" s="45">
        <v>38899</v>
      </c>
      <c r="G62" s="53">
        <f t="shared" si="0"/>
        <v>2.9207051746266317</v>
      </c>
      <c r="H62" s="46">
        <v>93.8</v>
      </c>
      <c r="I62" s="46">
        <v>91.6</v>
      </c>
      <c r="K62" s="54">
        <v>-2.3094168056024613</v>
      </c>
      <c r="L62" s="54"/>
      <c r="M62" s="54">
        <v>-2.3094168056024613</v>
      </c>
    </row>
    <row r="63" spans="6:13" x14ac:dyDescent="0.3">
      <c r="F63" s="45">
        <v>38930</v>
      </c>
      <c r="G63" s="53">
        <f t="shared" si="0"/>
        <v>4.9906405596410703</v>
      </c>
      <c r="H63" s="46">
        <v>98.6</v>
      </c>
      <c r="I63" s="46">
        <v>91.4</v>
      </c>
      <c r="K63" s="54">
        <v>2.1868418439985775</v>
      </c>
      <c r="L63" s="54"/>
      <c r="M63" s="54">
        <v>2.1868418439985775</v>
      </c>
    </row>
    <row r="64" spans="6:13" x14ac:dyDescent="0.3">
      <c r="F64" s="45">
        <v>38961</v>
      </c>
      <c r="G64" s="53">
        <f t="shared" si="0"/>
        <v>-5.6323539917044103</v>
      </c>
      <c r="H64" s="46">
        <v>93.2</v>
      </c>
      <c r="I64" s="46">
        <v>90.4</v>
      </c>
      <c r="K64" s="54">
        <v>-2.8071429529211613</v>
      </c>
      <c r="L64" s="54"/>
      <c r="M64" s="54">
        <v>-2.8071429529211613</v>
      </c>
    </row>
    <row r="65" spans="6:13" x14ac:dyDescent="0.3">
      <c r="F65" s="45">
        <v>38991</v>
      </c>
      <c r="G65" s="53">
        <f t="shared" si="0"/>
        <v>4.5104656312255988</v>
      </c>
      <c r="H65" s="46">
        <v>97.5</v>
      </c>
      <c r="I65" s="46">
        <v>90.8</v>
      </c>
      <c r="K65" s="54">
        <v>0.93873264023485437</v>
      </c>
      <c r="L65" s="54"/>
      <c r="M65" s="54">
        <v>0.93873264023485437</v>
      </c>
    </row>
    <row r="66" spans="6:13" x14ac:dyDescent="0.3">
      <c r="F66" s="45">
        <v>39022</v>
      </c>
      <c r="G66" s="53">
        <f t="shared" si="0"/>
        <v>-1.6546396114408941</v>
      </c>
      <c r="H66" s="46">
        <v>95.9</v>
      </c>
      <c r="I66" s="46">
        <v>92.1</v>
      </c>
      <c r="K66" s="54">
        <v>3.8875283425535851</v>
      </c>
      <c r="L66" s="54"/>
      <c r="M66" s="54">
        <v>3.8875283425535851</v>
      </c>
    </row>
    <row r="67" spans="6:13" x14ac:dyDescent="0.3">
      <c r="F67" s="45">
        <v>39052</v>
      </c>
      <c r="G67" s="53">
        <f t="shared" si="0"/>
        <v>-9.7397863234808941</v>
      </c>
      <c r="H67" s="46">
        <v>87</v>
      </c>
      <c r="I67" s="46">
        <v>93.3</v>
      </c>
      <c r="K67" s="54">
        <v>1.3475020110042024</v>
      </c>
      <c r="L67" s="54"/>
      <c r="M67" s="54">
        <v>1.3475020110042024</v>
      </c>
    </row>
    <row r="68" spans="6:13" x14ac:dyDescent="0.3">
      <c r="F68" s="45">
        <v>39083</v>
      </c>
      <c r="G68" s="53">
        <f t="shared" si="0"/>
        <v>0</v>
      </c>
      <c r="H68" s="46">
        <v>87</v>
      </c>
      <c r="I68" s="46">
        <v>92.7</v>
      </c>
      <c r="K68" s="54">
        <v>0.56031776721630933</v>
      </c>
      <c r="L68" s="54"/>
      <c r="M68" s="54">
        <v>0.56031776721630933</v>
      </c>
    </row>
    <row r="69" spans="6:13" x14ac:dyDescent="0.3">
      <c r="F69" s="45">
        <v>39114</v>
      </c>
      <c r="G69" s="53">
        <f t="shared" si="0"/>
        <v>-5.1898438127651367</v>
      </c>
      <c r="H69" s="46">
        <v>82.6</v>
      </c>
      <c r="I69" s="46">
        <v>93.9</v>
      </c>
      <c r="K69" s="54">
        <v>-2.106784484132914</v>
      </c>
      <c r="L69" s="54"/>
      <c r="M69" s="54">
        <v>-2.106784484132914</v>
      </c>
    </row>
    <row r="70" spans="6:13" x14ac:dyDescent="0.3">
      <c r="F70" s="45">
        <v>39142</v>
      </c>
      <c r="G70" s="53">
        <f t="shared" si="0"/>
        <v>15.449652108956771</v>
      </c>
      <c r="H70" s="46">
        <v>96.4</v>
      </c>
      <c r="I70" s="46">
        <v>94.9</v>
      </c>
      <c r="K70" s="54">
        <v>5.1956087043082615</v>
      </c>
      <c r="L70" s="54"/>
      <c r="M70" s="54">
        <v>5.1956087043082615</v>
      </c>
    </row>
    <row r="71" spans="6:13" x14ac:dyDescent="0.3">
      <c r="F71" s="45">
        <v>39173</v>
      </c>
      <c r="G71" s="53">
        <f t="shared" si="0"/>
        <v>-6.205198856756641</v>
      </c>
      <c r="H71" s="46">
        <v>90.6</v>
      </c>
      <c r="I71" s="46">
        <v>96</v>
      </c>
      <c r="K71" s="54">
        <v>-2.1390879248201715</v>
      </c>
      <c r="L71" s="54"/>
      <c r="M71" s="54">
        <v>-2.1390879248201715</v>
      </c>
    </row>
    <row r="72" spans="6:13" x14ac:dyDescent="0.3">
      <c r="F72" s="45">
        <v>39203</v>
      </c>
      <c r="G72" s="53">
        <f t="shared" si="0"/>
        <v>9.7715472605574369</v>
      </c>
      <c r="H72" s="46">
        <v>99.9</v>
      </c>
      <c r="I72" s="46">
        <v>96.3</v>
      </c>
      <c r="K72" s="54">
        <v>3.2527111617758528</v>
      </c>
      <c r="L72" s="54"/>
      <c r="M72" s="54">
        <v>3.2527111617758528</v>
      </c>
    </row>
    <row r="73" spans="6:13" x14ac:dyDescent="0.3">
      <c r="F73" s="45">
        <v>39234</v>
      </c>
      <c r="G73" s="53">
        <f t="shared" si="0"/>
        <v>-3.0490166757787276</v>
      </c>
      <c r="H73" s="46">
        <v>96.9</v>
      </c>
      <c r="I73" s="46">
        <v>97</v>
      </c>
      <c r="K73" s="54">
        <v>-1.8066229521733124</v>
      </c>
      <c r="L73" s="54"/>
      <c r="M73" s="54">
        <v>-1.8066229521733124</v>
      </c>
    </row>
    <row r="74" spans="6:13" x14ac:dyDescent="0.3">
      <c r="F74" s="45">
        <v>39264</v>
      </c>
      <c r="G74" s="53">
        <f t="shared" ref="G74:G137" si="1">LN(H74/H73)*100</f>
        <v>2.9488664420697721</v>
      </c>
      <c r="H74" s="46">
        <v>99.8</v>
      </c>
      <c r="I74" s="46">
        <v>96.5</v>
      </c>
      <c r="K74" s="54">
        <v>-2.2812555381593209</v>
      </c>
      <c r="L74" s="54"/>
      <c r="M74" s="54">
        <v>-2.2812555381593209</v>
      </c>
    </row>
    <row r="75" spans="6:13" x14ac:dyDescent="0.3">
      <c r="F75" s="45">
        <v>39295</v>
      </c>
      <c r="G75" s="53">
        <f t="shared" si="1"/>
        <v>4.9839332084833199</v>
      </c>
      <c r="H75" s="46">
        <v>104.9</v>
      </c>
      <c r="I75" s="46">
        <v>97.9</v>
      </c>
      <c r="K75" s="54">
        <v>2.1801344928408271</v>
      </c>
      <c r="L75" s="54"/>
      <c r="M75" s="54">
        <v>2.1801344928408271</v>
      </c>
    </row>
    <row r="76" spans="6:13" x14ac:dyDescent="0.3">
      <c r="F76" s="45">
        <v>39326</v>
      </c>
      <c r="G76" s="53">
        <f t="shared" si="1"/>
        <v>-6.3966711344043752</v>
      </c>
      <c r="H76" s="46">
        <v>98.4</v>
      </c>
      <c r="I76" s="46">
        <v>97.2</v>
      </c>
      <c r="K76" s="54">
        <v>-3.5714600956211262</v>
      </c>
      <c r="L76" s="54"/>
      <c r="M76" s="54">
        <v>-3.5714600956211262</v>
      </c>
    </row>
    <row r="77" spans="6:13" x14ac:dyDescent="0.3">
      <c r="F77" s="45">
        <v>39356</v>
      </c>
      <c r="G77" s="53">
        <f t="shared" si="1"/>
        <v>9.1236854416688988</v>
      </c>
      <c r="H77" s="46">
        <v>107.8</v>
      </c>
      <c r="I77" s="46">
        <v>99.5</v>
      </c>
      <c r="K77" s="54">
        <v>5.5519524506781543</v>
      </c>
      <c r="L77" s="54"/>
      <c r="M77" s="54">
        <v>5.5519524506781543</v>
      </c>
    </row>
    <row r="78" spans="6:13" x14ac:dyDescent="0.3">
      <c r="F78" s="45">
        <v>39387</v>
      </c>
      <c r="G78" s="53">
        <f t="shared" si="1"/>
        <v>-5.1390945869489242</v>
      </c>
      <c r="H78" s="46">
        <v>102.4</v>
      </c>
      <c r="I78" s="46">
        <v>98.5</v>
      </c>
      <c r="K78" s="54">
        <v>0.40307336704555485</v>
      </c>
      <c r="L78" s="54"/>
      <c r="M78" s="54">
        <v>0.40307336704555485</v>
      </c>
    </row>
    <row r="79" spans="6:13" x14ac:dyDescent="0.3">
      <c r="F79" s="45">
        <v>39417</v>
      </c>
      <c r="G79" s="53">
        <f t="shared" si="1"/>
        <v>-10.059757095327383</v>
      </c>
      <c r="H79" s="46">
        <v>92.6</v>
      </c>
      <c r="I79" s="46">
        <v>98.9</v>
      </c>
      <c r="K79" s="54">
        <v>1.0275312391577138</v>
      </c>
      <c r="L79" s="54"/>
      <c r="M79" s="54">
        <v>1.0275312391577138</v>
      </c>
    </row>
    <row r="80" spans="6:13" x14ac:dyDescent="0.3">
      <c r="F80" s="45">
        <v>39448</v>
      </c>
      <c r="G80" s="53">
        <f t="shared" si="1"/>
        <v>2.3480267608842449</v>
      </c>
      <c r="H80" s="46">
        <v>94.8</v>
      </c>
      <c r="I80" s="46">
        <v>100.6</v>
      </c>
      <c r="K80" s="54">
        <v>2.908344528100554</v>
      </c>
      <c r="L80" s="54"/>
      <c r="M80" s="54">
        <v>2.908344528100554</v>
      </c>
    </row>
    <row r="81" spans="6:13" x14ac:dyDescent="0.3">
      <c r="F81" s="45">
        <v>39479</v>
      </c>
      <c r="G81" s="53">
        <f t="shared" si="1"/>
        <v>-3.9811604995063505</v>
      </c>
      <c r="H81" s="46">
        <v>91.1</v>
      </c>
      <c r="I81" s="46">
        <v>100.2</v>
      </c>
      <c r="K81" s="54">
        <v>-0.89810117087412777</v>
      </c>
      <c r="L81" s="54"/>
      <c r="M81" s="54">
        <v>-0.89810117087412777</v>
      </c>
    </row>
    <row r="82" spans="6:13" x14ac:dyDescent="0.3">
      <c r="F82" s="45">
        <v>39508</v>
      </c>
      <c r="G82" s="53">
        <f t="shared" si="1"/>
        <v>6.9943754782824428</v>
      </c>
      <c r="H82" s="46">
        <v>97.7</v>
      </c>
      <c r="I82" s="46">
        <v>100.5</v>
      </c>
      <c r="K82" s="54">
        <v>-3.2596679263660668</v>
      </c>
      <c r="L82" s="54"/>
      <c r="M82" s="54">
        <v>-3.2596679263660668</v>
      </c>
    </row>
    <row r="83" spans="6:13" x14ac:dyDescent="0.3">
      <c r="F83" s="45">
        <v>39539</v>
      </c>
      <c r="G83" s="53">
        <f t="shared" si="1"/>
        <v>1.5236455242089986</v>
      </c>
      <c r="H83" s="46">
        <v>99.2</v>
      </c>
      <c r="I83" s="46">
        <v>100.4</v>
      </c>
      <c r="K83" s="54">
        <v>5.5897564561454676</v>
      </c>
      <c r="L83" s="54"/>
      <c r="M83" s="54">
        <v>5.5897564561454676</v>
      </c>
    </row>
    <row r="84" spans="6:13" x14ac:dyDescent="0.3">
      <c r="F84" s="45">
        <v>39569</v>
      </c>
      <c r="G84" s="53">
        <f t="shared" si="1"/>
        <v>3.2724784287635709</v>
      </c>
      <c r="H84" s="46">
        <v>102.5</v>
      </c>
      <c r="I84" s="46">
        <v>101.1</v>
      </c>
      <c r="K84" s="54">
        <v>-3.2463576700180132</v>
      </c>
      <c r="L84" s="54"/>
      <c r="M84" s="54">
        <v>-3.2463576700180132</v>
      </c>
    </row>
    <row r="85" spans="6:13" x14ac:dyDescent="0.3">
      <c r="F85" s="45">
        <v>39600</v>
      </c>
      <c r="G85" s="53">
        <f t="shared" si="1"/>
        <v>0.77745775471300005</v>
      </c>
      <c r="H85" s="46">
        <v>103.3</v>
      </c>
      <c r="I85" s="46">
        <v>102.9</v>
      </c>
      <c r="K85" s="54">
        <v>2.0198514783184152</v>
      </c>
      <c r="L85" s="54"/>
      <c r="M85" s="54">
        <v>2.0198514783184152</v>
      </c>
    </row>
    <row r="86" spans="6:13" x14ac:dyDescent="0.3">
      <c r="F86" s="45">
        <v>39630</v>
      </c>
      <c r="G86" s="53">
        <f t="shared" si="1"/>
        <v>4.9112796854921346</v>
      </c>
      <c r="H86" s="46">
        <v>108.5</v>
      </c>
      <c r="I86" s="46">
        <v>103.2</v>
      </c>
      <c r="K86" s="54">
        <v>-0.31884229473695846</v>
      </c>
      <c r="L86" s="54"/>
      <c r="M86" s="54">
        <v>-0.31884229473695846</v>
      </c>
    </row>
    <row r="87" spans="6:13" x14ac:dyDescent="0.3">
      <c r="F87" s="45">
        <v>39661</v>
      </c>
      <c r="G87" s="53">
        <f t="shared" si="1"/>
        <v>-1.4856354949514659</v>
      </c>
      <c r="H87" s="46">
        <v>106.9</v>
      </c>
      <c r="I87" s="46">
        <v>101.9</v>
      </c>
      <c r="K87" s="54">
        <v>-4.2894342105939582</v>
      </c>
      <c r="L87" s="54"/>
      <c r="M87" s="54">
        <v>-4.2894342105939582</v>
      </c>
    </row>
    <row r="88" spans="6:13" x14ac:dyDescent="0.3">
      <c r="F88" s="45">
        <v>39692</v>
      </c>
      <c r="G88" s="53">
        <f t="shared" si="1"/>
        <v>0.37348316056530828</v>
      </c>
      <c r="H88" s="46">
        <v>107.3</v>
      </c>
      <c r="I88" s="46">
        <v>103.4</v>
      </c>
      <c r="K88" s="54">
        <v>3.1986941993485574</v>
      </c>
      <c r="L88" s="54"/>
      <c r="M88" s="54">
        <v>3.1986941993485574</v>
      </c>
    </row>
    <row r="89" spans="6:13" x14ac:dyDescent="0.3">
      <c r="F89" s="45">
        <v>39722</v>
      </c>
      <c r="G89" s="53">
        <f t="shared" si="1"/>
        <v>1.0199439368893048</v>
      </c>
      <c r="H89" s="46">
        <v>108.4</v>
      </c>
      <c r="I89" s="46">
        <v>100.1</v>
      </c>
      <c r="K89" s="54">
        <v>-2.5517890541014396</v>
      </c>
      <c r="L89" s="54"/>
      <c r="M89" s="54">
        <v>-2.5517890541014396</v>
      </c>
    </row>
    <row r="90" spans="6:13" x14ac:dyDescent="0.3">
      <c r="F90" s="45">
        <v>39753</v>
      </c>
      <c r="G90" s="53">
        <f t="shared" si="1"/>
        <v>-11.939873133388506</v>
      </c>
      <c r="H90" s="46">
        <v>96.2</v>
      </c>
      <c r="I90" s="46">
        <v>94.4</v>
      </c>
      <c r="K90" s="54">
        <v>-6.3977051793940269</v>
      </c>
      <c r="L90" s="54"/>
      <c r="M90" s="54">
        <v>-6.3977051793940269</v>
      </c>
    </row>
    <row r="91" spans="6:13" x14ac:dyDescent="0.3">
      <c r="F91" s="45">
        <v>39783</v>
      </c>
      <c r="G91" s="53">
        <f t="shared" si="1"/>
        <v>-19.571648289805267</v>
      </c>
      <c r="H91" s="46">
        <v>79.099999999999994</v>
      </c>
      <c r="I91" s="46">
        <v>83.8</v>
      </c>
      <c r="K91" s="54">
        <v>-8.484359955320171</v>
      </c>
      <c r="L91" s="54"/>
      <c r="M91" s="54">
        <v>-8.484359955320171</v>
      </c>
    </row>
    <row r="92" spans="6:13" x14ac:dyDescent="0.3">
      <c r="F92" s="45">
        <v>39814</v>
      </c>
      <c r="G92" s="53">
        <f t="shared" si="1"/>
        <v>-0.50697193502505111</v>
      </c>
      <c r="H92" s="46">
        <v>78.7</v>
      </c>
      <c r="I92" s="46">
        <v>85.6</v>
      </c>
      <c r="K92" s="54">
        <v>5.3345832191258193E-2</v>
      </c>
      <c r="L92" s="54"/>
      <c r="M92" s="54">
        <v>5.3345832191258193E-2</v>
      </c>
    </row>
    <row r="93" spans="6:13" x14ac:dyDescent="0.3">
      <c r="F93" s="45">
        <v>39845</v>
      </c>
      <c r="G93" s="53">
        <f t="shared" si="1"/>
        <v>-3.3594890555717507</v>
      </c>
      <c r="H93" s="46">
        <v>76.099999999999994</v>
      </c>
      <c r="I93" s="46">
        <v>87.6</v>
      </c>
      <c r="K93" s="54">
        <v>-0.27642972693952794</v>
      </c>
      <c r="L93" s="54"/>
      <c r="M93" s="54">
        <v>-0.27642972693952794</v>
      </c>
    </row>
    <row r="94" spans="6:13" x14ac:dyDescent="0.3">
      <c r="F94" s="45">
        <v>39873</v>
      </c>
      <c r="G94" s="53">
        <f t="shared" si="1"/>
        <v>15.208359274339509</v>
      </c>
      <c r="H94" s="46">
        <v>88.6</v>
      </c>
      <c r="I94" s="46">
        <v>88</v>
      </c>
      <c r="K94" s="54">
        <v>4.9543158696909995</v>
      </c>
      <c r="L94" s="54"/>
      <c r="M94" s="54">
        <v>4.9543158696909995</v>
      </c>
    </row>
    <row r="95" spans="6:13" x14ac:dyDescent="0.3">
      <c r="F95" s="45">
        <v>39904</v>
      </c>
      <c r="G95" s="53">
        <f t="shared" si="1"/>
        <v>-3.9130423775765082</v>
      </c>
      <c r="H95" s="46">
        <v>85.2</v>
      </c>
      <c r="I95" s="46">
        <v>89</v>
      </c>
      <c r="K95" s="54">
        <v>0.15306855435996122</v>
      </c>
      <c r="L95" s="54"/>
      <c r="M95" s="54">
        <v>0.15306855435996122</v>
      </c>
    </row>
    <row r="96" spans="6:13" x14ac:dyDescent="0.3">
      <c r="F96" s="45">
        <v>39934</v>
      </c>
      <c r="G96" s="53">
        <f t="shared" si="1"/>
        <v>6.9149353765652606</v>
      </c>
      <c r="H96" s="46">
        <v>91.3</v>
      </c>
      <c r="I96" s="46">
        <v>90.3</v>
      </c>
      <c r="K96" s="54">
        <v>0.39609927778367648</v>
      </c>
      <c r="L96" s="54"/>
      <c r="M96" s="54">
        <v>0.39609927778367648</v>
      </c>
    </row>
    <row r="97" spans="6:13" x14ac:dyDescent="0.3">
      <c r="F97" s="45">
        <v>39965</v>
      </c>
      <c r="G97" s="53">
        <f t="shared" si="1"/>
        <v>0.98093429616254413</v>
      </c>
      <c r="H97" s="46">
        <v>92.2</v>
      </c>
      <c r="I97" s="46">
        <v>91.6</v>
      </c>
      <c r="K97" s="54">
        <v>2.2233280197679592</v>
      </c>
      <c r="L97" s="54"/>
      <c r="M97" s="54">
        <v>2.2233280197679592</v>
      </c>
    </row>
    <row r="98" spans="6:13" x14ac:dyDescent="0.3">
      <c r="F98" s="45">
        <v>39995</v>
      </c>
      <c r="G98" s="53">
        <f t="shared" si="1"/>
        <v>5.7941428486188959</v>
      </c>
      <c r="H98" s="46">
        <v>97.7</v>
      </c>
      <c r="I98" s="46">
        <v>92.6</v>
      </c>
      <c r="K98" s="54">
        <v>0.56402086838980292</v>
      </c>
      <c r="L98" s="54"/>
      <c r="M98" s="54">
        <v>0.56402086838980292</v>
      </c>
    </row>
    <row r="99" spans="6:13" x14ac:dyDescent="0.3">
      <c r="F99" s="45">
        <v>40026</v>
      </c>
      <c r="G99" s="53">
        <f t="shared" si="1"/>
        <v>1.9260605541815436</v>
      </c>
      <c r="H99" s="46">
        <v>99.6</v>
      </c>
      <c r="I99" s="46">
        <v>94</v>
      </c>
      <c r="K99" s="54">
        <v>-0.87773816146094918</v>
      </c>
      <c r="L99" s="54"/>
      <c r="M99" s="54">
        <v>-0.87773816146094918</v>
      </c>
    </row>
    <row r="100" spans="6:13" x14ac:dyDescent="0.3">
      <c r="F100" s="45">
        <v>40057</v>
      </c>
      <c r="G100" s="53">
        <f t="shared" si="1"/>
        <v>-0.20100509280241119</v>
      </c>
      <c r="H100" s="46">
        <v>99.4</v>
      </c>
      <c r="I100" s="46">
        <v>95.6</v>
      </c>
      <c r="K100" s="54">
        <v>2.6242059459808376</v>
      </c>
      <c r="L100" s="54"/>
      <c r="M100" s="54">
        <v>2.6242059459808376</v>
      </c>
    </row>
    <row r="101" spans="6:13" x14ac:dyDescent="0.3">
      <c r="F101" s="45">
        <v>40087</v>
      </c>
      <c r="G101" s="53">
        <f t="shared" si="1"/>
        <v>6.0506257609632605</v>
      </c>
      <c r="H101" s="46">
        <v>105.6</v>
      </c>
      <c r="I101" s="46">
        <v>97.3</v>
      </c>
      <c r="K101" s="54">
        <v>2.4788927699725161</v>
      </c>
      <c r="L101" s="54"/>
      <c r="M101" s="54">
        <v>2.4788927699725161</v>
      </c>
    </row>
    <row r="102" spans="6:13" x14ac:dyDescent="0.3">
      <c r="F102" s="45">
        <v>40118</v>
      </c>
      <c r="G102" s="53">
        <f t="shared" si="1"/>
        <v>-4.0585280115078213</v>
      </c>
      <c r="H102" s="46">
        <v>101.4</v>
      </c>
      <c r="I102" s="46">
        <v>98.9</v>
      </c>
      <c r="K102" s="54">
        <v>1.4836399424866578</v>
      </c>
      <c r="L102" s="54"/>
      <c r="M102" s="54">
        <v>1.4836399424866578</v>
      </c>
    </row>
    <row r="103" spans="6:13" x14ac:dyDescent="0.3">
      <c r="F103" s="45">
        <v>40148</v>
      </c>
      <c r="G103" s="53">
        <f t="shared" si="1"/>
        <v>-7.4715044565749</v>
      </c>
      <c r="H103" s="46">
        <v>94.1</v>
      </c>
      <c r="I103" s="46">
        <v>99.1</v>
      </c>
      <c r="K103" s="54">
        <v>3.6157838779101965</v>
      </c>
      <c r="L103" s="54"/>
      <c r="M103" s="54">
        <v>3.6157838779101965</v>
      </c>
    </row>
    <row r="104" spans="6:13" x14ac:dyDescent="0.3">
      <c r="F104" s="45">
        <v>40179</v>
      </c>
      <c r="G104" s="53">
        <f t="shared" si="1"/>
        <v>-3.1303149511048107</v>
      </c>
      <c r="H104" s="46">
        <v>91.2</v>
      </c>
      <c r="I104" s="46">
        <v>100.7</v>
      </c>
      <c r="K104" s="54">
        <v>-2.5699971838885016</v>
      </c>
      <c r="L104" s="54"/>
      <c r="M104" s="54">
        <v>-2.5699971838885016</v>
      </c>
    </row>
    <row r="105" spans="6:13" x14ac:dyDescent="0.3">
      <c r="F105" s="45">
        <v>40210</v>
      </c>
      <c r="G105" s="53">
        <f t="shared" si="1"/>
        <v>-2.4418527348145886</v>
      </c>
      <c r="H105" s="46">
        <v>89</v>
      </c>
      <c r="I105" s="46">
        <v>100.5</v>
      </c>
      <c r="K105" s="54">
        <v>0.64120659381763412</v>
      </c>
      <c r="L105" s="54"/>
      <c r="M105" s="54">
        <v>0.64120659381763412</v>
      </c>
    </row>
    <row r="106" spans="6:13" x14ac:dyDescent="0.3">
      <c r="F106" s="45">
        <v>40238</v>
      </c>
      <c r="G106" s="53">
        <f t="shared" si="1"/>
        <v>16.627590815076555</v>
      </c>
      <c r="H106" s="46">
        <v>105.1</v>
      </c>
      <c r="I106" s="46">
        <v>103</v>
      </c>
      <c r="K106" s="54">
        <v>6.3735474104280456</v>
      </c>
      <c r="L106" s="54"/>
      <c r="M106" s="54">
        <v>6.3735474104280456</v>
      </c>
    </row>
    <row r="107" spans="6:13" x14ac:dyDescent="0.3">
      <c r="F107" s="45">
        <v>40269</v>
      </c>
      <c r="G107" s="53">
        <f t="shared" si="1"/>
        <v>-5.6766706831778553</v>
      </c>
      <c r="H107" s="46">
        <v>99.3</v>
      </c>
      <c r="I107" s="46">
        <v>103.2</v>
      </c>
      <c r="K107" s="54">
        <v>-1.6105597512413858</v>
      </c>
      <c r="L107" s="54"/>
      <c r="M107" s="54">
        <v>-1.6105597512413858</v>
      </c>
    </row>
    <row r="108" spans="6:13" x14ac:dyDescent="0.3">
      <c r="F108" s="45">
        <v>40299</v>
      </c>
      <c r="G108" s="53">
        <f t="shared" si="1"/>
        <v>4.9125790955599946</v>
      </c>
      <c r="H108" s="46">
        <v>104.3</v>
      </c>
      <c r="I108" s="46">
        <v>103</v>
      </c>
      <c r="K108" s="54">
        <v>-1.6062570032215895</v>
      </c>
      <c r="L108" s="54"/>
      <c r="M108" s="54">
        <v>-1.6062570032215895</v>
      </c>
    </row>
    <row r="109" spans="6:13" x14ac:dyDescent="0.3">
      <c r="F109" s="45">
        <v>40330</v>
      </c>
      <c r="G109" s="53">
        <f t="shared" si="1"/>
        <v>-1.7408563428263819</v>
      </c>
      <c r="H109" s="46">
        <v>102.5</v>
      </c>
      <c r="I109" s="46">
        <v>102.3</v>
      </c>
      <c r="K109" s="54">
        <v>-0.49846261922096669</v>
      </c>
      <c r="L109" s="54"/>
      <c r="M109" s="54">
        <v>-0.49846261922096669</v>
      </c>
    </row>
    <row r="110" spans="6:13" x14ac:dyDescent="0.3">
      <c r="F110" s="45">
        <v>40360</v>
      </c>
      <c r="G110" s="53">
        <f t="shared" si="1"/>
        <v>4.2031019452536711</v>
      </c>
      <c r="H110" s="46">
        <v>106.9</v>
      </c>
      <c r="I110" s="46">
        <v>101.8</v>
      </c>
      <c r="K110" s="54">
        <v>-1.0270200349754219</v>
      </c>
      <c r="L110" s="54"/>
      <c r="M110" s="54">
        <v>-1.0270200349754219</v>
      </c>
    </row>
    <row r="111" spans="6:13" x14ac:dyDescent="0.3">
      <c r="F111" s="45">
        <v>40391</v>
      </c>
      <c r="G111" s="53">
        <f t="shared" si="1"/>
        <v>1.1162906614163006</v>
      </c>
      <c r="H111" s="46">
        <v>108.1</v>
      </c>
      <c r="I111" s="46">
        <v>101.4</v>
      </c>
      <c r="K111" s="54">
        <v>-1.6875080542261922</v>
      </c>
      <c r="L111" s="54"/>
      <c r="M111" s="54">
        <v>-1.6875080542261922</v>
      </c>
    </row>
    <row r="112" spans="6:13" x14ac:dyDescent="0.3">
      <c r="F112" s="45">
        <v>40422</v>
      </c>
      <c r="G112" s="53">
        <f t="shared" si="1"/>
        <v>-2.1506205220963506</v>
      </c>
      <c r="H112" s="46">
        <v>105.8</v>
      </c>
      <c r="I112" s="46">
        <v>101.6</v>
      </c>
      <c r="K112" s="54">
        <v>0.6745905166868984</v>
      </c>
      <c r="L112" s="54"/>
      <c r="M112" s="54">
        <v>0.6745905166868984</v>
      </c>
    </row>
    <row r="113" spans="6:13" x14ac:dyDescent="0.3">
      <c r="F113" s="45">
        <v>40452</v>
      </c>
      <c r="G113" s="53">
        <f t="shared" si="1"/>
        <v>1.779906473814393</v>
      </c>
      <c r="H113" s="46">
        <v>107.7</v>
      </c>
      <c r="I113" s="46">
        <v>101.3</v>
      </c>
      <c r="K113" s="54">
        <v>-1.7918265171763514</v>
      </c>
      <c r="L113" s="54"/>
      <c r="M113" s="54">
        <v>-1.7918265171763514</v>
      </c>
    </row>
    <row r="114" spans="6:13" x14ac:dyDescent="0.3">
      <c r="F114" s="45">
        <v>40483</v>
      </c>
      <c r="G114" s="53">
        <f t="shared" si="1"/>
        <v>-0.83916576362485129</v>
      </c>
      <c r="H114" s="46">
        <v>106.8</v>
      </c>
      <c r="I114" s="46">
        <v>102.2</v>
      </c>
      <c r="K114" s="54">
        <v>4.7030021903696273</v>
      </c>
      <c r="L114" s="54"/>
      <c r="M114" s="54">
        <v>4.7030021903696273</v>
      </c>
    </row>
    <row r="115" spans="6:13" x14ac:dyDescent="0.3">
      <c r="F115" s="45">
        <v>40513</v>
      </c>
      <c r="G115" s="53">
        <f t="shared" si="1"/>
        <v>-10.037918530762216</v>
      </c>
      <c r="H115" s="46">
        <v>96.6</v>
      </c>
      <c r="I115" s="46">
        <v>102.6</v>
      </c>
      <c r="K115" s="54">
        <v>1.0493698037228807</v>
      </c>
      <c r="L115" s="54"/>
      <c r="M115" s="54">
        <v>1.0493698037228807</v>
      </c>
    </row>
    <row r="116" spans="6:13" x14ac:dyDescent="0.3">
      <c r="F116" s="45">
        <v>40544</v>
      </c>
      <c r="G116" s="53">
        <f t="shared" si="1"/>
        <v>-3.5831019526926728</v>
      </c>
      <c r="H116" s="46">
        <v>93.2</v>
      </c>
      <c r="I116" s="46">
        <v>102.8</v>
      </c>
      <c r="K116" s="54">
        <v>-3.0227841854763637</v>
      </c>
      <c r="L116" s="54"/>
      <c r="M116" s="54">
        <v>-3.0227841854763637</v>
      </c>
    </row>
    <row r="117" spans="6:13" x14ac:dyDescent="0.3">
      <c r="F117" s="45">
        <v>40575</v>
      </c>
      <c r="G117" s="53">
        <f t="shared" si="1"/>
        <v>2.3330856762695267</v>
      </c>
      <c r="H117" s="46">
        <v>95.4</v>
      </c>
      <c r="I117" s="46">
        <v>104.2</v>
      </c>
      <c r="K117" s="54">
        <v>5.4161450049017494</v>
      </c>
      <c r="L117" s="54"/>
      <c r="M117" s="54">
        <v>5.4161450049017494</v>
      </c>
    </row>
    <row r="118" spans="6:13" x14ac:dyDescent="0.3">
      <c r="F118" s="45">
        <v>40603</v>
      </c>
      <c r="G118" s="53">
        <f t="shared" si="1"/>
        <v>9.0151096994297486</v>
      </c>
      <c r="H118" s="46">
        <v>104.4</v>
      </c>
      <c r="I118" s="46">
        <v>104.8</v>
      </c>
      <c r="K118" s="54">
        <v>-1.238933705218761</v>
      </c>
      <c r="L118" s="54"/>
      <c r="M118" s="54">
        <v>-1.238933705218761</v>
      </c>
    </row>
    <row r="119" spans="6:13" x14ac:dyDescent="0.3">
      <c r="F119" s="45">
        <v>40634</v>
      </c>
      <c r="G119" s="53">
        <f t="shared" si="1"/>
        <v>-6.8377297444736849</v>
      </c>
      <c r="H119" s="46">
        <v>97.5</v>
      </c>
      <c r="I119" s="46">
        <v>102.1</v>
      </c>
      <c r="K119" s="54">
        <v>-2.7716188125372154</v>
      </c>
      <c r="L119" s="54"/>
      <c r="M119" s="54">
        <v>-2.7716188125372154</v>
      </c>
    </row>
    <row r="120" spans="6:13" x14ac:dyDescent="0.3">
      <c r="F120" s="45">
        <v>40664</v>
      </c>
      <c r="G120" s="53">
        <f t="shared" si="1"/>
        <v>9.3910599449901522</v>
      </c>
      <c r="H120" s="46">
        <v>107.1</v>
      </c>
      <c r="I120" s="46">
        <v>105.2</v>
      </c>
      <c r="K120" s="54">
        <v>2.8722238462085681</v>
      </c>
      <c r="L120" s="54"/>
      <c r="M120" s="54">
        <v>2.8722238462085681</v>
      </c>
    </row>
    <row r="121" spans="6:13" x14ac:dyDescent="0.3">
      <c r="F121" s="45">
        <v>40695</v>
      </c>
      <c r="G121" s="53">
        <f t="shared" si="1"/>
        <v>-4.0977624432638322</v>
      </c>
      <c r="H121" s="46">
        <v>102.8</v>
      </c>
      <c r="I121" s="46">
        <v>102.7</v>
      </c>
      <c r="K121" s="54">
        <v>-2.8553687196584168</v>
      </c>
      <c r="L121" s="54"/>
      <c r="M121" s="54">
        <v>-2.8553687196584168</v>
      </c>
    </row>
    <row r="122" spans="6:13" x14ac:dyDescent="0.3">
      <c r="F122" s="45">
        <v>40725</v>
      </c>
      <c r="G122" s="53">
        <f t="shared" si="1"/>
        <v>3.1596692598872607</v>
      </c>
      <c r="H122" s="46">
        <v>106.1</v>
      </c>
      <c r="I122" s="46">
        <v>103.1</v>
      </c>
      <c r="K122" s="54">
        <v>-2.0704527203418324</v>
      </c>
      <c r="L122" s="54"/>
      <c r="M122" s="54">
        <v>-2.0704527203418324</v>
      </c>
    </row>
    <row r="123" spans="6:13" x14ac:dyDescent="0.3">
      <c r="F123" s="45">
        <v>40756</v>
      </c>
      <c r="G123" s="53">
        <f t="shared" si="1"/>
        <v>4.3344728693245962</v>
      </c>
      <c r="H123" s="46">
        <v>110.8</v>
      </c>
      <c r="I123" s="46">
        <v>102.1</v>
      </c>
      <c r="K123" s="54">
        <v>1.5306741536821034</v>
      </c>
      <c r="L123" s="54"/>
      <c r="M123" s="54">
        <v>1.5306741536821034</v>
      </c>
    </row>
    <row r="124" spans="6:13" x14ac:dyDescent="0.3">
      <c r="F124" s="45">
        <v>40787</v>
      </c>
      <c r="G124" s="53">
        <f t="shared" si="1"/>
        <v>-5.5673002426241638</v>
      </c>
      <c r="H124" s="46">
        <v>104.8</v>
      </c>
      <c r="I124" s="46">
        <v>100.2</v>
      </c>
      <c r="K124" s="54">
        <v>-2.7420892038409148</v>
      </c>
      <c r="L124" s="54"/>
      <c r="M124" s="54">
        <v>-2.7420892038409148</v>
      </c>
    </row>
    <row r="125" spans="6:13" x14ac:dyDescent="0.3">
      <c r="F125" s="45">
        <v>40817</v>
      </c>
      <c r="G125" s="53">
        <f t="shared" si="1"/>
        <v>1.4211513460960548</v>
      </c>
      <c r="H125" s="46">
        <v>106.3</v>
      </c>
      <c r="I125" s="46">
        <v>99.2</v>
      </c>
      <c r="K125" s="54">
        <v>-2.1505816448946895</v>
      </c>
      <c r="L125" s="54"/>
      <c r="M125" s="54">
        <v>-2.1505816448946895</v>
      </c>
    </row>
    <row r="126" spans="6:13" x14ac:dyDescent="0.3">
      <c r="F126" s="45">
        <v>40848</v>
      </c>
      <c r="G126" s="53">
        <f t="shared" si="1"/>
        <v>-1.9953156028635677</v>
      </c>
      <c r="H126" s="46">
        <v>104.2</v>
      </c>
      <c r="I126" s="46">
        <v>99.9</v>
      </c>
      <c r="K126" s="54">
        <v>3.5468523511309114</v>
      </c>
      <c r="L126" s="54"/>
      <c r="M126" s="54">
        <v>3.5468523511309114</v>
      </c>
    </row>
    <row r="127" spans="6:13" x14ac:dyDescent="0.3">
      <c r="F127" s="45">
        <v>40878</v>
      </c>
      <c r="G127" s="53">
        <f t="shared" si="1"/>
        <v>-8.5093830860358022</v>
      </c>
      <c r="H127" s="46">
        <v>95.7</v>
      </c>
      <c r="I127" s="46">
        <v>102.5</v>
      </c>
      <c r="K127" s="54">
        <v>2.5779052484492944</v>
      </c>
      <c r="L127" s="54"/>
      <c r="M127" s="54">
        <v>2.5779052484492944</v>
      </c>
    </row>
    <row r="128" spans="6:13" x14ac:dyDescent="0.3">
      <c r="F128" s="45">
        <v>40909</v>
      </c>
      <c r="G128" s="53">
        <f t="shared" si="1"/>
        <v>-7.5958409143374785</v>
      </c>
      <c r="H128" s="46">
        <v>88.7</v>
      </c>
      <c r="I128" s="46">
        <v>98</v>
      </c>
      <c r="K128" s="54">
        <v>-7.035523147121169</v>
      </c>
      <c r="L128" s="54"/>
      <c r="M128" s="54">
        <v>-7.035523147121169</v>
      </c>
    </row>
    <row r="129" spans="6:13" x14ac:dyDescent="0.3">
      <c r="F129" s="45">
        <v>40940</v>
      </c>
      <c r="G129" s="53">
        <f t="shared" si="1"/>
        <v>1.2325085992620033</v>
      </c>
      <c r="H129" s="46">
        <v>89.8</v>
      </c>
      <c r="I129" s="46">
        <v>99</v>
      </c>
      <c r="K129" s="54">
        <v>4.3155679278942261</v>
      </c>
      <c r="L129" s="54"/>
      <c r="M129" s="54">
        <v>4.3155679278942261</v>
      </c>
    </row>
    <row r="130" spans="6:13" x14ac:dyDescent="0.3">
      <c r="F130" s="45">
        <v>40969</v>
      </c>
      <c r="G130" s="53">
        <f t="shared" si="1"/>
        <v>10.458070165963877</v>
      </c>
      <c r="H130" s="46">
        <v>99.7</v>
      </c>
      <c r="I130" s="46">
        <v>98.3</v>
      </c>
      <c r="K130" s="54">
        <v>0.20402676131536698</v>
      </c>
      <c r="L130" s="54"/>
      <c r="M130" s="54">
        <v>0.20402676131536698</v>
      </c>
    </row>
    <row r="131" spans="6:13" x14ac:dyDescent="0.3">
      <c r="F131" s="45">
        <v>41000</v>
      </c>
      <c r="G131" s="53">
        <f t="shared" si="1"/>
        <v>-7.1719037175637768</v>
      </c>
      <c r="H131" s="46">
        <v>92.8</v>
      </c>
      <c r="I131" s="46">
        <v>98.5</v>
      </c>
      <c r="K131" s="54">
        <v>-3.1057927856273073</v>
      </c>
      <c r="L131" s="54"/>
      <c r="M131" s="54">
        <v>-3.1057927856273073</v>
      </c>
    </row>
    <row r="132" spans="6:13" x14ac:dyDescent="0.3">
      <c r="F132" s="45">
        <v>41030</v>
      </c>
      <c r="G132" s="53">
        <f t="shared" si="1"/>
        <v>9.9416158786307989</v>
      </c>
      <c r="H132" s="46">
        <v>102.5</v>
      </c>
      <c r="I132" s="46">
        <v>98.9</v>
      </c>
      <c r="K132" s="54">
        <v>3.4227797798492148</v>
      </c>
      <c r="L132" s="54"/>
      <c r="M132" s="54">
        <v>3.4227797798492148</v>
      </c>
    </row>
    <row r="133" spans="6:13" x14ac:dyDescent="0.3">
      <c r="F133" s="45">
        <v>41061</v>
      </c>
      <c r="G133" s="53">
        <f t="shared" si="1"/>
        <v>-4.1838771425342038</v>
      </c>
      <c r="H133" s="46">
        <v>98.3</v>
      </c>
      <c r="I133" s="46">
        <v>99</v>
      </c>
      <c r="K133" s="54">
        <v>-2.9414834189287884</v>
      </c>
      <c r="L133" s="54"/>
      <c r="M133" s="54">
        <v>-2.9414834189287884</v>
      </c>
    </row>
    <row r="134" spans="6:13" x14ac:dyDescent="0.3">
      <c r="F134" s="45">
        <v>41091</v>
      </c>
      <c r="G134" s="53">
        <f t="shared" si="1"/>
        <v>6.1163044251744862</v>
      </c>
      <c r="H134" s="46">
        <v>104.5</v>
      </c>
      <c r="I134" s="46">
        <v>100.5</v>
      </c>
      <c r="K134" s="54">
        <v>0.88618244494539322</v>
      </c>
      <c r="L134" s="54"/>
      <c r="M134" s="54">
        <v>0.88618244494539322</v>
      </c>
    </row>
    <row r="135" spans="6:13" x14ac:dyDescent="0.3">
      <c r="F135" s="45">
        <v>41122</v>
      </c>
      <c r="G135" s="53">
        <f t="shared" si="1"/>
        <v>6.4837519495307667</v>
      </c>
      <c r="H135" s="46">
        <v>111.5</v>
      </c>
      <c r="I135" s="46">
        <v>102.5</v>
      </c>
      <c r="K135" s="54">
        <v>3.6799532338882739</v>
      </c>
      <c r="L135" s="54"/>
      <c r="M135" s="54">
        <v>3.6799532338882739</v>
      </c>
    </row>
    <row r="136" spans="6:13" x14ac:dyDescent="0.3">
      <c r="F136" s="45">
        <v>41153</v>
      </c>
      <c r="G136" s="53">
        <f t="shared" si="1"/>
        <v>-7.5419628825844658</v>
      </c>
      <c r="H136" s="46">
        <v>103.4</v>
      </c>
      <c r="I136" s="46">
        <v>100.6</v>
      </c>
      <c r="K136" s="54">
        <v>-4.7167518438012168</v>
      </c>
      <c r="L136" s="54"/>
      <c r="M136" s="54">
        <v>-4.7167518438012168</v>
      </c>
    </row>
    <row r="137" spans="6:13" x14ac:dyDescent="0.3">
      <c r="F137" s="45">
        <v>41183</v>
      </c>
      <c r="G137" s="53">
        <f t="shared" si="1"/>
        <v>7.8106598646669854</v>
      </c>
      <c r="H137" s="46">
        <v>111.8</v>
      </c>
      <c r="I137" s="46">
        <v>102.1</v>
      </c>
      <c r="K137" s="54">
        <v>4.2389268736762409</v>
      </c>
      <c r="L137" s="54"/>
      <c r="M137" s="54">
        <v>4.2389268736762409</v>
      </c>
    </row>
    <row r="138" spans="6:13" x14ac:dyDescent="0.3">
      <c r="F138" s="45">
        <v>41214</v>
      </c>
      <c r="G138" s="53">
        <f t="shared" ref="G138:G201" si="2">LN(H138/H137)*100</f>
        <v>-6.4657788834056955</v>
      </c>
      <c r="H138" s="46">
        <v>104.8</v>
      </c>
      <c r="I138" s="46">
        <v>100.6</v>
      </c>
      <c r="K138" s="54">
        <v>-0.92361092941121647</v>
      </c>
      <c r="L138" s="54"/>
      <c r="M138" s="54">
        <v>-0.92361092941121647</v>
      </c>
    </row>
    <row r="139" spans="6:13" x14ac:dyDescent="0.3">
      <c r="F139" s="45">
        <v>41244</v>
      </c>
      <c r="G139" s="53">
        <f t="shared" si="2"/>
        <v>-12.809364132439352</v>
      </c>
      <c r="H139" s="46">
        <v>92.2</v>
      </c>
      <c r="I139" s="46">
        <v>101.3</v>
      </c>
      <c r="K139" s="54">
        <v>-1.7220757979542558</v>
      </c>
      <c r="L139" s="54"/>
      <c r="M139" s="54">
        <v>-1.7220757979542558</v>
      </c>
    </row>
    <row r="140" spans="6:13" x14ac:dyDescent="0.3">
      <c r="F140" s="45">
        <v>41275</v>
      </c>
      <c r="G140" s="53">
        <f t="shared" si="2"/>
        <v>2.4639703937148925</v>
      </c>
      <c r="H140" s="46">
        <v>94.5</v>
      </c>
      <c r="I140" s="46">
        <v>102.1</v>
      </c>
      <c r="K140" s="54">
        <v>3.024288160931202</v>
      </c>
      <c r="L140" s="54"/>
      <c r="M140" s="54">
        <v>3.024288160931202</v>
      </c>
    </row>
    <row r="141" spans="6:13" x14ac:dyDescent="0.3">
      <c r="F141" s="45">
        <v>41306</v>
      </c>
      <c r="G141" s="53">
        <f t="shared" si="2"/>
        <v>-7.0127301557563264</v>
      </c>
      <c r="H141" s="46">
        <v>88.1</v>
      </c>
      <c r="I141" s="46">
        <v>99.7</v>
      </c>
      <c r="K141" s="54">
        <v>-3.9296708271241036</v>
      </c>
      <c r="L141" s="54"/>
      <c r="M141" s="54">
        <v>-3.9296708271241036</v>
      </c>
    </row>
    <row r="142" spans="6:13" x14ac:dyDescent="0.3">
      <c r="F142" s="45">
        <v>41334</v>
      </c>
      <c r="G142" s="53">
        <f t="shared" si="2"/>
        <v>10.342902610660323</v>
      </c>
      <c r="H142" s="46">
        <v>97.7</v>
      </c>
      <c r="I142" s="46">
        <v>101.2</v>
      </c>
      <c r="K142" s="54">
        <v>8.8859206011813158E-2</v>
      </c>
      <c r="L142" s="54"/>
      <c r="M142" s="54">
        <v>8.8859206011813158E-2</v>
      </c>
    </row>
    <row r="143" spans="6:13" x14ac:dyDescent="0.3">
      <c r="F143" s="45">
        <v>41365</v>
      </c>
      <c r="G143" s="53">
        <f t="shared" si="2"/>
        <v>4.1108545067685318</v>
      </c>
      <c r="H143" s="46">
        <v>101.8</v>
      </c>
      <c r="I143" s="46">
        <v>103</v>
      </c>
      <c r="K143" s="54">
        <v>8.1769654387050004</v>
      </c>
      <c r="L143" s="54"/>
      <c r="M143" s="54">
        <v>8.1769654387050004</v>
      </c>
    </row>
    <row r="144" spans="6:13" x14ac:dyDescent="0.3">
      <c r="F144" s="45">
        <v>41395</v>
      </c>
      <c r="G144" s="53">
        <f t="shared" si="2"/>
        <v>3.0950246041101059</v>
      </c>
      <c r="H144" s="46">
        <v>105</v>
      </c>
      <c r="I144" s="46">
        <v>102.5</v>
      </c>
      <c r="K144" s="54">
        <v>-3.4238114946714782</v>
      </c>
      <c r="L144" s="54"/>
      <c r="M144" s="54">
        <v>-3.4238114946714782</v>
      </c>
    </row>
    <row r="145" spans="6:13" x14ac:dyDescent="0.3">
      <c r="F145" s="45">
        <v>41426</v>
      </c>
      <c r="G145" s="53">
        <f t="shared" si="2"/>
        <v>-3.1933047103009029</v>
      </c>
      <c r="H145" s="46">
        <v>101.7</v>
      </c>
      <c r="I145" s="46">
        <v>103.2</v>
      </c>
      <c r="K145" s="54">
        <v>-1.9509109866954877</v>
      </c>
      <c r="L145" s="54"/>
      <c r="M145" s="54">
        <v>-1.9509109866954877</v>
      </c>
    </row>
    <row r="146" spans="6:13" x14ac:dyDescent="0.3">
      <c r="F146" s="45">
        <v>41456</v>
      </c>
      <c r="G146" s="53">
        <f t="shared" si="2"/>
        <v>6.0103924069705306</v>
      </c>
      <c r="H146" s="46">
        <v>108</v>
      </c>
      <c r="I146" s="46">
        <v>102.4</v>
      </c>
      <c r="K146" s="54">
        <v>0.78027042674143754</v>
      </c>
      <c r="L146" s="54"/>
      <c r="M146" s="54">
        <v>0.78027042674143754</v>
      </c>
    </row>
    <row r="147" spans="6:13" x14ac:dyDescent="0.3">
      <c r="F147" s="45">
        <v>41487</v>
      </c>
      <c r="G147" s="53">
        <f t="shared" si="2"/>
        <v>3.6367644170874791</v>
      </c>
      <c r="H147" s="46">
        <v>112</v>
      </c>
      <c r="I147" s="46">
        <v>102.9</v>
      </c>
      <c r="K147" s="54">
        <v>0.83296570144498627</v>
      </c>
      <c r="L147" s="54"/>
      <c r="M147" s="54">
        <v>0.83296570144498627</v>
      </c>
    </row>
    <row r="148" spans="6:13" x14ac:dyDescent="0.3">
      <c r="F148" s="45">
        <v>41518</v>
      </c>
      <c r="G148" s="53">
        <f t="shared" si="2"/>
        <v>-4.2870221658441832</v>
      </c>
      <c r="H148" s="46">
        <v>107.3</v>
      </c>
      <c r="I148" s="46">
        <v>103.5</v>
      </c>
      <c r="K148" s="54">
        <v>-1.4618111270609342</v>
      </c>
      <c r="L148" s="54"/>
      <c r="M148" s="54">
        <v>-1.4618111270609342</v>
      </c>
    </row>
    <row r="149" spans="6:13" x14ac:dyDescent="0.3">
      <c r="F149" s="45">
        <v>41548</v>
      </c>
      <c r="G149" s="53">
        <f t="shared" si="2"/>
        <v>4.8213066068937094</v>
      </c>
      <c r="H149" s="46">
        <v>112.6</v>
      </c>
      <c r="I149" s="46">
        <v>102.4</v>
      </c>
      <c r="K149" s="54">
        <v>1.2495736159029649</v>
      </c>
      <c r="L149" s="54"/>
      <c r="M149" s="54">
        <v>1.2495736159029649</v>
      </c>
    </row>
    <row r="150" spans="6:13" x14ac:dyDescent="0.3">
      <c r="F150" s="45">
        <v>41579</v>
      </c>
      <c r="G150" s="53">
        <f t="shared" si="2"/>
        <v>-5.9459670085652512</v>
      </c>
      <c r="H150" s="46">
        <v>106.1</v>
      </c>
      <c r="I150" s="46">
        <v>103</v>
      </c>
      <c r="K150" s="54">
        <v>-0.40379905457077214</v>
      </c>
      <c r="L150" s="54"/>
      <c r="M150" s="54">
        <v>-0.40379905457077214</v>
      </c>
    </row>
    <row r="151" spans="6:13" x14ac:dyDescent="0.3">
      <c r="F151" s="45">
        <v>41609</v>
      </c>
      <c r="G151" s="53">
        <f t="shared" si="2"/>
        <v>-16.346188100564525</v>
      </c>
      <c r="H151" s="46">
        <v>90.1</v>
      </c>
      <c r="I151" s="46">
        <v>99</v>
      </c>
      <c r="K151" s="54">
        <v>-5.2588997660794288</v>
      </c>
      <c r="L151" s="54"/>
      <c r="M151" s="54">
        <v>-5.2588997660794288</v>
      </c>
    </row>
    <row r="152" spans="6:13" x14ac:dyDescent="0.3">
      <c r="F152" s="45">
        <v>41640</v>
      </c>
      <c r="G152" s="53">
        <f t="shared" si="2"/>
        <v>2.7368977037841566</v>
      </c>
      <c r="H152" s="46">
        <v>92.6</v>
      </c>
      <c r="I152" s="46">
        <v>100.6</v>
      </c>
      <c r="K152" s="54">
        <v>3.2972154710004657</v>
      </c>
      <c r="L152" s="54"/>
      <c r="M152" s="54">
        <v>3.2972154710004657</v>
      </c>
    </row>
    <row r="153" spans="6:13" x14ac:dyDescent="0.3">
      <c r="F153" s="45">
        <v>41671</v>
      </c>
      <c r="G153" s="53">
        <f t="shared" si="2"/>
        <v>-0.32450001433271897</v>
      </c>
      <c r="H153" s="46">
        <v>92.3</v>
      </c>
      <c r="I153" s="46">
        <v>101.2</v>
      </c>
      <c r="K153" s="54">
        <v>2.7585593142995037</v>
      </c>
      <c r="L153" s="54"/>
      <c r="M153" s="54">
        <v>2.7585593142995037</v>
      </c>
    </row>
    <row r="154" spans="6:13" x14ac:dyDescent="0.3">
      <c r="F154" s="45">
        <v>41699</v>
      </c>
      <c r="G154" s="53">
        <f t="shared" si="2"/>
        <v>5.2754847683152821</v>
      </c>
      <c r="H154" s="46">
        <v>97.3</v>
      </c>
      <c r="I154" s="46">
        <v>101</v>
      </c>
      <c r="K154" s="54">
        <v>-4.9785586363332275</v>
      </c>
      <c r="L154" s="54"/>
      <c r="M154" s="54">
        <v>-4.9785586363332275</v>
      </c>
    </row>
    <row r="155" spans="6:13" x14ac:dyDescent="0.3">
      <c r="F155" s="45">
        <v>41730</v>
      </c>
      <c r="G155" s="53">
        <f t="shared" si="2"/>
        <v>-1.3450797724123105</v>
      </c>
      <c r="H155" s="46">
        <v>96</v>
      </c>
      <c r="I155" s="46">
        <v>100.2</v>
      </c>
      <c r="K155" s="54">
        <v>2.7210311595241592</v>
      </c>
      <c r="L155" s="54"/>
      <c r="M155" s="54">
        <v>2.7210311595241592</v>
      </c>
    </row>
    <row r="156" spans="6:13" x14ac:dyDescent="0.3">
      <c r="F156" s="45">
        <v>41760</v>
      </c>
      <c r="G156" s="53">
        <f t="shared" si="2"/>
        <v>5.7679111586677987</v>
      </c>
      <c r="H156" s="46">
        <v>101.7</v>
      </c>
      <c r="I156" s="46">
        <v>98.8</v>
      </c>
      <c r="K156" s="54">
        <v>-0.75092494011378541</v>
      </c>
      <c r="L156" s="54"/>
      <c r="M156" s="54">
        <v>-0.75092494011378541</v>
      </c>
    </row>
    <row r="157" spans="6:13" x14ac:dyDescent="0.3">
      <c r="F157" s="45">
        <v>41791</v>
      </c>
      <c r="G157" s="53">
        <f t="shared" si="2"/>
        <v>-6.920359743863207</v>
      </c>
      <c r="H157" s="46">
        <v>94.9</v>
      </c>
      <c r="I157" s="46">
        <v>96.1</v>
      </c>
      <c r="K157" s="54">
        <v>-5.6779660202577915</v>
      </c>
      <c r="L157" s="54"/>
      <c r="M157" s="54">
        <v>-5.6779660202577915</v>
      </c>
    </row>
    <row r="158" spans="6:13" x14ac:dyDescent="0.3">
      <c r="F158" s="45">
        <v>41821</v>
      </c>
      <c r="G158" s="53">
        <f t="shared" si="2"/>
        <v>9.5405969832656066</v>
      </c>
      <c r="H158" s="46">
        <v>104.4</v>
      </c>
      <c r="I158" s="46">
        <v>98.3</v>
      </c>
      <c r="K158" s="54">
        <v>4.3104750030365135</v>
      </c>
      <c r="L158" s="54"/>
      <c r="M158" s="54">
        <v>4.3104750030365135</v>
      </c>
    </row>
    <row r="159" spans="6:13" x14ac:dyDescent="0.3">
      <c r="F159" s="45">
        <v>41852</v>
      </c>
      <c r="G159" s="53">
        <f t="shared" si="2"/>
        <v>1.8035609899363723</v>
      </c>
      <c r="H159" s="46">
        <v>106.3</v>
      </c>
      <c r="I159" s="46">
        <v>99.2</v>
      </c>
      <c r="K159" s="54">
        <v>-1.0002377257061206</v>
      </c>
      <c r="L159" s="54"/>
      <c r="M159" s="54">
        <v>-1.0002377257061206</v>
      </c>
    </row>
    <row r="160" spans="6:13" x14ac:dyDescent="0.3">
      <c r="F160" s="45">
        <v>41883</v>
      </c>
      <c r="G160" s="53">
        <f t="shared" si="2"/>
        <v>-0.66069140757411748</v>
      </c>
      <c r="H160" s="46">
        <v>105.6</v>
      </c>
      <c r="I160" s="46">
        <v>99.4</v>
      </c>
      <c r="K160" s="54">
        <v>2.1645196312091315</v>
      </c>
      <c r="L160" s="54"/>
      <c r="M160" s="54">
        <v>2.1645196312091315</v>
      </c>
    </row>
    <row r="161" spans="6:13" x14ac:dyDescent="0.3">
      <c r="F161" s="45">
        <v>41913</v>
      </c>
      <c r="G161" s="53">
        <f t="shared" si="2"/>
        <v>3.4438023910331883</v>
      </c>
      <c r="H161" s="46">
        <v>109.3</v>
      </c>
      <c r="I161" s="46">
        <v>99.6</v>
      </c>
      <c r="K161" s="54">
        <v>-0.12793059995755621</v>
      </c>
      <c r="L161" s="54"/>
      <c r="M161" s="54">
        <v>-0.12793059995755621</v>
      </c>
    </row>
    <row r="162" spans="6:13" x14ac:dyDescent="0.3">
      <c r="F162" s="45">
        <v>41944</v>
      </c>
      <c r="G162" s="53">
        <f t="shared" si="2"/>
        <v>-9.0928211865074626</v>
      </c>
      <c r="H162" s="46">
        <v>99.8</v>
      </c>
      <c r="I162" s="46">
        <v>98.6</v>
      </c>
      <c r="K162" s="54">
        <v>-3.5506532325129836</v>
      </c>
      <c r="L162" s="54"/>
      <c r="M162" s="54">
        <v>-3.5506532325129836</v>
      </c>
    </row>
    <row r="163" spans="6:13" x14ac:dyDescent="0.3">
      <c r="F163" s="45">
        <v>41974</v>
      </c>
      <c r="G163" s="53">
        <f t="shared" si="2"/>
        <v>-12.924628393928089</v>
      </c>
      <c r="H163" s="46">
        <v>87.7</v>
      </c>
      <c r="I163" s="46">
        <v>95.4</v>
      </c>
      <c r="K163" s="54">
        <v>-1.8373400594429921</v>
      </c>
      <c r="L163" s="54"/>
      <c r="M163" s="54">
        <v>-1.8373400594429921</v>
      </c>
    </row>
    <row r="164" spans="6:13" x14ac:dyDescent="0.3">
      <c r="F164" s="45">
        <v>42005</v>
      </c>
      <c r="G164" s="53">
        <f t="shared" si="2"/>
        <v>0.45506335639962892</v>
      </c>
      <c r="H164" s="46">
        <v>88.1</v>
      </c>
      <c r="I164" s="46">
        <v>96</v>
      </c>
      <c r="K164" s="54">
        <v>1.0153811236159382</v>
      </c>
      <c r="L164" s="54"/>
      <c r="M164" s="54">
        <v>1.0153811236159382</v>
      </c>
    </row>
    <row r="165" spans="6:13" x14ac:dyDescent="0.3">
      <c r="F165" s="45">
        <v>42036</v>
      </c>
      <c r="G165" s="53">
        <f t="shared" si="2"/>
        <v>-5.1233555446704067</v>
      </c>
      <c r="H165" s="46">
        <v>83.7</v>
      </c>
      <c r="I165" s="46">
        <v>95.4</v>
      </c>
      <c r="K165" s="54">
        <v>-2.0402962160381839</v>
      </c>
      <c r="L165" s="54"/>
      <c r="M165" s="54">
        <v>-2.0402962160381839</v>
      </c>
    </row>
    <row r="166" spans="6:13" x14ac:dyDescent="0.3">
      <c r="F166" s="45">
        <v>42064</v>
      </c>
      <c r="G166" s="53">
        <f t="shared" si="2"/>
        <v>11.924221214398219</v>
      </c>
      <c r="H166" s="46">
        <v>94.3</v>
      </c>
      <c r="I166" s="46">
        <v>95</v>
      </c>
      <c r="K166" s="54">
        <v>1.6701778097497098</v>
      </c>
      <c r="L166" s="54"/>
      <c r="M166" s="54">
        <v>1.6701778097497098</v>
      </c>
    </row>
    <row r="167" spans="6:13" x14ac:dyDescent="0.3">
      <c r="F167" s="45">
        <v>42095</v>
      </c>
      <c r="G167" s="53">
        <f t="shared" si="2"/>
        <v>-6.0094539641287446</v>
      </c>
      <c r="H167" s="46">
        <v>88.8</v>
      </c>
      <c r="I167" s="46">
        <v>93</v>
      </c>
      <c r="K167" s="54">
        <v>-1.9433430321922751</v>
      </c>
      <c r="L167" s="54"/>
      <c r="M167" s="54">
        <v>-1.9433430321922751</v>
      </c>
    </row>
    <row r="168" spans="6:13" x14ac:dyDescent="0.3">
      <c r="F168" s="45">
        <v>42125</v>
      </c>
      <c r="G168" s="53">
        <f t="shared" si="2"/>
        <v>4.7287534284896902</v>
      </c>
      <c r="H168" s="46">
        <v>93.1</v>
      </c>
      <c r="I168" s="46">
        <v>92.2</v>
      </c>
      <c r="K168" s="54">
        <v>-1.7900826702918939</v>
      </c>
      <c r="L168" s="54"/>
      <c r="M168" s="54">
        <v>-1.7900826702918939</v>
      </c>
    </row>
    <row r="169" spans="6:13" x14ac:dyDescent="0.3">
      <c r="F169" s="45">
        <v>42156</v>
      </c>
      <c r="G169" s="53">
        <f t="shared" si="2"/>
        <v>-0.646553976464186</v>
      </c>
      <c r="H169" s="46">
        <v>92.5</v>
      </c>
      <c r="I169" s="46">
        <v>91.3</v>
      </c>
      <c r="K169" s="54">
        <v>0.59583974714122923</v>
      </c>
      <c r="L169" s="54"/>
      <c r="M169" s="54">
        <v>0.59583974714122923</v>
      </c>
    </row>
    <row r="170" spans="6:13" x14ac:dyDescent="0.3">
      <c r="F170" s="45">
        <v>42186</v>
      </c>
      <c r="G170" s="53">
        <f t="shared" si="2"/>
        <v>3.1917602968304948</v>
      </c>
      <c r="H170" s="46">
        <v>95.5</v>
      </c>
      <c r="I170" s="46">
        <v>89.5</v>
      </c>
      <c r="K170" s="54">
        <v>-2.0383616833985982</v>
      </c>
      <c r="L170" s="54"/>
      <c r="M170" s="54">
        <v>-2.0383616833985982</v>
      </c>
    </row>
    <row r="171" spans="6:13" x14ac:dyDescent="0.3">
      <c r="F171" s="45">
        <v>42217</v>
      </c>
      <c r="G171" s="53">
        <f t="shared" si="2"/>
        <v>2.175124593236212</v>
      </c>
      <c r="H171" s="46">
        <v>97.6</v>
      </c>
      <c r="I171" s="46">
        <v>90.3</v>
      </c>
      <c r="K171" s="54">
        <v>-0.62867412240628084</v>
      </c>
      <c r="L171" s="54"/>
      <c r="M171" s="54">
        <v>-0.62867412240628084</v>
      </c>
    </row>
    <row r="172" spans="6:13" x14ac:dyDescent="0.3">
      <c r="F172" s="45">
        <v>42248</v>
      </c>
      <c r="G172" s="53">
        <f t="shared" si="2"/>
        <v>-3.439630377963502</v>
      </c>
      <c r="H172" s="46">
        <v>94.3</v>
      </c>
      <c r="I172" s="46">
        <v>88.2</v>
      </c>
      <c r="K172" s="54">
        <v>-0.61441933918025304</v>
      </c>
      <c r="L172" s="54"/>
      <c r="M172" s="54">
        <v>-0.61441933918025304</v>
      </c>
    </row>
    <row r="173" spans="6:13" x14ac:dyDescent="0.3">
      <c r="F173" s="45">
        <v>42278</v>
      </c>
      <c r="G173" s="53">
        <f t="shared" si="2"/>
        <v>3.0289521826981729</v>
      </c>
      <c r="H173" s="46">
        <v>97.2</v>
      </c>
      <c r="I173" s="46">
        <v>88.1</v>
      </c>
      <c r="K173" s="54">
        <v>-0.54278080829257158</v>
      </c>
      <c r="L173" s="54"/>
      <c r="M173" s="54">
        <v>-0.54278080829257158</v>
      </c>
    </row>
    <row r="174" spans="6:13" x14ac:dyDescent="0.3">
      <c r="F174" s="45">
        <v>42309</v>
      </c>
      <c r="G174" s="53">
        <f t="shared" si="2"/>
        <v>-10.398971352404775</v>
      </c>
      <c r="H174" s="46">
        <v>87.6</v>
      </c>
      <c r="I174" s="46">
        <v>86.4</v>
      </c>
      <c r="K174" s="54">
        <v>-4.8568033984102961</v>
      </c>
      <c r="L174" s="54"/>
      <c r="M174" s="54">
        <v>-4.8568033984102961</v>
      </c>
    </row>
    <row r="175" spans="6:13" x14ac:dyDescent="0.3">
      <c r="F175" s="45">
        <v>42339</v>
      </c>
      <c r="G175" s="53">
        <f t="shared" si="2"/>
        <v>-12.638154091161514</v>
      </c>
      <c r="H175" s="46">
        <v>77.2</v>
      </c>
      <c r="I175" s="46">
        <v>84.8</v>
      </c>
      <c r="K175" s="54">
        <v>-1.5508657566764175</v>
      </c>
      <c r="L175" s="54"/>
      <c r="M175" s="54">
        <v>-1.5508657566764175</v>
      </c>
    </row>
    <row r="176" spans="6:13" x14ac:dyDescent="0.3">
      <c r="F176" s="45">
        <v>42370</v>
      </c>
      <c r="G176" s="53">
        <f t="shared" si="2"/>
        <v>-1.1726518740319207</v>
      </c>
      <c r="H176" s="46">
        <v>76.3</v>
      </c>
      <c r="I176" s="46">
        <v>86.1</v>
      </c>
      <c r="K176" s="54">
        <v>-0.6123341068156114</v>
      </c>
      <c r="L176" s="54"/>
      <c r="M176" s="54">
        <v>-0.6123341068156114</v>
      </c>
    </row>
    <row r="177" spans="6:13" x14ac:dyDescent="0.3">
      <c r="F177" s="45">
        <v>42401</v>
      </c>
      <c r="G177" s="53">
        <f t="shared" si="2"/>
        <v>-0.65746456420853572</v>
      </c>
      <c r="H177" s="46">
        <v>75.8</v>
      </c>
      <c r="I177" s="46">
        <v>84.8</v>
      </c>
      <c r="K177" s="54">
        <v>2.4255947644236873</v>
      </c>
      <c r="L177" s="54"/>
      <c r="M177" s="54">
        <v>2.4255947644236873</v>
      </c>
    </row>
    <row r="178" spans="6:13" x14ac:dyDescent="0.3">
      <c r="F178" s="45">
        <v>42430</v>
      </c>
      <c r="G178" s="53">
        <f t="shared" si="2"/>
        <v>9.9140684847103628</v>
      </c>
      <c r="H178" s="46">
        <v>83.7</v>
      </c>
      <c r="I178" s="46">
        <v>85.6</v>
      </c>
      <c r="K178" s="54">
        <v>-0.33997491993814677</v>
      </c>
      <c r="L178" s="54"/>
      <c r="M178" s="54">
        <v>-0.33997491993814677</v>
      </c>
    </row>
    <row r="179" spans="6:13" x14ac:dyDescent="0.3">
      <c r="F179" s="45">
        <v>42461</v>
      </c>
      <c r="G179" s="53">
        <f t="shared" si="2"/>
        <v>-0.8398369698831718</v>
      </c>
      <c r="H179" s="46">
        <v>83</v>
      </c>
      <c r="I179" s="46">
        <v>85.4</v>
      </c>
      <c r="K179" s="54">
        <v>3.2262739620532974</v>
      </c>
      <c r="L179" s="54"/>
      <c r="M179" s="54">
        <v>3.2262739620532974</v>
      </c>
    </row>
    <row r="180" spans="6:13" x14ac:dyDescent="0.3">
      <c r="F180" s="45">
        <v>42491</v>
      </c>
      <c r="G180" s="53">
        <f t="shared" si="2"/>
        <v>3.8988990292784345</v>
      </c>
      <c r="H180" s="46">
        <v>86.3</v>
      </c>
      <c r="I180" s="46">
        <v>85.8</v>
      </c>
      <c r="K180" s="54">
        <v>-2.6199370695031496</v>
      </c>
      <c r="L180" s="54"/>
      <c r="M180" s="54">
        <v>-2.6199370695031496</v>
      </c>
    </row>
    <row r="181" spans="6:13" x14ac:dyDescent="0.3">
      <c r="F181" s="45">
        <v>42522</v>
      </c>
      <c r="G181" s="53">
        <f t="shared" si="2"/>
        <v>1.6092301288755131</v>
      </c>
      <c r="H181" s="46">
        <v>87.7</v>
      </c>
      <c r="I181" s="46">
        <v>84.8</v>
      </c>
      <c r="K181" s="54">
        <v>2.8516238524809285</v>
      </c>
      <c r="L181" s="54"/>
      <c r="M181" s="54">
        <v>2.8516238524809285</v>
      </c>
    </row>
    <row r="182" spans="6:13" x14ac:dyDescent="0.3">
      <c r="F182" s="45">
        <v>42552</v>
      </c>
      <c r="G182" s="53">
        <f t="shared" si="2"/>
        <v>2.1433420602747244</v>
      </c>
      <c r="H182" s="46">
        <v>89.6</v>
      </c>
      <c r="I182" s="46">
        <v>85.5</v>
      </c>
      <c r="K182" s="54">
        <v>-3.0867799199543686</v>
      </c>
      <c r="L182" s="54"/>
      <c r="M182" s="54">
        <v>-3.0867799199543686</v>
      </c>
    </row>
    <row r="183" spans="6:13" x14ac:dyDescent="0.3">
      <c r="F183" s="45">
        <v>42583</v>
      </c>
      <c r="G183" s="53">
        <f t="shared" si="2"/>
        <v>3.7244173172371178</v>
      </c>
      <c r="H183" s="46">
        <v>93</v>
      </c>
      <c r="I183" s="46">
        <v>83.5</v>
      </c>
      <c r="K183" s="54">
        <v>0.92061860159462494</v>
      </c>
      <c r="L183" s="54"/>
      <c r="M183" s="54">
        <v>0.92061860159462494</v>
      </c>
    </row>
    <row r="184" spans="6:13" x14ac:dyDescent="0.3">
      <c r="F184" s="45">
        <v>42614</v>
      </c>
      <c r="G184" s="53">
        <f t="shared" si="2"/>
        <v>-2.504213603216495</v>
      </c>
      <c r="H184" s="46">
        <v>90.7</v>
      </c>
      <c r="I184" s="46">
        <v>84.4</v>
      </c>
      <c r="K184" s="54">
        <v>0.32099743556675397</v>
      </c>
      <c r="L184" s="54"/>
      <c r="M184" s="54">
        <v>0.32099743556675397</v>
      </c>
    </row>
    <row r="185" spans="6:13" x14ac:dyDescent="0.3">
      <c r="F185" s="45">
        <v>42644</v>
      </c>
      <c r="G185" s="53">
        <f t="shared" si="2"/>
        <v>-0.55279300525129427</v>
      </c>
      <c r="H185" s="46">
        <v>90.2</v>
      </c>
      <c r="I185" s="46">
        <v>83.3</v>
      </c>
      <c r="K185" s="54">
        <v>-4.1245259962420384</v>
      </c>
      <c r="L185" s="54"/>
      <c r="M185" s="54">
        <v>-4.1245259962420384</v>
      </c>
    </row>
    <row r="186" spans="6:13" x14ac:dyDescent="0.3">
      <c r="F186" s="45">
        <v>42675</v>
      </c>
      <c r="G186" s="53">
        <f t="shared" si="2"/>
        <v>-4.1885013130744326</v>
      </c>
      <c r="H186" s="46">
        <v>86.5</v>
      </c>
      <c r="I186" s="46">
        <v>84</v>
      </c>
      <c r="K186" s="54">
        <v>1.3536666409200464</v>
      </c>
      <c r="L186" s="54"/>
      <c r="M186" s="54">
        <v>1.3536666409200464</v>
      </c>
    </row>
    <row r="187" spans="6:13" x14ac:dyDescent="0.3">
      <c r="F187" s="45">
        <v>42705</v>
      </c>
      <c r="G187" s="53">
        <f t="shared" si="2"/>
        <v>-11.374495690710315</v>
      </c>
      <c r="H187" s="46">
        <v>77.2</v>
      </c>
      <c r="I187" s="46">
        <v>85.5</v>
      </c>
      <c r="K187" s="54">
        <v>-0.28720735622521865</v>
      </c>
      <c r="L187" s="54"/>
      <c r="M187" s="54">
        <v>-0.28720735622521865</v>
      </c>
    </row>
    <row r="188" spans="6:13" x14ac:dyDescent="0.3">
      <c r="F188" s="45">
        <v>42736</v>
      </c>
      <c r="G188" s="53">
        <f t="shared" si="2"/>
        <v>0.90264958459721245</v>
      </c>
      <c r="H188" s="46">
        <v>77.900000000000006</v>
      </c>
      <c r="I188" s="46">
        <v>86.4</v>
      </c>
      <c r="K188" s="54">
        <v>1.4629673518135218</v>
      </c>
      <c r="L188" s="54"/>
      <c r="M188" s="54">
        <v>1.4629673518135218</v>
      </c>
    </row>
    <row r="189" spans="6:13" x14ac:dyDescent="0.3">
      <c r="F189" s="45">
        <v>42767</v>
      </c>
      <c r="G189" s="53">
        <f t="shared" si="2"/>
        <v>-2.6009268475118326</v>
      </c>
      <c r="H189" s="46">
        <v>75.900000000000006</v>
      </c>
      <c r="I189" s="46">
        <v>87.4</v>
      </c>
      <c r="K189" s="54">
        <v>0.4821324811203902</v>
      </c>
      <c r="L189" s="54"/>
      <c r="M189" s="54">
        <v>0.4821324811203902</v>
      </c>
    </row>
    <row r="190" spans="6:13" x14ac:dyDescent="0.3">
      <c r="F190" s="45">
        <v>42795</v>
      </c>
      <c r="G190" s="53">
        <f t="shared" si="2"/>
        <v>11.792941639294002</v>
      </c>
      <c r="H190" s="46">
        <v>85.4</v>
      </c>
      <c r="I190" s="46">
        <v>85.6</v>
      </c>
      <c r="K190" s="54">
        <v>1.538898234645492</v>
      </c>
      <c r="L190" s="54"/>
      <c r="M190" s="54">
        <v>1.538898234645492</v>
      </c>
    </row>
    <row r="191" spans="6:13" x14ac:dyDescent="0.3">
      <c r="F191" s="45">
        <v>42826</v>
      </c>
      <c r="G191" s="53">
        <f t="shared" si="2"/>
        <v>-7.4107972153721962</v>
      </c>
      <c r="H191" s="46">
        <v>79.3</v>
      </c>
      <c r="I191" s="46">
        <v>85.9</v>
      </c>
      <c r="K191" s="54">
        <v>-3.3446862834357267</v>
      </c>
      <c r="L191" s="54"/>
      <c r="M191" s="54">
        <v>-3.3446862834357267</v>
      </c>
    </row>
    <row r="192" spans="6:13" x14ac:dyDescent="0.3">
      <c r="F192" s="45">
        <v>42856</v>
      </c>
      <c r="G192" s="53">
        <f t="shared" si="2"/>
        <v>12.768203597348998</v>
      </c>
      <c r="H192" s="46">
        <v>90.1</v>
      </c>
      <c r="I192" s="46">
        <v>86.2</v>
      </c>
      <c r="K192" s="54">
        <v>6.2493674985674144</v>
      </c>
      <c r="L192" s="54"/>
      <c r="M192" s="54">
        <v>6.2493674985674144</v>
      </c>
    </row>
    <row r="193" spans="6:13" x14ac:dyDescent="0.3">
      <c r="F193" s="45">
        <v>42887</v>
      </c>
      <c r="G193" s="53">
        <f t="shared" si="2"/>
        <v>-1.9048194970694363</v>
      </c>
      <c r="H193" s="46">
        <v>88.4</v>
      </c>
      <c r="I193" s="46">
        <v>87</v>
      </c>
      <c r="K193" s="54">
        <v>-0.66242577346402109</v>
      </c>
      <c r="L193" s="54"/>
      <c r="M193" s="54">
        <v>-0.66242577346402109</v>
      </c>
    </row>
    <row r="194" spans="6:13" x14ac:dyDescent="0.3">
      <c r="F194" s="45">
        <v>42917</v>
      </c>
      <c r="G194" s="53">
        <f t="shared" si="2"/>
        <v>4.1002973617663265</v>
      </c>
      <c r="H194" s="46">
        <v>92.1</v>
      </c>
      <c r="I194" s="46">
        <v>87.3</v>
      </c>
      <c r="K194" s="54">
        <v>-1.1298246184627665</v>
      </c>
      <c r="L194" s="54"/>
      <c r="M194" s="54">
        <v>-1.1298246184627665</v>
      </c>
    </row>
    <row r="195" spans="6:13" x14ac:dyDescent="0.3">
      <c r="F195" s="45">
        <v>42948</v>
      </c>
      <c r="G195" s="53">
        <f t="shared" si="2"/>
        <v>4.8738459197987503</v>
      </c>
      <c r="H195" s="46">
        <v>96.7</v>
      </c>
      <c r="I195" s="46">
        <v>87</v>
      </c>
      <c r="K195" s="54">
        <v>2.0700472041562574</v>
      </c>
      <c r="L195" s="54"/>
      <c r="M195" s="54">
        <v>2.0700472041562574</v>
      </c>
    </row>
    <row r="196" spans="6:13" x14ac:dyDescent="0.3">
      <c r="F196" s="45">
        <v>42979</v>
      </c>
      <c r="G196" s="53">
        <f t="shared" si="2"/>
        <v>-3.901390930599276</v>
      </c>
      <c r="H196" s="46">
        <v>93</v>
      </c>
      <c r="I196" s="46">
        <v>87.4</v>
      </c>
      <c r="K196" s="54">
        <v>-1.076179891816027</v>
      </c>
      <c r="L196" s="54"/>
      <c r="M196" s="54">
        <v>-1.076179891816027</v>
      </c>
    </row>
    <row r="197" spans="6:13" x14ac:dyDescent="0.3">
      <c r="F197" s="45">
        <v>43009</v>
      </c>
      <c r="G197" s="53">
        <f t="shared" si="2"/>
        <v>2.2329476398088577</v>
      </c>
      <c r="H197" s="46">
        <v>95.1</v>
      </c>
      <c r="I197" s="46">
        <v>88</v>
      </c>
      <c r="K197" s="54">
        <v>-1.3387853511818868</v>
      </c>
      <c r="L197" s="54"/>
      <c r="M197" s="54">
        <v>-1.3387853511818868</v>
      </c>
    </row>
    <row r="198" spans="6:13" x14ac:dyDescent="0.3">
      <c r="F198" s="45">
        <v>43040</v>
      </c>
      <c r="G198" s="53">
        <f t="shared" si="2"/>
        <v>-4.8474756502411021</v>
      </c>
      <c r="H198" s="46">
        <v>90.6</v>
      </c>
      <c r="I198" s="46">
        <v>88.4</v>
      </c>
      <c r="K198" s="54">
        <v>0.69469230375337698</v>
      </c>
      <c r="L198" s="54"/>
      <c r="M198" s="54">
        <v>0.69469230375337698</v>
      </c>
    </row>
    <row r="199" spans="6:13" x14ac:dyDescent="0.3">
      <c r="F199" s="45">
        <v>43070</v>
      </c>
      <c r="G199" s="53">
        <f t="shared" si="2"/>
        <v>-11.200505837649487</v>
      </c>
      <c r="H199" s="46">
        <v>81</v>
      </c>
      <c r="I199" s="46">
        <v>91.3</v>
      </c>
      <c r="K199" s="54">
        <v>-0.11321750316439075</v>
      </c>
      <c r="L199" s="54"/>
      <c r="M199" s="54">
        <v>-0.11321750316439075</v>
      </c>
    </row>
    <row r="200" spans="6:13" x14ac:dyDescent="0.3">
      <c r="F200" s="45">
        <v>43101</v>
      </c>
      <c r="G200" s="53">
        <f t="shared" si="2"/>
        <v>1.5921953010585257</v>
      </c>
      <c r="H200" s="46">
        <v>82.3</v>
      </c>
      <c r="I200" s="46">
        <v>88.9</v>
      </c>
      <c r="K200" s="54">
        <v>2.152513068274835</v>
      </c>
      <c r="L200" s="54"/>
      <c r="M200" s="54">
        <v>2.152513068274835</v>
      </c>
    </row>
    <row r="201" spans="6:13" x14ac:dyDescent="0.3">
      <c r="F201" s="45">
        <v>43132</v>
      </c>
      <c r="G201" s="53">
        <f t="shared" si="2"/>
        <v>-6.2677152089647858</v>
      </c>
      <c r="H201" s="46">
        <v>77.3</v>
      </c>
      <c r="I201" s="46">
        <v>88.6</v>
      </c>
      <c r="K201" s="54">
        <v>-3.1846558803325631</v>
      </c>
      <c r="L201" s="54"/>
      <c r="M201" s="54">
        <v>-3.1846558803325631</v>
      </c>
    </row>
    <row r="202" spans="6:13" x14ac:dyDescent="0.3">
      <c r="F202" s="45">
        <v>43160</v>
      </c>
      <c r="G202" s="53">
        <f t="shared" ref="G202:G247" si="3">LN(H202/H201)*100</f>
        <v>10.897622207627112</v>
      </c>
      <c r="H202" s="46">
        <v>86.2</v>
      </c>
      <c r="I202" s="46">
        <v>89.7</v>
      </c>
      <c r="K202" s="54">
        <v>0.64357880297860248</v>
      </c>
      <c r="L202" s="54"/>
      <c r="M202" s="54">
        <v>0.64357880297860248</v>
      </c>
    </row>
    <row r="203" spans="6:13" x14ac:dyDescent="0.3">
      <c r="F203" s="45">
        <v>43191</v>
      </c>
      <c r="G203" s="53">
        <f t="shared" si="3"/>
        <v>0.34742362681862726</v>
      </c>
      <c r="H203" s="46">
        <v>86.5</v>
      </c>
      <c r="I203" s="46">
        <v>90.1</v>
      </c>
      <c r="K203" s="54">
        <v>4.4135345587550967</v>
      </c>
      <c r="L203" s="54"/>
      <c r="M203" s="54">
        <v>4.4135345587550967</v>
      </c>
    </row>
    <row r="204" spans="6:13" x14ac:dyDescent="0.3">
      <c r="F204" s="45">
        <v>43221</v>
      </c>
      <c r="G204" s="53">
        <f t="shared" si="3"/>
        <v>-2.4577012335922137</v>
      </c>
      <c r="H204" s="46">
        <v>84.4</v>
      </c>
      <c r="I204" s="46">
        <v>80.2</v>
      </c>
      <c r="K204" s="54">
        <v>-8.9765373323737983</v>
      </c>
      <c r="L204" s="54"/>
      <c r="M204" s="54">
        <v>-8.9765373323737983</v>
      </c>
    </row>
    <row r="205" spans="6:13" x14ac:dyDescent="0.3">
      <c r="F205" s="45">
        <v>43252</v>
      </c>
      <c r="G205" s="53">
        <f t="shared" si="3"/>
        <v>7.6390402664001016</v>
      </c>
      <c r="H205" s="46">
        <v>91.1</v>
      </c>
      <c r="I205" s="46">
        <v>90.3</v>
      </c>
      <c r="K205" s="54">
        <v>8.881433990005517</v>
      </c>
      <c r="L205" s="54"/>
      <c r="M205" s="54">
        <v>8.881433990005517</v>
      </c>
    </row>
    <row r="206" spans="6:13" x14ac:dyDescent="0.3">
      <c r="F206" s="45">
        <v>43282</v>
      </c>
      <c r="G206" s="53">
        <f t="shared" si="3"/>
        <v>5.0304880710902253</v>
      </c>
      <c r="H206" s="46">
        <v>95.8</v>
      </c>
      <c r="I206" s="46">
        <v>90.1</v>
      </c>
      <c r="K206" s="54">
        <v>-0.19963390913886772</v>
      </c>
      <c r="L206" s="54"/>
      <c r="M206" s="54">
        <v>-0.19963390913886772</v>
      </c>
    </row>
    <row r="207" spans="6:13" x14ac:dyDescent="0.3">
      <c r="F207" s="45">
        <v>43313</v>
      </c>
      <c r="G207" s="53">
        <f t="shared" si="3"/>
        <v>2.4743530383605368</v>
      </c>
      <c r="H207" s="46">
        <v>98.2</v>
      </c>
      <c r="I207" s="46">
        <v>88.9</v>
      </c>
      <c r="K207" s="54">
        <v>-0.32944567728195606</v>
      </c>
      <c r="L207" s="54"/>
      <c r="M207" s="54">
        <v>-0.32944567728195606</v>
      </c>
    </row>
    <row r="208" spans="6:13" x14ac:dyDescent="0.3">
      <c r="F208" s="45">
        <v>43344</v>
      </c>
      <c r="G208" s="53">
        <f t="shared" si="3"/>
        <v>-7.9448858239329327</v>
      </c>
      <c r="H208" s="46">
        <v>90.7</v>
      </c>
      <c r="I208" s="46">
        <v>86.5</v>
      </c>
      <c r="K208" s="54">
        <v>-5.1196747851496838</v>
      </c>
      <c r="L208" s="54"/>
      <c r="M208" s="54">
        <v>-5.1196747851496838</v>
      </c>
    </row>
    <row r="209" spans="6:13" x14ac:dyDescent="0.3">
      <c r="F209" s="45">
        <v>43374</v>
      </c>
      <c r="G209" s="53">
        <f t="shared" si="3"/>
        <v>5.4705327855723951</v>
      </c>
      <c r="H209" s="46">
        <v>95.8</v>
      </c>
      <c r="I209" s="46">
        <v>87.5</v>
      </c>
      <c r="K209" s="54">
        <v>1.8987997945816506</v>
      </c>
      <c r="L209" s="54"/>
      <c r="M209" s="54">
        <v>1.8987997945816506</v>
      </c>
    </row>
    <row r="210" spans="6:13" x14ac:dyDescent="0.3">
      <c r="F210" s="45">
        <v>43405</v>
      </c>
      <c r="G210" s="53">
        <f t="shared" si="3"/>
        <v>-6.8024059696005086</v>
      </c>
      <c r="H210" s="46">
        <v>89.5</v>
      </c>
      <c r="I210" s="46">
        <v>87.5</v>
      </c>
      <c r="K210" s="54">
        <v>-1.2602380156060295</v>
      </c>
      <c r="L210" s="54"/>
      <c r="M210" s="54">
        <v>-1.2602380156060295</v>
      </c>
    </row>
    <row r="211" spans="6:13" x14ac:dyDescent="0.3">
      <c r="F211" s="45">
        <v>43435</v>
      </c>
      <c r="G211" s="53">
        <f t="shared" si="3"/>
        <v>-13.752979859121798</v>
      </c>
      <c r="H211" s="46">
        <v>78</v>
      </c>
      <c r="I211" s="46">
        <v>87.8</v>
      </c>
      <c r="K211" s="54">
        <v>-2.665691524636701</v>
      </c>
      <c r="L211" s="54"/>
      <c r="M211" s="54">
        <v>-2.665691524636701</v>
      </c>
    </row>
    <row r="212" spans="6:13" x14ac:dyDescent="0.3">
      <c r="F212" s="45">
        <v>43466</v>
      </c>
      <c r="G212" s="53">
        <f t="shared" si="3"/>
        <v>3.402974858631147</v>
      </c>
      <c r="H212" s="46">
        <v>80.7</v>
      </c>
      <c r="I212" s="46">
        <v>86.9</v>
      </c>
      <c r="K212" s="54">
        <v>3.9632926258474566</v>
      </c>
      <c r="L212" s="54"/>
      <c r="M212" s="54">
        <v>3.9632926258474566</v>
      </c>
    </row>
    <row r="213" spans="6:13" x14ac:dyDescent="0.3">
      <c r="F213" s="45">
        <v>43497</v>
      </c>
      <c r="G213" s="53">
        <f t="shared" si="3"/>
        <v>-2.0025700502295027</v>
      </c>
      <c r="H213" s="46">
        <v>79.099999999999994</v>
      </c>
      <c r="I213" s="46">
        <v>87.4</v>
      </c>
      <c r="K213" s="54">
        <v>1.08048927840272</v>
      </c>
      <c r="L213" s="54"/>
      <c r="M213" s="54">
        <v>1.08048927840272</v>
      </c>
    </row>
    <row r="214" spans="6:13" x14ac:dyDescent="0.3">
      <c r="F214" s="45">
        <v>43525</v>
      </c>
      <c r="G214" s="53">
        <f t="shared" si="3"/>
        <v>2.3736279898830737</v>
      </c>
      <c r="H214" s="46">
        <v>81</v>
      </c>
      <c r="I214" s="46">
        <v>87.2</v>
      </c>
      <c r="K214" s="54">
        <v>-7.8804154147654355</v>
      </c>
      <c r="L214" s="54"/>
      <c r="M214" s="54">
        <v>-7.8804154147654355</v>
      </c>
    </row>
    <row r="215" spans="6:13" x14ac:dyDescent="0.3">
      <c r="F215" s="45">
        <v>43556</v>
      </c>
      <c r="G215" s="53">
        <f t="shared" si="3"/>
        <v>2.799939450035819</v>
      </c>
      <c r="H215" s="46">
        <v>83.3</v>
      </c>
      <c r="I215" s="46">
        <v>87.5</v>
      </c>
      <c r="K215" s="54">
        <v>6.866050381972288</v>
      </c>
      <c r="L215" s="54"/>
      <c r="M215" s="54">
        <v>6.866050381972288</v>
      </c>
    </row>
    <row r="216" spans="6:13" x14ac:dyDescent="0.3">
      <c r="F216" s="45">
        <v>43586</v>
      </c>
      <c r="G216" s="53">
        <f t="shared" si="3"/>
        <v>8.8410957344053145</v>
      </c>
      <c r="H216" s="46">
        <v>91</v>
      </c>
      <c r="I216" s="46">
        <v>87.4</v>
      </c>
      <c r="K216" s="54">
        <v>2.3222596356237304</v>
      </c>
      <c r="L216" s="54"/>
      <c r="M216" s="54">
        <v>2.3222596356237304</v>
      </c>
    </row>
    <row r="217" spans="6:13" x14ac:dyDescent="0.3">
      <c r="F217" s="45">
        <v>43617</v>
      </c>
      <c r="G217" s="53">
        <f t="shared" si="3"/>
        <v>-5.8840500022933462</v>
      </c>
      <c r="H217" s="46">
        <v>85.8</v>
      </c>
      <c r="I217" s="46">
        <v>86.6</v>
      </c>
      <c r="K217" s="54">
        <v>-4.6416562786879307</v>
      </c>
      <c r="L217" s="54"/>
      <c r="M217" s="54">
        <v>-4.6416562786879307</v>
      </c>
    </row>
    <row r="218" spans="6:13" x14ac:dyDescent="0.3">
      <c r="F218" s="45">
        <v>43647</v>
      </c>
      <c r="G218" s="53">
        <f t="shared" si="3"/>
        <v>8.4872338740880444</v>
      </c>
      <c r="H218" s="46">
        <v>93.4</v>
      </c>
      <c r="I218" s="46">
        <v>86</v>
      </c>
      <c r="K218" s="54">
        <v>3.2571118938589514</v>
      </c>
      <c r="L218" s="54"/>
      <c r="M218" s="54">
        <v>3.2571118938589514</v>
      </c>
    </row>
    <row r="219" spans="6:13" x14ac:dyDescent="0.3">
      <c r="F219" s="45">
        <v>43678</v>
      </c>
      <c r="G219" s="53">
        <f t="shared" si="3"/>
        <v>2.9538012436863874</v>
      </c>
      <c r="H219" s="46">
        <v>96.2</v>
      </c>
      <c r="I219" s="46">
        <v>87</v>
      </c>
      <c r="K219" s="54">
        <v>0.15000252804389455</v>
      </c>
      <c r="L219" s="54"/>
      <c r="M219" s="54">
        <v>0.15000252804389455</v>
      </c>
    </row>
    <row r="220" spans="6:13" x14ac:dyDescent="0.3">
      <c r="F220" s="45">
        <v>43709</v>
      </c>
      <c r="G220" s="53">
        <f t="shared" si="3"/>
        <v>-4.6817060045216028</v>
      </c>
      <c r="H220" s="46">
        <v>91.8</v>
      </c>
      <c r="I220" s="46">
        <v>86.9</v>
      </c>
      <c r="K220" s="54">
        <v>-1.8564949657383538</v>
      </c>
      <c r="L220" s="54"/>
      <c r="M220" s="54">
        <v>-1.8564949657383538</v>
      </c>
    </row>
    <row r="221" spans="6:13" x14ac:dyDescent="0.3">
      <c r="F221" s="45">
        <v>43739</v>
      </c>
      <c r="G221" s="53">
        <f t="shared" si="3"/>
        <v>5.5098680876938131</v>
      </c>
      <c r="H221" s="46">
        <v>97</v>
      </c>
      <c r="I221" s="46">
        <v>88.6</v>
      </c>
      <c r="K221" s="54">
        <v>1.9381350967030686</v>
      </c>
      <c r="L221" s="54"/>
      <c r="M221" s="54">
        <v>1.9381350967030686</v>
      </c>
    </row>
    <row r="222" spans="6:13" x14ac:dyDescent="0.3">
      <c r="F222" s="45">
        <v>43770</v>
      </c>
      <c r="G222" s="53">
        <f t="shared" si="3"/>
        <v>-9.7374164025176366</v>
      </c>
      <c r="H222" s="46">
        <v>88</v>
      </c>
      <c r="I222" s="46">
        <v>86.8</v>
      </c>
      <c r="K222" s="54">
        <v>-4.1952484485231576</v>
      </c>
      <c r="L222" s="54"/>
      <c r="M222" s="54">
        <v>-4.1952484485231576</v>
      </c>
    </row>
    <row r="223" spans="6:13" x14ac:dyDescent="0.3">
      <c r="F223" s="45">
        <v>43800</v>
      </c>
      <c r="G223" s="53">
        <f t="shared" si="3"/>
        <v>-13.483093796660814</v>
      </c>
      <c r="H223" s="46">
        <v>76.900000000000006</v>
      </c>
      <c r="I223" s="46">
        <v>85.8</v>
      </c>
      <c r="K223" s="54">
        <v>-2.3958054621757174</v>
      </c>
      <c r="L223" s="54"/>
      <c r="M223" s="54">
        <v>-2.3958054621757174</v>
      </c>
    </row>
    <row r="224" spans="6:13" x14ac:dyDescent="0.3">
      <c r="F224" s="45">
        <v>43831</v>
      </c>
      <c r="G224" s="53">
        <f t="shared" si="3"/>
        <v>3.9520758162283198</v>
      </c>
      <c r="H224" s="46">
        <v>80</v>
      </c>
      <c r="I224" s="46">
        <v>86.6</v>
      </c>
      <c r="K224" s="54">
        <v>4.5123935834446289</v>
      </c>
      <c r="L224" s="54"/>
      <c r="M224" s="54">
        <v>4.5123935834446289</v>
      </c>
    </row>
    <row r="225" spans="6:13" x14ac:dyDescent="0.3">
      <c r="F225" s="45">
        <v>43862</v>
      </c>
      <c r="G225" s="53">
        <f t="shared" si="3"/>
        <v>-1.3845406822052981</v>
      </c>
      <c r="H225" s="46">
        <v>78.900000000000006</v>
      </c>
      <c r="I225" s="46">
        <v>87.5</v>
      </c>
      <c r="K225" s="54">
        <v>1.6985186464269246</v>
      </c>
      <c r="L225" s="54"/>
      <c r="M225" s="54">
        <v>1.6985186464269246</v>
      </c>
    </row>
    <row r="226" spans="6:13" x14ac:dyDescent="0.3">
      <c r="F226" s="45">
        <v>43891</v>
      </c>
      <c r="G226" s="53">
        <f t="shared" si="3"/>
        <v>-1.2755274975126014</v>
      </c>
      <c r="H226" s="46">
        <v>77.900000000000006</v>
      </c>
      <c r="I226" s="46">
        <v>80.7</v>
      </c>
      <c r="K226" s="54">
        <v>-11.529570902161112</v>
      </c>
      <c r="L226" s="54"/>
      <c r="M226" s="54">
        <v>-11.529570902161112</v>
      </c>
    </row>
    <row r="227" spans="6:13" x14ac:dyDescent="0.3">
      <c r="F227" s="45">
        <v>43922</v>
      </c>
      <c r="G227" s="53">
        <f t="shared" si="3"/>
        <v>-25.609384914356298</v>
      </c>
      <c r="H227" s="46">
        <v>60.3</v>
      </c>
      <c r="I227" s="46">
        <v>64.900000000000006</v>
      </c>
      <c r="K227" s="54">
        <v>-21.54327398241983</v>
      </c>
      <c r="L227" s="54"/>
      <c r="M227" s="54">
        <v>-21.54327398241983</v>
      </c>
    </row>
    <row r="228" spans="6:13" x14ac:dyDescent="0.3">
      <c r="F228" s="45">
        <v>43952</v>
      </c>
      <c r="G228" s="53">
        <f t="shared" si="3"/>
        <v>16.616071468479046</v>
      </c>
      <c r="H228" s="46">
        <v>71.2</v>
      </c>
      <c r="I228" s="46">
        <v>70.099999999999994</v>
      </c>
      <c r="K228" s="54">
        <v>10.097235369697461</v>
      </c>
      <c r="L228" s="54"/>
      <c r="M228" s="54">
        <v>10.097235369697461</v>
      </c>
    </row>
    <row r="229" spans="6:13" x14ac:dyDescent="0.3">
      <c r="F229" s="45">
        <v>43983</v>
      </c>
      <c r="G229" s="53">
        <f t="shared" si="3"/>
        <v>9.6331108938432113</v>
      </c>
      <c r="H229" s="46">
        <v>78.400000000000006</v>
      </c>
      <c r="I229" s="46">
        <v>76.8</v>
      </c>
      <c r="K229" s="54">
        <v>10.875504617448627</v>
      </c>
      <c r="L229" s="54"/>
      <c r="M229" s="54">
        <v>10.875504617448627</v>
      </c>
    </row>
    <row r="230" spans="6:13" x14ac:dyDescent="0.3">
      <c r="F230" s="45">
        <v>44013</v>
      </c>
      <c r="G230" s="53">
        <f t="shared" si="3"/>
        <v>14.903557916048776</v>
      </c>
      <c r="H230" s="46">
        <v>91</v>
      </c>
      <c r="I230" s="46">
        <v>83.9</v>
      </c>
      <c r="K230" s="54">
        <v>9.6734359358196826</v>
      </c>
      <c r="L230" s="54"/>
      <c r="M230" s="54">
        <v>9.6734359358196826</v>
      </c>
    </row>
    <row r="231" spans="6:13" x14ac:dyDescent="0.3">
      <c r="F231" s="45">
        <v>44044</v>
      </c>
      <c r="G231" s="53">
        <f t="shared" si="3"/>
        <v>3.1370879697367284</v>
      </c>
      <c r="H231" s="46">
        <v>93.9</v>
      </c>
      <c r="I231" s="46">
        <v>86.3</v>
      </c>
      <c r="K231" s="54">
        <v>0.3332892540942356</v>
      </c>
      <c r="L231" s="54"/>
      <c r="M231" s="54">
        <v>0.3332892540942356</v>
      </c>
    </row>
    <row r="232" spans="6:13" x14ac:dyDescent="0.3">
      <c r="F232" s="45">
        <v>44075</v>
      </c>
      <c r="G232" s="53">
        <f t="shared" si="3"/>
        <v>1.5848192240023713</v>
      </c>
      <c r="H232" s="46">
        <v>95.4</v>
      </c>
      <c r="I232" s="46">
        <v>88.6</v>
      </c>
      <c r="K232" s="54">
        <v>4.4100302627856198</v>
      </c>
      <c r="L232" s="54"/>
      <c r="M232" s="54">
        <v>4.4100302627856198</v>
      </c>
    </row>
    <row r="233" spans="6:13" x14ac:dyDescent="0.3">
      <c r="F233" s="45">
        <v>44105</v>
      </c>
      <c r="G233" s="53">
        <f t="shared" si="3"/>
        <v>1.9720410737718495</v>
      </c>
      <c r="H233" s="46">
        <v>97.3</v>
      </c>
      <c r="I233" s="46">
        <v>89.6</v>
      </c>
      <c r="K233" s="54">
        <v>-1.599691917218895</v>
      </c>
      <c r="L233" s="54"/>
      <c r="M233" s="54">
        <v>-1.599691917218895</v>
      </c>
    </row>
    <row r="234" spans="6:13" x14ac:dyDescent="0.3">
      <c r="F234" s="45">
        <v>44136</v>
      </c>
      <c r="G234" s="53">
        <f t="shared" si="3"/>
        <v>-7.5769562123381347</v>
      </c>
      <c r="H234" s="46">
        <v>90.2</v>
      </c>
      <c r="I234" s="46">
        <v>90</v>
      </c>
      <c r="K234" s="54">
        <v>-2.0347882583436556</v>
      </c>
      <c r="L234" s="54"/>
      <c r="M234" s="54">
        <v>-2.0347882583436556</v>
      </c>
    </row>
    <row r="235" spans="6:13" x14ac:dyDescent="0.3">
      <c r="F235" s="45">
        <v>44166</v>
      </c>
      <c r="G235" s="53">
        <f t="shared" si="3"/>
        <v>-7.9580877895781015</v>
      </c>
      <c r="H235" s="46">
        <v>83.3</v>
      </c>
      <c r="I235" s="46">
        <v>90.3</v>
      </c>
      <c r="K235" s="54">
        <v>3.1292005449069951</v>
      </c>
      <c r="L235" s="54"/>
      <c r="M235" s="54">
        <v>3.1292005449069951</v>
      </c>
    </row>
    <row r="236" spans="6:13" x14ac:dyDescent="0.3">
      <c r="F236" s="45">
        <v>44197</v>
      </c>
      <c r="G236" s="53">
        <f t="shared" si="3"/>
        <v>-1.6949558313773205</v>
      </c>
      <c r="H236" s="46">
        <v>81.900000000000006</v>
      </c>
      <c r="I236" s="46">
        <v>90.7</v>
      </c>
      <c r="K236" s="54">
        <v>-1.1346380641610112</v>
      </c>
      <c r="L236" s="54"/>
      <c r="M236" s="54">
        <v>-1.1346380641610112</v>
      </c>
    </row>
    <row r="237" spans="6:13" x14ac:dyDescent="0.3">
      <c r="F237" s="45">
        <v>44228</v>
      </c>
      <c r="G237" s="53">
        <f t="shared" si="3"/>
        <v>-3.4786116085415655</v>
      </c>
      <c r="H237" s="46">
        <v>79.099999999999994</v>
      </c>
      <c r="I237" s="46">
        <v>89.7</v>
      </c>
      <c r="K237" s="54">
        <v>-0.39555227990934272</v>
      </c>
      <c r="L237" s="54"/>
      <c r="M237" s="54">
        <v>-0.39555227990934272</v>
      </c>
    </row>
    <row r="238" spans="6:13" x14ac:dyDescent="0.3">
      <c r="F238" s="45">
        <v>44256</v>
      </c>
      <c r="G238" s="53">
        <f t="shared" si="3"/>
        <v>8.4796536660076853</v>
      </c>
      <c r="H238" s="46">
        <v>86.1</v>
      </c>
      <c r="I238" s="46">
        <v>87.5</v>
      </c>
      <c r="K238" s="54">
        <v>-1.7743897386408243</v>
      </c>
      <c r="L238" s="54"/>
      <c r="M238" s="54">
        <v>-1.7743897386408243</v>
      </c>
    </row>
    <row r="239" spans="6:13" x14ac:dyDescent="0.3">
      <c r="F239" s="45">
        <v>44287</v>
      </c>
      <c r="G239" s="53">
        <f t="shared" si="3"/>
        <v>-5.7363394879920193</v>
      </c>
      <c r="H239" s="46">
        <v>81.3</v>
      </c>
      <c r="I239" s="46">
        <v>86.1</v>
      </c>
      <c r="K239" s="54">
        <v>-1.6702285560555499</v>
      </c>
      <c r="L239" s="54"/>
      <c r="M239" s="54">
        <v>-1.6702285560555499</v>
      </c>
    </row>
    <row r="240" spans="6:13" x14ac:dyDescent="0.3">
      <c r="F240" s="45">
        <v>44317</v>
      </c>
      <c r="G240" s="53">
        <f t="shared" si="3"/>
        <v>8.3725953089832981</v>
      </c>
      <c r="H240" s="46">
        <v>88.4</v>
      </c>
      <c r="I240" s="46">
        <v>87.1</v>
      </c>
      <c r="K240" s="54">
        <v>1.853759210201714</v>
      </c>
      <c r="L240" s="54"/>
      <c r="M240" s="54">
        <v>1.853759210201714</v>
      </c>
    </row>
    <row r="241" spans="6:13" x14ac:dyDescent="0.3">
      <c r="F241" s="45">
        <v>44348</v>
      </c>
      <c r="G241" s="53">
        <f t="shared" si="3"/>
        <v>-0.56721649524664175</v>
      </c>
      <c r="H241" s="46">
        <v>87.9</v>
      </c>
      <c r="I241" s="46">
        <v>86.7</v>
      </c>
      <c r="K241" s="54">
        <v>0.67517722835877347</v>
      </c>
      <c r="L241" s="54"/>
      <c r="M241" s="54">
        <v>0.67517722835877347</v>
      </c>
    </row>
    <row r="242" spans="6:13" x14ac:dyDescent="0.3">
      <c r="F242" s="45">
        <v>44378</v>
      </c>
      <c r="G242" s="53">
        <f t="shared" si="3"/>
        <v>4.7760325871416818</v>
      </c>
      <c r="H242" s="46">
        <v>92.2</v>
      </c>
      <c r="I242" s="46">
        <v>85.4</v>
      </c>
      <c r="K242" s="54">
        <v>-0.45408939308741125</v>
      </c>
      <c r="L242" s="54"/>
      <c r="M242" s="54">
        <v>-0.45408939308741125</v>
      </c>
    </row>
    <row r="243" spans="6:13" x14ac:dyDescent="0.3">
      <c r="F243" s="45">
        <v>44409</v>
      </c>
      <c r="G243" s="53">
        <f t="shared" si="3"/>
        <v>1.2931214672248785</v>
      </c>
      <c r="H243" s="46">
        <v>93.4</v>
      </c>
      <c r="I243" s="46">
        <v>85</v>
      </c>
      <c r="K243" s="54">
        <v>-1.5106772484176143</v>
      </c>
      <c r="L243" s="54"/>
      <c r="M243" s="54">
        <v>-1.5106772484176143</v>
      </c>
    </row>
    <row r="244" spans="6:13" x14ac:dyDescent="0.3">
      <c r="F244" s="45">
        <v>44440</v>
      </c>
      <c r="G244" s="53">
        <f t="shared" si="3"/>
        <v>-2.0552372953321347</v>
      </c>
      <c r="H244" s="46">
        <v>91.5</v>
      </c>
      <c r="I244" s="46">
        <v>84.6</v>
      </c>
      <c r="K244" s="54">
        <v>0.76997374345111425</v>
      </c>
      <c r="L244" s="54"/>
      <c r="M244" s="54">
        <v>0.76997374345111425</v>
      </c>
    </row>
    <row r="245" spans="6:13" x14ac:dyDescent="0.3">
      <c r="F245" s="45">
        <v>44470</v>
      </c>
      <c r="G245" s="53">
        <f t="shared" si="3"/>
        <v>-1.9868203216725173</v>
      </c>
      <c r="H245" s="46">
        <v>89.7</v>
      </c>
      <c r="I245" s="46">
        <v>84.1</v>
      </c>
      <c r="K245" s="54">
        <v>-5.5585533126632622</v>
      </c>
      <c r="L245" s="54"/>
      <c r="M245" s="54">
        <v>-5.5585533126632622</v>
      </c>
    </row>
    <row r="246" spans="6:13" x14ac:dyDescent="0.3">
      <c r="F246" s="45">
        <v>44501</v>
      </c>
      <c r="G246" s="53">
        <f t="shared" si="3"/>
        <v>-3.8641170975368224</v>
      </c>
      <c r="H246" s="46">
        <v>86.3</v>
      </c>
      <c r="I246" s="46">
        <v>84.1</v>
      </c>
      <c r="K246" s="54">
        <v>1.6780508564576566</v>
      </c>
      <c r="L246" s="54"/>
      <c r="M246" s="54">
        <v>1.6780508564576566</v>
      </c>
    </row>
    <row r="247" spans="6:13" x14ac:dyDescent="0.3">
      <c r="F247" s="45">
        <v>44531</v>
      </c>
      <c r="G247" s="53">
        <f t="shared" si="3"/>
        <v>-8.5853299269002026</v>
      </c>
      <c r="H247" s="46">
        <v>79.2</v>
      </c>
      <c r="I247" s="46">
        <v>86.5</v>
      </c>
      <c r="K247" s="54">
        <v>2.501958407584894</v>
      </c>
      <c r="L247" s="54"/>
      <c r="M247" s="54">
        <v>2.501958407584894</v>
      </c>
    </row>
    <row r="248" spans="6:13" x14ac:dyDescent="0.3">
      <c r="K248" s="27"/>
      <c r="M248" s="27"/>
    </row>
    <row r="249" spans="6:13" x14ac:dyDescent="0.3">
      <c r="K249" s="27"/>
      <c r="M249" s="27"/>
    </row>
    <row r="250" spans="6:13" x14ac:dyDescent="0.3">
      <c r="K250" s="27"/>
      <c r="M250" s="27"/>
    </row>
    <row r="251" spans="6:13" x14ac:dyDescent="0.3">
      <c r="K251" s="27"/>
      <c r="M251" s="27"/>
    </row>
    <row r="252" spans="6:13" x14ac:dyDescent="0.3">
      <c r="K252" s="27"/>
      <c r="M252" s="27"/>
    </row>
    <row r="253" spans="6:13" x14ac:dyDescent="0.3">
      <c r="K253" s="27"/>
      <c r="M253" s="27"/>
    </row>
    <row r="254" spans="6:13" x14ac:dyDescent="0.3">
      <c r="K254" s="27"/>
      <c r="M254" s="27"/>
    </row>
    <row r="255" spans="6:13" x14ac:dyDescent="0.3">
      <c r="K255" s="27"/>
      <c r="M255" s="27"/>
    </row>
    <row r="256" spans="6:13" x14ac:dyDescent="0.3">
      <c r="K256" s="27"/>
      <c r="M256" s="27"/>
    </row>
    <row r="257" spans="11:13" x14ac:dyDescent="0.3">
      <c r="K257" s="27"/>
      <c r="M257" s="27"/>
    </row>
    <row r="258" spans="11:13" x14ac:dyDescent="0.3">
      <c r="K258" s="27"/>
      <c r="M258" s="27"/>
    </row>
    <row r="259" spans="11:13" x14ac:dyDescent="0.3">
      <c r="K259" s="27"/>
      <c r="M259" s="27"/>
    </row>
    <row r="260" spans="11:13" x14ac:dyDescent="0.3">
      <c r="K260" s="27"/>
      <c r="M260" s="27"/>
    </row>
    <row r="261" spans="11:13" x14ac:dyDescent="0.3">
      <c r="K261" s="27"/>
      <c r="M261" s="27"/>
    </row>
    <row r="262" spans="11:13" x14ac:dyDescent="0.3">
      <c r="K262" s="27"/>
      <c r="M262" s="27"/>
    </row>
    <row r="263" spans="11:13" x14ac:dyDescent="0.3">
      <c r="K263" s="27"/>
      <c r="M263" s="27"/>
    </row>
    <row r="264" spans="11:13" x14ac:dyDescent="0.3">
      <c r="K264" s="27"/>
      <c r="M264" s="27"/>
    </row>
    <row r="265" spans="11:13" x14ac:dyDescent="0.3">
      <c r="K265" s="27"/>
      <c r="M265" s="27"/>
    </row>
    <row r="266" spans="11:13" x14ac:dyDescent="0.3">
      <c r="K266" s="27"/>
      <c r="M266" s="27"/>
    </row>
    <row r="267" spans="11:13" x14ac:dyDescent="0.3">
      <c r="K267" s="27"/>
      <c r="M267" s="27"/>
    </row>
    <row r="268" spans="11:13" x14ac:dyDescent="0.3">
      <c r="K268" s="27"/>
      <c r="M268" s="27"/>
    </row>
    <row r="269" spans="11:13" x14ac:dyDescent="0.3">
      <c r="K269" s="27"/>
      <c r="M269" s="27"/>
    </row>
    <row r="270" spans="11:13" x14ac:dyDescent="0.3">
      <c r="K270" s="27"/>
      <c r="M270" s="27"/>
    </row>
    <row r="271" spans="11:13" x14ac:dyDescent="0.3">
      <c r="K271" s="27"/>
      <c r="M271" s="27"/>
    </row>
    <row r="272" spans="11:13" x14ac:dyDescent="0.3">
      <c r="K272" s="27"/>
      <c r="M272" s="27"/>
    </row>
    <row r="273" spans="11:13" x14ac:dyDescent="0.3">
      <c r="K273" s="27"/>
      <c r="M273" s="27"/>
    </row>
    <row r="274" spans="11:13" x14ac:dyDescent="0.3">
      <c r="K274" s="27"/>
      <c r="M274" s="27"/>
    </row>
    <row r="275" spans="11:13" x14ac:dyDescent="0.3">
      <c r="K275" s="27"/>
      <c r="M275" s="27"/>
    </row>
    <row r="276" spans="11:13" x14ac:dyDescent="0.3">
      <c r="K276" s="27"/>
      <c r="M276" s="27"/>
    </row>
    <row r="277" spans="11:13" x14ac:dyDescent="0.3">
      <c r="K277" s="27"/>
      <c r="M277" s="27"/>
    </row>
    <row r="278" spans="11:13" x14ac:dyDescent="0.3">
      <c r="K278" s="27"/>
      <c r="M278" s="27"/>
    </row>
    <row r="279" spans="11:13" x14ac:dyDescent="0.3">
      <c r="K279" s="27"/>
      <c r="M279" s="27"/>
    </row>
    <row r="280" spans="11:13" x14ac:dyDescent="0.3">
      <c r="K280" s="27"/>
      <c r="M280" s="27"/>
    </row>
    <row r="281" spans="11:13" x14ac:dyDescent="0.3">
      <c r="K281" s="27"/>
      <c r="M281" s="27"/>
    </row>
    <row r="282" spans="11:13" x14ac:dyDescent="0.3">
      <c r="K282" s="27"/>
      <c r="M282" s="27"/>
    </row>
    <row r="283" spans="11:13" x14ac:dyDescent="0.3">
      <c r="K283" s="27"/>
      <c r="M283" s="27"/>
    </row>
    <row r="284" spans="11:13" x14ac:dyDescent="0.3">
      <c r="K284" s="27"/>
      <c r="M284" s="27"/>
    </row>
    <row r="285" spans="11:13" x14ac:dyDescent="0.3">
      <c r="K285" s="27"/>
      <c r="M285" s="27"/>
    </row>
    <row r="286" spans="11:13" x14ac:dyDescent="0.3">
      <c r="K286" s="27"/>
      <c r="M286" s="27"/>
    </row>
    <row r="287" spans="11:13" x14ac:dyDescent="0.3">
      <c r="K287" s="27"/>
      <c r="M287" s="27"/>
    </row>
    <row r="288" spans="11:13" x14ac:dyDescent="0.3">
      <c r="K288" s="27"/>
      <c r="M288" s="27"/>
    </row>
    <row r="289" spans="11:13" x14ac:dyDescent="0.3">
      <c r="K289" s="27"/>
      <c r="M289" s="27"/>
    </row>
    <row r="290" spans="11:13" x14ac:dyDescent="0.3">
      <c r="K290" s="27"/>
      <c r="M290" s="27"/>
    </row>
    <row r="291" spans="11:13" x14ac:dyDescent="0.3">
      <c r="K291" s="27"/>
      <c r="M291" s="27"/>
    </row>
    <row r="292" spans="11:13" x14ac:dyDescent="0.3">
      <c r="K292" s="27"/>
      <c r="M292" s="27"/>
    </row>
    <row r="293" spans="11:13" x14ac:dyDescent="0.3">
      <c r="K293" s="27"/>
      <c r="M293" s="27"/>
    </row>
    <row r="294" spans="11:13" x14ac:dyDescent="0.3">
      <c r="K294" s="27"/>
      <c r="M294" s="27"/>
    </row>
    <row r="295" spans="11:13" x14ac:dyDescent="0.3">
      <c r="K295" s="27"/>
      <c r="M295" s="27"/>
    </row>
    <row r="296" spans="11:13" x14ac:dyDescent="0.3">
      <c r="K296" s="27"/>
      <c r="M296" s="27"/>
    </row>
    <row r="297" spans="11:13" x14ac:dyDescent="0.3">
      <c r="K297" s="27"/>
      <c r="M297" s="27"/>
    </row>
  </sheetData>
  <mergeCells count="1">
    <mergeCell ref="D11:D12"/>
  </mergeCells>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D1C1E-5084-4CB6-BAB3-9CDF352DCAC9}">
  <sheetPr codeName="Planilha45">
    <tabColor theme="9" tint="0.59999389629810485"/>
  </sheetPr>
  <dimension ref="A1:V297"/>
  <sheetViews>
    <sheetView showGridLines="0" workbookViewId="0">
      <selection activeCell="G3" sqref="G3"/>
    </sheetView>
  </sheetViews>
  <sheetFormatPr defaultColWidth="8.85546875" defaultRowHeight="18.75" x14ac:dyDescent="0.3"/>
  <cols>
    <col min="1" max="1" width="12.7109375" style="17" customWidth="1"/>
    <col min="2" max="2" width="34.28515625" customWidth="1"/>
    <col min="4" max="4" width="44.28515625" bestFit="1" customWidth="1"/>
    <col min="5" max="5" width="4.5703125" customWidth="1"/>
    <col min="6" max="7" width="7.140625" bestFit="1" customWidth="1"/>
    <col min="8" max="8" width="9.28515625" bestFit="1" customWidth="1"/>
    <col min="11" max="12" width="8.85546875" style="15"/>
    <col min="13" max="13" width="8.42578125" style="15" bestFit="1" customWidth="1"/>
    <col min="14" max="22" width="8.85546875" style="15"/>
  </cols>
  <sheetData>
    <row r="1" spans="1:22" x14ac:dyDescent="0.3">
      <c r="A1" s="16" t="s">
        <v>516</v>
      </c>
      <c r="K1" s="14"/>
      <c r="L1" s="14"/>
      <c r="M1" s="14"/>
      <c r="N1" s="14"/>
      <c r="O1" s="14"/>
      <c r="P1" s="14"/>
      <c r="Q1" s="14"/>
      <c r="R1" s="14"/>
      <c r="S1" s="14"/>
      <c r="T1" s="14"/>
      <c r="U1" s="14"/>
      <c r="V1" s="14"/>
    </row>
    <row r="2" spans="1:22" x14ac:dyDescent="0.3">
      <c r="A2" s="17" t="s">
        <v>519</v>
      </c>
      <c r="K2" s="14"/>
      <c r="L2" s="14"/>
      <c r="M2" s="14"/>
      <c r="N2" s="14"/>
      <c r="O2" s="14"/>
      <c r="P2" s="14"/>
      <c r="Q2" s="14"/>
      <c r="R2" s="14"/>
      <c r="S2" s="14"/>
      <c r="T2" s="14"/>
      <c r="U2" s="14"/>
      <c r="V2" s="14"/>
    </row>
    <row r="4" spans="1:22" ht="15.75" x14ac:dyDescent="0.25">
      <c r="A4" s="2" t="s">
        <v>15</v>
      </c>
      <c r="B4" s="2" t="s">
        <v>16</v>
      </c>
    </row>
    <row r="5" spans="1:22" ht="47.25" x14ac:dyDescent="0.25">
      <c r="A5" s="23" t="s">
        <v>158</v>
      </c>
      <c r="B5" s="24" t="s">
        <v>505</v>
      </c>
    </row>
    <row r="6" spans="1:22" ht="15.75" x14ac:dyDescent="0.25">
      <c r="A6" s="23" t="s">
        <v>167</v>
      </c>
      <c r="B6" s="24" t="s">
        <v>506</v>
      </c>
    </row>
    <row r="7" spans="1:22" x14ac:dyDescent="0.3">
      <c r="D7" s="1" t="s">
        <v>17</v>
      </c>
      <c r="F7" s="13" t="s">
        <v>158</v>
      </c>
      <c r="G7" s="13" t="s">
        <v>167</v>
      </c>
      <c r="H7" s="13" t="s">
        <v>177</v>
      </c>
      <c r="I7" s="13" t="s">
        <v>156</v>
      </c>
    </row>
    <row r="8" spans="1:22" x14ac:dyDescent="0.3">
      <c r="D8" t="s">
        <v>178</v>
      </c>
      <c r="F8" s="50">
        <v>37257</v>
      </c>
      <c r="G8" s="46"/>
      <c r="H8" s="46">
        <v>72.400000000000006</v>
      </c>
      <c r="I8" s="46">
        <v>77.7</v>
      </c>
      <c r="K8" s="27"/>
      <c r="M8" s="27"/>
    </row>
    <row r="9" spans="1:22" x14ac:dyDescent="0.3">
      <c r="D9" t="s">
        <v>179</v>
      </c>
      <c r="F9" s="45">
        <v>37288</v>
      </c>
      <c r="G9" s="53">
        <f>LN(H9/H8)*100</f>
        <v>-3.8005981625192522</v>
      </c>
      <c r="H9" s="46">
        <v>69.7</v>
      </c>
      <c r="I9" s="46">
        <v>80.2</v>
      </c>
      <c r="K9" s="54" cm="1">
        <f t="array" ref="K9:K247">_xlfn.LAMBDA(_xlpm.dates,_xlpm.values, _xlfn.LET(_xlpm.dummies, DUMMYVAR( MONTH(_xlpm.dates), FALSE),  SEASADJ(_xlpm.dates, _xlpm.values) - _xlpm.values ) )($F$9:$F$247,$G$9:$G$247)</f>
        <v>3.0830593286322228</v>
      </c>
      <c r="L9" s="54"/>
      <c r="M9" s="54" cm="1">
        <f t="array" ref="M9:M247">SEASFACTOR($F$9:$F$247,$G$9:$G$247)</f>
        <v>3.0830593286322228</v>
      </c>
    </row>
    <row r="10" spans="1:22" x14ac:dyDescent="0.3">
      <c r="D10" t="s">
        <v>157</v>
      </c>
      <c r="F10" s="45">
        <v>37316</v>
      </c>
      <c r="G10" s="53">
        <f t="shared" ref="G10:G73" si="0">LN(H10/H9)*100</f>
        <v>10.478646282920332</v>
      </c>
      <c r="H10" s="46">
        <v>77.400000000000006</v>
      </c>
      <c r="I10" s="46">
        <v>79.8</v>
      </c>
      <c r="K10" s="54">
        <v>-10.25404340464851</v>
      </c>
      <c r="L10" s="54"/>
      <c r="M10" s="54">
        <v>-10.25404340464851</v>
      </c>
    </row>
    <row r="11" spans="1:22" ht="18.75" customHeight="1" x14ac:dyDescent="0.3">
      <c r="D11" s="134"/>
      <c r="F11" s="45">
        <v>37347</v>
      </c>
      <c r="G11" s="53">
        <f t="shared" si="0"/>
        <v>2.8027312254655659</v>
      </c>
      <c r="H11" s="46">
        <v>79.599999999999994</v>
      </c>
      <c r="I11" s="46">
        <v>79.599999999999994</v>
      </c>
      <c r="K11" s="54">
        <v>4.0661109319364694</v>
      </c>
      <c r="L11" s="54"/>
      <c r="M11" s="54">
        <v>4.0661109319364694</v>
      </c>
    </row>
    <row r="12" spans="1:22" x14ac:dyDescent="0.3">
      <c r="D12" s="134"/>
      <c r="F12" s="45">
        <v>37377</v>
      </c>
      <c r="G12" s="53">
        <f t="shared" si="0"/>
        <v>1.0000083334583398</v>
      </c>
      <c r="H12" s="46">
        <v>80.400000000000006</v>
      </c>
      <c r="I12" s="46">
        <v>79.099999999999994</v>
      </c>
      <c r="K12" s="54">
        <v>-6.5188360987815841</v>
      </c>
      <c r="L12" s="54"/>
      <c r="M12" s="54">
        <v>-6.5188360987815841</v>
      </c>
    </row>
    <row r="13" spans="1:22" x14ac:dyDescent="0.3">
      <c r="D13" s="47"/>
      <c r="F13" s="45">
        <v>37408</v>
      </c>
      <c r="G13" s="53">
        <f t="shared" si="0"/>
        <v>-3.6736239825619466</v>
      </c>
      <c r="H13" s="46">
        <v>77.5</v>
      </c>
      <c r="I13" s="46">
        <v>79.400000000000006</v>
      </c>
      <c r="K13" s="54">
        <v>1.2423937236054154</v>
      </c>
      <c r="L13" s="54"/>
      <c r="M13" s="54">
        <v>1.2423937236054154</v>
      </c>
    </row>
    <row r="14" spans="1:22" x14ac:dyDescent="0.3">
      <c r="F14" s="45">
        <v>37438</v>
      </c>
      <c r="G14" s="53">
        <f t="shared" si="0"/>
        <v>7.2170612813495589</v>
      </c>
      <c r="H14" s="46">
        <v>83.3</v>
      </c>
      <c r="I14" s="46">
        <v>79.7</v>
      </c>
      <c r="K14" s="54">
        <v>-5.230121980229093</v>
      </c>
      <c r="L14" s="54"/>
      <c r="M14" s="54">
        <v>-5.230121980229093</v>
      </c>
    </row>
    <row r="15" spans="1:22" x14ac:dyDescent="0.3">
      <c r="F15" s="45">
        <v>37469</v>
      </c>
      <c r="G15" s="53">
        <f t="shared" si="0"/>
        <v>0.3594970917858793</v>
      </c>
      <c r="H15" s="46">
        <v>83.6</v>
      </c>
      <c r="I15" s="46">
        <v>78.599999999999994</v>
      </c>
      <c r="K15" s="54">
        <v>-2.8037987156424933</v>
      </c>
      <c r="L15" s="54"/>
      <c r="M15" s="54">
        <v>-2.8037987156424933</v>
      </c>
    </row>
    <row r="16" spans="1:22" x14ac:dyDescent="0.3">
      <c r="F16" s="45">
        <v>37500</v>
      </c>
      <c r="G16" s="53">
        <f t="shared" si="0"/>
        <v>-1.8105503632273354</v>
      </c>
      <c r="H16" s="46">
        <v>82.1</v>
      </c>
      <c r="I16" s="46">
        <v>79.7</v>
      </c>
      <c r="K16" s="54">
        <v>2.825211038783249</v>
      </c>
      <c r="L16" s="54"/>
      <c r="M16" s="54">
        <v>2.825211038783249</v>
      </c>
    </row>
    <row r="17" spans="6:13" x14ac:dyDescent="0.3">
      <c r="F17" s="45">
        <v>37530</v>
      </c>
      <c r="G17" s="53">
        <f t="shared" si="0"/>
        <v>8.2943023127581306</v>
      </c>
      <c r="H17" s="46">
        <v>89.2</v>
      </c>
      <c r="I17" s="46">
        <v>80.2</v>
      </c>
      <c r="K17" s="54">
        <v>-3.5717329909907445</v>
      </c>
      <c r="L17" s="54"/>
      <c r="M17" s="54">
        <v>-3.5717329909907445</v>
      </c>
    </row>
    <row r="18" spans="6:13" x14ac:dyDescent="0.3">
      <c r="F18" s="45">
        <v>37561</v>
      </c>
      <c r="G18" s="53">
        <f t="shared" si="0"/>
        <v>-6.1255426112803208</v>
      </c>
      <c r="H18" s="46">
        <v>83.9</v>
      </c>
      <c r="I18" s="46">
        <v>80.2</v>
      </c>
      <c r="K18" s="54">
        <v>5.542167953994479</v>
      </c>
      <c r="L18" s="54"/>
      <c r="M18" s="54">
        <v>5.542167953994479</v>
      </c>
    </row>
    <row r="19" spans="6:13" x14ac:dyDescent="0.3">
      <c r="F19" s="45">
        <v>37591</v>
      </c>
      <c r="G19" s="53">
        <f t="shared" si="0"/>
        <v>-11.748510626344547</v>
      </c>
      <c r="H19" s="46">
        <v>74.599999999999994</v>
      </c>
      <c r="I19" s="46">
        <v>79.599999999999994</v>
      </c>
      <c r="K19" s="54">
        <v>11.087288334485097</v>
      </c>
      <c r="L19" s="54"/>
      <c r="M19" s="54">
        <v>11.087288334485097</v>
      </c>
    </row>
    <row r="20" spans="6:13" x14ac:dyDescent="0.3">
      <c r="F20" s="45">
        <v>37622</v>
      </c>
      <c r="G20" s="53">
        <f t="shared" si="0"/>
        <v>-0.80754140055453072</v>
      </c>
      <c r="H20" s="46">
        <v>74</v>
      </c>
      <c r="I20" s="46">
        <v>79.7</v>
      </c>
      <c r="K20" s="54">
        <v>0.56031776721630933</v>
      </c>
      <c r="L20" s="54"/>
      <c r="M20" s="54">
        <v>0.56031776721630933</v>
      </c>
    </row>
    <row r="21" spans="6:13" x14ac:dyDescent="0.3">
      <c r="F21" s="45">
        <v>37653</v>
      </c>
      <c r="G21" s="53">
        <f t="shared" si="0"/>
        <v>-3.0180617149991287</v>
      </c>
      <c r="H21" s="46">
        <v>71.8</v>
      </c>
      <c r="I21" s="46">
        <v>79.7</v>
      </c>
      <c r="K21" s="54">
        <v>3.0830593286322228</v>
      </c>
      <c r="L21" s="54"/>
      <c r="M21" s="54">
        <v>3.0830593286322228</v>
      </c>
    </row>
    <row r="22" spans="6:13" x14ac:dyDescent="0.3">
      <c r="F22" s="45">
        <v>37681</v>
      </c>
      <c r="G22" s="53">
        <f t="shared" si="0"/>
        <v>7.5102304541503075</v>
      </c>
      <c r="H22" s="46">
        <v>77.400000000000006</v>
      </c>
      <c r="I22" s="46">
        <v>79.8</v>
      </c>
      <c r="K22" s="54">
        <v>-10.25404340464851</v>
      </c>
      <c r="L22" s="54"/>
      <c r="M22" s="54">
        <v>-10.25404340464851</v>
      </c>
    </row>
    <row r="23" spans="6:13" x14ac:dyDescent="0.3">
      <c r="F23" s="45">
        <v>37712</v>
      </c>
      <c r="G23" s="53">
        <f t="shared" si="0"/>
        <v>-1.1696039763191299</v>
      </c>
      <c r="H23" s="46">
        <v>76.5</v>
      </c>
      <c r="I23" s="46">
        <v>79.400000000000006</v>
      </c>
      <c r="K23" s="54">
        <v>4.0661109319364694</v>
      </c>
      <c r="L23" s="54"/>
      <c r="M23" s="54">
        <v>4.0661109319364694</v>
      </c>
    </row>
    <row r="24" spans="6:13" x14ac:dyDescent="0.3">
      <c r="F24" s="45">
        <v>37742</v>
      </c>
      <c r="G24" s="53">
        <f t="shared" si="0"/>
        <v>4.0978844963679268</v>
      </c>
      <c r="H24" s="46">
        <v>79.7</v>
      </c>
      <c r="I24" s="46">
        <v>77.8</v>
      </c>
      <c r="K24" s="54">
        <v>-6.5188360987815841</v>
      </c>
      <c r="L24" s="54"/>
      <c r="M24" s="54">
        <v>-6.5188360987815841</v>
      </c>
    </row>
    <row r="25" spans="6:13" x14ac:dyDescent="0.3">
      <c r="F25" s="45">
        <v>37773</v>
      </c>
      <c r="G25" s="53">
        <f t="shared" si="0"/>
        <v>-4.3596647505758162</v>
      </c>
      <c r="H25" s="46">
        <v>76.3</v>
      </c>
      <c r="I25" s="46">
        <v>78.2</v>
      </c>
      <c r="K25" s="54">
        <v>1.2423937236054154</v>
      </c>
      <c r="L25" s="54"/>
      <c r="M25" s="54">
        <v>1.2423937236054154</v>
      </c>
    </row>
    <row r="26" spans="6:13" x14ac:dyDescent="0.3">
      <c r="F26" s="45">
        <v>37803</v>
      </c>
      <c r="G26" s="53">
        <f t="shared" si="0"/>
        <v>6.3473078263353662</v>
      </c>
      <c r="H26" s="46">
        <v>81.3</v>
      </c>
      <c r="I26" s="46">
        <v>77.400000000000006</v>
      </c>
      <c r="K26" s="54">
        <v>-5.230121980229093</v>
      </c>
      <c r="L26" s="54"/>
      <c r="M26" s="54">
        <v>-5.230121980229093</v>
      </c>
    </row>
    <row r="27" spans="6:13" x14ac:dyDescent="0.3">
      <c r="F27" s="45">
        <v>37834</v>
      </c>
      <c r="G27" s="53">
        <f t="shared" si="0"/>
        <v>0.36832454162963679</v>
      </c>
      <c r="H27" s="46">
        <v>81.599999999999994</v>
      </c>
      <c r="I27" s="46">
        <v>78.5</v>
      </c>
      <c r="K27" s="54">
        <v>-2.8037987156424924</v>
      </c>
      <c r="L27" s="54"/>
      <c r="M27" s="54">
        <v>-2.8037987156424924</v>
      </c>
    </row>
    <row r="28" spans="6:13" x14ac:dyDescent="0.3">
      <c r="F28" s="45">
        <v>37865</v>
      </c>
      <c r="G28" s="53">
        <f t="shared" si="0"/>
        <v>4.9023563633672822</v>
      </c>
      <c r="H28" s="46">
        <v>85.7</v>
      </c>
      <c r="I28" s="46">
        <v>81.3</v>
      </c>
      <c r="K28" s="54">
        <v>2.825211038783249</v>
      </c>
      <c r="L28" s="54"/>
      <c r="M28" s="54">
        <v>2.825211038783249</v>
      </c>
    </row>
    <row r="29" spans="6:13" x14ac:dyDescent="0.3">
      <c r="F29" s="45">
        <v>37895</v>
      </c>
      <c r="G29" s="53">
        <f t="shared" si="0"/>
        <v>4.8956844726530981</v>
      </c>
      <c r="H29" s="46">
        <v>90</v>
      </c>
      <c r="I29" s="46">
        <v>81.599999999999994</v>
      </c>
      <c r="K29" s="54">
        <v>-3.5717329909907445</v>
      </c>
      <c r="L29" s="54"/>
      <c r="M29" s="54">
        <v>-3.5717329909907445</v>
      </c>
    </row>
    <row r="30" spans="6:13" x14ac:dyDescent="0.3">
      <c r="F30" s="45">
        <v>37926</v>
      </c>
      <c r="G30" s="53">
        <f t="shared" si="0"/>
        <v>-6.1875403718087529</v>
      </c>
      <c r="H30" s="46">
        <v>84.6</v>
      </c>
      <c r="I30" s="46">
        <v>82.6</v>
      </c>
      <c r="K30" s="54">
        <v>5.542167953994479</v>
      </c>
      <c r="L30" s="54"/>
      <c r="M30" s="54">
        <v>5.542167953994479</v>
      </c>
    </row>
    <row r="31" spans="6:13" x14ac:dyDescent="0.3">
      <c r="F31" s="45">
        <v>37956</v>
      </c>
      <c r="G31" s="53">
        <f t="shared" si="0"/>
        <v>-8.2508313735474825</v>
      </c>
      <c r="H31" s="46">
        <v>77.900000000000006</v>
      </c>
      <c r="I31" s="46">
        <v>81.2</v>
      </c>
      <c r="K31" s="54">
        <v>11.087288334485097</v>
      </c>
      <c r="L31" s="54"/>
      <c r="M31" s="54">
        <v>11.087288334485097</v>
      </c>
    </row>
    <row r="32" spans="6:13" x14ac:dyDescent="0.3">
      <c r="F32" s="45">
        <v>37987</v>
      </c>
      <c r="G32" s="53">
        <f t="shared" si="0"/>
        <v>-1.4221312723076169</v>
      </c>
      <c r="H32" s="46">
        <v>76.8</v>
      </c>
      <c r="I32" s="46">
        <v>82.7</v>
      </c>
      <c r="K32" s="54">
        <v>0.56031776721630933</v>
      </c>
      <c r="L32" s="54"/>
      <c r="M32" s="54">
        <v>0.56031776721630933</v>
      </c>
    </row>
    <row r="33" spans="6:13" x14ac:dyDescent="0.3">
      <c r="F33" s="45">
        <v>38018</v>
      </c>
      <c r="G33" s="53">
        <f t="shared" si="0"/>
        <v>-3.7139546949456657</v>
      </c>
      <c r="H33" s="46">
        <v>74</v>
      </c>
      <c r="I33" s="46">
        <v>84</v>
      </c>
      <c r="K33" s="54">
        <v>3.0830593286322228</v>
      </c>
      <c r="L33" s="54"/>
      <c r="M33" s="54">
        <v>3.0830593286322228</v>
      </c>
    </row>
    <row r="34" spans="6:13" x14ac:dyDescent="0.3">
      <c r="F34" s="45">
        <v>38047</v>
      </c>
      <c r="G34" s="53">
        <f t="shared" si="0"/>
        <v>16.069293906717668</v>
      </c>
      <c r="H34" s="46">
        <v>86.9</v>
      </c>
      <c r="I34" s="46">
        <v>84.5</v>
      </c>
      <c r="K34" s="54">
        <v>-10.25404340464851</v>
      </c>
      <c r="L34" s="54"/>
      <c r="M34" s="54">
        <v>-10.25404340464851</v>
      </c>
    </row>
    <row r="35" spans="6:13" x14ac:dyDescent="0.3">
      <c r="F35" s="45">
        <v>38078</v>
      </c>
      <c r="G35" s="53">
        <f t="shared" si="0"/>
        <v>-5.5602730209212119</v>
      </c>
      <c r="H35" s="46">
        <v>82.2</v>
      </c>
      <c r="I35" s="46">
        <v>85.1</v>
      </c>
      <c r="K35" s="54">
        <v>4.0661109319364694</v>
      </c>
      <c r="L35" s="54"/>
      <c r="M35" s="54">
        <v>4.0661109319364694</v>
      </c>
    </row>
    <row r="36" spans="6:13" x14ac:dyDescent="0.3">
      <c r="F36" s="45">
        <v>38108</v>
      </c>
      <c r="G36" s="53">
        <f t="shared" si="0"/>
        <v>4.8674296027248021</v>
      </c>
      <c r="H36" s="46">
        <v>86.3</v>
      </c>
      <c r="I36" s="46">
        <v>85.9</v>
      </c>
      <c r="K36" s="54">
        <v>-6.5188360987815841</v>
      </c>
      <c r="L36" s="54"/>
      <c r="M36" s="54">
        <v>-6.5188360987815841</v>
      </c>
    </row>
    <row r="37" spans="6:13" x14ac:dyDescent="0.3">
      <c r="F37" s="45">
        <v>38139</v>
      </c>
      <c r="G37" s="53">
        <f t="shared" si="0"/>
        <v>-0.23201866556971981</v>
      </c>
      <c r="H37" s="46">
        <v>86.1</v>
      </c>
      <c r="I37" s="46">
        <v>86.1</v>
      </c>
      <c r="K37" s="54">
        <v>1.2423937236054152</v>
      </c>
      <c r="L37" s="54"/>
      <c r="M37" s="54">
        <v>1.2423937236054152</v>
      </c>
    </row>
    <row r="38" spans="6:13" x14ac:dyDescent="0.3">
      <c r="F38" s="45">
        <v>38169</v>
      </c>
      <c r="G38" s="53">
        <f t="shared" si="0"/>
        <v>4.5410753180607175</v>
      </c>
      <c r="H38" s="46">
        <v>90.1</v>
      </c>
      <c r="I38" s="46">
        <v>86.7</v>
      </c>
      <c r="K38" s="54">
        <v>-5.230121980229093</v>
      </c>
      <c r="L38" s="54"/>
      <c r="M38" s="54">
        <v>-5.230121980229093</v>
      </c>
    </row>
    <row r="39" spans="6:13" x14ac:dyDescent="0.3">
      <c r="F39" s="45">
        <v>38200</v>
      </c>
      <c r="G39" s="53">
        <f t="shared" si="0"/>
        <v>2.1954778646968967</v>
      </c>
      <c r="H39" s="46">
        <v>92.1</v>
      </c>
      <c r="I39" s="46">
        <v>87.6</v>
      </c>
      <c r="K39" s="54">
        <v>-2.8037987156424928</v>
      </c>
      <c r="L39" s="54"/>
      <c r="M39" s="54">
        <v>-2.8037987156424928</v>
      </c>
    </row>
    <row r="40" spans="6:13" x14ac:dyDescent="0.3">
      <c r="F40" s="45">
        <v>38231</v>
      </c>
      <c r="G40" s="53">
        <f t="shared" si="0"/>
        <v>0</v>
      </c>
      <c r="H40" s="46">
        <v>92.1</v>
      </c>
      <c r="I40" s="46">
        <v>88.2</v>
      </c>
      <c r="K40" s="54">
        <v>2.825211038783249</v>
      </c>
      <c r="L40" s="54"/>
      <c r="M40" s="54">
        <v>2.825211038783249</v>
      </c>
    </row>
    <row r="41" spans="6:13" x14ac:dyDescent="0.3">
      <c r="F41" s="45">
        <v>38261</v>
      </c>
      <c r="G41" s="53">
        <f t="shared" si="0"/>
        <v>1.5086493033380162</v>
      </c>
      <c r="H41" s="46">
        <v>93.5</v>
      </c>
      <c r="I41" s="46">
        <v>87.5</v>
      </c>
      <c r="K41" s="54">
        <v>-3.5717329909907445</v>
      </c>
      <c r="L41" s="54"/>
      <c r="M41" s="54">
        <v>-3.5717329909907445</v>
      </c>
    </row>
    <row r="42" spans="6:13" x14ac:dyDescent="0.3">
      <c r="F42" s="45">
        <v>38292</v>
      </c>
      <c r="G42" s="53">
        <f t="shared" si="0"/>
        <v>-1.8349138668196541</v>
      </c>
      <c r="H42" s="46">
        <v>91.8</v>
      </c>
      <c r="I42" s="46">
        <v>87.5</v>
      </c>
      <c r="K42" s="54">
        <v>5.542167953994479</v>
      </c>
      <c r="L42" s="54"/>
      <c r="M42" s="54">
        <v>5.542167953994479</v>
      </c>
    </row>
    <row r="43" spans="6:13" x14ac:dyDescent="0.3">
      <c r="F43" s="45">
        <v>38322</v>
      </c>
      <c r="G43" s="53">
        <f t="shared" si="0"/>
        <v>-8.0496695968436054</v>
      </c>
      <c r="H43" s="46">
        <v>84.7</v>
      </c>
      <c r="I43" s="46">
        <v>88.3</v>
      </c>
      <c r="K43" s="54">
        <v>11.087288334485097</v>
      </c>
      <c r="L43" s="54"/>
      <c r="M43" s="54">
        <v>11.087288334485097</v>
      </c>
    </row>
    <row r="44" spans="6:13" x14ac:dyDescent="0.3">
      <c r="F44" s="45">
        <v>38353</v>
      </c>
      <c r="G44" s="53">
        <f t="shared" si="0"/>
        <v>-4.4666446985569994</v>
      </c>
      <c r="H44" s="46">
        <v>81</v>
      </c>
      <c r="I44" s="46">
        <v>88.7</v>
      </c>
      <c r="K44" s="54">
        <v>0.56031776721630955</v>
      </c>
      <c r="L44" s="54"/>
      <c r="M44" s="54">
        <v>0.56031776721630955</v>
      </c>
    </row>
    <row r="45" spans="6:13" x14ac:dyDescent="0.3">
      <c r="F45" s="45">
        <v>38384</v>
      </c>
      <c r="G45" s="53">
        <f t="shared" si="0"/>
        <v>-5.8466458499963849</v>
      </c>
      <c r="H45" s="46">
        <v>76.400000000000006</v>
      </c>
      <c r="I45" s="46">
        <v>87.3</v>
      </c>
      <c r="K45" s="54">
        <v>3.0830593286322228</v>
      </c>
      <c r="L45" s="54"/>
      <c r="M45" s="54">
        <v>3.0830593286322228</v>
      </c>
    </row>
    <row r="46" spans="6:13" x14ac:dyDescent="0.3">
      <c r="F46" s="45">
        <v>38412</v>
      </c>
      <c r="G46" s="53">
        <f t="shared" si="0"/>
        <v>14.135411830573155</v>
      </c>
      <c r="H46" s="46">
        <v>88</v>
      </c>
      <c r="I46" s="46">
        <v>88.2</v>
      </c>
      <c r="K46" s="54">
        <v>-10.25404340464851</v>
      </c>
      <c r="L46" s="54"/>
      <c r="M46" s="54">
        <v>-10.25404340464851</v>
      </c>
    </row>
    <row r="47" spans="6:13" x14ac:dyDescent="0.3">
      <c r="F47" s="45">
        <v>38443</v>
      </c>
      <c r="G47" s="53">
        <f t="shared" si="0"/>
        <v>-1.1428695823622743</v>
      </c>
      <c r="H47" s="46">
        <v>87</v>
      </c>
      <c r="I47" s="46">
        <v>88.3</v>
      </c>
      <c r="K47" s="54">
        <v>4.0661109319364694</v>
      </c>
      <c r="L47" s="54"/>
      <c r="M47" s="54">
        <v>4.0661109319364694</v>
      </c>
    </row>
    <row r="48" spans="6:13" x14ac:dyDescent="0.3">
      <c r="F48" s="45">
        <v>38473</v>
      </c>
      <c r="G48" s="53">
        <f t="shared" si="0"/>
        <v>4.6049685611328837</v>
      </c>
      <c r="H48" s="46">
        <v>91.1</v>
      </c>
      <c r="I48" s="46">
        <v>91.3</v>
      </c>
      <c r="K48" s="54">
        <v>-6.5188360987815841</v>
      </c>
      <c r="L48" s="54"/>
      <c r="M48" s="54">
        <v>-6.5188360987815841</v>
      </c>
    </row>
    <row r="49" spans="6:13" x14ac:dyDescent="0.3">
      <c r="F49" s="45">
        <v>38504</v>
      </c>
      <c r="G49" s="53">
        <f t="shared" si="0"/>
        <v>0.32876741941917081</v>
      </c>
      <c r="H49" s="46">
        <v>91.4</v>
      </c>
      <c r="I49" s="46">
        <v>89.5</v>
      </c>
      <c r="K49" s="54">
        <v>1.2423937236054152</v>
      </c>
      <c r="L49" s="54"/>
      <c r="M49" s="54">
        <v>1.2423937236054152</v>
      </c>
    </row>
    <row r="50" spans="6:13" x14ac:dyDescent="0.3">
      <c r="F50" s="45">
        <v>38534</v>
      </c>
      <c r="G50" s="53">
        <f t="shared" si="0"/>
        <v>-0.98956277542239612</v>
      </c>
      <c r="H50" s="46">
        <v>90.5</v>
      </c>
      <c r="I50" s="46">
        <v>88.9</v>
      </c>
      <c r="K50" s="54">
        <v>-5.230121980229093</v>
      </c>
      <c r="L50" s="54"/>
      <c r="M50" s="54">
        <v>-5.230121980229093</v>
      </c>
    </row>
    <row r="51" spans="6:13" x14ac:dyDescent="0.3">
      <c r="F51" s="45">
        <v>38565</v>
      </c>
      <c r="G51" s="53">
        <f t="shared" si="0"/>
        <v>5.482296935147505</v>
      </c>
      <c r="H51" s="46">
        <v>95.6</v>
      </c>
      <c r="I51" s="46">
        <v>89.1</v>
      </c>
      <c r="K51" s="54">
        <v>-2.8037987156424928</v>
      </c>
      <c r="L51" s="54"/>
      <c r="M51" s="54">
        <v>-2.8037987156424928</v>
      </c>
    </row>
    <row r="52" spans="6:13" x14ac:dyDescent="0.3">
      <c r="F52" s="45">
        <v>38596</v>
      </c>
      <c r="G52" s="53">
        <f t="shared" si="0"/>
        <v>-3.8384243008315222</v>
      </c>
      <c r="H52" s="46">
        <v>92</v>
      </c>
      <c r="I52" s="46">
        <v>88.3</v>
      </c>
      <c r="K52" s="54">
        <v>2.825211038783249</v>
      </c>
      <c r="L52" s="54"/>
      <c r="M52" s="54">
        <v>2.825211038783249</v>
      </c>
    </row>
    <row r="53" spans="6:13" x14ac:dyDescent="0.3">
      <c r="F53" s="45">
        <v>38626</v>
      </c>
      <c r="G53" s="53">
        <f t="shared" si="0"/>
        <v>1.8309612195336253</v>
      </c>
      <c r="H53" s="46">
        <v>93.7</v>
      </c>
      <c r="I53" s="46">
        <v>87.6</v>
      </c>
      <c r="K53" s="54">
        <v>-3.5717329909907445</v>
      </c>
      <c r="L53" s="54"/>
      <c r="M53" s="54">
        <v>-3.5717329909907445</v>
      </c>
    </row>
    <row r="54" spans="6:13" x14ac:dyDescent="0.3">
      <c r="F54" s="45">
        <v>38657</v>
      </c>
      <c r="G54" s="53">
        <f t="shared" si="0"/>
        <v>-1.3971210596737951</v>
      </c>
      <c r="H54" s="46">
        <v>92.4</v>
      </c>
      <c r="I54" s="46">
        <v>88.6</v>
      </c>
      <c r="K54" s="54">
        <v>5.542167953994479</v>
      </c>
      <c r="L54" s="54"/>
      <c r="M54" s="54">
        <v>5.542167953994479</v>
      </c>
    </row>
    <row r="55" spans="6:13" x14ac:dyDescent="0.3">
      <c r="F55" s="45">
        <v>38687</v>
      </c>
      <c r="G55" s="53">
        <f t="shared" si="0"/>
        <v>-6.4827163079249166</v>
      </c>
      <c r="H55" s="46">
        <v>86.6</v>
      </c>
      <c r="I55" s="46">
        <v>90.5</v>
      </c>
      <c r="K55" s="54">
        <v>11.087288334485097</v>
      </c>
      <c r="L55" s="54"/>
      <c r="M55" s="54">
        <v>11.087288334485097</v>
      </c>
    </row>
    <row r="56" spans="6:13" x14ac:dyDescent="0.3">
      <c r="F56" s="45">
        <v>38718</v>
      </c>
      <c r="G56" s="53">
        <f t="shared" si="0"/>
        <v>-3.4060838072959752</v>
      </c>
      <c r="H56" s="46">
        <v>83.7</v>
      </c>
      <c r="I56" s="46">
        <v>90.8</v>
      </c>
      <c r="K56" s="54">
        <v>0.5603177672163091</v>
      </c>
      <c r="L56" s="54"/>
      <c r="M56" s="54">
        <v>0.5603177672163091</v>
      </c>
    </row>
    <row r="57" spans="6:13" x14ac:dyDescent="0.3">
      <c r="F57" s="45">
        <v>38749</v>
      </c>
      <c r="G57" s="53">
        <f t="shared" si="0"/>
        <v>-4.2715462622960851</v>
      </c>
      <c r="H57" s="46">
        <v>80.2</v>
      </c>
      <c r="I57" s="46">
        <v>91.4</v>
      </c>
      <c r="K57" s="54">
        <v>3.0830593286322228</v>
      </c>
      <c r="L57" s="54"/>
      <c r="M57" s="54">
        <v>3.0830593286322228</v>
      </c>
    </row>
    <row r="58" spans="6:13" x14ac:dyDescent="0.3">
      <c r="F58" s="45">
        <v>38777</v>
      </c>
      <c r="G58" s="53">
        <f t="shared" si="0"/>
        <v>14.160346377516964</v>
      </c>
      <c r="H58" s="46">
        <v>92.4</v>
      </c>
      <c r="I58" s="46">
        <v>90.7</v>
      </c>
      <c r="K58" s="54">
        <v>-10.25404340464851</v>
      </c>
      <c r="L58" s="54"/>
      <c r="M58" s="54">
        <v>-10.25404340464851</v>
      </c>
    </row>
    <row r="59" spans="6:13" x14ac:dyDescent="0.3">
      <c r="F59" s="45">
        <v>38808</v>
      </c>
      <c r="G59" s="53">
        <f t="shared" si="0"/>
        <v>-7.5274153043904395</v>
      </c>
      <c r="H59" s="46">
        <v>85.7</v>
      </c>
      <c r="I59" s="46">
        <v>91.4</v>
      </c>
      <c r="K59" s="54">
        <v>4.0661109319364694</v>
      </c>
      <c r="L59" s="54"/>
      <c r="M59" s="54">
        <v>4.0661109319364694</v>
      </c>
    </row>
    <row r="60" spans="6:13" x14ac:dyDescent="0.3">
      <c r="F60" s="45">
        <v>38838</v>
      </c>
      <c r="G60" s="53">
        <f t="shared" si="0"/>
        <v>10.722575285050679</v>
      </c>
      <c r="H60" s="46">
        <v>95.4</v>
      </c>
      <c r="I60" s="46">
        <v>92.2</v>
      </c>
      <c r="K60" s="54">
        <v>-6.5188360987815841</v>
      </c>
      <c r="L60" s="54"/>
      <c r="M60" s="54">
        <v>-6.5188360987815841</v>
      </c>
    </row>
    <row r="61" spans="6:13" x14ac:dyDescent="0.3">
      <c r="F61" s="45">
        <v>38869</v>
      </c>
      <c r="G61" s="53">
        <f t="shared" si="0"/>
        <v>-4.6120774188328273</v>
      </c>
      <c r="H61" s="46">
        <v>91.1</v>
      </c>
      <c r="I61" s="46">
        <v>90.6</v>
      </c>
      <c r="K61" s="54">
        <v>1.2423937236054154</v>
      </c>
      <c r="L61" s="54"/>
      <c r="M61" s="54">
        <v>1.2423937236054154</v>
      </c>
    </row>
    <row r="62" spans="6:13" x14ac:dyDescent="0.3">
      <c r="F62" s="45">
        <v>38899</v>
      </c>
      <c r="G62" s="53">
        <f t="shared" si="0"/>
        <v>2.9207051746266317</v>
      </c>
      <c r="H62" s="46">
        <v>93.8</v>
      </c>
      <c r="I62" s="46">
        <v>91.6</v>
      </c>
      <c r="K62" s="54">
        <v>-5.230121980229093</v>
      </c>
      <c r="L62" s="54"/>
      <c r="M62" s="54">
        <v>-5.230121980229093</v>
      </c>
    </row>
    <row r="63" spans="6:13" x14ac:dyDescent="0.3">
      <c r="F63" s="45">
        <v>38930</v>
      </c>
      <c r="G63" s="53">
        <f t="shared" si="0"/>
        <v>4.9906405596410703</v>
      </c>
      <c r="H63" s="46">
        <v>98.6</v>
      </c>
      <c r="I63" s="46">
        <v>91.4</v>
      </c>
      <c r="K63" s="54">
        <v>-2.8037987156424928</v>
      </c>
      <c r="L63" s="54"/>
      <c r="M63" s="54">
        <v>-2.8037987156424928</v>
      </c>
    </row>
    <row r="64" spans="6:13" x14ac:dyDescent="0.3">
      <c r="F64" s="45">
        <v>38961</v>
      </c>
      <c r="G64" s="53">
        <f t="shared" si="0"/>
        <v>-5.6323539917044103</v>
      </c>
      <c r="H64" s="46">
        <v>93.2</v>
      </c>
      <c r="I64" s="46">
        <v>90.4</v>
      </c>
      <c r="K64" s="54">
        <v>2.825211038783249</v>
      </c>
      <c r="L64" s="54"/>
      <c r="M64" s="54">
        <v>2.825211038783249</v>
      </c>
    </row>
    <row r="65" spans="6:13" x14ac:dyDescent="0.3">
      <c r="F65" s="45">
        <v>38991</v>
      </c>
      <c r="G65" s="53">
        <f t="shared" si="0"/>
        <v>4.5104656312255988</v>
      </c>
      <c r="H65" s="46">
        <v>97.5</v>
      </c>
      <c r="I65" s="46">
        <v>90.8</v>
      </c>
      <c r="K65" s="54">
        <v>-3.5717329909907445</v>
      </c>
      <c r="L65" s="54"/>
      <c r="M65" s="54">
        <v>-3.5717329909907445</v>
      </c>
    </row>
    <row r="66" spans="6:13" x14ac:dyDescent="0.3">
      <c r="F66" s="45">
        <v>39022</v>
      </c>
      <c r="G66" s="53">
        <f t="shared" si="0"/>
        <v>-1.6546396114408941</v>
      </c>
      <c r="H66" s="46">
        <v>95.9</v>
      </c>
      <c r="I66" s="46">
        <v>92.1</v>
      </c>
      <c r="K66" s="54">
        <v>5.542167953994479</v>
      </c>
      <c r="L66" s="54"/>
      <c r="M66" s="54">
        <v>5.542167953994479</v>
      </c>
    </row>
    <row r="67" spans="6:13" x14ac:dyDescent="0.3">
      <c r="F67" s="45">
        <v>39052</v>
      </c>
      <c r="G67" s="53">
        <f t="shared" si="0"/>
        <v>-9.7397863234808941</v>
      </c>
      <c r="H67" s="46">
        <v>87</v>
      </c>
      <c r="I67" s="46">
        <v>93.3</v>
      </c>
      <c r="K67" s="54">
        <v>11.087288334485097</v>
      </c>
      <c r="L67" s="54"/>
      <c r="M67" s="54">
        <v>11.087288334485097</v>
      </c>
    </row>
    <row r="68" spans="6:13" x14ac:dyDescent="0.3">
      <c r="F68" s="45">
        <v>39083</v>
      </c>
      <c r="G68" s="53">
        <f t="shared" si="0"/>
        <v>0</v>
      </c>
      <c r="H68" s="46">
        <v>87</v>
      </c>
      <c r="I68" s="46">
        <v>92.7</v>
      </c>
      <c r="K68" s="54">
        <v>0.56031776721630933</v>
      </c>
      <c r="L68" s="54"/>
      <c r="M68" s="54">
        <v>0.56031776721630933</v>
      </c>
    </row>
    <row r="69" spans="6:13" x14ac:dyDescent="0.3">
      <c r="F69" s="45">
        <v>39114</v>
      </c>
      <c r="G69" s="53">
        <f t="shared" si="0"/>
        <v>-5.1898438127651367</v>
      </c>
      <c r="H69" s="46">
        <v>82.6</v>
      </c>
      <c r="I69" s="46">
        <v>93.9</v>
      </c>
      <c r="K69" s="54">
        <v>3.0830593286322228</v>
      </c>
      <c r="L69" s="54"/>
      <c r="M69" s="54">
        <v>3.0830593286322228</v>
      </c>
    </row>
    <row r="70" spans="6:13" x14ac:dyDescent="0.3">
      <c r="F70" s="45">
        <v>39142</v>
      </c>
      <c r="G70" s="53">
        <f t="shared" si="0"/>
        <v>15.449652108956771</v>
      </c>
      <c r="H70" s="46">
        <v>96.4</v>
      </c>
      <c r="I70" s="46">
        <v>94.9</v>
      </c>
      <c r="K70" s="54">
        <v>-10.25404340464851</v>
      </c>
      <c r="L70" s="54"/>
      <c r="M70" s="54">
        <v>-10.25404340464851</v>
      </c>
    </row>
    <row r="71" spans="6:13" x14ac:dyDescent="0.3">
      <c r="F71" s="45">
        <v>39173</v>
      </c>
      <c r="G71" s="53">
        <f t="shared" si="0"/>
        <v>-6.205198856756641</v>
      </c>
      <c r="H71" s="46">
        <v>90.6</v>
      </c>
      <c r="I71" s="46">
        <v>96</v>
      </c>
      <c r="K71" s="54">
        <v>4.0661109319364694</v>
      </c>
      <c r="L71" s="54"/>
      <c r="M71" s="54">
        <v>4.0661109319364694</v>
      </c>
    </row>
    <row r="72" spans="6:13" x14ac:dyDescent="0.3">
      <c r="F72" s="45">
        <v>39203</v>
      </c>
      <c r="G72" s="53">
        <f t="shared" si="0"/>
        <v>9.7715472605574369</v>
      </c>
      <c r="H72" s="46">
        <v>99.9</v>
      </c>
      <c r="I72" s="46">
        <v>96.3</v>
      </c>
      <c r="K72" s="54">
        <v>-6.5188360987815841</v>
      </c>
      <c r="L72" s="54"/>
      <c r="M72" s="54">
        <v>-6.5188360987815841</v>
      </c>
    </row>
    <row r="73" spans="6:13" x14ac:dyDescent="0.3">
      <c r="F73" s="45">
        <v>39234</v>
      </c>
      <c r="G73" s="53">
        <f t="shared" si="0"/>
        <v>-3.0490166757787276</v>
      </c>
      <c r="H73" s="46">
        <v>96.9</v>
      </c>
      <c r="I73" s="46">
        <v>97</v>
      </c>
      <c r="K73" s="54">
        <v>1.2423937236054152</v>
      </c>
      <c r="L73" s="54"/>
      <c r="M73" s="54">
        <v>1.2423937236054152</v>
      </c>
    </row>
    <row r="74" spans="6:13" x14ac:dyDescent="0.3">
      <c r="F74" s="45">
        <v>39264</v>
      </c>
      <c r="G74" s="53">
        <f t="shared" ref="G74:G137" si="1">LN(H74/H73)*100</f>
        <v>2.9488664420697721</v>
      </c>
      <c r="H74" s="46">
        <v>99.8</v>
      </c>
      <c r="I74" s="46">
        <v>96.5</v>
      </c>
      <c r="K74" s="54">
        <v>-5.230121980229093</v>
      </c>
      <c r="L74" s="54"/>
      <c r="M74" s="54">
        <v>-5.230121980229093</v>
      </c>
    </row>
    <row r="75" spans="6:13" x14ac:dyDescent="0.3">
      <c r="F75" s="45">
        <v>39295</v>
      </c>
      <c r="G75" s="53">
        <f t="shared" si="1"/>
        <v>4.9839332084833199</v>
      </c>
      <c r="H75" s="46">
        <v>104.9</v>
      </c>
      <c r="I75" s="46">
        <v>97.9</v>
      </c>
      <c r="K75" s="54">
        <v>-2.8037987156424928</v>
      </c>
      <c r="L75" s="54"/>
      <c r="M75" s="54">
        <v>-2.8037987156424928</v>
      </c>
    </row>
    <row r="76" spans="6:13" x14ac:dyDescent="0.3">
      <c r="F76" s="45">
        <v>39326</v>
      </c>
      <c r="G76" s="53">
        <f t="shared" si="1"/>
        <v>-6.3966711344043752</v>
      </c>
      <c r="H76" s="46">
        <v>98.4</v>
      </c>
      <c r="I76" s="46">
        <v>97.2</v>
      </c>
      <c r="K76" s="54">
        <v>2.825211038783249</v>
      </c>
      <c r="L76" s="54"/>
      <c r="M76" s="54">
        <v>2.825211038783249</v>
      </c>
    </row>
    <row r="77" spans="6:13" x14ac:dyDescent="0.3">
      <c r="F77" s="45">
        <v>39356</v>
      </c>
      <c r="G77" s="53">
        <f t="shared" si="1"/>
        <v>9.1236854416688988</v>
      </c>
      <c r="H77" s="46">
        <v>107.8</v>
      </c>
      <c r="I77" s="46">
        <v>99.5</v>
      </c>
      <c r="K77" s="54">
        <v>-3.5717329909907445</v>
      </c>
      <c r="L77" s="54"/>
      <c r="M77" s="54">
        <v>-3.5717329909907445</v>
      </c>
    </row>
    <row r="78" spans="6:13" x14ac:dyDescent="0.3">
      <c r="F78" s="45">
        <v>39387</v>
      </c>
      <c r="G78" s="53">
        <f t="shared" si="1"/>
        <v>-5.1390945869489242</v>
      </c>
      <c r="H78" s="46">
        <v>102.4</v>
      </c>
      <c r="I78" s="46">
        <v>98.5</v>
      </c>
      <c r="K78" s="54">
        <v>5.542167953994479</v>
      </c>
      <c r="L78" s="54"/>
      <c r="M78" s="54">
        <v>5.542167953994479</v>
      </c>
    </row>
    <row r="79" spans="6:13" x14ac:dyDescent="0.3">
      <c r="F79" s="45">
        <v>39417</v>
      </c>
      <c r="G79" s="53">
        <f t="shared" si="1"/>
        <v>-10.059757095327383</v>
      </c>
      <c r="H79" s="46">
        <v>92.6</v>
      </c>
      <c r="I79" s="46">
        <v>98.9</v>
      </c>
      <c r="K79" s="54">
        <v>11.087288334485097</v>
      </c>
      <c r="L79" s="54"/>
      <c r="M79" s="54">
        <v>11.087288334485097</v>
      </c>
    </row>
    <row r="80" spans="6:13" x14ac:dyDescent="0.3">
      <c r="F80" s="45">
        <v>39448</v>
      </c>
      <c r="G80" s="53">
        <f t="shared" si="1"/>
        <v>2.3480267608842449</v>
      </c>
      <c r="H80" s="46">
        <v>94.8</v>
      </c>
      <c r="I80" s="46">
        <v>100.6</v>
      </c>
      <c r="K80" s="54">
        <v>0.5603177672163091</v>
      </c>
      <c r="L80" s="54"/>
      <c r="M80" s="54">
        <v>0.5603177672163091</v>
      </c>
    </row>
    <row r="81" spans="6:13" x14ac:dyDescent="0.3">
      <c r="F81" s="45">
        <v>39479</v>
      </c>
      <c r="G81" s="53">
        <f t="shared" si="1"/>
        <v>-3.9811604995063505</v>
      </c>
      <c r="H81" s="46">
        <v>91.1</v>
      </c>
      <c r="I81" s="46">
        <v>100.2</v>
      </c>
      <c r="K81" s="54">
        <v>3.0830593286322228</v>
      </c>
      <c r="L81" s="54"/>
      <c r="M81" s="54">
        <v>3.0830593286322228</v>
      </c>
    </row>
    <row r="82" spans="6:13" x14ac:dyDescent="0.3">
      <c r="F82" s="45">
        <v>39508</v>
      </c>
      <c r="G82" s="53">
        <f t="shared" si="1"/>
        <v>6.9943754782824428</v>
      </c>
      <c r="H82" s="46">
        <v>97.7</v>
      </c>
      <c r="I82" s="46">
        <v>100.5</v>
      </c>
      <c r="K82" s="54">
        <v>-10.25404340464851</v>
      </c>
      <c r="L82" s="54"/>
      <c r="M82" s="54">
        <v>-10.25404340464851</v>
      </c>
    </row>
    <row r="83" spans="6:13" x14ac:dyDescent="0.3">
      <c r="F83" s="45">
        <v>39539</v>
      </c>
      <c r="G83" s="53">
        <f t="shared" si="1"/>
        <v>1.5236455242089986</v>
      </c>
      <c r="H83" s="46">
        <v>99.2</v>
      </c>
      <c r="I83" s="46">
        <v>100.4</v>
      </c>
      <c r="K83" s="54">
        <v>4.0661109319364694</v>
      </c>
      <c r="L83" s="54"/>
      <c r="M83" s="54">
        <v>4.0661109319364694</v>
      </c>
    </row>
    <row r="84" spans="6:13" x14ac:dyDescent="0.3">
      <c r="F84" s="45">
        <v>39569</v>
      </c>
      <c r="G84" s="53">
        <f t="shared" si="1"/>
        <v>3.2724784287635709</v>
      </c>
      <c r="H84" s="46">
        <v>102.5</v>
      </c>
      <c r="I84" s="46">
        <v>101.1</v>
      </c>
      <c r="K84" s="54">
        <v>-6.5188360987815841</v>
      </c>
      <c r="L84" s="54"/>
      <c r="M84" s="54">
        <v>-6.5188360987815841</v>
      </c>
    </row>
    <row r="85" spans="6:13" x14ac:dyDescent="0.3">
      <c r="F85" s="45">
        <v>39600</v>
      </c>
      <c r="G85" s="53">
        <f t="shared" si="1"/>
        <v>0.77745775471300005</v>
      </c>
      <c r="H85" s="46">
        <v>103.3</v>
      </c>
      <c r="I85" s="46">
        <v>102.9</v>
      </c>
      <c r="K85" s="54">
        <v>1.242393723605415</v>
      </c>
      <c r="L85" s="54"/>
      <c r="M85" s="54">
        <v>1.242393723605415</v>
      </c>
    </row>
    <row r="86" spans="6:13" x14ac:dyDescent="0.3">
      <c r="F86" s="45">
        <v>39630</v>
      </c>
      <c r="G86" s="53">
        <f t="shared" si="1"/>
        <v>4.9112796854921346</v>
      </c>
      <c r="H86" s="46">
        <v>108.5</v>
      </c>
      <c r="I86" s="46">
        <v>103.2</v>
      </c>
      <c r="K86" s="54">
        <v>-5.230121980229093</v>
      </c>
      <c r="L86" s="54"/>
      <c r="M86" s="54">
        <v>-5.230121980229093</v>
      </c>
    </row>
    <row r="87" spans="6:13" x14ac:dyDescent="0.3">
      <c r="F87" s="45">
        <v>39661</v>
      </c>
      <c r="G87" s="53">
        <f t="shared" si="1"/>
        <v>-1.4856354949514659</v>
      </c>
      <c r="H87" s="46">
        <v>106.9</v>
      </c>
      <c r="I87" s="46">
        <v>101.9</v>
      </c>
      <c r="K87" s="54">
        <v>-2.8037987156424924</v>
      </c>
      <c r="L87" s="54"/>
      <c r="M87" s="54">
        <v>-2.8037987156424924</v>
      </c>
    </row>
    <row r="88" spans="6:13" x14ac:dyDescent="0.3">
      <c r="F88" s="45">
        <v>39692</v>
      </c>
      <c r="G88" s="53">
        <f t="shared" si="1"/>
        <v>0.37348316056530828</v>
      </c>
      <c r="H88" s="46">
        <v>107.3</v>
      </c>
      <c r="I88" s="46">
        <v>103.4</v>
      </c>
      <c r="K88" s="54">
        <v>2.825211038783249</v>
      </c>
      <c r="L88" s="54"/>
      <c r="M88" s="54">
        <v>2.825211038783249</v>
      </c>
    </row>
    <row r="89" spans="6:13" x14ac:dyDescent="0.3">
      <c r="F89" s="45">
        <v>39722</v>
      </c>
      <c r="G89" s="53">
        <f t="shared" si="1"/>
        <v>1.0199439368893048</v>
      </c>
      <c r="H89" s="46">
        <v>108.4</v>
      </c>
      <c r="I89" s="46">
        <v>100.1</v>
      </c>
      <c r="K89" s="54">
        <v>-3.5717329909907445</v>
      </c>
      <c r="L89" s="54"/>
      <c r="M89" s="54">
        <v>-3.5717329909907445</v>
      </c>
    </row>
    <row r="90" spans="6:13" x14ac:dyDescent="0.3">
      <c r="F90" s="45">
        <v>39753</v>
      </c>
      <c r="G90" s="53">
        <f t="shared" si="1"/>
        <v>-11.939873133388506</v>
      </c>
      <c r="H90" s="46">
        <v>96.2</v>
      </c>
      <c r="I90" s="46">
        <v>94.4</v>
      </c>
      <c r="K90" s="54">
        <v>5.542167953994479</v>
      </c>
      <c r="L90" s="54"/>
      <c r="M90" s="54">
        <v>5.542167953994479</v>
      </c>
    </row>
    <row r="91" spans="6:13" x14ac:dyDescent="0.3">
      <c r="F91" s="45">
        <v>39783</v>
      </c>
      <c r="G91" s="53">
        <f t="shared" si="1"/>
        <v>-19.571648289805267</v>
      </c>
      <c r="H91" s="46">
        <v>79.099999999999994</v>
      </c>
      <c r="I91" s="46">
        <v>83.8</v>
      </c>
      <c r="K91" s="54">
        <v>11.087288334485097</v>
      </c>
      <c r="L91" s="54"/>
      <c r="M91" s="54">
        <v>11.087288334485097</v>
      </c>
    </row>
    <row r="92" spans="6:13" x14ac:dyDescent="0.3">
      <c r="F92" s="45">
        <v>39814</v>
      </c>
      <c r="G92" s="53">
        <f t="shared" si="1"/>
        <v>-0.50697193502505111</v>
      </c>
      <c r="H92" s="46">
        <v>78.7</v>
      </c>
      <c r="I92" s="46">
        <v>85.6</v>
      </c>
      <c r="K92" s="54">
        <v>0.56031776721630933</v>
      </c>
      <c r="L92" s="54"/>
      <c r="M92" s="54">
        <v>0.56031776721630933</v>
      </c>
    </row>
    <row r="93" spans="6:13" x14ac:dyDescent="0.3">
      <c r="F93" s="45">
        <v>39845</v>
      </c>
      <c r="G93" s="53">
        <f t="shared" si="1"/>
        <v>-3.3594890555717507</v>
      </c>
      <c r="H93" s="46">
        <v>76.099999999999994</v>
      </c>
      <c r="I93" s="46">
        <v>87.6</v>
      </c>
      <c r="K93" s="54">
        <v>3.0830593286322228</v>
      </c>
      <c r="L93" s="54"/>
      <c r="M93" s="54">
        <v>3.0830593286322228</v>
      </c>
    </row>
    <row r="94" spans="6:13" x14ac:dyDescent="0.3">
      <c r="F94" s="45">
        <v>39873</v>
      </c>
      <c r="G94" s="53">
        <f t="shared" si="1"/>
        <v>15.208359274339509</v>
      </c>
      <c r="H94" s="46">
        <v>88.6</v>
      </c>
      <c r="I94" s="46">
        <v>88</v>
      </c>
      <c r="K94" s="54">
        <v>-10.25404340464851</v>
      </c>
      <c r="L94" s="54"/>
      <c r="M94" s="54">
        <v>-10.25404340464851</v>
      </c>
    </row>
    <row r="95" spans="6:13" x14ac:dyDescent="0.3">
      <c r="F95" s="45">
        <v>39904</v>
      </c>
      <c r="G95" s="53">
        <f t="shared" si="1"/>
        <v>-3.9130423775765082</v>
      </c>
      <c r="H95" s="46">
        <v>85.2</v>
      </c>
      <c r="I95" s="46">
        <v>89</v>
      </c>
      <c r="K95" s="54">
        <v>4.0661109319364694</v>
      </c>
      <c r="L95" s="54"/>
      <c r="M95" s="54">
        <v>4.0661109319364694</v>
      </c>
    </row>
    <row r="96" spans="6:13" x14ac:dyDescent="0.3">
      <c r="F96" s="45">
        <v>39934</v>
      </c>
      <c r="G96" s="53">
        <f t="shared" si="1"/>
        <v>6.9149353765652606</v>
      </c>
      <c r="H96" s="46">
        <v>91.3</v>
      </c>
      <c r="I96" s="46">
        <v>90.3</v>
      </c>
      <c r="K96" s="54">
        <v>-6.5188360987815841</v>
      </c>
      <c r="L96" s="54"/>
      <c r="M96" s="54">
        <v>-6.5188360987815841</v>
      </c>
    </row>
    <row r="97" spans="6:13" x14ac:dyDescent="0.3">
      <c r="F97" s="45">
        <v>39965</v>
      </c>
      <c r="G97" s="53">
        <f t="shared" si="1"/>
        <v>0.98093429616254413</v>
      </c>
      <c r="H97" s="46">
        <v>92.2</v>
      </c>
      <c r="I97" s="46">
        <v>91.6</v>
      </c>
      <c r="K97" s="54">
        <v>1.242393723605415</v>
      </c>
      <c r="L97" s="54"/>
      <c r="M97" s="54">
        <v>1.242393723605415</v>
      </c>
    </row>
    <row r="98" spans="6:13" x14ac:dyDescent="0.3">
      <c r="F98" s="45">
        <v>39995</v>
      </c>
      <c r="G98" s="53">
        <f t="shared" si="1"/>
        <v>5.7941428486188959</v>
      </c>
      <c r="H98" s="46">
        <v>97.7</v>
      </c>
      <c r="I98" s="46">
        <v>92.6</v>
      </c>
      <c r="K98" s="54">
        <v>-5.230121980229093</v>
      </c>
      <c r="L98" s="54"/>
      <c r="M98" s="54">
        <v>-5.230121980229093</v>
      </c>
    </row>
    <row r="99" spans="6:13" x14ac:dyDescent="0.3">
      <c r="F99" s="45">
        <v>40026</v>
      </c>
      <c r="G99" s="53">
        <f t="shared" si="1"/>
        <v>1.9260605541815436</v>
      </c>
      <c r="H99" s="46">
        <v>99.6</v>
      </c>
      <c r="I99" s="46">
        <v>94</v>
      </c>
      <c r="K99" s="54">
        <v>-2.8037987156424928</v>
      </c>
      <c r="L99" s="54"/>
      <c r="M99" s="54">
        <v>-2.8037987156424928</v>
      </c>
    </row>
    <row r="100" spans="6:13" x14ac:dyDescent="0.3">
      <c r="F100" s="45">
        <v>40057</v>
      </c>
      <c r="G100" s="53">
        <f t="shared" si="1"/>
        <v>-0.20100509280241119</v>
      </c>
      <c r="H100" s="46">
        <v>99.4</v>
      </c>
      <c r="I100" s="46">
        <v>95.6</v>
      </c>
      <c r="K100" s="54">
        <v>2.825211038783249</v>
      </c>
      <c r="L100" s="54"/>
      <c r="M100" s="54">
        <v>2.825211038783249</v>
      </c>
    </row>
    <row r="101" spans="6:13" x14ac:dyDescent="0.3">
      <c r="F101" s="45">
        <v>40087</v>
      </c>
      <c r="G101" s="53">
        <f t="shared" si="1"/>
        <v>6.0506257609632605</v>
      </c>
      <c r="H101" s="46">
        <v>105.6</v>
      </c>
      <c r="I101" s="46">
        <v>97.3</v>
      </c>
      <c r="K101" s="54">
        <v>-3.5717329909907445</v>
      </c>
      <c r="L101" s="54"/>
      <c r="M101" s="54">
        <v>-3.5717329909907445</v>
      </c>
    </row>
    <row r="102" spans="6:13" x14ac:dyDescent="0.3">
      <c r="F102" s="45">
        <v>40118</v>
      </c>
      <c r="G102" s="53">
        <f t="shared" si="1"/>
        <v>-4.0585280115078213</v>
      </c>
      <c r="H102" s="46">
        <v>101.4</v>
      </c>
      <c r="I102" s="46">
        <v>98.9</v>
      </c>
      <c r="K102" s="54">
        <v>5.542167953994479</v>
      </c>
      <c r="L102" s="54"/>
      <c r="M102" s="54">
        <v>5.542167953994479</v>
      </c>
    </row>
    <row r="103" spans="6:13" x14ac:dyDescent="0.3">
      <c r="F103" s="45">
        <v>40148</v>
      </c>
      <c r="G103" s="53">
        <f t="shared" si="1"/>
        <v>-7.4715044565749</v>
      </c>
      <c r="H103" s="46">
        <v>94.1</v>
      </c>
      <c r="I103" s="46">
        <v>99.1</v>
      </c>
      <c r="K103" s="54">
        <v>11.087288334485097</v>
      </c>
      <c r="L103" s="54"/>
      <c r="M103" s="54">
        <v>11.087288334485097</v>
      </c>
    </row>
    <row r="104" spans="6:13" x14ac:dyDescent="0.3">
      <c r="F104" s="45">
        <v>40179</v>
      </c>
      <c r="G104" s="53">
        <f t="shared" si="1"/>
        <v>-3.1303149511048107</v>
      </c>
      <c r="H104" s="46">
        <v>91.2</v>
      </c>
      <c r="I104" s="46">
        <v>100.7</v>
      </c>
      <c r="K104" s="54">
        <v>0.5603177672163091</v>
      </c>
      <c r="L104" s="54"/>
      <c r="M104" s="54">
        <v>0.5603177672163091</v>
      </c>
    </row>
    <row r="105" spans="6:13" x14ac:dyDescent="0.3">
      <c r="F105" s="45">
        <v>40210</v>
      </c>
      <c r="G105" s="53">
        <f t="shared" si="1"/>
        <v>-2.4418527348145886</v>
      </c>
      <c r="H105" s="46">
        <v>89</v>
      </c>
      <c r="I105" s="46">
        <v>100.5</v>
      </c>
      <c r="K105" s="54">
        <v>3.0830593286322228</v>
      </c>
      <c r="L105" s="54"/>
      <c r="M105" s="54">
        <v>3.0830593286322228</v>
      </c>
    </row>
    <row r="106" spans="6:13" x14ac:dyDescent="0.3">
      <c r="F106" s="45">
        <v>40238</v>
      </c>
      <c r="G106" s="53">
        <f t="shared" si="1"/>
        <v>16.627590815076555</v>
      </c>
      <c r="H106" s="46">
        <v>105.1</v>
      </c>
      <c r="I106" s="46">
        <v>103</v>
      </c>
      <c r="K106" s="54">
        <v>-10.25404340464851</v>
      </c>
      <c r="L106" s="54"/>
      <c r="M106" s="54">
        <v>-10.25404340464851</v>
      </c>
    </row>
    <row r="107" spans="6:13" x14ac:dyDescent="0.3">
      <c r="F107" s="45">
        <v>40269</v>
      </c>
      <c r="G107" s="53">
        <f t="shared" si="1"/>
        <v>-5.6766706831778553</v>
      </c>
      <c r="H107" s="46">
        <v>99.3</v>
      </c>
      <c r="I107" s="46">
        <v>103.2</v>
      </c>
      <c r="K107" s="54">
        <v>4.0661109319364694</v>
      </c>
      <c r="L107" s="54"/>
      <c r="M107" s="54">
        <v>4.0661109319364694</v>
      </c>
    </row>
    <row r="108" spans="6:13" x14ac:dyDescent="0.3">
      <c r="F108" s="45">
        <v>40299</v>
      </c>
      <c r="G108" s="53">
        <f t="shared" si="1"/>
        <v>4.9125790955599946</v>
      </c>
      <c r="H108" s="46">
        <v>104.3</v>
      </c>
      <c r="I108" s="46">
        <v>103</v>
      </c>
      <c r="K108" s="54">
        <v>-6.5188360987815841</v>
      </c>
      <c r="L108" s="54"/>
      <c r="M108" s="54">
        <v>-6.5188360987815841</v>
      </c>
    </row>
    <row r="109" spans="6:13" x14ac:dyDescent="0.3">
      <c r="F109" s="45">
        <v>40330</v>
      </c>
      <c r="G109" s="53">
        <f t="shared" si="1"/>
        <v>-1.7408563428263819</v>
      </c>
      <c r="H109" s="46">
        <v>102.5</v>
      </c>
      <c r="I109" s="46">
        <v>102.3</v>
      </c>
      <c r="K109" s="54">
        <v>1.2423937236054152</v>
      </c>
      <c r="L109" s="54"/>
      <c r="M109" s="54">
        <v>1.2423937236054152</v>
      </c>
    </row>
    <row r="110" spans="6:13" x14ac:dyDescent="0.3">
      <c r="F110" s="45">
        <v>40360</v>
      </c>
      <c r="G110" s="53">
        <f t="shared" si="1"/>
        <v>4.2031019452536711</v>
      </c>
      <c r="H110" s="46">
        <v>106.9</v>
      </c>
      <c r="I110" s="46">
        <v>101.8</v>
      </c>
      <c r="K110" s="54">
        <v>-5.230121980229093</v>
      </c>
      <c r="L110" s="54"/>
      <c r="M110" s="54">
        <v>-5.230121980229093</v>
      </c>
    </row>
    <row r="111" spans="6:13" x14ac:dyDescent="0.3">
      <c r="F111" s="45">
        <v>40391</v>
      </c>
      <c r="G111" s="53">
        <f t="shared" si="1"/>
        <v>1.1162906614163006</v>
      </c>
      <c r="H111" s="46">
        <v>108.1</v>
      </c>
      <c r="I111" s="46">
        <v>101.4</v>
      </c>
      <c r="K111" s="54">
        <v>-2.8037987156424928</v>
      </c>
      <c r="L111" s="54"/>
      <c r="M111" s="54">
        <v>-2.8037987156424928</v>
      </c>
    </row>
    <row r="112" spans="6:13" x14ac:dyDescent="0.3">
      <c r="F112" s="45">
        <v>40422</v>
      </c>
      <c r="G112" s="53">
        <f t="shared" si="1"/>
        <v>-2.1506205220963506</v>
      </c>
      <c r="H112" s="46">
        <v>105.8</v>
      </c>
      <c r="I112" s="46">
        <v>101.6</v>
      </c>
      <c r="K112" s="54">
        <v>2.825211038783249</v>
      </c>
      <c r="L112" s="54"/>
      <c r="M112" s="54">
        <v>2.825211038783249</v>
      </c>
    </row>
    <row r="113" spans="6:13" x14ac:dyDescent="0.3">
      <c r="F113" s="45">
        <v>40452</v>
      </c>
      <c r="G113" s="53">
        <f t="shared" si="1"/>
        <v>1.779906473814393</v>
      </c>
      <c r="H113" s="46">
        <v>107.7</v>
      </c>
      <c r="I113" s="46">
        <v>101.3</v>
      </c>
      <c r="K113" s="54">
        <v>-3.5717329909907445</v>
      </c>
      <c r="L113" s="54"/>
      <c r="M113" s="54">
        <v>-3.5717329909907445</v>
      </c>
    </row>
    <row r="114" spans="6:13" x14ac:dyDescent="0.3">
      <c r="F114" s="45">
        <v>40483</v>
      </c>
      <c r="G114" s="53">
        <f t="shared" si="1"/>
        <v>-0.83916576362485129</v>
      </c>
      <c r="H114" s="46">
        <v>106.8</v>
      </c>
      <c r="I114" s="46">
        <v>102.2</v>
      </c>
      <c r="K114" s="54">
        <v>5.542167953994479</v>
      </c>
      <c r="L114" s="54"/>
      <c r="M114" s="54">
        <v>5.542167953994479</v>
      </c>
    </row>
    <row r="115" spans="6:13" x14ac:dyDescent="0.3">
      <c r="F115" s="45">
        <v>40513</v>
      </c>
      <c r="G115" s="53">
        <f t="shared" si="1"/>
        <v>-10.037918530762216</v>
      </c>
      <c r="H115" s="46">
        <v>96.6</v>
      </c>
      <c r="I115" s="46">
        <v>102.6</v>
      </c>
      <c r="K115" s="54">
        <v>11.087288334485097</v>
      </c>
      <c r="L115" s="54"/>
      <c r="M115" s="54">
        <v>11.087288334485097</v>
      </c>
    </row>
    <row r="116" spans="6:13" x14ac:dyDescent="0.3">
      <c r="F116" s="45">
        <v>40544</v>
      </c>
      <c r="G116" s="53">
        <f t="shared" si="1"/>
        <v>-3.5831019526926728</v>
      </c>
      <c r="H116" s="46">
        <v>93.2</v>
      </c>
      <c r="I116" s="46">
        <v>102.8</v>
      </c>
      <c r="K116" s="54">
        <v>0.5603177672163091</v>
      </c>
      <c r="L116" s="54"/>
      <c r="M116" s="54">
        <v>0.5603177672163091</v>
      </c>
    </row>
    <row r="117" spans="6:13" x14ac:dyDescent="0.3">
      <c r="F117" s="45">
        <v>40575</v>
      </c>
      <c r="G117" s="53">
        <f t="shared" si="1"/>
        <v>2.3330856762695267</v>
      </c>
      <c r="H117" s="46">
        <v>95.4</v>
      </c>
      <c r="I117" s="46">
        <v>104.2</v>
      </c>
      <c r="K117" s="54">
        <v>3.0830593286322228</v>
      </c>
      <c r="L117" s="54"/>
      <c r="M117" s="54">
        <v>3.0830593286322228</v>
      </c>
    </row>
    <row r="118" spans="6:13" x14ac:dyDescent="0.3">
      <c r="F118" s="45">
        <v>40603</v>
      </c>
      <c r="G118" s="53">
        <f t="shared" si="1"/>
        <v>9.0151096994297486</v>
      </c>
      <c r="H118" s="46">
        <v>104.4</v>
      </c>
      <c r="I118" s="46">
        <v>104.8</v>
      </c>
      <c r="K118" s="54">
        <v>-10.25404340464851</v>
      </c>
      <c r="L118" s="54"/>
      <c r="M118" s="54">
        <v>-10.25404340464851</v>
      </c>
    </row>
    <row r="119" spans="6:13" x14ac:dyDescent="0.3">
      <c r="F119" s="45">
        <v>40634</v>
      </c>
      <c r="G119" s="53">
        <f t="shared" si="1"/>
        <v>-6.8377297444736849</v>
      </c>
      <c r="H119" s="46">
        <v>97.5</v>
      </c>
      <c r="I119" s="46">
        <v>102.1</v>
      </c>
      <c r="K119" s="54">
        <v>4.0661109319364694</v>
      </c>
      <c r="L119" s="54"/>
      <c r="M119" s="54">
        <v>4.0661109319364694</v>
      </c>
    </row>
    <row r="120" spans="6:13" x14ac:dyDescent="0.3">
      <c r="F120" s="45">
        <v>40664</v>
      </c>
      <c r="G120" s="53">
        <f t="shared" si="1"/>
        <v>9.3910599449901522</v>
      </c>
      <c r="H120" s="46">
        <v>107.1</v>
      </c>
      <c r="I120" s="46">
        <v>105.2</v>
      </c>
      <c r="K120" s="54">
        <v>-6.5188360987815841</v>
      </c>
      <c r="L120" s="54"/>
      <c r="M120" s="54">
        <v>-6.5188360987815841</v>
      </c>
    </row>
    <row r="121" spans="6:13" x14ac:dyDescent="0.3">
      <c r="F121" s="45">
        <v>40695</v>
      </c>
      <c r="G121" s="53">
        <f t="shared" si="1"/>
        <v>-4.0977624432638322</v>
      </c>
      <c r="H121" s="46">
        <v>102.8</v>
      </c>
      <c r="I121" s="46">
        <v>102.7</v>
      </c>
      <c r="K121" s="54">
        <v>1.2423937236054154</v>
      </c>
      <c r="L121" s="54"/>
      <c r="M121" s="54">
        <v>1.2423937236054154</v>
      </c>
    </row>
    <row r="122" spans="6:13" x14ac:dyDescent="0.3">
      <c r="F122" s="45">
        <v>40725</v>
      </c>
      <c r="G122" s="53">
        <f t="shared" si="1"/>
        <v>3.1596692598872607</v>
      </c>
      <c r="H122" s="46">
        <v>106.1</v>
      </c>
      <c r="I122" s="46">
        <v>103.1</v>
      </c>
      <c r="K122" s="54">
        <v>-5.230121980229093</v>
      </c>
      <c r="L122" s="54"/>
      <c r="M122" s="54">
        <v>-5.230121980229093</v>
      </c>
    </row>
    <row r="123" spans="6:13" x14ac:dyDescent="0.3">
      <c r="F123" s="45">
        <v>40756</v>
      </c>
      <c r="G123" s="53">
        <f t="shared" si="1"/>
        <v>4.3344728693245962</v>
      </c>
      <c r="H123" s="46">
        <v>110.8</v>
      </c>
      <c r="I123" s="46">
        <v>102.1</v>
      </c>
      <c r="K123" s="54">
        <v>-2.8037987156424928</v>
      </c>
      <c r="L123" s="54"/>
      <c r="M123" s="54">
        <v>-2.8037987156424928</v>
      </c>
    </row>
    <row r="124" spans="6:13" x14ac:dyDescent="0.3">
      <c r="F124" s="45">
        <v>40787</v>
      </c>
      <c r="G124" s="53">
        <f t="shared" si="1"/>
        <v>-5.5673002426241638</v>
      </c>
      <c r="H124" s="46">
        <v>104.8</v>
      </c>
      <c r="I124" s="46">
        <v>100.2</v>
      </c>
      <c r="K124" s="54">
        <v>2.825211038783249</v>
      </c>
      <c r="L124" s="54"/>
      <c r="M124" s="54">
        <v>2.825211038783249</v>
      </c>
    </row>
    <row r="125" spans="6:13" x14ac:dyDescent="0.3">
      <c r="F125" s="45">
        <v>40817</v>
      </c>
      <c r="G125" s="53">
        <f t="shared" si="1"/>
        <v>1.4211513460960548</v>
      </c>
      <c r="H125" s="46">
        <v>106.3</v>
      </c>
      <c r="I125" s="46">
        <v>99.2</v>
      </c>
      <c r="K125" s="54">
        <v>-3.5717329909907445</v>
      </c>
      <c r="L125" s="54"/>
      <c r="M125" s="54">
        <v>-3.5717329909907445</v>
      </c>
    </row>
    <row r="126" spans="6:13" x14ac:dyDescent="0.3">
      <c r="F126" s="45">
        <v>40848</v>
      </c>
      <c r="G126" s="53">
        <f t="shared" si="1"/>
        <v>-1.9953156028635677</v>
      </c>
      <c r="H126" s="46">
        <v>104.2</v>
      </c>
      <c r="I126" s="46">
        <v>99.9</v>
      </c>
      <c r="K126" s="54">
        <v>5.542167953994479</v>
      </c>
      <c r="L126" s="54"/>
      <c r="M126" s="54">
        <v>5.542167953994479</v>
      </c>
    </row>
    <row r="127" spans="6:13" x14ac:dyDescent="0.3">
      <c r="F127" s="45">
        <v>40878</v>
      </c>
      <c r="G127" s="53">
        <f t="shared" si="1"/>
        <v>-8.5093830860358022</v>
      </c>
      <c r="H127" s="46">
        <v>95.7</v>
      </c>
      <c r="I127" s="46">
        <v>102.5</v>
      </c>
      <c r="K127" s="54">
        <v>11.087288334485097</v>
      </c>
      <c r="L127" s="54"/>
      <c r="M127" s="54">
        <v>11.087288334485097</v>
      </c>
    </row>
    <row r="128" spans="6:13" x14ac:dyDescent="0.3">
      <c r="F128" s="45">
        <v>40909</v>
      </c>
      <c r="G128" s="53">
        <f t="shared" si="1"/>
        <v>-7.5958409143374785</v>
      </c>
      <c r="H128" s="46">
        <v>88.7</v>
      </c>
      <c r="I128" s="46">
        <v>98</v>
      </c>
      <c r="K128" s="54">
        <v>0.56031776721630955</v>
      </c>
      <c r="L128" s="54"/>
      <c r="M128" s="54">
        <v>0.56031776721630955</v>
      </c>
    </row>
    <row r="129" spans="6:13" x14ac:dyDescent="0.3">
      <c r="F129" s="45">
        <v>40940</v>
      </c>
      <c r="G129" s="53">
        <f t="shared" si="1"/>
        <v>1.2325085992620033</v>
      </c>
      <c r="H129" s="46">
        <v>89.8</v>
      </c>
      <c r="I129" s="46">
        <v>99</v>
      </c>
      <c r="K129" s="54">
        <v>3.0830593286322228</v>
      </c>
      <c r="L129" s="54"/>
      <c r="M129" s="54">
        <v>3.0830593286322228</v>
      </c>
    </row>
    <row r="130" spans="6:13" x14ac:dyDescent="0.3">
      <c r="F130" s="45">
        <v>40969</v>
      </c>
      <c r="G130" s="53">
        <f t="shared" si="1"/>
        <v>10.458070165963877</v>
      </c>
      <c r="H130" s="46">
        <v>99.7</v>
      </c>
      <c r="I130" s="46">
        <v>98.3</v>
      </c>
      <c r="K130" s="54">
        <v>-10.25404340464851</v>
      </c>
      <c r="L130" s="54"/>
      <c r="M130" s="54">
        <v>-10.25404340464851</v>
      </c>
    </row>
    <row r="131" spans="6:13" x14ac:dyDescent="0.3">
      <c r="F131" s="45">
        <v>41000</v>
      </c>
      <c r="G131" s="53">
        <f t="shared" si="1"/>
        <v>-7.1719037175637768</v>
      </c>
      <c r="H131" s="46">
        <v>92.8</v>
      </c>
      <c r="I131" s="46">
        <v>98.5</v>
      </c>
      <c r="K131" s="54">
        <v>4.0661109319364694</v>
      </c>
      <c r="L131" s="54"/>
      <c r="M131" s="54">
        <v>4.0661109319364694</v>
      </c>
    </row>
    <row r="132" spans="6:13" x14ac:dyDescent="0.3">
      <c r="F132" s="45">
        <v>41030</v>
      </c>
      <c r="G132" s="53">
        <f t="shared" si="1"/>
        <v>9.9416158786307989</v>
      </c>
      <c r="H132" s="46">
        <v>102.5</v>
      </c>
      <c r="I132" s="46">
        <v>98.9</v>
      </c>
      <c r="K132" s="54">
        <v>-6.5188360987815841</v>
      </c>
      <c r="L132" s="54"/>
      <c r="M132" s="54">
        <v>-6.5188360987815841</v>
      </c>
    </row>
    <row r="133" spans="6:13" x14ac:dyDescent="0.3">
      <c r="F133" s="45">
        <v>41061</v>
      </c>
      <c r="G133" s="53">
        <f t="shared" si="1"/>
        <v>-4.1838771425342038</v>
      </c>
      <c r="H133" s="46">
        <v>98.3</v>
      </c>
      <c r="I133" s="46">
        <v>99</v>
      </c>
      <c r="K133" s="54">
        <v>1.2423937236054154</v>
      </c>
      <c r="L133" s="54"/>
      <c r="M133" s="54">
        <v>1.2423937236054154</v>
      </c>
    </row>
    <row r="134" spans="6:13" x14ac:dyDescent="0.3">
      <c r="F134" s="45">
        <v>41091</v>
      </c>
      <c r="G134" s="53">
        <f t="shared" si="1"/>
        <v>6.1163044251744862</v>
      </c>
      <c r="H134" s="46">
        <v>104.5</v>
      </c>
      <c r="I134" s="46">
        <v>100.5</v>
      </c>
      <c r="K134" s="54">
        <v>-5.230121980229093</v>
      </c>
      <c r="L134" s="54"/>
      <c r="M134" s="54">
        <v>-5.230121980229093</v>
      </c>
    </row>
    <row r="135" spans="6:13" x14ac:dyDescent="0.3">
      <c r="F135" s="45">
        <v>41122</v>
      </c>
      <c r="G135" s="53">
        <f t="shared" si="1"/>
        <v>6.4837519495307667</v>
      </c>
      <c r="H135" s="46">
        <v>111.5</v>
      </c>
      <c r="I135" s="46">
        <v>102.5</v>
      </c>
      <c r="K135" s="54">
        <v>-2.8037987156424928</v>
      </c>
      <c r="L135" s="54"/>
      <c r="M135" s="54">
        <v>-2.8037987156424928</v>
      </c>
    </row>
    <row r="136" spans="6:13" x14ac:dyDescent="0.3">
      <c r="F136" s="45">
        <v>41153</v>
      </c>
      <c r="G136" s="53">
        <f t="shared" si="1"/>
        <v>-7.5419628825844658</v>
      </c>
      <c r="H136" s="46">
        <v>103.4</v>
      </c>
      <c r="I136" s="46">
        <v>100.6</v>
      </c>
      <c r="K136" s="54">
        <v>2.825211038783249</v>
      </c>
      <c r="L136" s="54"/>
      <c r="M136" s="54">
        <v>2.825211038783249</v>
      </c>
    </row>
    <row r="137" spans="6:13" x14ac:dyDescent="0.3">
      <c r="F137" s="45">
        <v>41183</v>
      </c>
      <c r="G137" s="53">
        <f t="shared" si="1"/>
        <v>7.8106598646669854</v>
      </c>
      <c r="H137" s="46">
        <v>111.8</v>
      </c>
      <c r="I137" s="46">
        <v>102.1</v>
      </c>
      <c r="K137" s="54">
        <v>-3.5717329909907445</v>
      </c>
      <c r="L137" s="54"/>
      <c r="M137" s="54">
        <v>-3.5717329909907445</v>
      </c>
    </row>
    <row r="138" spans="6:13" x14ac:dyDescent="0.3">
      <c r="F138" s="45">
        <v>41214</v>
      </c>
      <c r="G138" s="53">
        <f t="shared" ref="G138:G201" si="2">LN(H138/H137)*100</f>
        <v>-6.4657788834056955</v>
      </c>
      <c r="H138" s="46">
        <v>104.8</v>
      </c>
      <c r="I138" s="46">
        <v>100.6</v>
      </c>
      <c r="K138" s="54">
        <v>5.542167953994479</v>
      </c>
      <c r="L138" s="54"/>
      <c r="M138" s="54">
        <v>5.542167953994479</v>
      </c>
    </row>
    <row r="139" spans="6:13" x14ac:dyDescent="0.3">
      <c r="F139" s="45">
        <v>41244</v>
      </c>
      <c r="G139" s="53">
        <f t="shared" si="2"/>
        <v>-12.809364132439352</v>
      </c>
      <c r="H139" s="46">
        <v>92.2</v>
      </c>
      <c r="I139" s="46">
        <v>101.3</v>
      </c>
      <c r="K139" s="54">
        <v>11.087288334485097</v>
      </c>
      <c r="L139" s="54"/>
      <c r="M139" s="54">
        <v>11.087288334485097</v>
      </c>
    </row>
    <row r="140" spans="6:13" x14ac:dyDescent="0.3">
      <c r="F140" s="45">
        <v>41275</v>
      </c>
      <c r="G140" s="53">
        <f t="shared" si="2"/>
        <v>2.4639703937148925</v>
      </c>
      <c r="H140" s="46">
        <v>94.5</v>
      </c>
      <c r="I140" s="46">
        <v>102.1</v>
      </c>
      <c r="K140" s="54">
        <v>0.56031776721630955</v>
      </c>
      <c r="L140" s="54"/>
      <c r="M140" s="54">
        <v>0.56031776721630955</v>
      </c>
    </row>
    <row r="141" spans="6:13" x14ac:dyDescent="0.3">
      <c r="F141" s="45">
        <v>41306</v>
      </c>
      <c r="G141" s="53">
        <f t="shared" si="2"/>
        <v>-7.0127301557563264</v>
      </c>
      <c r="H141" s="46">
        <v>88.1</v>
      </c>
      <c r="I141" s="46">
        <v>99.7</v>
      </c>
      <c r="K141" s="54">
        <v>3.0830593286322228</v>
      </c>
      <c r="L141" s="54"/>
      <c r="M141" s="54">
        <v>3.0830593286322228</v>
      </c>
    </row>
    <row r="142" spans="6:13" x14ac:dyDescent="0.3">
      <c r="F142" s="45">
        <v>41334</v>
      </c>
      <c r="G142" s="53">
        <f t="shared" si="2"/>
        <v>10.342902610660323</v>
      </c>
      <c r="H142" s="46">
        <v>97.7</v>
      </c>
      <c r="I142" s="46">
        <v>101.2</v>
      </c>
      <c r="K142" s="54">
        <v>-10.25404340464851</v>
      </c>
      <c r="L142" s="54"/>
      <c r="M142" s="54">
        <v>-10.25404340464851</v>
      </c>
    </row>
    <row r="143" spans="6:13" x14ac:dyDescent="0.3">
      <c r="F143" s="45">
        <v>41365</v>
      </c>
      <c r="G143" s="53">
        <f t="shared" si="2"/>
        <v>4.1108545067685318</v>
      </c>
      <c r="H143" s="46">
        <v>101.8</v>
      </c>
      <c r="I143" s="46">
        <v>103</v>
      </c>
      <c r="K143" s="54">
        <v>4.0661109319364686</v>
      </c>
      <c r="L143" s="54"/>
      <c r="M143" s="54">
        <v>4.0661109319364686</v>
      </c>
    </row>
    <row r="144" spans="6:13" x14ac:dyDescent="0.3">
      <c r="F144" s="45">
        <v>41395</v>
      </c>
      <c r="G144" s="53">
        <f t="shared" si="2"/>
        <v>3.0950246041101059</v>
      </c>
      <c r="H144" s="46">
        <v>105</v>
      </c>
      <c r="I144" s="46">
        <v>102.5</v>
      </c>
      <c r="K144" s="54">
        <v>-6.5188360987815841</v>
      </c>
      <c r="L144" s="54"/>
      <c r="M144" s="54">
        <v>-6.5188360987815841</v>
      </c>
    </row>
    <row r="145" spans="6:13" x14ac:dyDescent="0.3">
      <c r="F145" s="45">
        <v>41426</v>
      </c>
      <c r="G145" s="53">
        <f t="shared" si="2"/>
        <v>-3.1933047103009029</v>
      </c>
      <c r="H145" s="46">
        <v>101.7</v>
      </c>
      <c r="I145" s="46">
        <v>103.2</v>
      </c>
      <c r="K145" s="54">
        <v>1.2423937236054152</v>
      </c>
      <c r="L145" s="54"/>
      <c r="M145" s="54">
        <v>1.2423937236054152</v>
      </c>
    </row>
    <row r="146" spans="6:13" x14ac:dyDescent="0.3">
      <c r="F146" s="45">
        <v>41456</v>
      </c>
      <c r="G146" s="53">
        <f t="shared" si="2"/>
        <v>6.0103924069705306</v>
      </c>
      <c r="H146" s="46">
        <v>108</v>
      </c>
      <c r="I146" s="46">
        <v>102.4</v>
      </c>
      <c r="K146" s="54">
        <v>-5.230121980229093</v>
      </c>
      <c r="L146" s="54"/>
      <c r="M146" s="54">
        <v>-5.230121980229093</v>
      </c>
    </row>
    <row r="147" spans="6:13" x14ac:dyDescent="0.3">
      <c r="F147" s="45">
        <v>41487</v>
      </c>
      <c r="G147" s="53">
        <f t="shared" si="2"/>
        <v>3.6367644170874791</v>
      </c>
      <c r="H147" s="46">
        <v>112</v>
      </c>
      <c r="I147" s="46">
        <v>102.9</v>
      </c>
      <c r="K147" s="54">
        <v>-2.8037987156424928</v>
      </c>
      <c r="L147" s="54"/>
      <c r="M147" s="54">
        <v>-2.8037987156424928</v>
      </c>
    </row>
    <row r="148" spans="6:13" x14ac:dyDescent="0.3">
      <c r="F148" s="45">
        <v>41518</v>
      </c>
      <c r="G148" s="53">
        <f t="shared" si="2"/>
        <v>-4.2870221658441832</v>
      </c>
      <c r="H148" s="46">
        <v>107.3</v>
      </c>
      <c r="I148" s="46">
        <v>103.5</v>
      </c>
      <c r="K148" s="54">
        <v>2.825211038783249</v>
      </c>
      <c r="L148" s="54"/>
      <c r="M148" s="54">
        <v>2.825211038783249</v>
      </c>
    </row>
    <row r="149" spans="6:13" x14ac:dyDescent="0.3">
      <c r="F149" s="45">
        <v>41548</v>
      </c>
      <c r="G149" s="53">
        <f t="shared" si="2"/>
        <v>4.8213066068937094</v>
      </c>
      <c r="H149" s="46">
        <v>112.6</v>
      </c>
      <c r="I149" s="46">
        <v>102.4</v>
      </c>
      <c r="K149" s="54">
        <v>-3.5717329909907445</v>
      </c>
      <c r="L149" s="54"/>
      <c r="M149" s="54">
        <v>-3.5717329909907445</v>
      </c>
    </row>
    <row r="150" spans="6:13" x14ac:dyDescent="0.3">
      <c r="F150" s="45">
        <v>41579</v>
      </c>
      <c r="G150" s="53">
        <f t="shared" si="2"/>
        <v>-5.9459670085652512</v>
      </c>
      <c r="H150" s="46">
        <v>106.1</v>
      </c>
      <c r="I150" s="46">
        <v>103</v>
      </c>
      <c r="K150" s="54">
        <v>5.542167953994479</v>
      </c>
      <c r="L150" s="54"/>
      <c r="M150" s="54">
        <v>5.542167953994479</v>
      </c>
    </row>
    <row r="151" spans="6:13" x14ac:dyDescent="0.3">
      <c r="F151" s="45">
        <v>41609</v>
      </c>
      <c r="G151" s="53">
        <f t="shared" si="2"/>
        <v>-16.346188100564525</v>
      </c>
      <c r="H151" s="46">
        <v>90.1</v>
      </c>
      <c r="I151" s="46">
        <v>99</v>
      </c>
      <c r="K151" s="54">
        <v>11.087288334485097</v>
      </c>
      <c r="L151" s="54"/>
      <c r="M151" s="54">
        <v>11.087288334485097</v>
      </c>
    </row>
    <row r="152" spans="6:13" x14ac:dyDescent="0.3">
      <c r="F152" s="45">
        <v>41640</v>
      </c>
      <c r="G152" s="53">
        <f t="shared" si="2"/>
        <v>2.7368977037841566</v>
      </c>
      <c r="H152" s="46">
        <v>92.6</v>
      </c>
      <c r="I152" s="46">
        <v>100.6</v>
      </c>
      <c r="K152" s="54">
        <v>0.5603177672163091</v>
      </c>
      <c r="L152" s="54"/>
      <c r="M152" s="54">
        <v>0.5603177672163091</v>
      </c>
    </row>
    <row r="153" spans="6:13" x14ac:dyDescent="0.3">
      <c r="F153" s="45">
        <v>41671</v>
      </c>
      <c r="G153" s="53">
        <f t="shared" si="2"/>
        <v>-0.32450001433271897</v>
      </c>
      <c r="H153" s="46">
        <v>92.3</v>
      </c>
      <c r="I153" s="46">
        <v>101.2</v>
      </c>
      <c r="K153" s="54">
        <v>3.0830593286322228</v>
      </c>
      <c r="L153" s="54"/>
      <c r="M153" s="54">
        <v>3.0830593286322228</v>
      </c>
    </row>
    <row r="154" spans="6:13" x14ac:dyDescent="0.3">
      <c r="F154" s="45">
        <v>41699</v>
      </c>
      <c r="G154" s="53">
        <f t="shared" si="2"/>
        <v>5.2754847683152821</v>
      </c>
      <c r="H154" s="46">
        <v>97.3</v>
      </c>
      <c r="I154" s="46">
        <v>101</v>
      </c>
      <c r="K154" s="54">
        <v>-10.25404340464851</v>
      </c>
      <c r="L154" s="54"/>
      <c r="M154" s="54">
        <v>-10.25404340464851</v>
      </c>
    </row>
    <row r="155" spans="6:13" x14ac:dyDescent="0.3">
      <c r="F155" s="45">
        <v>41730</v>
      </c>
      <c r="G155" s="53">
        <f t="shared" si="2"/>
        <v>-1.3450797724123105</v>
      </c>
      <c r="H155" s="46">
        <v>96</v>
      </c>
      <c r="I155" s="46">
        <v>100.2</v>
      </c>
      <c r="K155" s="54">
        <v>4.0661109319364694</v>
      </c>
      <c r="L155" s="54"/>
      <c r="M155" s="54">
        <v>4.0661109319364694</v>
      </c>
    </row>
    <row r="156" spans="6:13" x14ac:dyDescent="0.3">
      <c r="F156" s="45">
        <v>41760</v>
      </c>
      <c r="G156" s="53">
        <f t="shared" si="2"/>
        <v>5.7679111586677987</v>
      </c>
      <c r="H156" s="46">
        <v>101.7</v>
      </c>
      <c r="I156" s="46">
        <v>98.8</v>
      </c>
      <c r="K156" s="54">
        <v>-6.5188360987815841</v>
      </c>
      <c r="L156" s="54"/>
      <c r="M156" s="54">
        <v>-6.5188360987815841</v>
      </c>
    </row>
    <row r="157" spans="6:13" x14ac:dyDescent="0.3">
      <c r="F157" s="45">
        <v>41791</v>
      </c>
      <c r="G157" s="53">
        <f t="shared" si="2"/>
        <v>-6.920359743863207</v>
      </c>
      <c r="H157" s="46">
        <v>94.9</v>
      </c>
      <c r="I157" s="46">
        <v>96.1</v>
      </c>
      <c r="K157" s="54">
        <v>1.2423937236054154</v>
      </c>
      <c r="L157" s="54"/>
      <c r="M157" s="54">
        <v>1.2423937236054154</v>
      </c>
    </row>
    <row r="158" spans="6:13" x14ac:dyDescent="0.3">
      <c r="F158" s="45">
        <v>41821</v>
      </c>
      <c r="G158" s="53">
        <f t="shared" si="2"/>
        <v>9.5405969832656066</v>
      </c>
      <c r="H158" s="46">
        <v>104.4</v>
      </c>
      <c r="I158" s="46">
        <v>98.3</v>
      </c>
      <c r="K158" s="54">
        <v>-5.230121980229093</v>
      </c>
      <c r="L158" s="54"/>
      <c r="M158" s="54">
        <v>-5.230121980229093</v>
      </c>
    </row>
    <row r="159" spans="6:13" x14ac:dyDescent="0.3">
      <c r="F159" s="45">
        <v>41852</v>
      </c>
      <c r="G159" s="53">
        <f t="shared" si="2"/>
        <v>1.8035609899363723</v>
      </c>
      <c r="H159" s="46">
        <v>106.3</v>
      </c>
      <c r="I159" s="46">
        <v>99.2</v>
      </c>
      <c r="K159" s="54">
        <v>-2.8037987156424928</v>
      </c>
      <c r="L159" s="54"/>
      <c r="M159" s="54">
        <v>-2.8037987156424928</v>
      </c>
    </row>
    <row r="160" spans="6:13" x14ac:dyDescent="0.3">
      <c r="F160" s="45">
        <v>41883</v>
      </c>
      <c r="G160" s="53">
        <f t="shared" si="2"/>
        <v>-0.66069140757411748</v>
      </c>
      <c r="H160" s="46">
        <v>105.6</v>
      </c>
      <c r="I160" s="46">
        <v>99.4</v>
      </c>
      <c r="K160" s="54">
        <v>2.825211038783249</v>
      </c>
      <c r="L160" s="54"/>
      <c r="M160" s="54">
        <v>2.825211038783249</v>
      </c>
    </row>
    <row r="161" spans="6:13" x14ac:dyDescent="0.3">
      <c r="F161" s="45">
        <v>41913</v>
      </c>
      <c r="G161" s="53">
        <f t="shared" si="2"/>
        <v>3.4438023910331883</v>
      </c>
      <c r="H161" s="46">
        <v>109.3</v>
      </c>
      <c r="I161" s="46">
        <v>99.6</v>
      </c>
      <c r="K161" s="54">
        <v>-3.5717329909907445</v>
      </c>
      <c r="L161" s="54"/>
      <c r="M161" s="54">
        <v>-3.5717329909907445</v>
      </c>
    </row>
    <row r="162" spans="6:13" x14ac:dyDescent="0.3">
      <c r="F162" s="45">
        <v>41944</v>
      </c>
      <c r="G162" s="53">
        <f t="shared" si="2"/>
        <v>-9.0928211865074626</v>
      </c>
      <c r="H162" s="46">
        <v>99.8</v>
      </c>
      <c r="I162" s="46">
        <v>98.6</v>
      </c>
      <c r="K162" s="54">
        <v>5.542167953994479</v>
      </c>
      <c r="L162" s="54"/>
      <c r="M162" s="54">
        <v>5.542167953994479</v>
      </c>
    </row>
    <row r="163" spans="6:13" x14ac:dyDescent="0.3">
      <c r="F163" s="45">
        <v>41974</v>
      </c>
      <c r="G163" s="53">
        <f t="shared" si="2"/>
        <v>-12.924628393928089</v>
      </c>
      <c r="H163" s="46">
        <v>87.7</v>
      </c>
      <c r="I163" s="46">
        <v>95.4</v>
      </c>
      <c r="K163" s="54">
        <v>11.087288334485097</v>
      </c>
      <c r="L163" s="54"/>
      <c r="M163" s="54">
        <v>11.087288334485097</v>
      </c>
    </row>
    <row r="164" spans="6:13" x14ac:dyDescent="0.3">
      <c r="F164" s="45">
        <v>42005</v>
      </c>
      <c r="G164" s="53">
        <f t="shared" si="2"/>
        <v>0.45506335639962892</v>
      </c>
      <c r="H164" s="46">
        <v>88.1</v>
      </c>
      <c r="I164" s="46">
        <v>96</v>
      </c>
      <c r="K164" s="54">
        <v>0.56031776721630933</v>
      </c>
      <c r="L164" s="54"/>
      <c r="M164" s="54">
        <v>0.56031776721630933</v>
      </c>
    </row>
    <row r="165" spans="6:13" x14ac:dyDescent="0.3">
      <c r="F165" s="45">
        <v>42036</v>
      </c>
      <c r="G165" s="53">
        <f t="shared" si="2"/>
        <v>-5.1233555446704067</v>
      </c>
      <c r="H165" s="46">
        <v>83.7</v>
      </c>
      <c r="I165" s="46">
        <v>95.4</v>
      </c>
      <c r="K165" s="54">
        <v>3.0830593286322228</v>
      </c>
      <c r="L165" s="54"/>
      <c r="M165" s="54">
        <v>3.0830593286322228</v>
      </c>
    </row>
    <row r="166" spans="6:13" x14ac:dyDescent="0.3">
      <c r="F166" s="45">
        <v>42064</v>
      </c>
      <c r="G166" s="53">
        <f t="shared" si="2"/>
        <v>11.924221214398219</v>
      </c>
      <c r="H166" s="46">
        <v>94.3</v>
      </c>
      <c r="I166" s="46">
        <v>95</v>
      </c>
      <c r="K166" s="54">
        <v>-10.25404340464851</v>
      </c>
      <c r="L166" s="54"/>
      <c r="M166" s="54">
        <v>-10.25404340464851</v>
      </c>
    </row>
    <row r="167" spans="6:13" x14ac:dyDescent="0.3">
      <c r="F167" s="45">
        <v>42095</v>
      </c>
      <c r="G167" s="53">
        <f t="shared" si="2"/>
        <v>-6.0094539641287446</v>
      </c>
      <c r="H167" s="46">
        <v>88.8</v>
      </c>
      <c r="I167" s="46">
        <v>93</v>
      </c>
      <c r="K167" s="54">
        <v>4.0661109319364694</v>
      </c>
      <c r="L167" s="54"/>
      <c r="M167" s="54">
        <v>4.0661109319364694</v>
      </c>
    </row>
    <row r="168" spans="6:13" x14ac:dyDescent="0.3">
      <c r="F168" s="45">
        <v>42125</v>
      </c>
      <c r="G168" s="53">
        <f t="shared" si="2"/>
        <v>4.7287534284896902</v>
      </c>
      <c r="H168" s="46">
        <v>93.1</v>
      </c>
      <c r="I168" s="46">
        <v>92.2</v>
      </c>
      <c r="K168" s="54">
        <v>-6.5188360987815841</v>
      </c>
      <c r="L168" s="54"/>
      <c r="M168" s="54">
        <v>-6.5188360987815841</v>
      </c>
    </row>
    <row r="169" spans="6:13" x14ac:dyDescent="0.3">
      <c r="F169" s="45">
        <v>42156</v>
      </c>
      <c r="G169" s="53">
        <f t="shared" si="2"/>
        <v>-0.646553976464186</v>
      </c>
      <c r="H169" s="46">
        <v>92.5</v>
      </c>
      <c r="I169" s="46">
        <v>91.3</v>
      </c>
      <c r="K169" s="54">
        <v>1.2423937236054152</v>
      </c>
      <c r="L169" s="54"/>
      <c r="M169" s="54">
        <v>1.2423937236054152</v>
      </c>
    </row>
    <row r="170" spans="6:13" x14ac:dyDescent="0.3">
      <c r="F170" s="45">
        <v>42186</v>
      </c>
      <c r="G170" s="53">
        <f t="shared" si="2"/>
        <v>3.1917602968304948</v>
      </c>
      <c r="H170" s="46">
        <v>95.5</v>
      </c>
      <c r="I170" s="46">
        <v>89.5</v>
      </c>
      <c r="K170" s="54">
        <v>-5.230121980229093</v>
      </c>
      <c r="L170" s="54"/>
      <c r="M170" s="54">
        <v>-5.230121980229093</v>
      </c>
    </row>
    <row r="171" spans="6:13" x14ac:dyDescent="0.3">
      <c r="F171" s="45">
        <v>42217</v>
      </c>
      <c r="G171" s="53">
        <f t="shared" si="2"/>
        <v>2.175124593236212</v>
      </c>
      <c r="H171" s="46">
        <v>97.6</v>
      </c>
      <c r="I171" s="46">
        <v>90.3</v>
      </c>
      <c r="K171" s="54">
        <v>-2.8037987156424928</v>
      </c>
      <c r="L171" s="54"/>
      <c r="M171" s="54">
        <v>-2.8037987156424928</v>
      </c>
    </row>
    <row r="172" spans="6:13" x14ac:dyDescent="0.3">
      <c r="F172" s="45">
        <v>42248</v>
      </c>
      <c r="G172" s="53">
        <f t="shared" si="2"/>
        <v>-3.439630377963502</v>
      </c>
      <c r="H172" s="46">
        <v>94.3</v>
      </c>
      <c r="I172" s="46">
        <v>88.2</v>
      </c>
      <c r="K172" s="54">
        <v>2.825211038783249</v>
      </c>
      <c r="L172" s="54"/>
      <c r="M172" s="54">
        <v>2.825211038783249</v>
      </c>
    </row>
    <row r="173" spans="6:13" x14ac:dyDescent="0.3">
      <c r="F173" s="45">
        <v>42278</v>
      </c>
      <c r="G173" s="53">
        <f t="shared" si="2"/>
        <v>3.0289521826981729</v>
      </c>
      <c r="H173" s="46">
        <v>97.2</v>
      </c>
      <c r="I173" s="46">
        <v>88.1</v>
      </c>
      <c r="K173" s="54">
        <v>-3.5717329909907445</v>
      </c>
      <c r="L173" s="54"/>
      <c r="M173" s="54">
        <v>-3.5717329909907445</v>
      </c>
    </row>
    <row r="174" spans="6:13" x14ac:dyDescent="0.3">
      <c r="F174" s="45">
        <v>42309</v>
      </c>
      <c r="G174" s="53">
        <f t="shared" si="2"/>
        <v>-10.398971352404775</v>
      </c>
      <c r="H174" s="46">
        <v>87.6</v>
      </c>
      <c r="I174" s="46">
        <v>86.4</v>
      </c>
      <c r="K174" s="54">
        <v>5.542167953994479</v>
      </c>
      <c r="L174" s="54"/>
      <c r="M174" s="54">
        <v>5.542167953994479</v>
      </c>
    </row>
    <row r="175" spans="6:13" x14ac:dyDescent="0.3">
      <c r="F175" s="45">
        <v>42339</v>
      </c>
      <c r="G175" s="53">
        <f t="shared" si="2"/>
        <v>-12.638154091161514</v>
      </c>
      <c r="H175" s="46">
        <v>77.2</v>
      </c>
      <c r="I175" s="46">
        <v>84.8</v>
      </c>
      <c r="K175" s="54">
        <v>11.087288334485097</v>
      </c>
      <c r="L175" s="54"/>
      <c r="M175" s="54">
        <v>11.087288334485097</v>
      </c>
    </row>
    <row r="176" spans="6:13" x14ac:dyDescent="0.3">
      <c r="F176" s="45">
        <v>42370</v>
      </c>
      <c r="G176" s="53">
        <f t="shared" si="2"/>
        <v>-1.1726518740319207</v>
      </c>
      <c r="H176" s="46">
        <v>76.3</v>
      </c>
      <c r="I176" s="46">
        <v>86.1</v>
      </c>
      <c r="K176" s="54">
        <v>0.56031776721630933</v>
      </c>
      <c r="L176" s="54"/>
      <c r="M176" s="54">
        <v>0.56031776721630933</v>
      </c>
    </row>
    <row r="177" spans="6:13" x14ac:dyDescent="0.3">
      <c r="F177" s="45">
        <v>42401</v>
      </c>
      <c r="G177" s="53">
        <f t="shared" si="2"/>
        <v>-0.65746456420853572</v>
      </c>
      <c r="H177" s="46">
        <v>75.8</v>
      </c>
      <c r="I177" s="46">
        <v>84.8</v>
      </c>
      <c r="K177" s="54">
        <v>3.0830593286322232</v>
      </c>
      <c r="L177" s="54"/>
      <c r="M177" s="54">
        <v>3.0830593286322232</v>
      </c>
    </row>
    <row r="178" spans="6:13" x14ac:dyDescent="0.3">
      <c r="F178" s="45">
        <v>42430</v>
      </c>
      <c r="G178" s="53">
        <f t="shared" si="2"/>
        <v>9.9140684847103628</v>
      </c>
      <c r="H178" s="46">
        <v>83.7</v>
      </c>
      <c r="I178" s="46">
        <v>85.6</v>
      </c>
      <c r="K178" s="54">
        <v>-10.25404340464851</v>
      </c>
      <c r="L178" s="54"/>
      <c r="M178" s="54">
        <v>-10.25404340464851</v>
      </c>
    </row>
    <row r="179" spans="6:13" x14ac:dyDescent="0.3">
      <c r="F179" s="45">
        <v>42461</v>
      </c>
      <c r="G179" s="53">
        <f t="shared" si="2"/>
        <v>-0.8398369698831718</v>
      </c>
      <c r="H179" s="46">
        <v>83</v>
      </c>
      <c r="I179" s="46">
        <v>85.4</v>
      </c>
      <c r="K179" s="54">
        <v>4.0661109319364694</v>
      </c>
      <c r="L179" s="54"/>
      <c r="M179" s="54">
        <v>4.0661109319364694</v>
      </c>
    </row>
    <row r="180" spans="6:13" x14ac:dyDescent="0.3">
      <c r="F180" s="45">
        <v>42491</v>
      </c>
      <c r="G180" s="53">
        <f t="shared" si="2"/>
        <v>3.8988990292784345</v>
      </c>
      <c r="H180" s="46">
        <v>86.3</v>
      </c>
      <c r="I180" s="46">
        <v>85.8</v>
      </c>
      <c r="K180" s="54">
        <v>-6.5188360987815841</v>
      </c>
      <c r="L180" s="54"/>
      <c r="M180" s="54">
        <v>-6.5188360987815841</v>
      </c>
    </row>
    <row r="181" spans="6:13" x14ac:dyDescent="0.3">
      <c r="F181" s="45">
        <v>42522</v>
      </c>
      <c r="G181" s="53">
        <f t="shared" si="2"/>
        <v>1.6092301288755131</v>
      </c>
      <c r="H181" s="46">
        <v>87.7</v>
      </c>
      <c r="I181" s="46">
        <v>84.8</v>
      </c>
      <c r="K181" s="54">
        <v>1.2423937236054154</v>
      </c>
      <c r="L181" s="54"/>
      <c r="M181" s="54">
        <v>1.2423937236054154</v>
      </c>
    </row>
    <row r="182" spans="6:13" x14ac:dyDescent="0.3">
      <c r="F182" s="45">
        <v>42552</v>
      </c>
      <c r="G182" s="53">
        <f t="shared" si="2"/>
        <v>2.1433420602747244</v>
      </c>
      <c r="H182" s="46">
        <v>89.6</v>
      </c>
      <c r="I182" s="46">
        <v>85.5</v>
      </c>
      <c r="K182" s="54">
        <v>-5.230121980229093</v>
      </c>
      <c r="L182" s="54"/>
      <c r="M182" s="54">
        <v>-5.230121980229093</v>
      </c>
    </row>
    <row r="183" spans="6:13" x14ac:dyDescent="0.3">
      <c r="F183" s="45">
        <v>42583</v>
      </c>
      <c r="G183" s="53">
        <f t="shared" si="2"/>
        <v>3.7244173172371178</v>
      </c>
      <c r="H183" s="46">
        <v>93</v>
      </c>
      <c r="I183" s="46">
        <v>83.5</v>
      </c>
      <c r="K183" s="54">
        <v>-2.8037987156424928</v>
      </c>
      <c r="L183" s="54"/>
      <c r="M183" s="54">
        <v>-2.8037987156424928</v>
      </c>
    </row>
    <row r="184" spans="6:13" x14ac:dyDescent="0.3">
      <c r="F184" s="45">
        <v>42614</v>
      </c>
      <c r="G184" s="53">
        <f t="shared" si="2"/>
        <v>-2.504213603216495</v>
      </c>
      <c r="H184" s="46">
        <v>90.7</v>
      </c>
      <c r="I184" s="46">
        <v>84.4</v>
      </c>
      <c r="K184" s="54">
        <v>2.825211038783249</v>
      </c>
      <c r="L184" s="54"/>
      <c r="M184" s="54">
        <v>2.825211038783249</v>
      </c>
    </row>
    <row r="185" spans="6:13" x14ac:dyDescent="0.3">
      <c r="F185" s="45">
        <v>42644</v>
      </c>
      <c r="G185" s="53">
        <f t="shared" si="2"/>
        <v>-0.55279300525129427</v>
      </c>
      <c r="H185" s="46">
        <v>90.2</v>
      </c>
      <c r="I185" s="46">
        <v>83.3</v>
      </c>
      <c r="K185" s="54">
        <v>-3.571732990990744</v>
      </c>
      <c r="L185" s="54"/>
      <c r="M185" s="54">
        <v>-3.571732990990744</v>
      </c>
    </row>
    <row r="186" spans="6:13" x14ac:dyDescent="0.3">
      <c r="F186" s="45">
        <v>42675</v>
      </c>
      <c r="G186" s="53">
        <f t="shared" si="2"/>
        <v>-4.1885013130744326</v>
      </c>
      <c r="H186" s="46">
        <v>86.5</v>
      </c>
      <c r="I186" s="46">
        <v>84</v>
      </c>
      <c r="K186" s="54">
        <v>5.542167953994479</v>
      </c>
      <c r="L186" s="54"/>
      <c r="M186" s="54">
        <v>5.542167953994479</v>
      </c>
    </row>
    <row r="187" spans="6:13" x14ac:dyDescent="0.3">
      <c r="F187" s="45">
        <v>42705</v>
      </c>
      <c r="G187" s="53">
        <f t="shared" si="2"/>
        <v>-11.374495690710315</v>
      </c>
      <c r="H187" s="46">
        <v>77.2</v>
      </c>
      <c r="I187" s="46">
        <v>85.5</v>
      </c>
      <c r="K187" s="54">
        <v>11.087288334485097</v>
      </c>
      <c r="L187" s="54"/>
      <c r="M187" s="54">
        <v>11.087288334485097</v>
      </c>
    </row>
    <row r="188" spans="6:13" x14ac:dyDescent="0.3">
      <c r="F188" s="45">
        <v>42736</v>
      </c>
      <c r="G188" s="53">
        <f t="shared" si="2"/>
        <v>0.90264958459721245</v>
      </c>
      <c r="H188" s="46">
        <v>77.900000000000006</v>
      </c>
      <c r="I188" s="46">
        <v>86.4</v>
      </c>
      <c r="K188" s="54">
        <v>0.56031776721630933</v>
      </c>
      <c r="L188" s="54"/>
      <c r="M188" s="54">
        <v>0.56031776721630933</v>
      </c>
    </row>
    <row r="189" spans="6:13" x14ac:dyDescent="0.3">
      <c r="F189" s="45">
        <v>42767</v>
      </c>
      <c r="G189" s="53">
        <f t="shared" si="2"/>
        <v>-2.6009268475118326</v>
      </c>
      <c r="H189" s="46">
        <v>75.900000000000006</v>
      </c>
      <c r="I189" s="46">
        <v>87.4</v>
      </c>
      <c r="K189" s="54">
        <v>3.0830593286322228</v>
      </c>
      <c r="L189" s="54"/>
      <c r="M189" s="54">
        <v>3.0830593286322228</v>
      </c>
    </row>
    <row r="190" spans="6:13" x14ac:dyDescent="0.3">
      <c r="F190" s="45">
        <v>42795</v>
      </c>
      <c r="G190" s="53">
        <f t="shared" si="2"/>
        <v>11.792941639294002</v>
      </c>
      <c r="H190" s="46">
        <v>85.4</v>
      </c>
      <c r="I190" s="46">
        <v>85.6</v>
      </c>
      <c r="K190" s="54">
        <v>-10.25404340464851</v>
      </c>
      <c r="L190" s="54"/>
      <c r="M190" s="54">
        <v>-10.25404340464851</v>
      </c>
    </row>
    <row r="191" spans="6:13" x14ac:dyDescent="0.3">
      <c r="F191" s="45">
        <v>42826</v>
      </c>
      <c r="G191" s="53">
        <f t="shared" si="2"/>
        <v>-7.4107972153721962</v>
      </c>
      <c r="H191" s="46">
        <v>79.3</v>
      </c>
      <c r="I191" s="46">
        <v>85.9</v>
      </c>
      <c r="K191" s="54">
        <v>4.0661109319364694</v>
      </c>
      <c r="L191" s="54"/>
      <c r="M191" s="54">
        <v>4.0661109319364694</v>
      </c>
    </row>
    <row r="192" spans="6:13" x14ac:dyDescent="0.3">
      <c r="F192" s="45">
        <v>42856</v>
      </c>
      <c r="G192" s="53">
        <f t="shared" si="2"/>
        <v>12.768203597348998</v>
      </c>
      <c r="H192" s="46">
        <v>90.1</v>
      </c>
      <c r="I192" s="46">
        <v>86.2</v>
      </c>
      <c r="K192" s="54">
        <v>-6.5188360987815841</v>
      </c>
      <c r="L192" s="54"/>
      <c r="M192" s="54">
        <v>-6.5188360987815841</v>
      </c>
    </row>
    <row r="193" spans="6:13" x14ac:dyDescent="0.3">
      <c r="F193" s="45">
        <v>42887</v>
      </c>
      <c r="G193" s="53">
        <f t="shared" si="2"/>
        <v>-1.9048194970694363</v>
      </c>
      <c r="H193" s="46">
        <v>88.4</v>
      </c>
      <c r="I193" s="46">
        <v>87</v>
      </c>
      <c r="K193" s="54">
        <v>1.2423937236054152</v>
      </c>
      <c r="L193" s="54"/>
      <c r="M193" s="54">
        <v>1.2423937236054152</v>
      </c>
    </row>
    <row r="194" spans="6:13" x14ac:dyDescent="0.3">
      <c r="F194" s="45">
        <v>42917</v>
      </c>
      <c r="G194" s="53">
        <f t="shared" si="2"/>
        <v>4.1002973617663265</v>
      </c>
      <c r="H194" s="46">
        <v>92.1</v>
      </c>
      <c r="I194" s="46">
        <v>87.3</v>
      </c>
      <c r="K194" s="54">
        <v>-5.230121980229093</v>
      </c>
      <c r="L194" s="54"/>
      <c r="M194" s="54">
        <v>-5.230121980229093</v>
      </c>
    </row>
    <row r="195" spans="6:13" x14ac:dyDescent="0.3">
      <c r="F195" s="45">
        <v>42948</v>
      </c>
      <c r="G195" s="53">
        <f t="shared" si="2"/>
        <v>4.8738459197987503</v>
      </c>
      <c r="H195" s="46">
        <v>96.7</v>
      </c>
      <c r="I195" s="46">
        <v>87</v>
      </c>
      <c r="K195" s="54">
        <v>-2.8037987156424928</v>
      </c>
      <c r="L195" s="54"/>
      <c r="M195" s="54">
        <v>-2.8037987156424928</v>
      </c>
    </row>
    <row r="196" spans="6:13" x14ac:dyDescent="0.3">
      <c r="F196" s="45">
        <v>42979</v>
      </c>
      <c r="G196" s="53">
        <f t="shared" si="2"/>
        <v>-3.901390930599276</v>
      </c>
      <c r="H196" s="46">
        <v>93</v>
      </c>
      <c r="I196" s="46">
        <v>87.4</v>
      </c>
      <c r="K196" s="54">
        <v>2.825211038783249</v>
      </c>
      <c r="L196" s="54"/>
      <c r="M196" s="54">
        <v>2.825211038783249</v>
      </c>
    </row>
    <row r="197" spans="6:13" x14ac:dyDescent="0.3">
      <c r="F197" s="45">
        <v>43009</v>
      </c>
      <c r="G197" s="53">
        <f t="shared" si="2"/>
        <v>2.2329476398088577</v>
      </c>
      <c r="H197" s="46">
        <v>95.1</v>
      </c>
      <c r="I197" s="46">
        <v>88</v>
      </c>
      <c r="K197" s="54">
        <v>-3.5717329909907445</v>
      </c>
      <c r="L197" s="54"/>
      <c r="M197" s="54">
        <v>-3.5717329909907445</v>
      </c>
    </row>
    <row r="198" spans="6:13" x14ac:dyDescent="0.3">
      <c r="F198" s="45">
        <v>43040</v>
      </c>
      <c r="G198" s="53">
        <f t="shared" si="2"/>
        <v>-4.8474756502411021</v>
      </c>
      <c r="H198" s="46">
        <v>90.6</v>
      </c>
      <c r="I198" s="46">
        <v>88.4</v>
      </c>
      <c r="K198" s="54">
        <v>5.542167953994479</v>
      </c>
      <c r="L198" s="54"/>
      <c r="M198" s="54">
        <v>5.542167953994479</v>
      </c>
    </row>
    <row r="199" spans="6:13" x14ac:dyDescent="0.3">
      <c r="F199" s="45">
        <v>43070</v>
      </c>
      <c r="G199" s="53">
        <f t="shared" si="2"/>
        <v>-11.200505837649487</v>
      </c>
      <c r="H199" s="46">
        <v>81</v>
      </c>
      <c r="I199" s="46">
        <v>91.3</v>
      </c>
      <c r="K199" s="54">
        <v>11.087288334485097</v>
      </c>
      <c r="L199" s="54"/>
      <c r="M199" s="54">
        <v>11.087288334485097</v>
      </c>
    </row>
    <row r="200" spans="6:13" x14ac:dyDescent="0.3">
      <c r="F200" s="45">
        <v>43101</v>
      </c>
      <c r="G200" s="53">
        <f t="shared" si="2"/>
        <v>1.5921953010585257</v>
      </c>
      <c r="H200" s="46">
        <v>82.3</v>
      </c>
      <c r="I200" s="46">
        <v>88.9</v>
      </c>
      <c r="K200" s="54">
        <v>0.56031776721630933</v>
      </c>
      <c r="L200" s="54"/>
      <c r="M200" s="54">
        <v>0.56031776721630933</v>
      </c>
    </row>
    <row r="201" spans="6:13" x14ac:dyDescent="0.3">
      <c r="F201" s="45">
        <v>43132</v>
      </c>
      <c r="G201" s="53">
        <f t="shared" si="2"/>
        <v>-6.2677152089647858</v>
      </c>
      <c r="H201" s="46">
        <v>77.3</v>
      </c>
      <c r="I201" s="46">
        <v>88.6</v>
      </c>
      <c r="K201" s="54">
        <v>3.0830593286322228</v>
      </c>
      <c r="L201" s="54"/>
      <c r="M201" s="54">
        <v>3.0830593286322228</v>
      </c>
    </row>
    <row r="202" spans="6:13" x14ac:dyDescent="0.3">
      <c r="F202" s="45">
        <v>43160</v>
      </c>
      <c r="G202" s="53">
        <f t="shared" ref="G202:G247" si="3">LN(H202/H201)*100</f>
        <v>10.897622207627112</v>
      </c>
      <c r="H202" s="46">
        <v>86.2</v>
      </c>
      <c r="I202" s="46">
        <v>89.7</v>
      </c>
      <c r="K202" s="54">
        <v>-10.25404340464851</v>
      </c>
      <c r="L202" s="54"/>
      <c r="M202" s="54">
        <v>-10.25404340464851</v>
      </c>
    </row>
    <row r="203" spans="6:13" x14ac:dyDescent="0.3">
      <c r="F203" s="45">
        <v>43191</v>
      </c>
      <c r="G203" s="53">
        <f t="shared" si="3"/>
        <v>0.34742362681862726</v>
      </c>
      <c r="H203" s="46">
        <v>86.5</v>
      </c>
      <c r="I203" s="46">
        <v>90.1</v>
      </c>
      <c r="K203" s="54">
        <v>4.0661109319364694</v>
      </c>
      <c r="L203" s="54"/>
      <c r="M203" s="54">
        <v>4.0661109319364694</v>
      </c>
    </row>
    <row r="204" spans="6:13" x14ac:dyDescent="0.3">
      <c r="F204" s="45">
        <v>43221</v>
      </c>
      <c r="G204" s="53">
        <f t="shared" si="3"/>
        <v>-2.4577012335922137</v>
      </c>
      <c r="H204" s="46">
        <v>84.4</v>
      </c>
      <c r="I204" s="46">
        <v>80.2</v>
      </c>
      <c r="K204" s="54">
        <v>-6.5188360987815841</v>
      </c>
      <c r="L204" s="54"/>
      <c r="M204" s="54">
        <v>-6.5188360987815841</v>
      </c>
    </row>
    <row r="205" spans="6:13" x14ac:dyDescent="0.3">
      <c r="F205" s="45">
        <v>43252</v>
      </c>
      <c r="G205" s="53">
        <f t="shared" si="3"/>
        <v>7.6390402664001016</v>
      </c>
      <c r="H205" s="46">
        <v>91.1</v>
      </c>
      <c r="I205" s="46">
        <v>90.3</v>
      </c>
      <c r="K205" s="54">
        <v>1.2423937236054154</v>
      </c>
      <c r="L205" s="54"/>
      <c r="M205" s="54">
        <v>1.2423937236054154</v>
      </c>
    </row>
    <row r="206" spans="6:13" x14ac:dyDescent="0.3">
      <c r="F206" s="45">
        <v>43282</v>
      </c>
      <c r="G206" s="53">
        <f t="shared" si="3"/>
        <v>5.0304880710902253</v>
      </c>
      <c r="H206" s="46">
        <v>95.8</v>
      </c>
      <c r="I206" s="46">
        <v>90.1</v>
      </c>
      <c r="K206" s="54">
        <v>-5.230121980229093</v>
      </c>
      <c r="L206" s="54"/>
      <c r="M206" s="54">
        <v>-5.230121980229093</v>
      </c>
    </row>
    <row r="207" spans="6:13" x14ac:dyDescent="0.3">
      <c r="F207" s="45">
        <v>43313</v>
      </c>
      <c r="G207" s="53">
        <f t="shared" si="3"/>
        <v>2.4743530383605368</v>
      </c>
      <c r="H207" s="46">
        <v>98.2</v>
      </c>
      <c r="I207" s="46">
        <v>88.9</v>
      </c>
      <c r="K207" s="54">
        <v>-2.8037987156424928</v>
      </c>
      <c r="L207" s="54"/>
      <c r="M207" s="54">
        <v>-2.8037987156424928</v>
      </c>
    </row>
    <row r="208" spans="6:13" x14ac:dyDescent="0.3">
      <c r="F208" s="45">
        <v>43344</v>
      </c>
      <c r="G208" s="53">
        <f t="shared" si="3"/>
        <v>-7.9448858239329327</v>
      </c>
      <c r="H208" s="46">
        <v>90.7</v>
      </c>
      <c r="I208" s="46">
        <v>86.5</v>
      </c>
      <c r="K208" s="54">
        <v>2.825211038783249</v>
      </c>
      <c r="L208" s="54"/>
      <c r="M208" s="54">
        <v>2.825211038783249</v>
      </c>
    </row>
    <row r="209" spans="6:13" x14ac:dyDescent="0.3">
      <c r="F209" s="45">
        <v>43374</v>
      </c>
      <c r="G209" s="53">
        <f t="shared" si="3"/>
        <v>5.4705327855723951</v>
      </c>
      <c r="H209" s="46">
        <v>95.8</v>
      </c>
      <c r="I209" s="46">
        <v>87.5</v>
      </c>
      <c r="K209" s="54">
        <v>-3.5717329909907445</v>
      </c>
      <c r="L209" s="54"/>
      <c r="M209" s="54">
        <v>-3.5717329909907445</v>
      </c>
    </row>
    <row r="210" spans="6:13" x14ac:dyDescent="0.3">
      <c r="F210" s="45">
        <v>43405</v>
      </c>
      <c r="G210" s="53">
        <f t="shared" si="3"/>
        <v>-6.8024059696005086</v>
      </c>
      <c r="H210" s="46">
        <v>89.5</v>
      </c>
      <c r="I210" s="46">
        <v>87.5</v>
      </c>
      <c r="K210" s="54">
        <v>5.542167953994479</v>
      </c>
      <c r="L210" s="54"/>
      <c r="M210" s="54">
        <v>5.542167953994479</v>
      </c>
    </row>
    <row r="211" spans="6:13" x14ac:dyDescent="0.3">
      <c r="F211" s="45">
        <v>43435</v>
      </c>
      <c r="G211" s="53">
        <f t="shared" si="3"/>
        <v>-13.752979859121798</v>
      </c>
      <c r="H211" s="46">
        <v>78</v>
      </c>
      <c r="I211" s="46">
        <v>87.8</v>
      </c>
      <c r="K211" s="54">
        <v>11.087288334485097</v>
      </c>
      <c r="L211" s="54"/>
      <c r="M211" s="54">
        <v>11.087288334485097</v>
      </c>
    </row>
    <row r="212" spans="6:13" x14ac:dyDescent="0.3">
      <c r="F212" s="45">
        <v>43466</v>
      </c>
      <c r="G212" s="53">
        <f t="shared" si="3"/>
        <v>3.402974858631147</v>
      </c>
      <c r="H212" s="46">
        <v>80.7</v>
      </c>
      <c r="I212" s="46">
        <v>86.9</v>
      </c>
      <c r="K212" s="54">
        <v>0.56031776721630955</v>
      </c>
      <c r="L212" s="54"/>
      <c r="M212" s="54">
        <v>0.56031776721630955</v>
      </c>
    </row>
    <row r="213" spans="6:13" x14ac:dyDescent="0.3">
      <c r="F213" s="45">
        <v>43497</v>
      </c>
      <c r="G213" s="53">
        <f t="shared" si="3"/>
        <v>-2.0025700502295027</v>
      </c>
      <c r="H213" s="46">
        <v>79.099999999999994</v>
      </c>
      <c r="I213" s="46">
        <v>87.4</v>
      </c>
      <c r="K213" s="54">
        <v>3.0830593286322228</v>
      </c>
      <c r="L213" s="54"/>
      <c r="M213" s="54">
        <v>3.0830593286322228</v>
      </c>
    </row>
    <row r="214" spans="6:13" x14ac:dyDescent="0.3">
      <c r="F214" s="45">
        <v>43525</v>
      </c>
      <c r="G214" s="53">
        <f t="shared" si="3"/>
        <v>2.3736279898830737</v>
      </c>
      <c r="H214" s="46">
        <v>81</v>
      </c>
      <c r="I214" s="46">
        <v>87.2</v>
      </c>
      <c r="K214" s="54">
        <v>-10.25404340464851</v>
      </c>
      <c r="L214" s="54"/>
      <c r="M214" s="54">
        <v>-10.25404340464851</v>
      </c>
    </row>
    <row r="215" spans="6:13" x14ac:dyDescent="0.3">
      <c r="F215" s="45">
        <v>43556</v>
      </c>
      <c r="G215" s="53">
        <f t="shared" si="3"/>
        <v>2.799939450035819</v>
      </c>
      <c r="H215" s="46">
        <v>83.3</v>
      </c>
      <c r="I215" s="46">
        <v>87.5</v>
      </c>
      <c r="K215" s="54">
        <v>4.0661109319364694</v>
      </c>
      <c r="L215" s="54"/>
      <c r="M215" s="54">
        <v>4.0661109319364694</v>
      </c>
    </row>
    <row r="216" spans="6:13" x14ac:dyDescent="0.3">
      <c r="F216" s="45">
        <v>43586</v>
      </c>
      <c r="G216" s="53">
        <f t="shared" si="3"/>
        <v>8.8410957344053145</v>
      </c>
      <c r="H216" s="46">
        <v>91</v>
      </c>
      <c r="I216" s="46">
        <v>87.4</v>
      </c>
      <c r="K216" s="54">
        <v>-6.5188360987815841</v>
      </c>
      <c r="L216" s="54"/>
      <c r="M216" s="54">
        <v>-6.5188360987815841</v>
      </c>
    </row>
    <row r="217" spans="6:13" x14ac:dyDescent="0.3">
      <c r="F217" s="45">
        <v>43617</v>
      </c>
      <c r="G217" s="53">
        <f t="shared" si="3"/>
        <v>-5.8840500022933462</v>
      </c>
      <c r="H217" s="46">
        <v>85.8</v>
      </c>
      <c r="I217" s="46">
        <v>86.6</v>
      </c>
      <c r="K217" s="54">
        <v>1.2423937236054154</v>
      </c>
      <c r="L217" s="54"/>
      <c r="M217" s="54">
        <v>1.2423937236054154</v>
      </c>
    </row>
    <row r="218" spans="6:13" x14ac:dyDescent="0.3">
      <c r="F218" s="45">
        <v>43647</v>
      </c>
      <c r="G218" s="53">
        <f t="shared" si="3"/>
        <v>8.4872338740880444</v>
      </c>
      <c r="H218" s="46">
        <v>93.4</v>
      </c>
      <c r="I218" s="46">
        <v>86</v>
      </c>
      <c r="K218" s="54">
        <v>-5.230121980229093</v>
      </c>
      <c r="L218" s="54"/>
      <c r="M218" s="54">
        <v>-5.230121980229093</v>
      </c>
    </row>
    <row r="219" spans="6:13" x14ac:dyDescent="0.3">
      <c r="F219" s="45">
        <v>43678</v>
      </c>
      <c r="G219" s="53">
        <f t="shared" si="3"/>
        <v>2.9538012436863874</v>
      </c>
      <c r="H219" s="46">
        <v>96.2</v>
      </c>
      <c r="I219" s="46">
        <v>87</v>
      </c>
      <c r="K219" s="54">
        <v>-2.8037987156424928</v>
      </c>
      <c r="L219" s="54"/>
      <c r="M219" s="54">
        <v>-2.8037987156424928</v>
      </c>
    </row>
    <row r="220" spans="6:13" x14ac:dyDescent="0.3">
      <c r="F220" s="45">
        <v>43709</v>
      </c>
      <c r="G220" s="53">
        <f t="shared" si="3"/>
        <v>-4.6817060045216028</v>
      </c>
      <c r="H220" s="46">
        <v>91.8</v>
      </c>
      <c r="I220" s="46">
        <v>86.9</v>
      </c>
      <c r="K220" s="54">
        <v>2.825211038783249</v>
      </c>
      <c r="L220" s="54"/>
      <c r="M220" s="54">
        <v>2.825211038783249</v>
      </c>
    </row>
    <row r="221" spans="6:13" x14ac:dyDescent="0.3">
      <c r="F221" s="45">
        <v>43739</v>
      </c>
      <c r="G221" s="53">
        <f t="shared" si="3"/>
        <v>5.5098680876938131</v>
      </c>
      <c r="H221" s="46">
        <v>97</v>
      </c>
      <c r="I221" s="46">
        <v>88.6</v>
      </c>
      <c r="K221" s="54">
        <v>-3.5717329909907445</v>
      </c>
      <c r="L221" s="54"/>
      <c r="M221" s="54">
        <v>-3.5717329909907445</v>
      </c>
    </row>
    <row r="222" spans="6:13" x14ac:dyDescent="0.3">
      <c r="F222" s="45">
        <v>43770</v>
      </c>
      <c r="G222" s="53">
        <f t="shared" si="3"/>
        <v>-9.7374164025176366</v>
      </c>
      <c r="H222" s="46">
        <v>88</v>
      </c>
      <c r="I222" s="46">
        <v>86.8</v>
      </c>
      <c r="K222" s="54">
        <v>5.542167953994479</v>
      </c>
      <c r="L222" s="54"/>
      <c r="M222" s="54">
        <v>5.542167953994479</v>
      </c>
    </row>
    <row r="223" spans="6:13" x14ac:dyDescent="0.3">
      <c r="F223" s="45">
        <v>43800</v>
      </c>
      <c r="G223" s="53">
        <f t="shared" si="3"/>
        <v>-13.483093796660814</v>
      </c>
      <c r="H223" s="46">
        <v>76.900000000000006</v>
      </c>
      <c r="I223" s="46">
        <v>85.8</v>
      </c>
      <c r="K223" s="54">
        <v>11.087288334485097</v>
      </c>
      <c r="L223" s="54"/>
      <c r="M223" s="54">
        <v>11.087288334485097</v>
      </c>
    </row>
    <row r="224" spans="6:13" x14ac:dyDescent="0.3">
      <c r="F224" s="45">
        <v>43831</v>
      </c>
      <c r="G224" s="53">
        <f t="shared" si="3"/>
        <v>3.9520758162283198</v>
      </c>
      <c r="H224" s="46">
        <v>80</v>
      </c>
      <c r="I224" s="46">
        <v>86.6</v>
      </c>
      <c r="K224" s="54">
        <v>0.5603177672163091</v>
      </c>
      <c r="L224" s="54"/>
      <c r="M224" s="54">
        <v>0.5603177672163091</v>
      </c>
    </row>
    <row r="225" spans="6:13" x14ac:dyDescent="0.3">
      <c r="F225" s="45">
        <v>43862</v>
      </c>
      <c r="G225" s="53">
        <f t="shared" si="3"/>
        <v>-1.3845406822052981</v>
      </c>
      <c r="H225" s="46">
        <v>78.900000000000006</v>
      </c>
      <c r="I225" s="46">
        <v>87.5</v>
      </c>
      <c r="K225" s="54">
        <v>3.0830593286322228</v>
      </c>
      <c r="L225" s="54"/>
      <c r="M225" s="54">
        <v>3.0830593286322228</v>
      </c>
    </row>
    <row r="226" spans="6:13" x14ac:dyDescent="0.3">
      <c r="F226" s="45">
        <v>43891</v>
      </c>
      <c r="G226" s="53">
        <f t="shared" si="3"/>
        <v>-1.2755274975126014</v>
      </c>
      <c r="H226" s="46">
        <v>77.900000000000006</v>
      </c>
      <c r="I226" s="46">
        <v>80.7</v>
      </c>
      <c r="K226" s="54">
        <v>-10.25404340464851</v>
      </c>
      <c r="L226" s="54"/>
      <c r="M226" s="54">
        <v>-10.25404340464851</v>
      </c>
    </row>
    <row r="227" spans="6:13" x14ac:dyDescent="0.3">
      <c r="F227" s="45">
        <v>43922</v>
      </c>
      <c r="G227" s="53">
        <f t="shared" si="3"/>
        <v>-25.609384914356298</v>
      </c>
      <c r="H227" s="46">
        <v>60.3</v>
      </c>
      <c r="I227" s="46">
        <v>64.900000000000006</v>
      </c>
      <c r="K227" s="54">
        <v>4.0661109319364677</v>
      </c>
      <c r="L227" s="54"/>
      <c r="M227" s="54">
        <v>4.0661109319364677</v>
      </c>
    </row>
    <row r="228" spans="6:13" x14ac:dyDescent="0.3">
      <c r="F228" s="45">
        <v>43952</v>
      </c>
      <c r="G228" s="53">
        <f t="shared" si="3"/>
        <v>16.616071468479046</v>
      </c>
      <c r="H228" s="46">
        <v>71.2</v>
      </c>
      <c r="I228" s="46">
        <v>70.099999999999994</v>
      </c>
      <c r="K228" s="54">
        <v>-6.5188360987815841</v>
      </c>
      <c r="L228" s="54"/>
      <c r="M228" s="54">
        <v>-6.5188360987815841</v>
      </c>
    </row>
    <row r="229" spans="6:13" x14ac:dyDescent="0.3">
      <c r="F229" s="45">
        <v>43983</v>
      </c>
      <c r="G229" s="53">
        <f t="shared" si="3"/>
        <v>9.6331108938432113</v>
      </c>
      <c r="H229" s="46">
        <v>78.400000000000006</v>
      </c>
      <c r="I229" s="46">
        <v>76.8</v>
      </c>
      <c r="K229" s="54">
        <v>1.2423937236054154</v>
      </c>
      <c r="L229" s="54"/>
      <c r="M229" s="54">
        <v>1.2423937236054154</v>
      </c>
    </row>
    <row r="230" spans="6:13" x14ac:dyDescent="0.3">
      <c r="F230" s="45">
        <v>44013</v>
      </c>
      <c r="G230" s="53">
        <f t="shared" si="3"/>
        <v>14.903557916048776</v>
      </c>
      <c r="H230" s="46">
        <v>91</v>
      </c>
      <c r="I230" s="46">
        <v>83.9</v>
      </c>
      <c r="K230" s="54">
        <v>-5.230121980229093</v>
      </c>
      <c r="L230" s="54"/>
      <c r="M230" s="54">
        <v>-5.230121980229093</v>
      </c>
    </row>
    <row r="231" spans="6:13" x14ac:dyDescent="0.3">
      <c r="F231" s="45">
        <v>44044</v>
      </c>
      <c r="G231" s="53">
        <f t="shared" si="3"/>
        <v>3.1370879697367284</v>
      </c>
      <c r="H231" s="46">
        <v>93.9</v>
      </c>
      <c r="I231" s="46">
        <v>86.3</v>
      </c>
      <c r="K231" s="54">
        <v>-2.8037987156424928</v>
      </c>
      <c r="L231" s="54"/>
      <c r="M231" s="54">
        <v>-2.8037987156424928</v>
      </c>
    </row>
    <row r="232" spans="6:13" x14ac:dyDescent="0.3">
      <c r="F232" s="45">
        <v>44075</v>
      </c>
      <c r="G232" s="53">
        <f t="shared" si="3"/>
        <v>1.5848192240023713</v>
      </c>
      <c r="H232" s="46">
        <v>95.4</v>
      </c>
      <c r="I232" s="46">
        <v>88.6</v>
      </c>
      <c r="K232" s="54">
        <v>2.8252110387832485</v>
      </c>
      <c r="L232" s="54"/>
      <c r="M232" s="54">
        <v>2.8252110387832485</v>
      </c>
    </row>
    <row r="233" spans="6:13" x14ac:dyDescent="0.3">
      <c r="F233" s="45">
        <v>44105</v>
      </c>
      <c r="G233" s="53">
        <f t="shared" si="3"/>
        <v>1.9720410737718495</v>
      </c>
      <c r="H233" s="46">
        <v>97.3</v>
      </c>
      <c r="I233" s="46">
        <v>89.6</v>
      </c>
      <c r="K233" s="54">
        <v>-3.5717329909907445</v>
      </c>
      <c r="L233" s="54"/>
      <c r="M233" s="54">
        <v>-3.5717329909907445</v>
      </c>
    </row>
    <row r="234" spans="6:13" x14ac:dyDescent="0.3">
      <c r="F234" s="45">
        <v>44136</v>
      </c>
      <c r="G234" s="53">
        <f t="shared" si="3"/>
        <v>-7.5769562123381347</v>
      </c>
      <c r="H234" s="46">
        <v>90.2</v>
      </c>
      <c r="I234" s="46">
        <v>90</v>
      </c>
      <c r="K234" s="54">
        <v>5.542167953994479</v>
      </c>
      <c r="L234" s="54"/>
      <c r="M234" s="54">
        <v>5.542167953994479</v>
      </c>
    </row>
    <row r="235" spans="6:13" x14ac:dyDescent="0.3">
      <c r="F235" s="45">
        <v>44166</v>
      </c>
      <c r="G235" s="53">
        <f t="shared" si="3"/>
        <v>-7.9580877895781015</v>
      </c>
      <c r="H235" s="46">
        <v>83.3</v>
      </c>
      <c r="I235" s="46">
        <v>90.3</v>
      </c>
      <c r="K235" s="54">
        <v>11.087288334485097</v>
      </c>
      <c r="L235" s="54"/>
      <c r="M235" s="54">
        <v>11.087288334485097</v>
      </c>
    </row>
    <row r="236" spans="6:13" x14ac:dyDescent="0.3">
      <c r="F236" s="45">
        <v>44197</v>
      </c>
      <c r="G236" s="53">
        <f t="shared" si="3"/>
        <v>-1.6949558313773205</v>
      </c>
      <c r="H236" s="46">
        <v>81.900000000000006</v>
      </c>
      <c r="I236" s="46">
        <v>90.7</v>
      </c>
      <c r="K236" s="54">
        <v>0.56031776721630933</v>
      </c>
      <c r="L236" s="54"/>
      <c r="M236" s="54">
        <v>0.56031776721630933</v>
      </c>
    </row>
    <row r="237" spans="6:13" x14ac:dyDescent="0.3">
      <c r="F237" s="45">
        <v>44228</v>
      </c>
      <c r="G237" s="53">
        <f t="shared" si="3"/>
        <v>-3.4786116085415655</v>
      </c>
      <c r="H237" s="46">
        <v>79.099999999999994</v>
      </c>
      <c r="I237" s="46">
        <v>89.7</v>
      </c>
      <c r="K237" s="54">
        <v>3.0830593286322228</v>
      </c>
      <c r="L237" s="54"/>
      <c r="M237" s="54">
        <v>3.0830593286322228</v>
      </c>
    </row>
    <row r="238" spans="6:13" x14ac:dyDescent="0.3">
      <c r="F238" s="45">
        <v>44256</v>
      </c>
      <c r="G238" s="53">
        <f t="shared" si="3"/>
        <v>8.4796536660076853</v>
      </c>
      <c r="H238" s="46">
        <v>86.1</v>
      </c>
      <c r="I238" s="46">
        <v>87.5</v>
      </c>
      <c r="K238" s="54">
        <v>-10.25404340464851</v>
      </c>
      <c r="L238" s="54"/>
      <c r="M238" s="54">
        <v>-10.25404340464851</v>
      </c>
    </row>
    <row r="239" spans="6:13" x14ac:dyDescent="0.3">
      <c r="F239" s="45">
        <v>44287</v>
      </c>
      <c r="G239" s="53">
        <f t="shared" si="3"/>
        <v>-5.7363394879920193</v>
      </c>
      <c r="H239" s="46">
        <v>81.3</v>
      </c>
      <c r="I239" s="46">
        <v>86.1</v>
      </c>
      <c r="K239" s="54">
        <v>4.0661109319364694</v>
      </c>
      <c r="L239" s="54"/>
      <c r="M239" s="54">
        <v>4.0661109319364694</v>
      </c>
    </row>
    <row r="240" spans="6:13" x14ac:dyDescent="0.3">
      <c r="F240" s="45">
        <v>44317</v>
      </c>
      <c r="G240" s="53">
        <f t="shared" si="3"/>
        <v>8.3725953089832981</v>
      </c>
      <c r="H240" s="46">
        <v>88.4</v>
      </c>
      <c r="I240" s="46">
        <v>87.1</v>
      </c>
      <c r="K240" s="54">
        <v>-6.5188360987815841</v>
      </c>
      <c r="L240" s="54"/>
      <c r="M240" s="54">
        <v>-6.5188360987815841</v>
      </c>
    </row>
    <row r="241" spans="6:13" x14ac:dyDescent="0.3">
      <c r="F241" s="45">
        <v>44348</v>
      </c>
      <c r="G241" s="53">
        <f t="shared" si="3"/>
        <v>-0.56721649524664175</v>
      </c>
      <c r="H241" s="46">
        <v>87.9</v>
      </c>
      <c r="I241" s="46">
        <v>86.7</v>
      </c>
      <c r="K241" s="54">
        <v>1.2423937236054152</v>
      </c>
      <c r="L241" s="54"/>
      <c r="M241" s="54">
        <v>1.2423937236054152</v>
      </c>
    </row>
    <row r="242" spans="6:13" x14ac:dyDescent="0.3">
      <c r="F242" s="45">
        <v>44378</v>
      </c>
      <c r="G242" s="53">
        <f t="shared" si="3"/>
        <v>4.7760325871416818</v>
      </c>
      <c r="H242" s="46">
        <v>92.2</v>
      </c>
      <c r="I242" s="46">
        <v>85.4</v>
      </c>
      <c r="K242" s="54">
        <v>-5.230121980229093</v>
      </c>
      <c r="L242" s="54"/>
      <c r="M242" s="54">
        <v>-5.230121980229093</v>
      </c>
    </row>
    <row r="243" spans="6:13" x14ac:dyDescent="0.3">
      <c r="F243" s="45">
        <v>44409</v>
      </c>
      <c r="G243" s="53">
        <f t="shared" si="3"/>
        <v>1.2931214672248785</v>
      </c>
      <c r="H243" s="46">
        <v>93.4</v>
      </c>
      <c r="I243" s="46">
        <v>85</v>
      </c>
      <c r="K243" s="54">
        <v>-2.8037987156424928</v>
      </c>
      <c r="L243" s="54"/>
      <c r="M243" s="54">
        <v>-2.8037987156424928</v>
      </c>
    </row>
    <row r="244" spans="6:13" x14ac:dyDescent="0.3">
      <c r="F244" s="45">
        <v>44440</v>
      </c>
      <c r="G244" s="53">
        <f t="shared" si="3"/>
        <v>-2.0552372953321347</v>
      </c>
      <c r="H244" s="46">
        <v>91.5</v>
      </c>
      <c r="I244" s="46">
        <v>84.6</v>
      </c>
      <c r="K244" s="54">
        <v>2.825211038783249</v>
      </c>
      <c r="L244" s="54"/>
      <c r="M244" s="54">
        <v>2.825211038783249</v>
      </c>
    </row>
    <row r="245" spans="6:13" x14ac:dyDescent="0.3">
      <c r="F245" s="45">
        <v>44470</v>
      </c>
      <c r="G245" s="53">
        <f t="shared" si="3"/>
        <v>-1.9868203216725173</v>
      </c>
      <c r="H245" s="46">
        <v>89.7</v>
      </c>
      <c r="I245" s="46">
        <v>84.1</v>
      </c>
      <c r="K245" s="54">
        <v>-3.5717329909907449</v>
      </c>
      <c r="L245" s="54"/>
      <c r="M245" s="54">
        <v>-3.5717329909907449</v>
      </c>
    </row>
    <row r="246" spans="6:13" x14ac:dyDescent="0.3">
      <c r="F246" s="45">
        <v>44501</v>
      </c>
      <c r="G246" s="53">
        <f t="shared" si="3"/>
        <v>-3.8641170975368224</v>
      </c>
      <c r="H246" s="46">
        <v>86.3</v>
      </c>
      <c r="I246" s="46">
        <v>84.1</v>
      </c>
      <c r="K246" s="54">
        <v>5.542167953994479</v>
      </c>
      <c r="L246" s="54"/>
      <c r="M246" s="54">
        <v>5.542167953994479</v>
      </c>
    </row>
    <row r="247" spans="6:13" x14ac:dyDescent="0.3">
      <c r="F247" s="45">
        <v>44531</v>
      </c>
      <c r="G247" s="53">
        <f t="shared" si="3"/>
        <v>-8.5853299269002026</v>
      </c>
      <c r="H247" s="46">
        <v>79.2</v>
      </c>
      <c r="I247" s="46">
        <v>86.5</v>
      </c>
      <c r="K247" s="54">
        <v>11.087288334485097</v>
      </c>
      <c r="L247" s="54"/>
      <c r="M247" s="54">
        <v>11.087288334485097</v>
      </c>
    </row>
    <row r="248" spans="6:13" x14ac:dyDescent="0.3">
      <c r="K248" s="27"/>
      <c r="M248" s="27"/>
    </row>
    <row r="249" spans="6:13" x14ac:dyDescent="0.3">
      <c r="K249" s="27"/>
      <c r="M249" s="27"/>
    </row>
    <row r="250" spans="6:13" x14ac:dyDescent="0.3">
      <c r="K250" s="27"/>
      <c r="M250" s="27"/>
    </row>
    <row r="251" spans="6:13" x14ac:dyDescent="0.3">
      <c r="K251" s="27"/>
      <c r="M251" s="27"/>
    </row>
    <row r="252" spans="6:13" x14ac:dyDescent="0.3">
      <c r="K252" s="27"/>
      <c r="M252" s="27"/>
    </row>
    <row r="253" spans="6:13" x14ac:dyDescent="0.3">
      <c r="K253" s="27"/>
      <c r="M253" s="27"/>
    </row>
    <row r="254" spans="6:13" x14ac:dyDescent="0.3">
      <c r="K254" s="27"/>
      <c r="M254" s="27"/>
    </row>
    <row r="255" spans="6:13" x14ac:dyDescent="0.3">
      <c r="K255" s="27"/>
      <c r="M255" s="27"/>
    </row>
    <row r="256" spans="6:13" x14ac:dyDescent="0.3">
      <c r="K256" s="27"/>
      <c r="M256" s="27"/>
    </row>
    <row r="257" spans="11:13" x14ac:dyDescent="0.3">
      <c r="K257" s="27"/>
      <c r="M257" s="27"/>
    </row>
    <row r="258" spans="11:13" x14ac:dyDescent="0.3">
      <c r="K258" s="27"/>
      <c r="M258" s="27"/>
    </row>
    <row r="259" spans="11:13" x14ac:dyDescent="0.3">
      <c r="K259" s="27"/>
      <c r="M259" s="27"/>
    </row>
    <row r="260" spans="11:13" x14ac:dyDescent="0.3">
      <c r="K260" s="27"/>
      <c r="M260" s="27"/>
    </row>
    <row r="261" spans="11:13" x14ac:dyDescent="0.3">
      <c r="K261" s="27"/>
      <c r="M261" s="27"/>
    </row>
    <row r="262" spans="11:13" x14ac:dyDescent="0.3">
      <c r="K262" s="27"/>
      <c r="M262" s="27"/>
    </row>
    <row r="263" spans="11:13" x14ac:dyDescent="0.3">
      <c r="K263" s="27"/>
      <c r="M263" s="27"/>
    </row>
    <row r="264" spans="11:13" x14ac:dyDescent="0.3">
      <c r="K264" s="27"/>
      <c r="M264" s="27"/>
    </row>
    <row r="265" spans="11:13" x14ac:dyDescent="0.3">
      <c r="K265" s="27"/>
      <c r="M265" s="27"/>
    </row>
    <row r="266" spans="11:13" x14ac:dyDescent="0.3">
      <c r="K266" s="27"/>
      <c r="M266" s="27"/>
    </row>
    <row r="267" spans="11:13" x14ac:dyDescent="0.3">
      <c r="K267" s="27"/>
      <c r="M267" s="27"/>
    </row>
    <row r="268" spans="11:13" x14ac:dyDescent="0.3">
      <c r="K268" s="27"/>
      <c r="M268" s="27"/>
    </row>
    <row r="269" spans="11:13" x14ac:dyDescent="0.3">
      <c r="K269" s="27"/>
      <c r="M269" s="27"/>
    </row>
    <row r="270" spans="11:13" x14ac:dyDescent="0.3">
      <c r="K270" s="27"/>
      <c r="M270" s="27"/>
    </row>
    <row r="271" spans="11:13" x14ac:dyDescent="0.3">
      <c r="K271" s="27"/>
      <c r="M271" s="27"/>
    </row>
    <row r="272" spans="11:13" x14ac:dyDescent="0.3">
      <c r="K272" s="27"/>
      <c r="M272" s="27"/>
    </row>
    <row r="273" spans="11:13" x14ac:dyDescent="0.3">
      <c r="K273" s="27"/>
      <c r="M273" s="27"/>
    </row>
    <row r="274" spans="11:13" x14ac:dyDescent="0.3">
      <c r="K274" s="27"/>
      <c r="M274" s="27"/>
    </row>
    <row r="275" spans="11:13" x14ac:dyDescent="0.3">
      <c r="K275" s="27"/>
      <c r="M275" s="27"/>
    </row>
    <row r="276" spans="11:13" x14ac:dyDescent="0.3">
      <c r="K276" s="27"/>
      <c r="M276" s="27"/>
    </row>
    <row r="277" spans="11:13" x14ac:dyDescent="0.3">
      <c r="K277" s="27"/>
      <c r="M277" s="27"/>
    </row>
    <row r="278" spans="11:13" x14ac:dyDescent="0.3">
      <c r="K278" s="27"/>
      <c r="M278" s="27"/>
    </row>
    <row r="279" spans="11:13" x14ac:dyDescent="0.3">
      <c r="K279" s="27"/>
      <c r="M279" s="27"/>
    </row>
    <row r="280" spans="11:13" x14ac:dyDescent="0.3">
      <c r="K280" s="27"/>
      <c r="M280" s="27"/>
    </row>
    <row r="281" spans="11:13" x14ac:dyDescent="0.3">
      <c r="K281" s="27"/>
      <c r="M281" s="27"/>
    </row>
    <row r="282" spans="11:13" x14ac:dyDescent="0.3">
      <c r="K282" s="27"/>
      <c r="M282" s="27"/>
    </row>
    <row r="283" spans="11:13" x14ac:dyDescent="0.3">
      <c r="K283" s="27"/>
      <c r="M283" s="27"/>
    </row>
    <row r="284" spans="11:13" x14ac:dyDescent="0.3">
      <c r="K284" s="27"/>
      <c r="M284" s="27"/>
    </row>
    <row r="285" spans="11:13" x14ac:dyDescent="0.3">
      <c r="K285" s="27"/>
      <c r="M285" s="27"/>
    </row>
    <row r="286" spans="11:13" x14ac:dyDescent="0.3">
      <c r="K286" s="27"/>
      <c r="M286" s="27"/>
    </row>
    <row r="287" spans="11:13" x14ac:dyDescent="0.3">
      <c r="K287" s="27"/>
      <c r="M287" s="27"/>
    </row>
    <row r="288" spans="11:13" x14ac:dyDescent="0.3">
      <c r="K288" s="27"/>
      <c r="M288" s="27"/>
    </row>
    <row r="289" spans="11:13" x14ac:dyDescent="0.3">
      <c r="K289" s="27"/>
      <c r="M289" s="27"/>
    </row>
    <row r="290" spans="11:13" x14ac:dyDescent="0.3">
      <c r="K290" s="27"/>
      <c r="M290" s="27"/>
    </row>
    <row r="291" spans="11:13" x14ac:dyDescent="0.3">
      <c r="K291" s="27"/>
      <c r="M291" s="27"/>
    </row>
    <row r="292" spans="11:13" x14ac:dyDescent="0.3">
      <c r="K292" s="27"/>
      <c r="M292" s="27"/>
    </row>
    <row r="293" spans="11:13" x14ac:dyDescent="0.3">
      <c r="K293" s="27"/>
      <c r="M293" s="27"/>
    </row>
    <row r="294" spans="11:13" x14ac:dyDescent="0.3">
      <c r="K294" s="27"/>
      <c r="M294" s="27"/>
    </row>
    <row r="295" spans="11:13" x14ac:dyDescent="0.3">
      <c r="K295" s="27"/>
      <c r="M295" s="27"/>
    </row>
    <row r="296" spans="11:13" x14ac:dyDescent="0.3">
      <c r="K296" s="27"/>
      <c r="M296" s="27"/>
    </row>
    <row r="297" spans="11:13" x14ac:dyDescent="0.3">
      <c r="K297" s="27"/>
      <c r="M297" s="27"/>
    </row>
  </sheetData>
  <mergeCells count="1">
    <mergeCell ref="D11:D12"/>
  </mergeCells>
  <pageMargins left="0.511811024" right="0.511811024" top="0.78740157499999996" bottom="0.78740157499999996" header="0.31496062000000002" footer="0.31496062000000002"/>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560F0-C835-440B-97C3-A053D654C59E}">
  <sheetPr codeName="Planilha13">
    <tabColor theme="9" tint="0.59999389629810485"/>
  </sheetPr>
  <dimension ref="A1:T58"/>
  <sheetViews>
    <sheetView showGridLines="0" workbookViewId="0">
      <selection activeCell="I8" sqref="I8"/>
    </sheetView>
  </sheetViews>
  <sheetFormatPr defaultColWidth="8.85546875" defaultRowHeight="18.75" x14ac:dyDescent="0.3"/>
  <cols>
    <col min="1" max="1" width="12.7109375" style="17" customWidth="1"/>
    <col min="2" max="2" width="24.85546875" bestFit="1" customWidth="1"/>
    <col min="4" max="4" width="4.5703125" customWidth="1"/>
    <col min="5" max="5" width="10.5703125" customWidth="1"/>
    <col min="6" max="6" width="10.140625" bestFit="1" customWidth="1"/>
    <col min="7" max="7" width="12.42578125" bestFit="1" customWidth="1"/>
    <col min="9" max="10" width="8.85546875" style="15"/>
    <col min="11" max="11" width="12.42578125" style="15" bestFit="1" customWidth="1"/>
    <col min="12" max="20" width="8.85546875" style="15"/>
    <col min="23" max="23" width="8.85546875" customWidth="1"/>
  </cols>
  <sheetData>
    <row r="1" spans="1:20" x14ac:dyDescent="0.3">
      <c r="A1" s="16" t="s">
        <v>159</v>
      </c>
      <c r="I1" s="14"/>
      <c r="J1" s="14"/>
      <c r="K1" s="14"/>
      <c r="L1" s="14"/>
      <c r="M1" s="14"/>
      <c r="N1" s="14"/>
      <c r="O1" s="14"/>
      <c r="P1" s="14"/>
      <c r="Q1" s="14"/>
      <c r="R1" s="14"/>
      <c r="S1" s="14"/>
      <c r="T1" s="14"/>
    </row>
    <row r="2" spans="1:20" x14ac:dyDescent="0.3">
      <c r="A2" s="17" t="s">
        <v>164</v>
      </c>
      <c r="I2" s="14"/>
      <c r="J2" s="14"/>
      <c r="K2" s="14"/>
      <c r="L2" s="14"/>
      <c r="M2" s="14"/>
      <c r="N2" s="14"/>
      <c r="O2" s="14"/>
      <c r="P2" s="14"/>
      <c r="Q2" s="14"/>
      <c r="R2" s="14"/>
      <c r="S2" s="14"/>
      <c r="T2" s="14"/>
    </row>
    <row r="4" spans="1:20" ht="15.75" x14ac:dyDescent="0.25">
      <c r="A4" s="2" t="s">
        <v>15</v>
      </c>
      <c r="B4" s="2" t="s">
        <v>16</v>
      </c>
    </row>
    <row r="5" spans="1:20" ht="47.25" x14ac:dyDescent="0.25">
      <c r="A5" s="23" t="s">
        <v>160</v>
      </c>
      <c r="B5" s="24" t="s">
        <v>162</v>
      </c>
    </row>
    <row r="6" spans="1:20" ht="78.75" x14ac:dyDescent="0.25">
      <c r="A6" s="23" t="s">
        <v>161</v>
      </c>
      <c r="B6" s="24" t="s">
        <v>165</v>
      </c>
    </row>
    <row r="7" spans="1:20" x14ac:dyDescent="0.3">
      <c r="E7" s="21" t="s">
        <v>158</v>
      </c>
      <c r="F7" s="49" t="s">
        <v>160</v>
      </c>
      <c r="G7" s="49" t="s">
        <v>163</v>
      </c>
    </row>
    <row r="8" spans="1:20" x14ac:dyDescent="0.3">
      <c r="E8" s="50">
        <v>35796</v>
      </c>
      <c r="F8" s="48">
        <f>MONTH(E8)</f>
        <v>1</v>
      </c>
      <c r="G8" s="48">
        <v>12</v>
      </c>
      <c r="I8" s="15" cm="1">
        <f t="array" ref="I8:S31">_xlfn.LAMBDA(_xlpm.categories,_xlop.exclude,
_xlfn.LET(
_xlpm.check, IF( _xlfn.XOR( ROWS(_xlpm.categories)&gt;1, COLUMNS(_xlpm.categories)&gt;1 ), TRUE, FALSE),
_xlpm.categories, IF(ROWS(_xlpm.categories)&gt;1, _xlpm.categories, TRANSPOSE(_xlpm.categories) ),
_xlpm.uniqueCategories, _xlfn._xlws.SORT( _xlfn.UNIQUE(_xlpm.categories) ),
_xlpm.nCategories, COUNTA(_xlpm.uniqueCategories),
_xlpm.matrix,
1 * ( REPMAT(_xlpm.categories,1,_xlpm.nCategories)=REPMAT( TRANSPOSE(_xlpm.uniqueCategories),ROWS(_xlpm.categories),1) ),
IF( _xlpm.check=FALSE, "# categories must be a 1-column or 1-row vector",
IF( OR( _xlfn.ISOMITTED(_xlpm.exclude), _xlpm.exclude = FALSE), _xlpm.matrix, SLICE(_xlpm.matrix, 0, 0, _xlfn._xlws.FILTER(_xlfn.SEQUENCE(1,_xlpm.nCategories), _xlfn.SEQUENCE(1,_xlpm.nCategories)&lt;&gt; (1*_xlpm.exclude) ), 0) )
) ) )($F$8:$F$31, $G$8)</f>
        <v>1</v>
      </c>
      <c r="J8" s="15">
        <v>0</v>
      </c>
      <c r="K8" s="15">
        <v>0</v>
      </c>
      <c r="L8" s="15">
        <v>0</v>
      </c>
      <c r="M8" s="15">
        <v>0</v>
      </c>
      <c r="N8" s="15">
        <v>0</v>
      </c>
      <c r="O8" s="15">
        <v>0</v>
      </c>
      <c r="P8" s="15">
        <v>0</v>
      </c>
      <c r="Q8" s="15">
        <v>0</v>
      </c>
      <c r="R8" s="15">
        <v>0</v>
      </c>
      <c r="S8" s="15">
        <v>0</v>
      </c>
    </row>
    <row r="9" spans="1:20" x14ac:dyDescent="0.3">
      <c r="E9" s="50">
        <v>35827</v>
      </c>
      <c r="F9" s="48">
        <f t="shared" ref="F9:F31" si="0">MONTH(E9)</f>
        <v>2</v>
      </c>
      <c r="I9" s="15">
        <v>0</v>
      </c>
      <c r="J9" s="15">
        <v>1</v>
      </c>
      <c r="K9" s="15">
        <v>0</v>
      </c>
      <c r="L9" s="15">
        <v>0</v>
      </c>
      <c r="M9" s="15">
        <v>0</v>
      </c>
      <c r="N9" s="15">
        <v>0</v>
      </c>
      <c r="O9" s="15">
        <v>0</v>
      </c>
      <c r="P9" s="15">
        <v>0</v>
      </c>
      <c r="Q9" s="15">
        <v>0</v>
      </c>
      <c r="R9" s="15">
        <v>0</v>
      </c>
      <c r="S9" s="15">
        <v>0</v>
      </c>
    </row>
    <row r="10" spans="1:20" x14ac:dyDescent="0.3">
      <c r="E10" s="50">
        <v>35855</v>
      </c>
      <c r="F10" s="48">
        <f t="shared" si="0"/>
        <v>3</v>
      </c>
      <c r="I10" s="15">
        <v>0</v>
      </c>
      <c r="J10" s="15">
        <v>0</v>
      </c>
      <c r="K10" s="15">
        <v>1</v>
      </c>
      <c r="L10" s="15">
        <v>0</v>
      </c>
      <c r="M10" s="15">
        <v>0</v>
      </c>
      <c r="N10" s="15">
        <v>0</v>
      </c>
      <c r="O10" s="15">
        <v>0</v>
      </c>
      <c r="P10" s="15">
        <v>0</v>
      </c>
      <c r="Q10" s="15">
        <v>0</v>
      </c>
      <c r="R10" s="15">
        <v>0</v>
      </c>
      <c r="S10" s="15">
        <v>0</v>
      </c>
    </row>
    <row r="11" spans="1:20" ht="18.75" customHeight="1" x14ac:dyDescent="0.3">
      <c r="E11" s="50">
        <v>35886</v>
      </c>
      <c r="F11" s="48">
        <f t="shared" si="0"/>
        <v>4</v>
      </c>
      <c r="I11" s="15">
        <v>0</v>
      </c>
      <c r="J11" s="15">
        <v>0</v>
      </c>
      <c r="K11" s="15">
        <v>0</v>
      </c>
      <c r="L11" s="15">
        <v>1</v>
      </c>
      <c r="M11" s="15">
        <v>0</v>
      </c>
      <c r="N11" s="15">
        <v>0</v>
      </c>
      <c r="O11" s="15">
        <v>0</v>
      </c>
      <c r="P11" s="15">
        <v>0</v>
      </c>
      <c r="Q11" s="15">
        <v>0</v>
      </c>
      <c r="R11" s="15">
        <v>0</v>
      </c>
      <c r="S11" s="15">
        <v>0</v>
      </c>
    </row>
    <row r="12" spans="1:20" x14ac:dyDescent="0.3">
      <c r="E12" s="50">
        <v>35916</v>
      </c>
      <c r="F12" s="48">
        <f t="shared" si="0"/>
        <v>5</v>
      </c>
      <c r="I12" s="15">
        <v>0</v>
      </c>
      <c r="J12" s="15">
        <v>0</v>
      </c>
      <c r="K12" s="15">
        <v>0</v>
      </c>
      <c r="L12" s="15">
        <v>0</v>
      </c>
      <c r="M12" s="15">
        <v>1</v>
      </c>
      <c r="N12" s="15">
        <v>0</v>
      </c>
      <c r="O12" s="15">
        <v>0</v>
      </c>
      <c r="P12" s="15">
        <v>0</v>
      </c>
      <c r="Q12" s="15">
        <v>0</v>
      </c>
      <c r="R12" s="15">
        <v>0</v>
      </c>
      <c r="S12" s="15">
        <v>0</v>
      </c>
    </row>
    <row r="13" spans="1:20" x14ac:dyDescent="0.3">
      <c r="E13" s="50">
        <v>35947</v>
      </c>
      <c r="F13" s="48">
        <f t="shared" si="0"/>
        <v>6</v>
      </c>
      <c r="I13" s="15">
        <v>0</v>
      </c>
      <c r="J13" s="15">
        <v>0</v>
      </c>
      <c r="K13" s="15">
        <v>0</v>
      </c>
      <c r="L13" s="15">
        <v>0</v>
      </c>
      <c r="M13" s="15">
        <v>0</v>
      </c>
      <c r="N13" s="15">
        <v>1</v>
      </c>
      <c r="O13" s="15">
        <v>0</v>
      </c>
      <c r="P13" s="15">
        <v>0</v>
      </c>
      <c r="Q13" s="15">
        <v>0</v>
      </c>
      <c r="R13" s="15">
        <v>0</v>
      </c>
      <c r="S13" s="15">
        <v>0</v>
      </c>
    </row>
    <row r="14" spans="1:20" x14ac:dyDescent="0.3">
      <c r="E14" s="50">
        <v>35977</v>
      </c>
      <c r="F14" s="48">
        <f t="shared" si="0"/>
        <v>7</v>
      </c>
      <c r="I14" s="15">
        <v>0</v>
      </c>
      <c r="J14" s="15">
        <v>0</v>
      </c>
      <c r="K14" s="15">
        <v>0</v>
      </c>
      <c r="L14" s="15">
        <v>0</v>
      </c>
      <c r="M14" s="15">
        <v>0</v>
      </c>
      <c r="N14" s="15">
        <v>0</v>
      </c>
      <c r="O14" s="15">
        <v>1</v>
      </c>
      <c r="P14" s="15">
        <v>0</v>
      </c>
      <c r="Q14" s="15">
        <v>0</v>
      </c>
      <c r="R14" s="15">
        <v>0</v>
      </c>
      <c r="S14" s="15">
        <v>0</v>
      </c>
    </row>
    <row r="15" spans="1:20" x14ac:dyDescent="0.3">
      <c r="E15" s="50">
        <v>36008</v>
      </c>
      <c r="F15" s="48">
        <f t="shared" si="0"/>
        <v>8</v>
      </c>
      <c r="I15" s="15">
        <v>0</v>
      </c>
      <c r="J15" s="15">
        <v>0</v>
      </c>
      <c r="K15" s="15">
        <v>0</v>
      </c>
      <c r="L15" s="15">
        <v>0</v>
      </c>
      <c r="M15" s="15">
        <v>0</v>
      </c>
      <c r="N15" s="15">
        <v>0</v>
      </c>
      <c r="O15" s="15">
        <v>0</v>
      </c>
      <c r="P15" s="15">
        <v>1</v>
      </c>
      <c r="Q15" s="15">
        <v>0</v>
      </c>
      <c r="R15" s="15">
        <v>0</v>
      </c>
      <c r="S15" s="15">
        <v>0</v>
      </c>
    </row>
    <row r="16" spans="1:20" x14ac:dyDescent="0.3">
      <c r="E16" s="50">
        <v>36039</v>
      </c>
      <c r="F16" s="48">
        <f t="shared" si="0"/>
        <v>9</v>
      </c>
      <c r="I16" s="15">
        <v>0</v>
      </c>
      <c r="J16" s="15">
        <v>0</v>
      </c>
      <c r="K16" s="15">
        <v>0</v>
      </c>
      <c r="L16" s="15">
        <v>0</v>
      </c>
      <c r="M16" s="15">
        <v>0</v>
      </c>
      <c r="N16" s="15">
        <v>0</v>
      </c>
      <c r="O16" s="15">
        <v>0</v>
      </c>
      <c r="P16" s="15">
        <v>0</v>
      </c>
      <c r="Q16" s="15">
        <v>1</v>
      </c>
      <c r="R16" s="15">
        <v>0</v>
      </c>
      <c r="S16" s="15">
        <v>0</v>
      </c>
    </row>
    <row r="17" spans="5:19" x14ac:dyDescent="0.3">
      <c r="E17" s="50">
        <v>36069</v>
      </c>
      <c r="F17" s="48">
        <f t="shared" si="0"/>
        <v>10</v>
      </c>
      <c r="I17" s="15">
        <v>0</v>
      </c>
      <c r="J17" s="15">
        <v>0</v>
      </c>
      <c r="K17" s="15">
        <v>0</v>
      </c>
      <c r="L17" s="15">
        <v>0</v>
      </c>
      <c r="M17" s="15">
        <v>0</v>
      </c>
      <c r="N17" s="15">
        <v>0</v>
      </c>
      <c r="O17" s="15">
        <v>0</v>
      </c>
      <c r="P17" s="15">
        <v>0</v>
      </c>
      <c r="Q17" s="15">
        <v>0</v>
      </c>
      <c r="R17" s="15">
        <v>1</v>
      </c>
      <c r="S17" s="15">
        <v>0</v>
      </c>
    </row>
    <row r="18" spans="5:19" x14ac:dyDescent="0.3">
      <c r="E18" s="50">
        <v>36100</v>
      </c>
      <c r="F18" s="48">
        <f t="shared" si="0"/>
        <v>11</v>
      </c>
      <c r="I18" s="15">
        <v>0</v>
      </c>
      <c r="J18" s="15">
        <v>0</v>
      </c>
      <c r="K18" s="15">
        <v>0</v>
      </c>
      <c r="L18" s="15">
        <v>0</v>
      </c>
      <c r="M18" s="15">
        <v>0</v>
      </c>
      <c r="N18" s="15">
        <v>0</v>
      </c>
      <c r="O18" s="15">
        <v>0</v>
      </c>
      <c r="P18" s="15">
        <v>0</v>
      </c>
      <c r="Q18" s="15">
        <v>0</v>
      </c>
      <c r="R18" s="15">
        <v>0</v>
      </c>
      <c r="S18" s="15">
        <v>1</v>
      </c>
    </row>
    <row r="19" spans="5:19" x14ac:dyDescent="0.3">
      <c r="E19" s="50">
        <v>36130</v>
      </c>
      <c r="F19" s="48">
        <f t="shared" si="0"/>
        <v>12</v>
      </c>
      <c r="I19" s="15">
        <v>0</v>
      </c>
      <c r="J19" s="15">
        <v>0</v>
      </c>
      <c r="K19" s="15">
        <v>0</v>
      </c>
      <c r="L19" s="15">
        <v>0</v>
      </c>
      <c r="M19" s="15">
        <v>0</v>
      </c>
      <c r="N19" s="15">
        <v>0</v>
      </c>
      <c r="O19" s="15">
        <v>0</v>
      </c>
      <c r="P19" s="15">
        <v>0</v>
      </c>
      <c r="Q19" s="15">
        <v>0</v>
      </c>
      <c r="R19" s="15">
        <v>0</v>
      </c>
      <c r="S19" s="15">
        <v>0</v>
      </c>
    </row>
    <row r="20" spans="5:19" x14ac:dyDescent="0.3">
      <c r="E20" s="50">
        <v>36161</v>
      </c>
      <c r="F20" s="48">
        <f t="shared" si="0"/>
        <v>1</v>
      </c>
      <c r="I20" s="15">
        <v>1</v>
      </c>
      <c r="J20" s="15">
        <v>0</v>
      </c>
      <c r="K20" s="15">
        <v>0</v>
      </c>
      <c r="L20" s="15">
        <v>0</v>
      </c>
      <c r="M20" s="15">
        <v>0</v>
      </c>
      <c r="N20" s="15">
        <v>0</v>
      </c>
      <c r="O20" s="15">
        <v>0</v>
      </c>
      <c r="P20" s="15">
        <v>0</v>
      </c>
      <c r="Q20" s="15">
        <v>0</v>
      </c>
      <c r="R20" s="15">
        <v>0</v>
      </c>
      <c r="S20" s="15">
        <v>0</v>
      </c>
    </row>
    <row r="21" spans="5:19" x14ac:dyDescent="0.3">
      <c r="E21" s="50">
        <v>36192</v>
      </c>
      <c r="F21" s="48">
        <f t="shared" si="0"/>
        <v>2</v>
      </c>
      <c r="I21" s="15">
        <v>0</v>
      </c>
      <c r="J21" s="15">
        <v>1</v>
      </c>
      <c r="K21" s="15">
        <v>0</v>
      </c>
      <c r="L21" s="15">
        <v>0</v>
      </c>
      <c r="M21" s="15">
        <v>0</v>
      </c>
      <c r="N21" s="15">
        <v>0</v>
      </c>
      <c r="O21" s="15">
        <v>0</v>
      </c>
      <c r="P21" s="15">
        <v>0</v>
      </c>
      <c r="Q21" s="15">
        <v>0</v>
      </c>
      <c r="R21" s="15">
        <v>0</v>
      </c>
      <c r="S21" s="15">
        <v>0</v>
      </c>
    </row>
    <row r="22" spans="5:19" x14ac:dyDescent="0.3">
      <c r="E22" s="50">
        <v>36220</v>
      </c>
      <c r="F22" s="48">
        <f t="shared" si="0"/>
        <v>3</v>
      </c>
      <c r="I22" s="15">
        <v>0</v>
      </c>
      <c r="J22" s="15">
        <v>0</v>
      </c>
      <c r="K22" s="15">
        <v>1</v>
      </c>
      <c r="L22" s="15">
        <v>0</v>
      </c>
      <c r="M22" s="15">
        <v>0</v>
      </c>
      <c r="N22" s="15">
        <v>0</v>
      </c>
      <c r="O22" s="15">
        <v>0</v>
      </c>
      <c r="P22" s="15">
        <v>0</v>
      </c>
      <c r="Q22" s="15">
        <v>0</v>
      </c>
      <c r="R22" s="15">
        <v>0</v>
      </c>
      <c r="S22" s="15">
        <v>0</v>
      </c>
    </row>
    <row r="23" spans="5:19" x14ac:dyDescent="0.3">
      <c r="E23" s="50">
        <v>36251</v>
      </c>
      <c r="F23" s="48">
        <f t="shared" si="0"/>
        <v>4</v>
      </c>
      <c r="I23" s="15">
        <v>0</v>
      </c>
      <c r="J23" s="15">
        <v>0</v>
      </c>
      <c r="K23" s="15">
        <v>0</v>
      </c>
      <c r="L23" s="15">
        <v>1</v>
      </c>
      <c r="M23" s="15">
        <v>0</v>
      </c>
      <c r="N23" s="15">
        <v>0</v>
      </c>
      <c r="O23" s="15">
        <v>0</v>
      </c>
      <c r="P23" s="15">
        <v>0</v>
      </c>
      <c r="Q23" s="15">
        <v>0</v>
      </c>
      <c r="R23" s="15">
        <v>0</v>
      </c>
      <c r="S23" s="15">
        <v>0</v>
      </c>
    </row>
    <row r="24" spans="5:19" x14ac:dyDescent="0.3">
      <c r="E24" s="50">
        <v>36281</v>
      </c>
      <c r="F24" s="48">
        <f t="shared" si="0"/>
        <v>5</v>
      </c>
      <c r="I24" s="15">
        <v>0</v>
      </c>
      <c r="J24" s="15">
        <v>0</v>
      </c>
      <c r="K24" s="15">
        <v>0</v>
      </c>
      <c r="L24" s="15">
        <v>0</v>
      </c>
      <c r="M24" s="15">
        <v>1</v>
      </c>
      <c r="N24" s="15">
        <v>0</v>
      </c>
      <c r="O24" s="15">
        <v>0</v>
      </c>
      <c r="P24" s="15">
        <v>0</v>
      </c>
      <c r="Q24" s="15">
        <v>0</v>
      </c>
      <c r="R24" s="15">
        <v>0</v>
      </c>
      <c r="S24" s="15">
        <v>0</v>
      </c>
    </row>
    <row r="25" spans="5:19" x14ac:dyDescent="0.3">
      <c r="E25" s="50">
        <v>36312</v>
      </c>
      <c r="F25" s="48">
        <f t="shared" si="0"/>
        <v>6</v>
      </c>
      <c r="I25" s="15">
        <v>0</v>
      </c>
      <c r="J25" s="15">
        <v>0</v>
      </c>
      <c r="K25" s="15">
        <v>0</v>
      </c>
      <c r="L25" s="15">
        <v>0</v>
      </c>
      <c r="M25" s="15">
        <v>0</v>
      </c>
      <c r="N25" s="15">
        <v>1</v>
      </c>
      <c r="O25" s="15">
        <v>0</v>
      </c>
      <c r="P25" s="15">
        <v>0</v>
      </c>
      <c r="Q25" s="15">
        <v>0</v>
      </c>
      <c r="R25" s="15">
        <v>0</v>
      </c>
      <c r="S25" s="15">
        <v>0</v>
      </c>
    </row>
    <row r="26" spans="5:19" x14ac:dyDescent="0.3">
      <c r="E26" s="50">
        <v>36342</v>
      </c>
      <c r="F26" s="48">
        <f t="shared" si="0"/>
        <v>7</v>
      </c>
      <c r="I26" s="15">
        <v>0</v>
      </c>
      <c r="J26" s="15">
        <v>0</v>
      </c>
      <c r="K26" s="15">
        <v>0</v>
      </c>
      <c r="L26" s="15">
        <v>0</v>
      </c>
      <c r="M26" s="15">
        <v>0</v>
      </c>
      <c r="N26" s="15">
        <v>0</v>
      </c>
      <c r="O26" s="15">
        <v>1</v>
      </c>
      <c r="P26" s="15">
        <v>0</v>
      </c>
      <c r="Q26" s="15">
        <v>0</v>
      </c>
      <c r="R26" s="15">
        <v>0</v>
      </c>
      <c r="S26" s="15">
        <v>0</v>
      </c>
    </row>
    <row r="27" spans="5:19" x14ac:dyDescent="0.3">
      <c r="E27" s="50">
        <v>36373</v>
      </c>
      <c r="F27" s="48">
        <f t="shared" si="0"/>
        <v>8</v>
      </c>
      <c r="I27" s="15">
        <v>0</v>
      </c>
      <c r="J27" s="15">
        <v>0</v>
      </c>
      <c r="K27" s="15">
        <v>0</v>
      </c>
      <c r="L27" s="15">
        <v>0</v>
      </c>
      <c r="M27" s="15">
        <v>0</v>
      </c>
      <c r="N27" s="15">
        <v>0</v>
      </c>
      <c r="O27" s="15">
        <v>0</v>
      </c>
      <c r="P27" s="15">
        <v>1</v>
      </c>
      <c r="Q27" s="15">
        <v>0</v>
      </c>
      <c r="R27" s="15">
        <v>0</v>
      </c>
      <c r="S27" s="15">
        <v>0</v>
      </c>
    </row>
    <row r="28" spans="5:19" x14ac:dyDescent="0.3">
      <c r="E28" s="50">
        <v>36404</v>
      </c>
      <c r="F28" s="48">
        <f t="shared" si="0"/>
        <v>9</v>
      </c>
      <c r="I28" s="15">
        <v>0</v>
      </c>
      <c r="J28" s="15">
        <v>0</v>
      </c>
      <c r="K28" s="15">
        <v>0</v>
      </c>
      <c r="L28" s="15">
        <v>0</v>
      </c>
      <c r="M28" s="15">
        <v>0</v>
      </c>
      <c r="N28" s="15">
        <v>0</v>
      </c>
      <c r="O28" s="15">
        <v>0</v>
      </c>
      <c r="P28" s="15">
        <v>0</v>
      </c>
      <c r="Q28" s="15">
        <v>1</v>
      </c>
      <c r="R28" s="15">
        <v>0</v>
      </c>
      <c r="S28" s="15">
        <v>0</v>
      </c>
    </row>
    <row r="29" spans="5:19" x14ac:dyDescent="0.3">
      <c r="E29" s="50">
        <v>36434</v>
      </c>
      <c r="F29" s="48">
        <f t="shared" si="0"/>
        <v>10</v>
      </c>
      <c r="I29" s="15">
        <v>0</v>
      </c>
      <c r="J29" s="15">
        <v>0</v>
      </c>
      <c r="K29" s="15">
        <v>0</v>
      </c>
      <c r="L29" s="15">
        <v>0</v>
      </c>
      <c r="M29" s="15">
        <v>0</v>
      </c>
      <c r="N29" s="15">
        <v>0</v>
      </c>
      <c r="O29" s="15">
        <v>0</v>
      </c>
      <c r="P29" s="15">
        <v>0</v>
      </c>
      <c r="Q29" s="15">
        <v>0</v>
      </c>
      <c r="R29" s="15">
        <v>1</v>
      </c>
      <c r="S29" s="15">
        <v>0</v>
      </c>
    </row>
    <row r="30" spans="5:19" x14ac:dyDescent="0.3">
      <c r="E30" s="50">
        <v>36465</v>
      </c>
      <c r="F30" s="48">
        <f t="shared" si="0"/>
        <v>11</v>
      </c>
      <c r="I30" s="15">
        <v>0</v>
      </c>
      <c r="J30" s="15">
        <v>0</v>
      </c>
      <c r="K30" s="15">
        <v>0</v>
      </c>
      <c r="L30" s="15">
        <v>0</v>
      </c>
      <c r="M30" s="15">
        <v>0</v>
      </c>
      <c r="N30" s="15">
        <v>0</v>
      </c>
      <c r="O30" s="15">
        <v>0</v>
      </c>
      <c r="P30" s="15">
        <v>0</v>
      </c>
      <c r="Q30" s="15">
        <v>0</v>
      </c>
      <c r="R30" s="15">
        <v>0</v>
      </c>
      <c r="S30" s="15">
        <v>1</v>
      </c>
    </row>
    <row r="31" spans="5:19" x14ac:dyDescent="0.3">
      <c r="E31" s="50">
        <v>36495</v>
      </c>
      <c r="F31" s="48">
        <f t="shared" si="0"/>
        <v>12</v>
      </c>
      <c r="I31" s="15">
        <v>0</v>
      </c>
      <c r="J31" s="15">
        <v>0</v>
      </c>
      <c r="K31" s="15">
        <v>0</v>
      </c>
      <c r="L31" s="15">
        <v>0</v>
      </c>
      <c r="M31" s="15">
        <v>0</v>
      </c>
      <c r="N31" s="15">
        <v>0</v>
      </c>
      <c r="O31" s="15">
        <v>0</v>
      </c>
      <c r="P31" s="15">
        <v>0</v>
      </c>
      <c r="Q31" s="15">
        <v>0</v>
      </c>
      <c r="R31" s="15">
        <v>0</v>
      </c>
      <c r="S31" s="15">
        <v>0</v>
      </c>
    </row>
    <row r="34" spans="5:19" x14ac:dyDescent="0.3">
      <c r="E34" s="21" t="s">
        <v>158</v>
      </c>
      <c r="F34" s="49" t="s">
        <v>160</v>
      </c>
      <c r="G34" s="49" t="s">
        <v>163</v>
      </c>
    </row>
    <row r="35" spans="5:19" x14ac:dyDescent="0.3">
      <c r="E35" s="50">
        <v>35796</v>
      </c>
      <c r="F35" s="48">
        <f>MONTH(E35)</f>
        <v>1</v>
      </c>
      <c r="G35" s="48">
        <v>1</v>
      </c>
      <c r="I35" s="15" cm="1">
        <f t="array" ref="I35:S58">DUMMYVAR($F$35:$F$58, $G$35)</f>
        <v>0</v>
      </c>
      <c r="J35" s="15">
        <v>0</v>
      </c>
      <c r="K35" s="15">
        <v>0</v>
      </c>
      <c r="L35" s="15">
        <v>0</v>
      </c>
      <c r="M35" s="15">
        <v>0</v>
      </c>
      <c r="N35" s="15">
        <v>0</v>
      </c>
      <c r="O35" s="15">
        <v>0</v>
      </c>
      <c r="P35" s="15">
        <v>0</v>
      </c>
      <c r="Q35" s="15">
        <v>0</v>
      </c>
      <c r="R35" s="15">
        <v>0</v>
      </c>
      <c r="S35" s="15">
        <v>0</v>
      </c>
    </row>
    <row r="36" spans="5:19" x14ac:dyDescent="0.3">
      <c r="E36" s="50">
        <v>35827</v>
      </c>
      <c r="F36" s="48">
        <f t="shared" ref="F36:F58" si="1">MONTH(E36)</f>
        <v>2</v>
      </c>
      <c r="I36" s="15">
        <v>1</v>
      </c>
      <c r="J36" s="15">
        <v>0</v>
      </c>
      <c r="K36" s="15">
        <v>0</v>
      </c>
      <c r="L36" s="15">
        <v>0</v>
      </c>
      <c r="M36" s="15">
        <v>0</v>
      </c>
      <c r="N36" s="15">
        <v>0</v>
      </c>
      <c r="O36" s="15">
        <v>0</v>
      </c>
      <c r="P36" s="15">
        <v>0</v>
      </c>
      <c r="Q36" s="15">
        <v>0</v>
      </c>
      <c r="R36" s="15">
        <v>0</v>
      </c>
      <c r="S36" s="15">
        <v>0</v>
      </c>
    </row>
    <row r="37" spans="5:19" x14ac:dyDescent="0.3">
      <c r="E37" s="50">
        <v>35855</v>
      </c>
      <c r="F37" s="48">
        <f t="shared" si="1"/>
        <v>3</v>
      </c>
      <c r="I37" s="15">
        <v>0</v>
      </c>
      <c r="J37" s="15">
        <v>1</v>
      </c>
      <c r="K37" s="15">
        <v>0</v>
      </c>
      <c r="L37" s="15">
        <v>0</v>
      </c>
      <c r="M37" s="15">
        <v>0</v>
      </c>
      <c r="N37" s="15">
        <v>0</v>
      </c>
      <c r="O37" s="15">
        <v>0</v>
      </c>
      <c r="P37" s="15">
        <v>0</v>
      </c>
      <c r="Q37" s="15">
        <v>0</v>
      </c>
      <c r="R37" s="15">
        <v>0</v>
      </c>
      <c r="S37" s="15">
        <v>0</v>
      </c>
    </row>
    <row r="38" spans="5:19" x14ac:dyDescent="0.3">
      <c r="E38" s="50">
        <v>35886</v>
      </c>
      <c r="F38" s="48">
        <f t="shared" si="1"/>
        <v>4</v>
      </c>
      <c r="I38" s="15">
        <v>0</v>
      </c>
      <c r="J38" s="15">
        <v>0</v>
      </c>
      <c r="K38" s="15">
        <v>1</v>
      </c>
      <c r="L38" s="15">
        <v>0</v>
      </c>
      <c r="M38" s="15">
        <v>0</v>
      </c>
      <c r="N38" s="15">
        <v>0</v>
      </c>
      <c r="O38" s="15">
        <v>0</v>
      </c>
      <c r="P38" s="15">
        <v>0</v>
      </c>
      <c r="Q38" s="15">
        <v>0</v>
      </c>
      <c r="R38" s="15">
        <v>0</v>
      </c>
      <c r="S38" s="15">
        <v>0</v>
      </c>
    </row>
    <row r="39" spans="5:19" x14ac:dyDescent="0.3">
      <c r="E39" s="50">
        <v>35916</v>
      </c>
      <c r="F39" s="48">
        <f t="shared" si="1"/>
        <v>5</v>
      </c>
      <c r="I39" s="15">
        <v>0</v>
      </c>
      <c r="J39" s="15">
        <v>0</v>
      </c>
      <c r="K39" s="15">
        <v>0</v>
      </c>
      <c r="L39" s="15">
        <v>1</v>
      </c>
      <c r="M39" s="15">
        <v>0</v>
      </c>
      <c r="N39" s="15">
        <v>0</v>
      </c>
      <c r="O39" s="15">
        <v>0</v>
      </c>
      <c r="P39" s="15">
        <v>0</v>
      </c>
      <c r="Q39" s="15">
        <v>0</v>
      </c>
      <c r="R39" s="15">
        <v>0</v>
      </c>
      <c r="S39" s="15">
        <v>0</v>
      </c>
    </row>
    <row r="40" spans="5:19" x14ac:dyDescent="0.3">
      <c r="E40" s="50">
        <v>35947</v>
      </c>
      <c r="F40" s="48">
        <f t="shared" si="1"/>
        <v>6</v>
      </c>
      <c r="I40" s="15">
        <v>0</v>
      </c>
      <c r="J40" s="15">
        <v>0</v>
      </c>
      <c r="K40" s="15">
        <v>0</v>
      </c>
      <c r="L40" s="15">
        <v>0</v>
      </c>
      <c r="M40" s="15">
        <v>1</v>
      </c>
      <c r="N40" s="15">
        <v>0</v>
      </c>
      <c r="O40" s="15">
        <v>0</v>
      </c>
      <c r="P40" s="15">
        <v>0</v>
      </c>
      <c r="Q40" s="15">
        <v>0</v>
      </c>
      <c r="R40" s="15">
        <v>0</v>
      </c>
      <c r="S40" s="15">
        <v>0</v>
      </c>
    </row>
    <row r="41" spans="5:19" x14ac:dyDescent="0.3">
      <c r="E41" s="50">
        <v>35977</v>
      </c>
      <c r="F41" s="48">
        <f t="shared" si="1"/>
        <v>7</v>
      </c>
      <c r="I41" s="15">
        <v>0</v>
      </c>
      <c r="J41" s="15">
        <v>0</v>
      </c>
      <c r="K41" s="15">
        <v>0</v>
      </c>
      <c r="L41" s="15">
        <v>0</v>
      </c>
      <c r="M41" s="15">
        <v>0</v>
      </c>
      <c r="N41" s="15">
        <v>1</v>
      </c>
      <c r="O41" s="15">
        <v>0</v>
      </c>
      <c r="P41" s="15">
        <v>0</v>
      </c>
      <c r="Q41" s="15">
        <v>0</v>
      </c>
      <c r="R41" s="15">
        <v>0</v>
      </c>
      <c r="S41" s="15">
        <v>0</v>
      </c>
    </row>
    <row r="42" spans="5:19" x14ac:dyDescent="0.3">
      <c r="E42" s="50">
        <v>36008</v>
      </c>
      <c r="F42" s="48">
        <f t="shared" si="1"/>
        <v>8</v>
      </c>
      <c r="I42" s="15">
        <v>0</v>
      </c>
      <c r="J42" s="15">
        <v>0</v>
      </c>
      <c r="K42" s="15">
        <v>0</v>
      </c>
      <c r="L42" s="15">
        <v>0</v>
      </c>
      <c r="M42" s="15">
        <v>0</v>
      </c>
      <c r="N42" s="15">
        <v>0</v>
      </c>
      <c r="O42" s="15">
        <v>1</v>
      </c>
      <c r="P42" s="15">
        <v>0</v>
      </c>
      <c r="Q42" s="15">
        <v>0</v>
      </c>
      <c r="R42" s="15">
        <v>0</v>
      </c>
      <c r="S42" s="15">
        <v>0</v>
      </c>
    </row>
    <row r="43" spans="5:19" x14ac:dyDescent="0.3">
      <c r="E43" s="50">
        <v>36039</v>
      </c>
      <c r="F43" s="48">
        <f t="shared" si="1"/>
        <v>9</v>
      </c>
      <c r="I43" s="15">
        <v>0</v>
      </c>
      <c r="J43" s="15">
        <v>0</v>
      </c>
      <c r="K43" s="15">
        <v>0</v>
      </c>
      <c r="L43" s="15">
        <v>0</v>
      </c>
      <c r="M43" s="15">
        <v>0</v>
      </c>
      <c r="N43" s="15">
        <v>0</v>
      </c>
      <c r="O43" s="15">
        <v>0</v>
      </c>
      <c r="P43" s="15">
        <v>1</v>
      </c>
      <c r="Q43" s="15">
        <v>0</v>
      </c>
      <c r="R43" s="15">
        <v>0</v>
      </c>
      <c r="S43" s="15">
        <v>0</v>
      </c>
    </row>
    <row r="44" spans="5:19" x14ac:dyDescent="0.3">
      <c r="E44" s="50">
        <v>36069</v>
      </c>
      <c r="F44" s="48">
        <f t="shared" si="1"/>
        <v>10</v>
      </c>
      <c r="I44" s="15">
        <v>0</v>
      </c>
      <c r="J44" s="15">
        <v>0</v>
      </c>
      <c r="K44" s="15">
        <v>0</v>
      </c>
      <c r="L44" s="15">
        <v>0</v>
      </c>
      <c r="M44" s="15">
        <v>0</v>
      </c>
      <c r="N44" s="15">
        <v>0</v>
      </c>
      <c r="O44" s="15">
        <v>0</v>
      </c>
      <c r="P44" s="15">
        <v>0</v>
      </c>
      <c r="Q44" s="15">
        <v>1</v>
      </c>
      <c r="R44" s="15">
        <v>0</v>
      </c>
      <c r="S44" s="15">
        <v>0</v>
      </c>
    </row>
    <row r="45" spans="5:19" x14ac:dyDescent="0.3">
      <c r="E45" s="50">
        <v>36100</v>
      </c>
      <c r="F45" s="48">
        <f t="shared" si="1"/>
        <v>11</v>
      </c>
      <c r="I45" s="15">
        <v>0</v>
      </c>
      <c r="J45" s="15">
        <v>0</v>
      </c>
      <c r="K45" s="15">
        <v>0</v>
      </c>
      <c r="L45" s="15">
        <v>0</v>
      </c>
      <c r="M45" s="15">
        <v>0</v>
      </c>
      <c r="N45" s="15">
        <v>0</v>
      </c>
      <c r="O45" s="15">
        <v>0</v>
      </c>
      <c r="P45" s="15">
        <v>0</v>
      </c>
      <c r="Q45" s="15">
        <v>0</v>
      </c>
      <c r="R45" s="15">
        <v>1</v>
      </c>
      <c r="S45" s="15">
        <v>0</v>
      </c>
    </row>
    <row r="46" spans="5:19" x14ac:dyDescent="0.3">
      <c r="E46" s="50">
        <v>36130</v>
      </c>
      <c r="F46" s="48">
        <f t="shared" si="1"/>
        <v>12</v>
      </c>
      <c r="I46" s="15">
        <v>0</v>
      </c>
      <c r="J46" s="15">
        <v>0</v>
      </c>
      <c r="K46" s="15">
        <v>0</v>
      </c>
      <c r="L46" s="15">
        <v>0</v>
      </c>
      <c r="M46" s="15">
        <v>0</v>
      </c>
      <c r="N46" s="15">
        <v>0</v>
      </c>
      <c r="O46" s="15">
        <v>0</v>
      </c>
      <c r="P46" s="15">
        <v>0</v>
      </c>
      <c r="Q46" s="15">
        <v>0</v>
      </c>
      <c r="R46" s="15">
        <v>0</v>
      </c>
      <c r="S46" s="15">
        <v>1</v>
      </c>
    </row>
    <row r="47" spans="5:19" x14ac:dyDescent="0.3">
      <c r="E47" s="50">
        <v>36161</v>
      </c>
      <c r="F47" s="48">
        <f t="shared" si="1"/>
        <v>1</v>
      </c>
      <c r="I47" s="15">
        <v>0</v>
      </c>
      <c r="J47" s="15">
        <v>0</v>
      </c>
      <c r="K47" s="15">
        <v>0</v>
      </c>
      <c r="L47" s="15">
        <v>0</v>
      </c>
      <c r="M47" s="15">
        <v>0</v>
      </c>
      <c r="N47" s="15">
        <v>0</v>
      </c>
      <c r="O47" s="15">
        <v>0</v>
      </c>
      <c r="P47" s="15">
        <v>0</v>
      </c>
      <c r="Q47" s="15">
        <v>0</v>
      </c>
      <c r="R47" s="15">
        <v>0</v>
      </c>
      <c r="S47" s="15">
        <v>0</v>
      </c>
    </row>
    <row r="48" spans="5:19" x14ac:dyDescent="0.3">
      <c r="E48" s="50">
        <v>36192</v>
      </c>
      <c r="F48" s="48">
        <f t="shared" si="1"/>
        <v>2</v>
      </c>
      <c r="I48" s="15">
        <v>1</v>
      </c>
      <c r="J48" s="15">
        <v>0</v>
      </c>
      <c r="K48" s="15">
        <v>0</v>
      </c>
      <c r="L48" s="15">
        <v>0</v>
      </c>
      <c r="M48" s="15">
        <v>0</v>
      </c>
      <c r="N48" s="15">
        <v>0</v>
      </c>
      <c r="O48" s="15">
        <v>0</v>
      </c>
      <c r="P48" s="15">
        <v>0</v>
      </c>
      <c r="Q48" s="15">
        <v>0</v>
      </c>
      <c r="R48" s="15">
        <v>0</v>
      </c>
      <c r="S48" s="15">
        <v>0</v>
      </c>
    </row>
    <row r="49" spans="5:19" x14ac:dyDescent="0.3">
      <c r="E49" s="50">
        <v>36220</v>
      </c>
      <c r="F49" s="48">
        <f t="shared" si="1"/>
        <v>3</v>
      </c>
      <c r="I49" s="15">
        <v>0</v>
      </c>
      <c r="J49" s="15">
        <v>1</v>
      </c>
      <c r="K49" s="15">
        <v>0</v>
      </c>
      <c r="L49" s="15">
        <v>0</v>
      </c>
      <c r="M49" s="15">
        <v>0</v>
      </c>
      <c r="N49" s="15">
        <v>0</v>
      </c>
      <c r="O49" s="15">
        <v>0</v>
      </c>
      <c r="P49" s="15">
        <v>0</v>
      </c>
      <c r="Q49" s="15">
        <v>0</v>
      </c>
      <c r="R49" s="15">
        <v>0</v>
      </c>
      <c r="S49" s="15">
        <v>0</v>
      </c>
    </row>
    <row r="50" spans="5:19" x14ac:dyDescent="0.3">
      <c r="E50" s="50">
        <v>36251</v>
      </c>
      <c r="F50" s="48">
        <f t="shared" si="1"/>
        <v>4</v>
      </c>
      <c r="I50" s="15">
        <v>0</v>
      </c>
      <c r="J50" s="15">
        <v>0</v>
      </c>
      <c r="K50" s="15">
        <v>1</v>
      </c>
      <c r="L50" s="15">
        <v>0</v>
      </c>
      <c r="M50" s="15">
        <v>0</v>
      </c>
      <c r="N50" s="15">
        <v>0</v>
      </c>
      <c r="O50" s="15">
        <v>0</v>
      </c>
      <c r="P50" s="15">
        <v>0</v>
      </c>
      <c r="Q50" s="15">
        <v>0</v>
      </c>
      <c r="R50" s="15">
        <v>0</v>
      </c>
      <c r="S50" s="15">
        <v>0</v>
      </c>
    </row>
    <row r="51" spans="5:19" x14ac:dyDescent="0.3">
      <c r="E51" s="50">
        <v>36281</v>
      </c>
      <c r="F51" s="48">
        <f t="shared" si="1"/>
        <v>5</v>
      </c>
      <c r="I51" s="15">
        <v>0</v>
      </c>
      <c r="J51" s="15">
        <v>0</v>
      </c>
      <c r="K51" s="15">
        <v>0</v>
      </c>
      <c r="L51" s="15">
        <v>1</v>
      </c>
      <c r="M51" s="15">
        <v>0</v>
      </c>
      <c r="N51" s="15">
        <v>0</v>
      </c>
      <c r="O51" s="15">
        <v>0</v>
      </c>
      <c r="P51" s="15">
        <v>0</v>
      </c>
      <c r="Q51" s="15">
        <v>0</v>
      </c>
      <c r="R51" s="15">
        <v>0</v>
      </c>
      <c r="S51" s="15">
        <v>0</v>
      </c>
    </row>
    <row r="52" spans="5:19" x14ac:dyDescent="0.3">
      <c r="E52" s="50">
        <v>36312</v>
      </c>
      <c r="F52" s="48">
        <f t="shared" si="1"/>
        <v>6</v>
      </c>
      <c r="I52" s="15">
        <v>0</v>
      </c>
      <c r="J52" s="15">
        <v>0</v>
      </c>
      <c r="K52" s="15">
        <v>0</v>
      </c>
      <c r="L52" s="15">
        <v>0</v>
      </c>
      <c r="M52" s="15">
        <v>1</v>
      </c>
      <c r="N52" s="15">
        <v>0</v>
      </c>
      <c r="O52" s="15">
        <v>0</v>
      </c>
      <c r="P52" s="15">
        <v>0</v>
      </c>
      <c r="Q52" s="15">
        <v>0</v>
      </c>
      <c r="R52" s="15">
        <v>0</v>
      </c>
      <c r="S52" s="15">
        <v>0</v>
      </c>
    </row>
    <row r="53" spans="5:19" x14ac:dyDescent="0.3">
      <c r="E53" s="50">
        <v>36342</v>
      </c>
      <c r="F53" s="48">
        <f t="shared" si="1"/>
        <v>7</v>
      </c>
      <c r="I53" s="15">
        <v>0</v>
      </c>
      <c r="J53" s="15">
        <v>0</v>
      </c>
      <c r="K53" s="15">
        <v>0</v>
      </c>
      <c r="L53" s="15">
        <v>0</v>
      </c>
      <c r="M53" s="15">
        <v>0</v>
      </c>
      <c r="N53" s="15">
        <v>1</v>
      </c>
      <c r="O53" s="15">
        <v>0</v>
      </c>
      <c r="P53" s="15">
        <v>0</v>
      </c>
      <c r="Q53" s="15">
        <v>0</v>
      </c>
      <c r="R53" s="15">
        <v>0</v>
      </c>
      <c r="S53" s="15">
        <v>0</v>
      </c>
    </row>
    <row r="54" spans="5:19" x14ac:dyDescent="0.3">
      <c r="E54" s="50">
        <v>36373</v>
      </c>
      <c r="F54" s="48">
        <f t="shared" si="1"/>
        <v>8</v>
      </c>
      <c r="I54" s="15">
        <v>0</v>
      </c>
      <c r="J54" s="15">
        <v>0</v>
      </c>
      <c r="K54" s="15">
        <v>0</v>
      </c>
      <c r="L54" s="15">
        <v>0</v>
      </c>
      <c r="M54" s="15">
        <v>0</v>
      </c>
      <c r="N54" s="15">
        <v>0</v>
      </c>
      <c r="O54" s="15">
        <v>1</v>
      </c>
      <c r="P54" s="15">
        <v>0</v>
      </c>
      <c r="Q54" s="15">
        <v>0</v>
      </c>
      <c r="R54" s="15">
        <v>0</v>
      </c>
      <c r="S54" s="15">
        <v>0</v>
      </c>
    </row>
    <row r="55" spans="5:19" x14ac:dyDescent="0.3">
      <c r="E55" s="50">
        <v>36404</v>
      </c>
      <c r="F55" s="48">
        <f t="shared" si="1"/>
        <v>9</v>
      </c>
      <c r="I55" s="15">
        <v>0</v>
      </c>
      <c r="J55" s="15">
        <v>0</v>
      </c>
      <c r="K55" s="15">
        <v>0</v>
      </c>
      <c r="L55" s="15">
        <v>0</v>
      </c>
      <c r="M55" s="15">
        <v>0</v>
      </c>
      <c r="N55" s="15">
        <v>0</v>
      </c>
      <c r="O55" s="15">
        <v>0</v>
      </c>
      <c r="P55" s="15">
        <v>1</v>
      </c>
      <c r="Q55" s="15">
        <v>0</v>
      </c>
      <c r="R55" s="15">
        <v>0</v>
      </c>
      <c r="S55" s="15">
        <v>0</v>
      </c>
    </row>
    <row r="56" spans="5:19" x14ac:dyDescent="0.3">
      <c r="E56" s="50">
        <v>36434</v>
      </c>
      <c r="F56" s="48">
        <f t="shared" si="1"/>
        <v>10</v>
      </c>
      <c r="I56" s="15">
        <v>0</v>
      </c>
      <c r="J56" s="15">
        <v>0</v>
      </c>
      <c r="K56" s="15">
        <v>0</v>
      </c>
      <c r="L56" s="15">
        <v>0</v>
      </c>
      <c r="M56" s="15">
        <v>0</v>
      </c>
      <c r="N56" s="15">
        <v>0</v>
      </c>
      <c r="O56" s="15">
        <v>0</v>
      </c>
      <c r="P56" s="15">
        <v>0</v>
      </c>
      <c r="Q56" s="15">
        <v>1</v>
      </c>
      <c r="R56" s="15">
        <v>0</v>
      </c>
      <c r="S56" s="15">
        <v>0</v>
      </c>
    </row>
    <row r="57" spans="5:19" x14ac:dyDescent="0.3">
      <c r="E57" s="50">
        <v>36465</v>
      </c>
      <c r="F57" s="48">
        <f t="shared" si="1"/>
        <v>11</v>
      </c>
      <c r="I57" s="15">
        <v>0</v>
      </c>
      <c r="J57" s="15">
        <v>0</v>
      </c>
      <c r="K57" s="15">
        <v>0</v>
      </c>
      <c r="L57" s="15">
        <v>0</v>
      </c>
      <c r="M57" s="15">
        <v>0</v>
      </c>
      <c r="N57" s="15">
        <v>0</v>
      </c>
      <c r="O57" s="15">
        <v>0</v>
      </c>
      <c r="P57" s="15">
        <v>0</v>
      </c>
      <c r="Q57" s="15">
        <v>0</v>
      </c>
      <c r="R57" s="15">
        <v>1</v>
      </c>
      <c r="S57" s="15">
        <v>0</v>
      </c>
    </row>
    <row r="58" spans="5:19" x14ac:dyDescent="0.3">
      <c r="E58" s="50">
        <v>36495</v>
      </c>
      <c r="F58" s="48">
        <f t="shared" si="1"/>
        <v>12</v>
      </c>
      <c r="I58" s="15">
        <v>0</v>
      </c>
      <c r="J58" s="15">
        <v>0</v>
      </c>
      <c r="K58" s="15">
        <v>0</v>
      </c>
      <c r="L58" s="15">
        <v>0</v>
      </c>
      <c r="M58" s="15">
        <v>0</v>
      </c>
      <c r="N58" s="15">
        <v>0</v>
      </c>
      <c r="O58" s="15">
        <v>0</v>
      </c>
      <c r="P58" s="15">
        <v>0</v>
      </c>
      <c r="Q58" s="15">
        <v>0</v>
      </c>
      <c r="R58" s="15">
        <v>0</v>
      </c>
      <c r="S58" s="15">
        <v>1</v>
      </c>
    </row>
  </sheetData>
  <pageMargins left="0.511811024" right="0.511811024" top="0.78740157499999996" bottom="0.78740157499999996" header="0.31496062000000002" footer="0.3149606200000000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7C3F2D-A8BC-401E-865C-28CDC3F31F43}">
  <sheetPr codeName="Planilha14">
    <tabColor theme="9" tint="0.59999389629810485"/>
  </sheetPr>
  <dimension ref="A1:U42"/>
  <sheetViews>
    <sheetView showGridLines="0" workbookViewId="0">
      <selection activeCell="G5" sqref="G5"/>
    </sheetView>
  </sheetViews>
  <sheetFormatPr defaultColWidth="8.85546875" defaultRowHeight="18.75" x14ac:dyDescent="0.3"/>
  <cols>
    <col min="1" max="1" width="12.7109375" style="17" customWidth="1"/>
    <col min="2" max="2" width="24.85546875" bestFit="1" customWidth="1"/>
    <col min="4" max="4" width="4.5703125" customWidth="1"/>
    <col min="5" max="5" width="10.140625" bestFit="1" customWidth="1"/>
    <col min="6" max="6" width="10.140625" customWidth="1"/>
    <col min="7" max="8" width="12.42578125" bestFit="1" customWidth="1"/>
    <col min="10" max="12" width="9.42578125" style="51" customWidth="1"/>
    <col min="13" max="21" width="8.85546875" style="15"/>
    <col min="24" max="24" width="8.85546875" customWidth="1"/>
  </cols>
  <sheetData>
    <row r="1" spans="1:21" x14ac:dyDescent="0.3">
      <c r="A1" s="16" t="s">
        <v>171</v>
      </c>
      <c r="J1" s="52"/>
      <c r="K1" s="52"/>
      <c r="L1" s="52"/>
      <c r="M1" s="14"/>
      <c r="N1" s="14"/>
      <c r="O1" s="14"/>
      <c r="P1" s="14"/>
      <c r="Q1" s="14"/>
      <c r="R1" s="14"/>
      <c r="S1" s="14"/>
      <c r="T1" s="14"/>
      <c r="U1" s="14"/>
    </row>
    <row r="2" spans="1:21" x14ac:dyDescent="0.3">
      <c r="A2" s="17" t="s">
        <v>172</v>
      </c>
      <c r="J2" s="52"/>
      <c r="K2" s="52"/>
      <c r="L2" s="52"/>
      <c r="M2" s="14"/>
      <c r="N2" s="14"/>
      <c r="O2" s="14"/>
      <c r="P2" s="14"/>
      <c r="Q2" s="14"/>
      <c r="R2" s="14"/>
      <c r="S2" s="14"/>
      <c r="T2" s="14"/>
      <c r="U2" s="14"/>
    </row>
    <row r="4" spans="1:21" ht="15.75" x14ac:dyDescent="0.25">
      <c r="A4" s="2" t="s">
        <v>15</v>
      </c>
      <c r="B4" s="2" t="s">
        <v>16</v>
      </c>
    </row>
    <row r="5" spans="1:21" ht="47.25" x14ac:dyDescent="0.25">
      <c r="A5" s="23" t="s">
        <v>22</v>
      </c>
      <c r="B5" s="24" t="s">
        <v>461</v>
      </c>
    </row>
    <row r="6" spans="1:21" ht="63" x14ac:dyDescent="0.25">
      <c r="A6" s="23" t="s">
        <v>174</v>
      </c>
      <c r="B6" s="24" t="s">
        <v>460</v>
      </c>
    </row>
    <row r="7" spans="1:21" ht="47.25" x14ac:dyDescent="0.25">
      <c r="A7" s="23" t="s">
        <v>381</v>
      </c>
      <c r="B7" s="24" t="s">
        <v>459</v>
      </c>
    </row>
    <row r="8" spans="1:21" ht="15.75" x14ac:dyDescent="0.25">
      <c r="A8" s="23"/>
      <c r="B8" s="24"/>
    </row>
    <row r="9" spans="1:21" x14ac:dyDescent="0.3">
      <c r="E9" s="132" t="s">
        <v>22</v>
      </c>
      <c r="F9" s="133"/>
      <c r="G9" s="49" t="s">
        <v>173</v>
      </c>
      <c r="H9" s="49" t="s">
        <v>382</v>
      </c>
    </row>
    <row r="10" spans="1:21" x14ac:dyDescent="0.3">
      <c r="E10" s="48">
        <v>1</v>
      </c>
      <c r="F10" s="48">
        <v>2</v>
      </c>
      <c r="G10" s="48">
        <v>1</v>
      </c>
      <c r="H10" s="48"/>
      <c r="J10" s="51" cm="1">
        <f t="array" ref="J10:L18">_xlfn.LAMBDA(_xlpm.matrix,_xlop.position,_xlop.header,
_xlfn.LET(
_xlpm.position, IF( _xlfn.ISOMITTED(_xlpm.position), 1, _xlpm.position),
_xlpm.header, IF( OR( _xlfn.ISOMITTED(_xlpm.header), ISBLANK(_xlpm.header)), FALSE, _xlpm.header),
_xlpm.values, IF( OR( _xlpm.position&lt;1, _xlpm.position&gt;COLUMNS(_xlpm.matrix)+1),
"#position exceeds matrix columns",
IF(_xlpm.position=1,
HORZCAT( ONES(ROWS(_xlpm.matrix),1), SLICE(_xlpm.matrix,0,0,1,-1) ),
IF(_xlpm.position=COLUMNS(_xlpm.matrix)+1,
HORZCAT(_xlpm.matrix, ONES(ROWS(_xlpm.matrix),1) ),
HORZCAT( HORZCAT( SLICE(_xlpm.matrix,0,0,1,_xlpm.position-1), ONES(ROWS(_xlpm.matrix),1) ), SLICE(_xlpm.matrix,0,0,_xlpm.position,-1) )
) ) ),
IF(_xlpm.header=FALSE, _xlpm.values, SLICE(_xlpm.values,1,1,_xlpm.position,_xlpm.position,_xlpm.header) )
) )($E$10:$F$18,$G$10,$H$10)</f>
        <v>1</v>
      </c>
      <c r="K10" s="51">
        <v>1</v>
      </c>
      <c r="L10" s="51">
        <v>2</v>
      </c>
    </row>
    <row r="11" spans="1:21" x14ac:dyDescent="0.3">
      <c r="E11" s="48">
        <v>2</v>
      </c>
      <c r="F11" s="48">
        <v>3</v>
      </c>
      <c r="J11" s="51">
        <v>1</v>
      </c>
      <c r="K11" s="51">
        <v>2</v>
      </c>
      <c r="L11" s="51">
        <v>3</v>
      </c>
    </row>
    <row r="12" spans="1:21" x14ac:dyDescent="0.3">
      <c r="E12" s="48">
        <v>3</v>
      </c>
      <c r="F12" s="48">
        <v>4</v>
      </c>
      <c r="J12" s="51">
        <v>1</v>
      </c>
      <c r="K12" s="51">
        <v>3</v>
      </c>
      <c r="L12" s="51">
        <v>4</v>
      </c>
    </row>
    <row r="13" spans="1:21" ht="18.75" customHeight="1" x14ac:dyDescent="0.3">
      <c r="E13" s="48">
        <v>4</v>
      </c>
      <c r="F13" s="48">
        <v>5</v>
      </c>
      <c r="J13" s="51">
        <v>1</v>
      </c>
      <c r="K13" s="51">
        <v>4</v>
      </c>
      <c r="L13" s="51">
        <v>5</v>
      </c>
    </row>
    <row r="14" spans="1:21" x14ac:dyDescent="0.3">
      <c r="E14" s="48">
        <v>5</v>
      </c>
      <c r="F14" s="48">
        <v>6</v>
      </c>
      <c r="J14" s="51">
        <v>1</v>
      </c>
      <c r="K14" s="51">
        <v>5</v>
      </c>
      <c r="L14" s="51">
        <v>6</v>
      </c>
    </row>
    <row r="15" spans="1:21" x14ac:dyDescent="0.3">
      <c r="E15" s="48">
        <v>6</v>
      </c>
      <c r="F15" s="48">
        <v>7</v>
      </c>
      <c r="J15" s="51">
        <v>1</v>
      </c>
      <c r="K15" s="51">
        <v>6</v>
      </c>
      <c r="L15" s="51">
        <v>7</v>
      </c>
    </row>
    <row r="16" spans="1:21" x14ac:dyDescent="0.3">
      <c r="E16" s="48">
        <v>7</v>
      </c>
      <c r="F16" s="48">
        <v>8</v>
      </c>
      <c r="J16" s="51">
        <v>1</v>
      </c>
      <c r="K16" s="51">
        <v>7</v>
      </c>
      <c r="L16" s="51">
        <v>8</v>
      </c>
    </row>
    <row r="17" spans="5:12" x14ac:dyDescent="0.3">
      <c r="E17" s="48">
        <v>8</v>
      </c>
      <c r="F17" s="48">
        <v>9</v>
      </c>
      <c r="J17" s="51">
        <v>1</v>
      </c>
      <c r="K17" s="51">
        <v>8</v>
      </c>
      <c r="L17" s="51">
        <v>9</v>
      </c>
    </row>
    <row r="18" spans="5:12" x14ac:dyDescent="0.3">
      <c r="E18" s="48">
        <v>9</v>
      </c>
      <c r="F18" s="48">
        <v>10</v>
      </c>
      <c r="J18" s="51">
        <v>1</v>
      </c>
      <c r="K18" s="51">
        <v>9</v>
      </c>
      <c r="L18" s="51">
        <v>10</v>
      </c>
    </row>
    <row r="21" spans="5:12" x14ac:dyDescent="0.3">
      <c r="E21" s="132" t="s">
        <v>22</v>
      </c>
      <c r="F21" s="133"/>
      <c r="G21" s="49" t="s">
        <v>173</v>
      </c>
      <c r="H21" s="49" t="s">
        <v>382</v>
      </c>
    </row>
    <row r="22" spans="5:12" x14ac:dyDescent="0.3">
      <c r="E22" s="48">
        <v>1</v>
      </c>
      <c r="F22" s="48">
        <v>2</v>
      </c>
      <c r="G22" s="48">
        <v>3</v>
      </c>
      <c r="H22" s="48"/>
      <c r="J22" s="51" cm="1">
        <f t="array" ref="J22:L30">ADDCONST($E$22:$F$30, $G$22)</f>
        <v>1</v>
      </c>
      <c r="K22" s="51">
        <v>2</v>
      </c>
      <c r="L22" s="51">
        <v>1</v>
      </c>
    </row>
    <row r="23" spans="5:12" x14ac:dyDescent="0.3">
      <c r="E23" s="48">
        <v>2</v>
      </c>
      <c r="F23" s="48">
        <v>3</v>
      </c>
      <c r="J23" s="51">
        <v>2</v>
      </c>
      <c r="K23" s="51">
        <v>3</v>
      </c>
      <c r="L23" s="51">
        <v>1</v>
      </c>
    </row>
    <row r="24" spans="5:12" x14ac:dyDescent="0.3">
      <c r="E24" s="48">
        <v>3</v>
      </c>
      <c r="F24" s="48">
        <v>4</v>
      </c>
      <c r="J24" s="51">
        <v>3</v>
      </c>
      <c r="K24" s="51">
        <v>4</v>
      </c>
      <c r="L24" s="51">
        <v>1</v>
      </c>
    </row>
    <row r="25" spans="5:12" x14ac:dyDescent="0.3">
      <c r="E25" s="48">
        <v>4</v>
      </c>
      <c r="F25" s="48">
        <v>5</v>
      </c>
      <c r="J25" s="51">
        <v>4</v>
      </c>
      <c r="K25" s="51">
        <v>5</v>
      </c>
      <c r="L25" s="51">
        <v>1</v>
      </c>
    </row>
    <row r="26" spans="5:12" x14ac:dyDescent="0.3">
      <c r="E26" s="48">
        <v>5</v>
      </c>
      <c r="F26" s="48">
        <v>6</v>
      </c>
      <c r="J26" s="51">
        <v>5</v>
      </c>
      <c r="K26" s="51">
        <v>6</v>
      </c>
      <c r="L26" s="51">
        <v>1</v>
      </c>
    </row>
    <row r="27" spans="5:12" x14ac:dyDescent="0.3">
      <c r="E27" s="48">
        <v>6</v>
      </c>
      <c r="F27" s="48">
        <v>7</v>
      </c>
      <c r="J27" s="51">
        <v>6</v>
      </c>
      <c r="K27" s="51">
        <v>7</v>
      </c>
      <c r="L27" s="51">
        <v>1</v>
      </c>
    </row>
    <row r="28" spans="5:12" x14ac:dyDescent="0.3">
      <c r="E28" s="48">
        <v>7</v>
      </c>
      <c r="F28" s="48">
        <v>8</v>
      </c>
      <c r="J28" s="51">
        <v>7</v>
      </c>
      <c r="K28" s="51">
        <v>8</v>
      </c>
      <c r="L28" s="51">
        <v>1</v>
      </c>
    </row>
    <row r="29" spans="5:12" x14ac:dyDescent="0.3">
      <c r="E29" s="48">
        <v>8</v>
      </c>
      <c r="F29" s="48">
        <v>9</v>
      </c>
      <c r="J29" s="51">
        <v>8</v>
      </c>
      <c r="K29" s="51">
        <v>9</v>
      </c>
      <c r="L29" s="51">
        <v>1</v>
      </c>
    </row>
    <row r="30" spans="5:12" x14ac:dyDescent="0.3">
      <c r="E30" s="48">
        <v>9</v>
      </c>
      <c r="F30" s="48">
        <v>10</v>
      </c>
      <c r="J30" s="51">
        <v>9</v>
      </c>
      <c r="K30" s="51">
        <v>10</v>
      </c>
      <c r="L30" s="51">
        <v>1</v>
      </c>
    </row>
    <row r="33" spans="5:12" x14ac:dyDescent="0.3">
      <c r="E33" s="132" t="s">
        <v>22</v>
      </c>
      <c r="F33" s="133"/>
      <c r="G33" s="49" t="s">
        <v>173</v>
      </c>
      <c r="H33" s="49" t="s">
        <v>382</v>
      </c>
    </row>
    <row r="34" spans="5:12" x14ac:dyDescent="0.3">
      <c r="E34" s="48" t="s">
        <v>383</v>
      </c>
      <c r="F34" s="48" t="s">
        <v>384</v>
      </c>
      <c r="G34" s="48">
        <v>3</v>
      </c>
      <c r="H34" s="48" t="s">
        <v>146</v>
      </c>
      <c r="J34" s="51" t="str" cm="1">
        <f t="array" ref="J34:L42">ADDCONST($E$34:$F$42, $G$34, $H$34)</f>
        <v>col A</v>
      </c>
      <c r="K34" s="51" t="str">
        <v>col B</v>
      </c>
      <c r="L34" s="51" t="str">
        <v>const</v>
      </c>
    </row>
    <row r="35" spans="5:12" x14ac:dyDescent="0.3">
      <c r="E35" s="48">
        <v>2</v>
      </c>
      <c r="F35" s="48">
        <v>3</v>
      </c>
      <c r="J35" s="51">
        <v>2</v>
      </c>
      <c r="K35" s="51">
        <v>3</v>
      </c>
      <c r="L35" s="51">
        <v>1</v>
      </c>
    </row>
    <row r="36" spans="5:12" x14ac:dyDescent="0.3">
      <c r="E36" s="48">
        <v>3</v>
      </c>
      <c r="F36" s="48">
        <v>4</v>
      </c>
      <c r="J36" s="51">
        <v>3</v>
      </c>
      <c r="K36" s="51">
        <v>4</v>
      </c>
      <c r="L36" s="51">
        <v>1</v>
      </c>
    </row>
    <row r="37" spans="5:12" x14ac:dyDescent="0.3">
      <c r="E37" s="48">
        <v>4</v>
      </c>
      <c r="F37" s="48">
        <v>5</v>
      </c>
      <c r="J37" s="51">
        <v>4</v>
      </c>
      <c r="K37" s="51">
        <v>5</v>
      </c>
      <c r="L37" s="51">
        <v>1</v>
      </c>
    </row>
    <row r="38" spans="5:12" x14ac:dyDescent="0.3">
      <c r="E38" s="48">
        <v>5</v>
      </c>
      <c r="F38" s="48">
        <v>6</v>
      </c>
      <c r="J38" s="51">
        <v>5</v>
      </c>
      <c r="K38" s="51">
        <v>6</v>
      </c>
      <c r="L38" s="51">
        <v>1</v>
      </c>
    </row>
    <row r="39" spans="5:12" x14ac:dyDescent="0.3">
      <c r="E39" s="48">
        <v>6</v>
      </c>
      <c r="F39" s="48">
        <v>7</v>
      </c>
      <c r="J39" s="51">
        <v>6</v>
      </c>
      <c r="K39" s="51">
        <v>7</v>
      </c>
      <c r="L39" s="51">
        <v>1</v>
      </c>
    </row>
    <row r="40" spans="5:12" x14ac:dyDescent="0.3">
      <c r="E40" s="48">
        <v>7</v>
      </c>
      <c r="F40" s="48">
        <v>8</v>
      </c>
      <c r="J40" s="51">
        <v>7</v>
      </c>
      <c r="K40" s="51">
        <v>8</v>
      </c>
      <c r="L40" s="51">
        <v>1</v>
      </c>
    </row>
    <row r="41" spans="5:12" x14ac:dyDescent="0.3">
      <c r="E41" s="48">
        <v>8</v>
      </c>
      <c r="F41" s="48">
        <v>9</v>
      </c>
      <c r="J41" s="51">
        <v>8</v>
      </c>
      <c r="K41" s="51">
        <v>9</v>
      </c>
      <c r="L41" s="51">
        <v>1</v>
      </c>
    </row>
    <row r="42" spans="5:12" x14ac:dyDescent="0.3">
      <c r="E42" s="48">
        <v>9</v>
      </c>
      <c r="F42" s="48">
        <v>10</v>
      </c>
      <c r="J42" s="51">
        <v>9</v>
      </c>
      <c r="K42" s="51">
        <v>10</v>
      </c>
      <c r="L42" s="51">
        <v>1</v>
      </c>
    </row>
  </sheetData>
  <mergeCells count="3">
    <mergeCell ref="E9:F9"/>
    <mergeCell ref="E21:F21"/>
    <mergeCell ref="E33:F33"/>
  </mergeCells>
  <pageMargins left="0.511811024" right="0.511811024" top="0.78740157499999996" bottom="0.78740157499999996" header="0.31496062000000002" footer="0.3149606200000000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C4CDC0-8161-4FBD-9F0A-BB3D4A32450B}">
  <sheetPr codeName="Planilha15">
    <tabColor theme="9" tint="0.59999389629810485"/>
  </sheetPr>
  <dimension ref="A1:V45"/>
  <sheetViews>
    <sheetView showGridLines="0" workbookViewId="0">
      <selection activeCell="K11" sqref="K11"/>
    </sheetView>
  </sheetViews>
  <sheetFormatPr defaultColWidth="8.85546875" defaultRowHeight="18.75" x14ac:dyDescent="0.3"/>
  <cols>
    <col min="1" max="1" width="12.7109375" style="17" customWidth="1"/>
    <col min="2" max="2" width="24.85546875" bestFit="1" customWidth="1"/>
    <col min="4" max="4" width="4.5703125" customWidth="1"/>
    <col min="5" max="5" width="10.140625" bestFit="1" customWidth="1"/>
    <col min="6" max="6" width="10.140625" customWidth="1"/>
    <col min="7" max="9" width="12.42578125" bestFit="1" customWidth="1"/>
    <col min="11" max="13" width="9.42578125" style="51" customWidth="1"/>
    <col min="14" max="22" width="8.85546875" style="15"/>
    <col min="25" max="25" width="8.85546875" customWidth="1"/>
  </cols>
  <sheetData>
    <row r="1" spans="1:22" x14ac:dyDescent="0.3">
      <c r="A1" s="16" t="s">
        <v>175</v>
      </c>
      <c r="K1" s="52"/>
      <c r="L1" s="52"/>
      <c r="M1" s="52"/>
      <c r="N1" s="14"/>
      <c r="O1" s="14"/>
      <c r="P1" s="14"/>
      <c r="Q1" s="14"/>
      <c r="R1" s="14"/>
      <c r="S1" s="14"/>
      <c r="T1" s="14"/>
      <c r="U1" s="14"/>
      <c r="V1" s="14"/>
    </row>
    <row r="2" spans="1:22" x14ac:dyDescent="0.3">
      <c r="A2" s="17" t="s">
        <v>176</v>
      </c>
      <c r="K2" s="52"/>
      <c r="L2" s="52"/>
      <c r="M2" s="52"/>
      <c r="N2" s="14"/>
      <c r="O2" s="14"/>
      <c r="P2" s="14"/>
      <c r="Q2" s="14"/>
      <c r="R2" s="14"/>
      <c r="S2" s="14"/>
      <c r="T2" s="14"/>
      <c r="U2" s="14"/>
      <c r="V2" s="14"/>
    </row>
    <row r="4" spans="1:22" ht="15.75" x14ac:dyDescent="0.25">
      <c r="A4" s="2" t="s">
        <v>15</v>
      </c>
      <c r="B4" s="2" t="s">
        <v>16</v>
      </c>
    </row>
    <row r="5" spans="1:22" ht="63" x14ac:dyDescent="0.25">
      <c r="A5" s="23" t="s">
        <v>22</v>
      </c>
      <c r="B5" s="24" t="s">
        <v>892</v>
      </c>
    </row>
    <row r="6" spans="1:22" ht="78.75" x14ac:dyDescent="0.25">
      <c r="A6" s="23" t="s">
        <v>174</v>
      </c>
      <c r="B6" s="24" t="s">
        <v>893</v>
      </c>
    </row>
    <row r="7" spans="1:22" ht="47.25" x14ac:dyDescent="0.25">
      <c r="A7" s="23" t="s">
        <v>182</v>
      </c>
      <c r="B7" s="24" t="s">
        <v>894</v>
      </c>
    </row>
    <row r="8" spans="1:22" ht="47.25" x14ac:dyDescent="0.25">
      <c r="A8" s="23" t="s">
        <v>381</v>
      </c>
      <c r="B8" s="24" t="s">
        <v>891</v>
      </c>
    </row>
    <row r="9" spans="1:22" ht="15.75" x14ac:dyDescent="0.25">
      <c r="A9" s="23"/>
      <c r="B9" s="24"/>
    </row>
    <row r="10" spans="1:22" x14ac:dyDescent="0.3">
      <c r="E10" s="132" t="s">
        <v>22</v>
      </c>
      <c r="F10" s="133"/>
      <c r="G10" s="49" t="s">
        <v>174</v>
      </c>
      <c r="H10" s="49" t="s">
        <v>895</v>
      </c>
      <c r="I10" s="49" t="s">
        <v>381</v>
      </c>
    </row>
    <row r="11" spans="1:22" x14ac:dyDescent="0.3">
      <c r="E11" s="48">
        <v>42</v>
      </c>
      <c r="F11" s="48">
        <v>49</v>
      </c>
      <c r="G11" s="48">
        <v>1</v>
      </c>
      <c r="H11" s="48">
        <v>1</v>
      </c>
      <c r="I11" s="48"/>
      <c r="K11" s="51" cm="1">
        <f t="array" ref="K11:M19">_xlfn.LAMBDA(_xlpm.matrix,_xlop.position,_xlop.nPower,_xlop.header,
_xlfn.LET(
_xlpm.position, IF( OR( _xlfn.ISOMITTED(_xlpm.position), ISBLANK(_xlpm.position)), 1, _xlpm.position),
_xlpm.nPower, IF( OR( _xlfn.ISOMITTED(_xlpm.nPower), ISBLANK(_xlpm.nPower)), 1, _xlpm.nPower),
_xlpm.header, IF( OR( _xlfn.ISOMITTED(_xlpm.header), ISBLANK(_xlpm.header)), FALSE, _xlpm.header),
_xlpm.values, IF( OR( _xlpm.position&lt;1, _xlpm.position&gt;COLUMNS(_xlpm.matrix)+1),
"#position exceeds matrix columns",
IF(_xlpm.position=1,
HORZCAT( _xlfn.SEQUENCE(ROWS(_xlpm.matrix),1,IF(_xlpm.header=FALSE,1,0))^_xlpm.nPower, SLICE(_xlpm.matrix,0,0,1,-1) ),
IF(_xlpm.position=COLUMNS(_xlpm.matrix)+1,
HORZCAT(_xlpm.matrix, _xlfn.SEQUENCE(ROWS(_xlpm.matrix),1,IF(_xlpm.header=FALSE,1,0))^_xlpm.nPower ),
HORZCAT( HORZCAT( SLICE(_xlpm.matrix,0,0,1,_xlpm.position-1), _xlfn.SEQUENCE(ROWS(_xlpm.matrix),1,IF(_xlpm.header=FALSE,1,0))^_xlpm.nPower ), SLICE(_xlpm.matrix,0,0,_xlpm.position,-1) )
) ) ),
IF(_xlpm.header=FALSE, _xlpm.values, SLICE(_xlpm.values,1,1,_xlpm.position,_xlpm.position,_xlpm.header) )
) )($E$11:$F$19,$G$11,$H$11,$I$11)</f>
        <v>1</v>
      </c>
      <c r="L11" s="51">
        <v>42</v>
      </c>
      <c r="M11" s="51">
        <v>49</v>
      </c>
      <c r="O11" s="54"/>
    </row>
    <row r="12" spans="1:22" x14ac:dyDescent="0.3">
      <c r="E12" s="48">
        <v>19</v>
      </c>
      <c r="F12" s="48">
        <v>40</v>
      </c>
      <c r="K12" s="51">
        <v>2</v>
      </c>
      <c r="L12" s="51">
        <v>19</v>
      </c>
      <c r="M12" s="51">
        <v>40</v>
      </c>
    </row>
    <row r="13" spans="1:22" x14ac:dyDescent="0.3">
      <c r="E13" s="48">
        <v>76</v>
      </c>
      <c r="F13" s="48">
        <v>86</v>
      </c>
      <c r="K13" s="51">
        <v>3</v>
      </c>
      <c r="L13" s="51">
        <v>76</v>
      </c>
      <c r="M13" s="51">
        <v>86</v>
      </c>
    </row>
    <row r="14" spans="1:22" ht="18.75" customHeight="1" x14ac:dyDescent="0.3">
      <c r="E14" s="48">
        <v>5</v>
      </c>
      <c r="F14" s="48">
        <v>48</v>
      </c>
      <c r="K14" s="51">
        <v>4</v>
      </c>
      <c r="L14" s="51">
        <v>5</v>
      </c>
      <c r="M14" s="51">
        <v>48</v>
      </c>
    </row>
    <row r="15" spans="1:22" x14ac:dyDescent="0.3">
      <c r="E15" s="48">
        <v>94</v>
      </c>
      <c r="F15" s="48">
        <v>15</v>
      </c>
      <c r="K15" s="51">
        <v>5</v>
      </c>
      <c r="L15" s="51">
        <v>94</v>
      </c>
      <c r="M15" s="51">
        <v>15</v>
      </c>
    </row>
    <row r="16" spans="1:22" x14ac:dyDescent="0.3">
      <c r="E16" s="48">
        <v>75</v>
      </c>
      <c r="F16" s="48">
        <v>71</v>
      </c>
      <c r="K16" s="51">
        <v>6</v>
      </c>
      <c r="L16" s="51">
        <v>75</v>
      </c>
      <c r="M16" s="51">
        <v>71</v>
      </c>
    </row>
    <row r="17" spans="5:13" x14ac:dyDescent="0.3">
      <c r="E17" s="48">
        <v>17</v>
      </c>
      <c r="F17" s="48">
        <v>84</v>
      </c>
      <c r="K17" s="51">
        <v>7</v>
      </c>
      <c r="L17" s="51">
        <v>17</v>
      </c>
      <c r="M17" s="51">
        <v>84</v>
      </c>
    </row>
    <row r="18" spans="5:13" x14ac:dyDescent="0.3">
      <c r="E18" s="48">
        <v>21</v>
      </c>
      <c r="F18" s="48">
        <v>68</v>
      </c>
      <c r="K18" s="51">
        <v>8</v>
      </c>
      <c r="L18" s="51">
        <v>21</v>
      </c>
      <c r="M18" s="51">
        <v>68</v>
      </c>
    </row>
    <row r="19" spans="5:13" x14ac:dyDescent="0.3">
      <c r="E19" s="48">
        <v>16</v>
      </c>
      <c r="F19" s="48">
        <v>55</v>
      </c>
      <c r="K19" s="51">
        <v>9</v>
      </c>
      <c r="L19" s="51">
        <v>16</v>
      </c>
      <c r="M19" s="51">
        <v>55</v>
      </c>
    </row>
    <row r="23" spans="5:13" x14ac:dyDescent="0.3">
      <c r="E23" s="132" t="s">
        <v>22</v>
      </c>
      <c r="F23" s="133"/>
      <c r="G23" s="49" t="s">
        <v>174</v>
      </c>
      <c r="H23" s="49" t="s">
        <v>895</v>
      </c>
      <c r="I23" s="49" t="s">
        <v>381</v>
      </c>
    </row>
    <row r="24" spans="5:13" x14ac:dyDescent="0.3">
      <c r="E24" s="48">
        <v>42</v>
      </c>
      <c r="F24" s="48">
        <v>49</v>
      </c>
      <c r="G24" s="48">
        <v>3</v>
      </c>
      <c r="H24" s="48">
        <v>2</v>
      </c>
      <c r="I24" s="48"/>
      <c r="K24" s="51" cm="1">
        <f t="array" ref="K24:M32">ADDTREND($E$24:$F$32, $G$24,$H$24,$I$24)</f>
        <v>42</v>
      </c>
      <c r="L24" s="51">
        <v>49</v>
      </c>
      <c r="M24" s="51">
        <v>1</v>
      </c>
    </row>
    <row r="25" spans="5:13" x14ac:dyDescent="0.3">
      <c r="E25" s="48">
        <v>19</v>
      </c>
      <c r="F25" s="48">
        <v>40</v>
      </c>
      <c r="K25" s="51">
        <v>19</v>
      </c>
      <c r="L25" s="51">
        <v>40</v>
      </c>
      <c r="M25" s="51">
        <v>4</v>
      </c>
    </row>
    <row r="26" spans="5:13" x14ac:dyDescent="0.3">
      <c r="E26" s="48">
        <v>76</v>
      </c>
      <c r="F26" s="48">
        <v>86</v>
      </c>
      <c r="K26" s="51">
        <v>76</v>
      </c>
      <c r="L26" s="51">
        <v>86</v>
      </c>
      <c r="M26" s="51">
        <v>9</v>
      </c>
    </row>
    <row r="27" spans="5:13" x14ac:dyDescent="0.3">
      <c r="E27" s="48">
        <v>5</v>
      </c>
      <c r="F27" s="48">
        <v>48</v>
      </c>
      <c r="K27" s="51">
        <v>5</v>
      </c>
      <c r="L27" s="51">
        <v>48</v>
      </c>
      <c r="M27" s="51">
        <v>16</v>
      </c>
    </row>
    <row r="28" spans="5:13" x14ac:dyDescent="0.3">
      <c r="E28" s="48">
        <v>94</v>
      </c>
      <c r="F28" s="48">
        <v>15</v>
      </c>
      <c r="K28" s="51">
        <v>94</v>
      </c>
      <c r="L28" s="51">
        <v>15</v>
      </c>
      <c r="M28" s="51">
        <v>25</v>
      </c>
    </row>
    <row r="29" spans="5:13" x14ac:dyDescent="0.3">
      <c r="E29" s="48">
        <v>75</v>
      </c>
      <c r="F29" s="48">
        <v>71</v>
      </c>
      <c r="K29" s="51">
        <v>75</v>
      </c>
      <c r="L29" s="51">
        <v>71</v>
      </c>
      <c r="M29" s="51">
        <v>36</v>
      </c>
    </row>
    <row r="30" spans="5:13" x14ac:dyDescent="0.3">
      <c r="E30" s="48">
        <v>17</v>
      </c>
      <c r="F30" s="48">
        <v>84</v>
      </c>
      <c r="K30" s="51">
        <v>17</v>
      </c>
      <c r="L30" s="51">
        <v>84</v>
      </c>
      <c r="M30" s="51">
        <v>49</v>
      </c>
    </row>
    <row r="31" spans="5:13" x14ac:dyDescent="0.3">
      <c r="E31" s="48">
        <v>21</v>
      </c>
      <c r="F31" s="48">
        <v>68</v>
      </c>
      <c r="K31" s="51">
        <v>21</v>
      </c>
      <c r="L31" s="51">
        <v>68</v>
      </c>
      <c r="M31" s="51">
        <v>64</v>
      </c>
    </row>
    <row r="32" spans="5:13" x14ac:dyDescent="0.3">
      <c r="E32" s="48">
        <v>16</v>
      </c>
      <c r="F32" s="48">
        <v>55</v>
      </c>
      <c r="K32" s="51">
        <v>16</v>
      </c>
      <c r="L32" s="51">
        <v>55</v>
      </c>
      <c r="M32" s="51">
        <v>81</v>
      </c>
    </row>
    <row r="35" spans="5:13" x14ac:dyDescent="0.3">
      <c r="E35" s="132" t="s">
        <v>22</v>
      </c>
      <c r="F35" s="133"/>
      <c r="G35" s="49" t="s">
        <v>174</v>
      </c>
      <c r="H35" s="49" t="s">
        <v>895</v>
      </c>
      <c r="I35" s="49" t="s">
        <v>381</v>
      </c>
    </row>
    <row r="36" spans="5:13" x14ac:dyDescent="0.3">
      <c r="E36" s="48" t="s">
        <v>896</v>
      </c>
      <c r="F36" s="48" t="s">
        <v>897</v>
      </c>
      <c r="G36" s="48">
        <v>3</v>
      </c>
      <c r="H36" s="48">
        <v>2</v>
      </c>
      <c r="I36" s="48" t="s">
        <v>203</v>
      </c>
      <c r="K36" s="51" t="str" cm="1">
        <f t="array" ref="K36:M45">ADDTREND($E$36:$F$45, $G$36,$H$36,$I$36)</f>
        <v>colA</v>
      </c>
      <c r="L36" s="51" t="str">
        <v>colB</v>
      </c>
      <c r="M36" s="51" t="str">
        <v>trend</v>
      </c>
    </row>
    <row r="37" spans="5:13" x14ac:dyDescent="0.3">
      <c r="E37" s="48">
        <v>42</v>
      </c>
      <c r="F37" s="48">
        <v>49</v>
      </c>
      <c r="K37" s="51">
        <v>42</v>
      </c>
      <c r="L37" s="51">
        <v>49</v>
      </c>
      <c r="M37" s="51">
        <v>1</v>
      </c>
    </row>
    <row r="38" spans="5:13" x14ac:dyDescent="0.3">
      <c r="E38" s="48">
        <v>19</v>
      </c>
      <c r="F38" s="48">
        <v>40</v>
      </c>
      <c r="K38" s="51">
        <v>19</v>
      </c>
      <c r="L38" s="51">
        <v>40</v>
      </c>
      <c r="M38" s="51">
        <v>4</v>
      </c>
    </row>
    <row r="39" spans="5:13" x14ac:dyDescent="0.3">
      <c r="E39" s="48">
        <v>76</v>
      </c>
      <c r="F39" s="48">
        <v>86</v>
      </c>
      <c r="K39" s="51">
        <v>76</v>
      </c>
      <c r="L39" s="51">
        <v>86</v>
      </c>
      <c r="M39" s="51">
        <v>9</v>
      </c>
    </row>
    <row r="40" spans="5:13" x14ac:dyDescent="0.3">
      <c r="E40" s="48">
        <v>5</v>
      </c>
      <c r="F40" s="48">
        <v>48</v>
      </c>
      <c r="K40" s="51">
        <v>5</v>
      </c>
      <c r="L40" s="51">
        <v>48</v>
      </c>
      <c r="M40" s="51">
        <v>16</v>
      </c>
    </row>
    <row r="41" spans="5:13" x14ac:dyDescent="0.3">
      <c r="E41" s="48">
        <v>94</v>
      </c>
      <c r="F41" s="48">
        <v>15</v>
      </c>
      <c r="K41" s="51">
        <v>94</v>
      </c>
      <c r="L41" s="51">
        <v>15</v>
      </c>
      <c r="M41" s="51">
        <v>25</v>
      </c>
    </row>
    <row r="42" spans="5:13" x14ac:dyDescent="0.3">
      <c r="E42" s="48">
        <v>75</v>
      </c>
      <c r="F42" s="48">
        <v>71</v>
      </c>
      <c r="K42" s="51">
        <v>75</v>
      </c>
      <c r="L42" s="51">
        <v>71</v>
      </c>
      <c r="M42" s="51">
        <v>36</v>
      </c>
    </row>
    <row r="43" spans="5:13" x14ac:dyDescent="0.3">
      <c r="E43" s="48">
        <v>17</v>
      </c>
      <c r="F43" s="48">
        <v>84</v>
      </c>
      <c r="K43" s="51">
        <v>17</v>
      </c>
      <c r="L43" s="51">
        <v>84</v>
      </c>
      <c r="M43" s="51">
        <v>49</v>
      </c>
    </row>
    <row r="44" spans="5:13" x14ac:dyDescent="0.3">
      <c r="E44" s="48">
        <v>21</v>
      </c>
      <c r="F44" s="48">
        <v>68</v>
      </c>
      <c r="K44" s="51">
        <v>21</v>
      </c>
      <c r="L44" s="51">
        <v>68</v>
      </c>
      <c r="M44" s="51">
        <v>64</v>
      </c>
    </row>
    <row r="45" spans="5:13" x14ac:dyDescent="0.3">
      <c r="E45" s="48">
        <v>16</v>
      </c>
      <c r="F45" s="48">
        <v>55</v>
      </c>
      <c r="K45" s="51">
        <v>16</v>
      </c>
      <c r="L45" s="51">
        <v>55</v>
      </c>
      <c r="M45" s="51">
        <v>81</v>
      </c>
    </row>
  </sheetData>
  <mergeCells count="3">
    <mergeCell ref="E10:F10"/>
    <mergeCell ref="E23:F23"/>
    <mergeCell ref="E35:F35"/>
  </mergeCells>
  <pageMargins left="0.511811024" right="0.511811024" top="0.78740157499999996" bottom="0.78740157499999996" header="0.31496062000000002" footer="0.3149606200000000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612DD-214F-45C9-A065-A8C17036A910}">
  <sheetPr>
    <tabColor theme="9" tint="0.59999389629810485"/>
  </sheetPr>
  <dimension ref="A1:U43"/>
  <sheetViews>
    <sheetView showGridLines="0" workbookViewId="0">
      <selection activeCell="B7" sqref="B7"/>
    </sheetView>
  </sheetViews>
  <sheetFormatPr defaultColWidth="8.85546875" defaultRowHeight="18.75" x14ac:dyDescent="0.3"/>
  <cols>
    <col min="1" max="1" width="12.7109375" style="17" customWidth="1"/>
    <col min="2" max="2" width="31.42578125" customWidth="1"/>
    <col min="4" max="4" width="4.5703125" customWidth="1"/>
    <col min="5" max="5" width="10.140625" bestFit="1" customWidth="1"/>
    <col min="6" max="6" width="10.140625" customWidth="1"/>
    <col min="7" max="8" width="12.42578125" bestFit="1" customWidth="1"/>
    <col min="10" max="10" width="12.42578125" style="51" customWidth="1"/>
    <col min="11" max="12" width="9.42578125" style="51" customWidth="1"/>
    <col min="13" max="21" width="8.85546875" style="15"/>
    <col min="24" max="24" width="8.85546875" customWidth="1"/>
  </cols>
  <sheetData>
    <row r="1" spans="1:21" x14ac:dyDescent="0.3">
      <c r="A1" s="16" t="s">
        <v>910</v>
      </c>
      <c r="J1" s="52"/>
      <c r="K1" s="52"/>
      <c r="L1" s="52"/>
      <c r="M1" s="14"/>
      <c r="N1" s="14"/>
      <c r="O1" s="14"/>
      <c r="P1" s="14"/>
      <c r="Q1" s="14"/>
      <c r="R1" s="14"/>
      <c r="S1" s="14"/>
      <c r="T1" s="14"/>
      <c r="U1" s="14"/>
    </row>
    <row r="2" spans="1:21" x14ac:dyDescent="0.3">
      <c r="A2" s="17" t="s">
        <v>911</v>
      </c>
      <c r="J2" s="52"/>
      <c r="K2" s="52"/>
      <c r="L2" s="52"/>
      <c r="M2" s="14"/>
      <c r="N2" s="14"/>
      <c r="O2" s="14"/>
      <c r="P2" s="14"/>
      <c r="Q2" s="14"/>
      <c r="R2" s="14"/>
      <c r="S2" s="14"/>
      <c r="T2" s="14"/>
      <c r="U2" s="14"/>
    </row>
    <row r="4" spans="1:21" ht="15.75" x14ac:dyDescent="0.25">
      <c r="A4" s="2" t="s">
        <v>15</v>
      </c>
      <c r="B4" s="2" t="s">
        <v>16</v>
      </c>
    </row>
    <row r="5" spans="1:21" ht="15.75" x14ac:dyDescent="0.25">
      <c r="A5" s="23" t="s">
        <v>22</v>
      </c>
      <c r="B5" s="24" t="s">
        <v>22</v>
      </c>
    </row>
    <row r="6" spans="1:21" ht="45" customHeight="1" x14ac:dyDescent="0.25">
      <c r="A6" s="23" t="s">
        <v>86</v>
      </c>
      <c r="B6" s="26" t="s">
        <v>914</v>
      </c>
    </row>
    <row r="7" spans="1:21" ht="15.75" x14ac:dyDescent="0.25">
      <c r="A7" s="23" t="s">
        <v>912</v>
      </c>
      <c r="B7" s="26" t="s">
        <v>913</v>
      </c>
    </row>
    <row r="8" spans="1:21" ht="15.75" x14ac:dyDescent="0.25">
      <c r="A8" s="23"/>
      <c r="B8" s="26"/>
    </row>
    <row r="9" spans="1:21" ht="15.75" x14ac:dyDescent="0.25">
      <c r="A9" s="23"/>
      <c r="B9" s="24"/>
    </row>
    <row r="10" spans="1:21" x14ac:dyDescent="0.3">
      <c r="E10" s="132" t="s">
        <v>22</v>
      </c>
      <c r="F10" s="133"/>
      <c r="G10" s="49" t="s">
        <v>86</v>
      </c>
      <c r="H10" s="49" t="s">
        <v>912</v>
      </c>
    </row>
    <row r="11" spans="1:21" x14ac:dyDescent="0.3">
      <c r="E11" s="48">
        <v>1</v>
      </c>
      <c r="F11" s="48">
        <v>2</v>
      </c>
      <c r="G11" s="48">
        <v>1</v>
      </c>
      <c r="H11" s="48"/>
      <c r="J11" s="51" t="b" cm="1">
        <f t="array" ref="J11">_xlfn.LAMBDA(_xlpm.matrix,_xlop.dim,_xlop.hasHeader,
_xlfn.LET(
_xlpm.dim, IF(OR(_xlfn.ISOMITTED(_xlpm.dim),ISBLANK(_xlpm.dim)), 1, _xlpm.dim),
_xlpm.hasHeader, IF(OR(_xlfn.ISOMITTED(_xlpm.hasHeader),ISBLANK(_xlpm.hasHeader)), FALSE, _xlpm.hasHeader),
IF(_xlpm.dim=1,
SUM(1*_xlfn.BYCOL(INDEX(_xlpm.matrix,1+1*_xlpm.hasHeader,0)=_xlfn.DROP(_xlpm.matrix,1*_xlpm.hasHeader), _xlfn.LAMBDA(_xlpm.col, SUM(1*_xlpm.col)=ROWS(_xlpm.col))))&gt;=1,
SUM(1*_xlfn.BYROW(INDEX(_xlpm.matrix,0,1+1*_xlpm.hasHeader)=_xlfn.DROP(_xlpm.matrix,0,1*_xlpm.hasHeader), _xlfn.LAMBDA(_xlpm.row, SUM(1*_xlpm.row)=COLUMNS(_xlpm.row))))&gt;=1
)
))($E$11:$F$19,$G$11,$H$11)</f>
        <v>1</v>
      </c>
    </row>
    <row r="12" spans="1:21" x14ac:dyDescent="0.3">
      <c r="E12" s="48">
        <v>1</v>
      </c>
      <c r="F12" s="48">
        <v>3</v>
      </c>
    </row>
    <row r="13" spans="1:21" x14ac:dyDescent="0.3">
      <c r="E13" s="48">
        <v>1</v>
      </c>
      <c r="F13" s="48">
        <v>4</v>
      </c>
    </row>
    <row r="14" spans="1:21" ht="18.75" customHeight="1" x14ac:dyDescent="0.3">
      <c r="E14" s="48">
        <v>1</v>
      </c>
      <c r="F14" s="48">
        <v>5</v>
      </c>
    </row>
    <row r="15" spans="1:21" x14ac:dyDescent="0.3">
      <c r="E15" s="48">
        <v>1</v>
      </c>
      <c r="F15" s="48">
        <v>6</v>
      </c>
    </row>
    <row r="16" spans="1:21" x14ac:dyDescent="0.3">
      <c r="E16" s="48">
        <v>1</v>
      </c>
      <c r="F16" s="48">
        <v>7</v>
      </c>
    </row>
    <row r="17" spans="1:12" x14ac:dyDescent="0.3">
      <c r="E17" s="48">
        <v>1</v>
      </c>
      <c r="F17" s="48">
        <v>8</v>
      </c>
    </row>
    <row r="18" spans="1:12" s="15" customFormat="1" x14ac:dyDescent="0.3">
      <c r="A18" s="17"/>
      <c r="B18"/>
      <c r="C18"/>
      <c r="D18"/>
      <c r="E18" s="48">
        <v>1</v>
      </c>
      <c r="F18" s="48">
        <v>9</v>
      </c>
      <c r="G18"/>
      <c r="H18"/>
      <c r="I18"/>
      <c r="J18" s="51"/>
      <c r="K18" s="51"/>
      <c r="L18" s="51"/>
    </row>
    <row r="19" spans="1:12" s="15" customFormat="1" x14ac:dyDescent="0.3">
      <c r="A19" s="17"/>
      <c r="B19"/>
      <c r="C19"/>
      <c r="D19"/>
      <c r="E19" s="48">
        <v>1</v>
      </c>
      <c r="F19" s="48">
        <v>10</v>
      </c>
      <c r="G19"/>
      <c r="H19"/>
      <c r="I19"/>
      <c r="J19" s="51"/>
      <c r="K19" s="51"/>
      <c r="L19" s="51"/>
    </row>
    <row r="22" spans="1:12" s="15" customFormat="1" x14ac:dyDescent="0.3">
      <c r="A22" s="17"/>
      <c r="B22"/>
      <c r="C22"/>
      <c r="D22"/>
      <c r="E22" s="132" t="s">
        <v>22</v>
      </c>
      <c r="F22" s="133"/>
      <c r="G22" s="49" t="s">
        <v>86</v>
      </c>
      <c r="H22" s="49" t="s">
        <v>912</v>
      </c>
      <c r="I22"/>
      <c r="J22" s="51"/>
      <c r="K22" s="51"/>
      <c r="L22" s="51"/>
    </row>
    <row r="23" spans="1:12" s="15" customFormat="1" x14ac:dyDescent="0.3">
      <c r="A23" s="17"/>
      <c r="B23"/>
      <c r="C23"/>
      <c r="D23"/>
      <c r="E23" s="48">
        <v>1</v>
      </c>
      <c r="F23" s="48">
        <v>2</v>
      </c>
      <c r="G23" s="48">
        <v>2</v>
      </c>
      <c r="H23" s="48"/>
      <c r="I23"/>
      <c r="J23" s="51" t="b" cm="1">
        <f t="array" ref="J23">HASCONST($E$23:$F$31,$G$23,$H$23)</f>
        <v>1</v>
      </c>
      <c r="K23" s="51"/>
      <c r="L23" s="51"/>
    </row>
    <row r="24" spans="1:12" s="15" customFormat="1" x14ac:dyDescent="0.3">
      <c r="A24" s="17"/>
      <c r="B24"/>
      <c r="C24"/>
      <c r="D24"/>
      <c r="E24" s="48">
        <v>2</v>
      </c>
      <c r="F24" s="48">
        <v>3</v>
      </c>
      <c r="G24"/>
      <c r="H24"/>
      <c r="I24"/>
      <c r="J24" s="51"/>
      <c r="K24" s="51"/>
      <c r="L24" s="51"/>
    </row>
    <row r="25" spans="1:12" s="15" customFormat="1" x14ac:dyDescent="0.3">
      <c r="A25" s="17"/>
      <c r="B25"/>
      <c r="C25"/>
      <c r="D25"/>
      <c r="E25" s="48">
        <v>3</v>
      </c>
      <c r="F25" s="48">
        <v>3</v>
      </c>
      <c r="G25"/>
      <c r="H25"/>
      <c r="I25"/>
      <c r="J25" s="51"/>
      <c r="K25" s="51"/>
      <c r="L25" s="51"/>
    </row>
    <row r="26" spans="1:12" s="15" customFormat="1" x14ac:dyDescent="0.3">
      <c r="A26" s="17"/>
      <c r="B26"/>
      <c r="C26"/>
      <c r="D26"/>
      <c r="E26" s="48">
        <v>4</v>
      </c>
      <c r="F26" s="48">
        <v>5</v>
      </c>
      <c r="G26"/>
      <c r="H26"/>
      <c r="I26"/>
      <c r="J26" s="51"/>
      <c r="K26" s="51"/>
      <c r="L26" s="51"/>
    </row>
    <row r="27" spans="1:12" s="15" customFormat="1" x14ac:dyDescent="0.3">
      <c r="A27" s="17"/>
      <c r="B27"/>
      <c r="C27"/>
      <c r="D27"/>
      <c r="E27" s="48">
        <v>5</v>
      </c>
      <c r="F27" s="48">
        <v>6</v>
      </c>
      <c r="G27"/>
      <c r="H27"/>
      <c r="I27"/>
      <c r="J27" s="51"/>
      <c r="K27" s="51"/>
      <c r="L27" s="51"/>
    </row>
    <row r="28" spans="1:12" s="15" customFormat="1" x14ac:dyDescent="0.3">
      <c r="A28" s="17"/>
      <c r="B28"/>
      <c r="C28"/>
      <c r="D28"/>
      <c r="E28" s="48">
        <v>6</v>
      </c>
      <c r="F28" s="48">
        <v>7</v>
      </c>
      <c r="G28"/>
      <c r="H28"/>
      <c r="I28"/>
      <c r="J28" s="51"/>
      <c r="K28" s="51"/>
      <c r="L28" s="51"/>
    </row>
    <row r="29" spans="1:12" s="15" customFormat="1" x14ac:dyDescent="0.3">
      <c r="A29" s="17"/>
      <c r="B29"/>
      <c r="C29"/>
      <c r="D29"/>
      <c r="E29" s="48">
        <v>7</v>
      </c>
      <c r="F29" s="48">
        <v>8</v>
      </c>
      <c r="G29"/>
      <c r="H29"/>
      <c r="I29"/>
      <c r="J29" s="51"/>
      <c r="K29" s="51"/>
      <c r="L29" s="51"/>
    </row>
    <row r="30" spans="1:12" s="15" customFormat="1" x14ac:dyDescent="0.3">
      <c r="A30" s="17"/>
      <c r="B30"/>
      <c r="C30"/>
      <c r="D30"/>
      <c r="E30" s="48">
        <v>8</v>
      </c>
      <c r="F30" s="48">
        <v>9</v>
      </c>
      <c r="G30"/>
      <c r="H30"/>
      <c r="I30"/>
      <c r="J30" s="51"/>
      <c r="K30" s="51"/>
      <c r="L30" s="51"/>
    </row>
    <row r="31" spans="1:12" s="15" customFormat="1" x14ac:dyDescent="0.3">
      <c r="A31" s="17"/>
      <c r="B31"/>
      <c r="C31"/>
      <c r="D31"/>
      <c r="E31" s="48">
        <v>9</v>
      </c>
      <c r="F31" s="48">
        <v>10</v>
      </c>
      <c r="G31"/>
      <c r="H31"/>
      <c r="I31"/>
      <c r="J31" s="51"/>
      <c r="K31" s="51"/>
      <c r="L31" s="51"/>
    </row>
    <row r="34" spans="1:12" s="15" customFormat="1" x14ac:dyDescent="0.3">
      <c r="A34" s="17"/>
      <c r="B34"/>
      <c r="C34"/>
      <c r="D34"/>
      <c r="E34" s="132" t="s">
        <v>22</v>
      </c>
      <c r="F34" s="133"/>
      <c r="G34" s="49" t="s">
        <v>86</v>
      </c>
      <c r="H34" s="49" t="s">
        <v>912</v>
      </c>
      <c r="I34"/>
      <c r="J34" s="51"/>
      <c r="K34" s="51"/>
      <c r="L34" s="51"/>
    </row>
    <row r="35" spans="1:12" s="15" customFormat="1" x14ac:dyDescent="0.3">
      <c r="A35" s="17"/>
      <c r="B35"/>
      <c r="C35"/>
      <c r="D35"/>
      <c r="E35" s="48" t="s">
        <v>383</v>
      </c>
      <c r="F35" s="48" t="s">
        <v>384</v>
      </c>
      <c r="G35" s="48">
        <v>1</v>
      </c>
      <c r="H35" s="48" t="b">
        <v>1</v>
      </c>
      <c r="I35"/>
      <c r="J35" s="51" t="b" cm="1">
        <f t="array" ref="J35">HASCONST($E$35:$F$43,$G$35,$H$35)</f>
        <v>1</v>
      </c>
      <c r="K35" s="51"/>
      <c r="L35" s="51"/>
    </row>
    <row r="36" spans="1:12" s="15" customFormat="1" x14ac:dyDescent="0.3">
      <c r="A36" s="17"/>
      <c r="B36"/>
      <c r="C36"/>
      <c r="D36"/>
      <c r="E36" s="48">
        <v>1</v>
      </c>
      <c r="F36" s="48">
        <v>3</v>
      </c>
      <c r="G36"/>
      <c r="H36"/>
      <c r="I36"/>
      <c r="J36" s="51"/>
      <c r="K36" s="51"/>
      <c r="L36" s="51"/>
    </row>
    <row r="37" spans="1:12" s="15" customFormat="1" x14ac:dyDescent="0.3">
      <c r="A37" s="17"/>
      <c r="B37"/>
      <c r="C37"/>
      <c r="D37"/>
      <c r="E37" s="48">
        <v>1</v>
      </c>
      <c r="F37" s="48">
        <v>4</v>
      </c>
      <c r="G37"/>
      <c r="H37"/>
      <c r="I37"/>
      <c r="J37" s="51"/>
      <c r="K37" s="51"/>
      <c r="L37" s="51"/>
    </row>
    <row r="38" spans="1:12" s="15" customFormat="1" x14ac:dyDescent="0.3">
      <c r="A38" s="17"/>
      <c r="B38"/>
      <c r="C38"/>
      <c r="D38"/>
      <c r="E38" s="48">
        <v>1</v>
      </c>
      <c r="F38" s="48">
        <v>5</v>
      </c>
      <c r="G38"/>
      <c r="H38"/>
      <c r="I38"/>
      <c r="J38" s="51"/>
      <c r="K38" s="51"/>
      <c r="L38" s="51"/>
    </row>
    <row r="39" spans="1:12" s="15" customFormat="1" x14ac:dyDescent="0.3">
      <c r="A39" s="17"/>
      <c r="B39"/>
      <c r="C39"/>
      <c r="D39"/>
      <c r="E39" s="48">
        <v>1</v>
      </c>
      <c r="F39" s="48">
        <v>6</v>
      </c>
      <c r="G39"/>
      <c r="H39"/>
      <c r="I39"/>
      <c r="J39" s="51"/>
      <c r="K39" s="51"/>
      <c r="L39" s="51"/>
    </row>
    <row r="40" spans="1:12" s="15" customFormat="1" x14ac:dyDescent="0.3">
      <c r="A40" s="17"/>
      <c r="B40"/>
      <c r="C40"/>
      <c r="D40"/>
      <c r="E40" s="48">
        <v>1</v>
      </c>
      <c r="F40" s="48">
        <v>7</v>
      </c>
      <c r="G40"/>
      <c r="H40"/>
      <c r="I40"/>
      <c r="J40" s="51"/>
      <c r="K40" s="51"/>
      <c r="L40" s="51"/>
    </row>
    <row r="41" spans="1:12" s="15" customFormat="1" x14ac:dyDescent="0.3">
      <c r="A41" s="17"/>
      <c r="B41"/>
      <c r="C41"/>
      <c r="D41"/>
      <c r="E41" s="48">
        <v>1</v>
      </c>
      <c r="F41" s="48">
        <v>8</v>
      </c>
      <c r="G41"/>
      <c r="H41"/>
      <c r="I41"/>
      <c r="J41" s="51"/>
      <c r="K41" s="51"/>
      <c r="L41" s="51"/>
    </row>
    <row r="42" spans="1:12" s="15" customFormat="1" x14ac:dyDescent="0.3">
      <c r="A42" s="17"/>
      <c r="B42"/>
      <c r="C42"/>
      <c r="D42"/>
      <c r="E42" s="48">
        <v>1</v>
      </c>
      <c r="F42" s="48">
        <v>9</v>
      </c>
      <c r="G42"/>
      <c r="H42"/>
      <c r="I42"/>
      <c r="J42" s="51"/>
      <c r="K42" s="51"/>
      <c r="L42" s="51"/>
    </row>
    <row r="43" spans="1:12" s="15" customFormat="1" x14ac:dyDescent="0.3">
      <c r="A43" s="17"/>
      <c r="B43"/>
      <c r="C43"/>
      <c r="D43"/>
      <c r="E43" s="48">
        <v>1</v>
      </c>
      <c r="F43" s="48">
        <v>10</v>
      </c>
      <c r="G43"/>
      <c r="H43"/>
      <c r="I43"/>
      <c r="J43" s="51"/>
      <c r="K43" s="51"/>
      <c r="L43" s="51"/>
    </row>
  </sheetData>
  <mergeCells count="3">
    <mergeCell ref="E10:F10"/>
    <mergeCell ref="E22:F22"/>
    <mergeCell ref="E34:F34"/>
  </mergeCells>
  <pageMargins left="0.511811024" right="0.511811024" top="0.78740157499999996" bottom="0.78740157499999996" header="0.31496062000000002" footer="0.3149606200000000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F971F-8CE5-4197-99FA-664C6A852FE1}">
  <sheetPr codeName="Planilha46">
    <tabColor theme="9" tint="0.59999389629810485"/>
  </sheetPr>
  <dimension ref="A1:U299"/>
  <sheetViews>
    <sheetView showGridLines="0" workbookViewId="0">
      <selection activeCell="B8" sqref="B8"/>
    </sheetView>
  </sheetViews>
  <sheetFormatPr defaultColWidth="8.85546875" defaultRowHeight="18.75" x14ac:dyDescent="0.3"/>
  <cols>
    <col min="1" max="1" width="12.7109375" style="17" customWidth="1"/>
    <col min="2" max="2" width="52.42578125" customWidth="1"/>
    <col min="4" max="4" width="25.28515625" customWidth="1"/>
    <col min="5" max="5" width="4.5703125" customWidth="1"/>
    <col min="6" max="7" width="7.140625" bestFit="1" customWidth="1"/>
    <col min="8" max="8" width="10.7109375" customWidth="1"/>
    <col min="9" max="9" width="10.42578125" bestFit="1" customWidth="1"/>
    <col min="10" max="12" width="9" style="15" customWidth="1"/>
    <col min="13" max="21" width="8.85546875" style="15"/>
  </cols>
  <sheetData>
    <row r="1" spans="1:21" x14ac:dyDescent="0.3">
      <c r="A1" s="16" t="s">
        <v>496</v>
      </c>
      <c r="J1" s="14"/>
      <c r="K1" s="14"/>
      <c r="L1" s="14"/>
      <c r="M1" s="14"/>
      <c r="N1" s="14"/>
      <c r="O1" s="14"/>
      <c r="P1" s="14"/>
      <c r="Q1" s="14"/>
      <c r="R1" s="14"/>
      <c r="S1" s="14"/>
      <c r="T1" s="14"/>
      <c r="U1" s="14"/>
    </row>
    <row r="2" spans="1:21" x14ac:dyDescent="0.3">
      <c r="A2" s="17" t="s">
        <v>497</v>
      </c>
      <c r="J2" s="14"/>
      <c r="K2" s="14"/>
      <c r="L2" s="14"/>
      <c r="M2" s="14"/>
      <c r="N2" s="14"/>
      <c r="O2" s="14"/>
      <c r="P2" s="14"/>
      <c r="Q2" s="14"/>
      <c r="R2" s="14"/>
      <c r="S2" s="14"/>
      <c r="T2" s="14"/>
      <c r="U2" s="14"/>
    </row>
    <row r="3" spans="1:21" x14ac:dyDescent="0.3">
      <c r="M3" s="108" t="s">
        <v>499</v>
      </c>
      <c r="N3" s="51" t="str">
        <f>"IBC-Br SA "&amp;$H$10</f>
        <v>IBC-Br SA IDX(37622)</v>
      </c>
    </row>
    <row r="4" spans="1:21" ht="15.75" x14ac:dyDescent="0.25">
      <c r="A4" s="2" t="s">
        <v>15</v>
      </c>
      <c r="B4" s="2" t="s">
        <v>16</v>
      </c>
    </row>
    <row r="5" spans="1:21" ht="15.75" x14ac:dyDescent="0.25">
      <c r="A5" s="23" t="s">
        <v>158</v>
      </c>
      <c r="B5" s="24" t="s">
        <v>168</v>
      </c>
    </row>
    <row r="6" spans="1:21" ht="15.75" x14ac:dyDescent="0.25">
      <c r="A6" s="23" t="s">
        <v>167</v>
      </c>
      <c r="B6" s="24" t="s">
        <v>169</v>
      </c>
    </row>
    <row r="7" spans="1:21" ht="83.25" customHeight="1" x14ac:dyDescent="0.25">
      <c r="A7" s="23" t="s">
        <v>498</v>
      </c>
      <c r="B7" s="26" t="s">
        <v>641</v>
      </c>
    </row>
    <row r="8" spans="1:21" ht="15.75" x14ac:dyDescent="0.25">
      <c r="A8" s="23"/>
      <c r="B8" s="24"/>
    </row>
    <row r="9" spans="1:21" ht="15.75" x14ac:dyDescent="0.25">
      <c r="A9" s="23"/>
      <c r="B9" s="24"/>
      <c r="D9" s="1" t="s">
        <v>17</v>
      </c>
      <c r="G9" s="111" t="s">
        <v>167</v>
      </c>
      <c r="H9" s="13" t="s">
        <v>498</v>
      </c>
      <c r="J9" s="15" t="s">
        <v>194</v>
      </c>
      <c r="L9" s="15" t="s">
        <v>194</v>
      </c>
    </row>
    <row r="10" spans="1:21" x14ac:dyDescent="0.3">
      <c r="D10" t="s">
        <v>197</v>
      </c>
      <c r="F10" s="50">
        <v>37622</v>
      </c>
      <c r="G10" s="53">
        <v>100.45</v>
      </c>
      <c r="H10" s="81" t="str">
        <f>"IDX(" &amp; DATE(2003,1,1) &amp; ")"</f>
        <v>IDX(37622)</v>
      </c>
      <c r="J10" s="107" cm="1">
        <f t="array" ref="J10:J239">_xlfn.LAMBDA(_xlpm.dates,_xlpm.values,_xlpm.operation,
IF(OR(_xlfn.ISOMITTED(_xlpm.operation), _xlpm.operation=""), _xlpm.values,
_xlfn.LET(
_xlpm.oper, UPPER(LEFT(_xlpm.operation, FIND("(", _xlpm.operation) - 1)),
_xlpm.lag, VALUE(MID(_xlpm.operation, FIND("(", _xlpm.operation) + 1, -1 + FIND(")", _xlpm.operation) - FIND("(", _xlpm.operation) )),
_xlpm.result, _xlfn.SWITCH(_xlpm.oper,
"V%", _xlfn.VSTACK( _xlfn.SEQUENCE(_xlpm.lag)*NA(), _xlfn.DROP(_xlpm.values, _xlpm.lag) / _xlfn.DROP(_xlpm.values, -_xlpm.lag) - 1),
"VA", _xlfn.VSTACK( _xlfn.SEQUENCE(_xlpm.lag)*NA(), _xlfn.DROP(_xlpm.values, _xlpm.lag) - _xlfn.DROP(_xlpm.values, -_xlpm.lag) ),
"LAG", _xlfn.VSTACK( _xlfn.SEQUENCE(_xlpm.lag)*NA(), _xlfn.DROP(_xlpm.values, -_xlpm.lag) ),
"LEAD", _xlfn.VSTACK( _xlfn.DROP(_xlpm.values, _xlpm.lag), _xlfn.SEQUENCE(_xlpm.lag)*NA() ),
"MA", _xlfn.VSTACK( _xlfn.SEQUENCE(_xlpm.lag)*NA(), _xlfn.MAKEARRAY(ROWS(_xlpm.values), 1, _xlfn.LAMBDA(_xlpm.row,_xlpm.col, AVERAGE(INDEX(_xlpm.values, _xlfn.SEQUENCE(_xlpm.lag, 1,_xlpm.row-_xlpm.lag+1))) )) ),
"CR", (1 + _xlpm.values)^_xlpm.lag - 1,
"IDX", _xlpm.values / INDEX(_xlpm.values,  MATCH(_xlpm.lag, _xlpm.dates, 0)),
"B100", 100 * _xlpm.values / INDEX(_xlpm.values,  MATCH(_xlpm.lag, _xlpm.dates, 0)),
"V%ACC", _xlpm.values / INDEX(_xlpm.values,  MATCH(_xlpm.lag, _xlpm.dates, 0)) - 1,
"VAACC", _xlpm.values - INDEX(_xlpm.values,  MATCH(_xlpm.lag, _xlpm.dates, 0)),
),
IF( ISERROR( FIND(";", _xlpm.operation) ), _xlpm.result, TSOPER(_xlpm.dates, _xlpm.result, MID(_xlpm.operation, FIND(";", _xlpm.operation) + 1, 999999999)) )
)))($F$10:$F$239,$G$10:$G$239,$H$10)</f>
        <v>1</v>
      </c>
      <c r="K10" s="54"/>
      <c r="L10" s="107" cm="1">
        <f t="array" ref="L10:L239">TSOPER($F$10:$F$239,$G$10:$G$239,$H$10)</f>
        <v>1</v>
      </c>
    </row>
    <row r="11" spans="1:21" x14ac:dyDescent="0.3">
      <c r="D11" t="s">
        <v>198</v>
      </c>
      <c r="F11" s="50">
        <v>37653</v>
      </c>
      <c r="G11" s="53">
        <v>101.95</v>
      </c>
      <c r="J11" s="107">
        <v>1.0149328023892483</v>
      </c>
      <c r="K11" s="54"/>
      <c r="L11" s="107">
        <v>1.0149328023892483</v>
      </c>
    </row>
    <row r="12" spans="1:21" x14ac:dyDescent="0.3">
      <c r="F12" s="50">
        <v>37681</v>
      </c>
      <c r="G12" s="53">
        <v>102.03</v>
      </c>
      <c r="J12" s="107">
        <v>1.0157292185166749</v>
      </c>
      <c r="K12" s="54"/>
      <c r="L12" s="107">
        <v>1.0157292185166749</v>
      </c>
    </row>
    <row r="13" spans="1:21" ht="18.75" customHeight="1" x14ac:dyDescent="0.3">
      <c r="D13" s="134"/>
      <c r="F13" s="50">
        <v>37712</v>
      </c>
      <c r="G13" s="53">
        <v>100.92</v>
      </c>
      <c r="J13" s="107">
        <v>1.0046789447486311</v>
      </c>
      <c r="K13" s="54"/>
      <c r="L13" s="107">
        <v>1.0046789447486311</v>
      </c>
    </row>
    <row r="14" spans="1:21" x14ac:dyDescent="0.3">
      <c r="D14" s="134"/>
      <c r="F14" s="50">
        <v>37742</v>
      </c>
      <c r="G14" s="53">
        <v>99.89</v>
      </c>
      <c r="J14" s="107">
        <v>0.99442508710801392</v>
      </c>
      <c r="K14" s="54"/>
      <c r="L14" s="107">
        <v>0.99442508710801392</v>
      </c>
    </row>
    <row r="15" spans="1:21" x14ac:dyDescent="0.3">
      <c r="D15" s="47"/>
      <c r="F15" s="50">
        <v>37773</v>
      </c>
      <c r="G15" s="53">
        <v>100.28</v>
      </c>
      <c r="J15" s="107">
        <v>0.99830761572921844</v>
      </c>
      <c r="K15" s="54"/>
      <c r="L15" s="107">
        <v>0.99830761572921844</v>
      </c>
    </row>
    <row r="16" spans="1:21" x14ac:dyDescent="0.3">
      <c r="F16" s="50">
        <v>37803</v>
      </c>
      <c r="G16" s="53">
        <v>99.07</v>
      </c>
      <c r="J16" s="107">
        <v>0.98626182180189137</v>
      </c>
      <c r="K16" s="54"/>
      <c r="L16" s="107">
        <v>0.98626182180189137</v>
      </c>
    </row>
    <row r="17" spans="1:12" x14ac:dyDescent="0.3">
      <c r="F17" s="50">
        <v>37834</v>
      </c>
      <c r="G17" s="53">
        <v>99.73</v>
      </c>
      <c r="J17" s="107">
        <v>0.99283225485316073</v>
      </c>
      <c r="K17" s="54"/>
      <c r="L17" s="107">
        <v>0.99283225485316073</v>
      </c>
    </row>
    <row r="18" spans="1:12" x14ac:dyDescent="0.3">
      <c r="F18" s="50">
        <v>37865</v>
      </c>
      <c r="G18" s="53">
        <v>101.71</v>
      </c>
      <c r="J18" s="107">
        <v>1.0125435540069685</v>
      </c>
      <c r="K18" s="54"/>
      <c r="L18" s="107">
        <v>1.0125435540069685</v>
      </c>
    </row>
    <row r="19" spans="1:12" s="15" customFormat="1" x14ac:dyDescent="0.3">
      <c r="A19" s="17"/>
      <c r="B19"/>
      <c r="C19"/>
      <c r="D19"/>
      <c r="E19"/>
      <c r="F19" s="50">
        <v>37895</v>
      </c>
      <c r="G19" s="53">
        <v>101.88</v>
      </c>
      <c r="H19"/>
      <c r="I19"/>
      <c r="J19" s="107">
        <v>1.0142359382777502</v>
      </c>
      <c r="K19" s="54"/>
      <c r="L19" s="107">
        <v>1.0142359382777502</v>
      </c>
    </row>
    <row r="20" spans="1:12" s="15" customFormat="1" x14ac:dyDescent="0.3">
      <c r="A20" s="17"/>
      <c r="B20"/>
      <c r="C20"/>
      <c r="D20"/>
      <c r="E20"/>
      <c r="F20" s="50">
        <v>37926</v>
      </c>
      <c r="G20" s="53">
        <v>101.97</v>
      </c>
      <c r="H20"/>
      <c r="I20"/>
      <c r="J20" s="107">
        <v>1.0151319064211051</v>
      </c>
      <c r="K20" s="54"/>
      <c r="L20" s="107">
        <v>1.0151319064211051</v>
      </c>
    </row>
    <row r="21" spans="1:12" s="15" customFormat="1" x14ac:dyDescent="0.3">
      <c r="A21" s="17"/>
      <c r="B21"/>
      <c r="C21"/>
      <c r="D21"/>
      <c r="E21"/>
      <c r="F21" s="50">
        <v>37956</v>
      </c>
      <c r="G21" s="53">
        <v>101.58</v>
      </c>
      <c r="H21"/>
      <c r="I21"/>
      <c r="J21" s="107">
        <v>1.0112493777999003</v>
      </c>
      <c r="K21" s="54"/>
      <c r="L21" s="107">
        <v>1.0112493777999003</v>
      </c>
    </row>
    <row r="22" spans="1:12" s="15" customFormat="1" x14ac:dyDescent="0.3">
      <c r="A22" s="17"/>
      <c r="B22"/>
      <c r="C22"/>
      <c r="D22"/>
      <c r="E22"/>
      <c r="F22" s="50">
        <v>37987</v>
      </c>
      <c r="G22" s="53">
        <v>103.57</v>
      </c>
      <c r="H22"/>
      <c r="I22"/>
      <c r="J22" s="107">
        <v>1.0310602289696364</v>
      </c>
      <c r="K22" s="54"/>
      <c r="L22" s="107">
        <v>1.0310602289696364</v>
      </c>
    </row>
    <row r="23" spans="1:12" s="15" customFormat="1" x14ac:dyDescent="0.3">
      <c r="A23" s="17"/>
      <c r="B23"/>
      <c r="C23"/>
      <c r="D23"/>
      <c r="E23"/>
      <c r="F23" s="50">
        <v>38018</v>
      </c>
      <c r="G23" s="53">
        <v>104.49</v>
      </c>
      <c r="H23"/>
      <c r="I23"/>
      <c r="J23" s="107">
        <v>1.0402190144350423</v>
      </c>
      <c r="K23" s="54"/>
      <c r="L23" s="107">
        <v>1.0402190144350423</v>
      </c>
    </row>
    <row r="24" spans="1:12" s="15" customFormat="1" x14ac:dyDescent="0.3">
      <c r="A24" s="17"/>
      <c r="B24"/>
      <c r="C24"/>
      <c r="D24"/>
      <c r="E24"/>
      <c r="F24" s="50">
        <v>38047</v>
      </c>
      <c r="G24" s="53">
        <v>105.98</v>
      </c>
      <c r="H24"/>
      <c r="I24"/>
      <c r="J24" s="107">
        <v>1.0550522648083624</v>
      </c>
      <c r="K24" s="54"/>
      <c r="L24" s="107">
        <v>1.0550522648083624</v>
      </c>
    </row>
    <row r="25" spans="1:12" s="15" customFormat="1" x14ac:dyDescent="0.3">
      <c r="A25" s="17"/>
      <c r="B25"/>
      <c r="C25"/>
      <c r="D25"/>
      <c r="E25"/>
      <c r="F25" s="50">
        <v>38078</v>
      </c>
      <c r="G25" s="53">
        <v>106.41</v>
      </c>
      <c r="H25"/>
      <c r="I25"/>
      <c r="J25" s="107">
        <v>1.0593330014932802</v>
      </c>
      <c r="K25" s="54"/>
      <c r="L25" s="107">
        <v>1.0593330014932802</v>
      </c>
    </row>
    <row r="26" spans="1:12" s="15" customFormat="1" x14ac:dyDescent="0.3">
      <c r="A26" s="17"/>
      <c r="B26"/>
      <c r="C26"/>
      <c r="D26"/>
      <c r="E26"/>
      <c r="F26" s="50">
        <v>38108</v>
      </c>
      <c r="G26" s="53">
        <v>106.44</v>
      </c>
      <c r="H26"/>
      <c r="I26"/>
      <c r="J26" s="107">
        <v>1.0596316575410651</v>
      </c>
      <c r="K26" s="54"/>
      <c r="L26" s="107">
        <v>1.0596316575410651</v>
      </c>
    </row>
    <row r="27" spans="1:12" s="15" customFormat="1" x14ac:dyDescent="0.3">
      <c r="A27" s="17"/>
      <c r="B27"/>
      <c r="C27"/>
      <c r="D27"/>
      <c r="E27"/>
      <c r="F27" s="50">
        <v>38139</v>
      </c>
      <c r="G27" s="53">
        <v>107.22</v>
      </c>
      <c r="H27"/>
      <c r="I27"/>
      <c r="J27" s="107">
        <v>1.0673967147834744</v>
      </c>
      <c r="K27" s="54"/>
      <c r="L27" s="107">
        <v>1.0673967147834744</v>
      </c>
    </row>
    <row r="28" spans="1:12" s="15" customFormat="1" x14ac:dyDescent="0.3">
      <c r="A28" s="17"/>
      <c r="B28"/>
      <c r="C28"/>
      <c r="D28"/>
      <c r="E28"/>
      <c r="F28" s="50">
        <v>38169</v>
      </c>
      <c r="G28" s="53">
        <v>107.82</v>
      </c>
      <c r="H28"/>
      <c r="I28"/>
      <c r="J28" s="107">
        <v>1.0733698357391737</v>
      </c>
      <c r="K28" s="54"/>
      <c r="L28" s="107">
        <v>1.0733698357391737</v>
      </c>
    </row>
    <row r="29" spans="1:12" s="15" customFormat="1" x14ac:dyDescent="0.3">
      <c r="A29" s="17"/>
      <c r="B29"/>
      <c r="C29"/>
      <c r="D29"/>
      <c r="E29"/>
      <c r="F29" s="50">
        <v>38200</v>
      </c>
      <c r="G29" s="53">
        <v>108.19</v>
      </c>
      <c r="H29"/>
      <c r="I29"/>
      <c r="J29" s="107">
        <v>1.0770532603285217</v>
      </c>
      <c r="K29" s="54"/>
      <c r="L29" s="107">
        <v>1.0770532603285217</v>
      </c>
    </row>
    <row r="30" spans="1:12" s="15" customFormat="1" x14ac:dyDescent="0.3">
      <c r="A30" s="17"/>
      <c r="B30"/>
      <c r="C30"/>
      <c r="D30"/>
      <c r="E30"/>
      <c r="F30" s="50">
        <v>38231</v>
      </c>
      <c r="G30" s="53">
        <v>109.46</v>
      </c>
      <c r="H30"/>
      <c r="I30"/>
      <c r="J30" s="107">
        <v>1.0896963663514185</v>
      </c>
      <c r="K30" s="54"/>
      <c r="L30" s="107">
        <v>1.0896963663514185</v>
      </c>
    </row>
    <row r="31" spans="1:12" s="15" customFormat="1" x14ac:dyDescent="0.3">
      <c r="A31" s="17"/>
      <c r="B31"/>
      <c r="C31"/>
      <c r="D31"/>
      <c r="E31"/>
      <c r="F31" s="50">
        <v>38261</v>
      </c>
      <c r="G31" s="53">
        <v>108.73</v>
      </c>
      <c r="H31"/>
      <c r="I31"/>
      <c r="J31" s="107">
        <v>1.0824290691886511</v>
      </c>
      <c r="K31" s="54"/>
      <c r="L31" s="107">
        <v>1.0824290691886511</v>
      </c>
    </row>
    <row r="32" spans="1:12" s="15" customFormat="1" x14ac:dyDescent="0.3">
      <c r="A32" s="17"/>
      <c r="B32"/>
      <c r="C32"/>
      <c r="D32"/>
      <c r="E32"/>
      <c r="F32" s="50">
        <v>38292</v>
      </c>
      <c r="G32" s="53">
        <v>109.62</v>
      </c>
      <c r="H32"/>
      <c r="I32"/>
      <c r="J32" s="107">
        <v>1.0912891986062718</v>
      </c>
      <c r="K32" s="54"/>
      <c r="L32" s="107">
        <v>1.0912891986062718</v>
      </c>
    </row>
    <row r="33" spans="1:12" s="15" customFormat="1" x14ac:dyDescent="0.3">
      <c r="A33" s="17"/>
      <c r="B33"/>
      <c r="C33"/>
      <c r="D33"/>
      <c r="E33"/>
      <c r="F33" s="50">
        <v>38322</v>
      </c>
      <c r="G33" s="53">
        <v>108.79</v>
      </c>
      <c r="H33"/>
      <c r="I33"/>
      <c r="J33" s="107">
        <v>1.0830263812842211</v>
      </c>
      <c r="K33" s="54"/>
      <c r="L33" s="107">
        <v>1.0830263812842211</v>
      </c>
    </row>
    <row r="34" spans="1:12" s="15" customFormat="1" x14ac:dyDescent="0.3">
      <c r="A34" s="17"/>
      <c r="B34"/>
      <c r="C34"/>
      <c r="D34"/>
      <c r="E34"/>
      <c r="F34" s="50">
        <v>38353</v>
      </c>
      <c r="G34" s="53">
        <v>109.62</v>
      </c>
      <c r="H34"/>
      <c r="I34"/>
      <c r="J34" s="107">
        <v>1.0912891986062718</v>
      </c>
      <c r="K34" s="54"/>
      <c r="L34" s="107">
        <v>1.0912891986062718</v>
      </c>
    </row>
    <row r="35" spans="1:12" s="15" customFormat="1" x14ac:dyDescent="0.3">
      <c r="A35" s="17"/>
      <c r="B35"/>
      <c r="C35"/>
      <c r="D35"/>
      <c r="E35"/>
      <c r="F35" s="50">
        <v>38384</v>
      </c>
      <c r="G35" s="53">
        <v>110.14</v>
      </c>
      <c r="H35"/>
      <c r="I35"/>
      <c r="J35" s="107">
        <v>1.0964659034345445</v>
      </c>
      <c r="K35" s="54"/>
      <c r="L35" s="107">
        <v>1.0964659034345445</v>
      </c>
    </row>
    <row r="36" spans="1:12" s="15" customFormat="1" x14ac:dyDescent="0.3">
      <c r="A36" s="17"/>
      <c r="B36"/>
      <c r="C36"/>
      <c r="D36"/>
      <c r="E36"/>
      <c r="F36" s="50">
        <v>38412</v>
      </c>
      <c r="G36" s="53">
        <v>110.43</v>
      </c>
      <c r="H36"/>
      <c r="I36"/>
      <c r="J36" s="107">
        <v>1.099352911896466</v>
      </c>
      <c r="K36" s="54"/>
      <c r="L36" s="107">
        <v>1.099352911896466</v>
      </c>
    </row>
    <row r="37" spans="1:12" s="15" customFormat="1" x14ac:dyDescent="0.3">
      <c r="A37" s="17"/>
      <c r="B37"/>
      <c r="C37"/>
      <c r="D37"/>
      <c r="E37"/>
      <c r="F37" s="50">
        <v>38443</v>
      </c>
      <c r="G37" s="53">
        <v>110.95</v>
      </c>
      <c r="H37"/>
      <c r="I37"/>
      <c r="J37" s="107">
        <v>1.1045296167247387</v>
      </c>
      <c r="K37" s="54"/>
      <c r="L37" s="107">
        <v>1.1045296167247387</v>
      </c>
    </row>
    <row r="38" spans="1:12" s="15" customFormat="1" x14ac:dyDescent="0.3">
      <c r="A38" s="17"/>
      <c r="B38"/>
      <c r="C38"/>
      <c r="D38"/>
      <c r="E38"/>
      <c r="F38" s="50">
        <v>38473</v>
      </c>
      <c r="G38" s="53">
        <v>110.99</v>
      </c>
      <c r="H38"/>
      <c r="I38"/>
      <c r="J38" s="107">
        <v>1.104927824788452</v>
      </c>
      <c r="K38" s="54"/>
      <c r="L38" s="107">
        <v>1.104927824788452</v>
      </c>
    </row>
    <row r="39" spans="1:12" s="15" customFormat="1" x14ac:dyDescent="0.3">
      <c r="A39" s="17"/>
      <c r="B39"/>
      <c r="C39"/>
      <c r="D39"/>
      <c r="E39"/>
      <c r="F39" s="50">
        <v>38504</v>
      </c>
      <c r="G39" s="53">
        <v>110.63</v>
      </c>
      <c r="H39"/>
      <c r="I39"/>
      <c r="J39" s="107">
        <v>1.1013439522150323</v>
      </c>
      <c r="K39" s="54"/>
      <c r="L39" s="107">
        <v>1.1013439522150323</v>
      </c>
    </row>
    <row r="40" spans="1:12" s="15" customFormat="1" x14ac:dyDescent="0.3">
      <c r="A40" s="17"/>
      <c r="B40"/>
      <c r="C40"/>
      <c r="D40"/>
      <c r="E40"/>
      <c r="F40" s="50">
        <v>38534</v>
      </c>
      <c r="G40" s="53">
        <v>110.63</v>
      </c>
      <c r="H40"/>
      <c r="I40"/>
      <c r="J40" s="107">
        <v>1.1013439522150323</v>
      </c>
      <c r="K40" s="54"/>
      <c r="L40" s="107">
        <v>1.1013439522150323</v>
      </c>
    </row>
    <row r="41" spans="1:12" s="15" customFormat="1" x14ac:dyDescent="0.3">
      <c r="A41" s="17"/>
      <c r="B41"/>
      <c r="C41"/>
      <c r="D41"/>
      <c r="E41"/>
      <c r="F41" s="50">
        <v>38565</v>
      </c>
      <c r="G41" s="53">
        <v>111.29</v>
      </c>
      <c r="H41"/>
      <c r="I41"/>
      <c r="J41" s="107">
        <v>1.1079143852663016</v>
      </c>
      <c r="K41" s="54"/>
      <c r="L41" s="107">
        <v>1.1079143852663016</v>
      </c>
    </row>
    <row r="42" spans="1:12" s="15" customFormat="1" x14ac:dyDescent="0.3">
      <c r="A42" s="17"/>
      <c r="B42"/>
      <c r="C42"/>
      <c r="D42"/>
      <c r="E42"/>
      <c r="F42" s="50">
        <v>38596</v>
      </c>
      <c r="G42" s="53">
        <v>110.86</v>
      </c>
      <c r="H42"/>
      <c r="I42"/>
      <c r="J42" s="107">
        <v>1.1036336485813838</v>
      </c>
      <c r="K42" s="54"/>
      <c r="L42" s="107">
        <v>1.1036336485813838</v>
      </c>
    </row>
    <row r="43" spans="1:12" s="15" customFormat="1" x14ac:dyDescent="0.3">
      <c r="A43" s="17"/>
      <c r="B43"/>
      <c r="C43"/>
      <c r="D43"/>
      <c r="E43"/>
      <c r="F43" s="50">
        <v>38626</v>
      </c>
      <c r="G43" s="53">
        <v>111.05</v>
      </c>
      <c r="H43"/>
      <c r="I43"/>
      <c r="J43" s="107">
        <v>1.1055251368840218</v>
      </c>
      <c r="K43" s="54"/>
      <c r="L43" s="107">
        <v>1.1055251368840218</v>
      </c>
    </row>
    <row r="44" spans="1:12" s="15" customFormat="1" x14ac:dyDescent="0.3">
      <c r="A44" s="17"/>
      <c r="B44"/>
      <c r="C44"/>
      <c r="D44"/>
      <c r="E44"/>
      <c r="F44" s="50">
        <v>38657</v>
      </c>
      <c r="G44" s="53">
        <v>111.81</v>
      </c>
      <c r="H44"/>
      <c r="I44"/>
      <c r="J44" s="107">
        <v>1.1130910900945743</v>
      </c>
      <c r="K44" s="54"/>
      <c r="L44" s="107">
        <v>1.1130910900945743</v>
      </c>
    </row>
    <row r="45" spans="1:12" s="15" customFormat="1" x14ac:dyDescent="0.3">
      <c r="A45" s="17"/>
      <c r="B45"/>
      <c r="C45"/>
      <c r="D45"/>
      <c r="E45"/>
      <c r="F45" s="50">
        <v>38687</v>
      </c>
      <c r="G45" s="53">
        <v>112.32</v>
      </c>
      <c r="H45"/>
      <c r="I45"/>
      <c r="J45" s="107">
        <v>1.1181682429069189</v>
      </c>
      <c r="K45" s="54"/>
      <c r="L45" s="107">
        <v>1.1181682429069189</v>
      </c>
    </row>
    <row r="46" spans="1:12" s="15" customFormat="1" x14ac:dyDescent="0.3">
      <c r="A46" s="17"/>
      <c r="B46"/>
      <c r="C46"/>
      <c r="D46"/>
      <c r="E46"/>
      <c r="F46" s="50">
        <v>38718</v>
      </c>
      <c r="G46" s="53">
        <v>113.38</v>
      </c>
      <c r="H46"/>
      <c r="I46"/>
      <c r="J46" s="107">
        <v>1.128720756595321</v>
      </c>
      <c r="K46" s="54"/>
      <c r="L46" s="107">
        <v>1.128720756595321</v>
      </c>
    </row>
    <row r="47" spans="1:12" s="15" customFormat="1" x14ac:dyDescent="0.3">
      <c r="A47" s="17"/>
      <c r="B47"/>
      <c r="C47"/>
      <c r="D47"/>
      <c r="E47"/>
      <c r="F47" s="50">
        <v>38749</v>
      </c>
      <c r="G47" s="53">
        <v>113.61</v>
      </c>
      <c r="H47"/>
      <c r="I47"/>
      <c r="J47" s="107">
        <v>1.1310104529616725</v>
      </c>
      <c r="K47" s="54"/>
      <c r="L47" s="107">
        <v>1.1310104529616725</v>
      </c>
    </row>
    <row r="48" spans="1:12" s="15" customFormat="1" x14ac:dyDescent="0.3">
      <c r="A48" s="17"/>
      <c r="B48"/>
      <c r="C48"/>
      <c r="D48"/>
      <c r="E48"/>
      <c r="F48" s="50">
        <v>38777</v>
      </c>
      <c r="G48" s="53">
        <v>113.55</v>
      </c>
      <c r="H48"/>
      <c r="I48"/>
      <c r="J48" s="107">
        <v>1.1304131408661025</v>
      </c>
      <c r="K48" s="54"/>
      <c r="L48" s="107">
        <v>1.1304131408661025</v>
      </c>
    </row>
    <row r="49" spans="1:12" s="15" customFormat="1" x14ac:dyDescent="0.3">
      <c r="A49" s="17"/>
      <c r="B49"/>
      <c r="C49"/>
      <c r="D49"/>
      <c r="E49"/>
      <c r="F49" s="50">
        <v>38808</v>
      </c>
      <c r="G49" s="53">
        <v>114.23</v>
      </c>
      <c r="H49"/>
      <c r="I49"/>
      <c r="J49" s="107">
        <v>1.1371826779492284</v>
      </c>
      <c r="K49" s="54"/>
      <c r="L49" s="107">
        <v>1.1371826779492284</v>
      </c>
    </row>
    <row r="50" spans="1:12" s="15" customFormat="1" x14ac:dyDescent="0.3">
      <c r="A50" s="17"/>
      <c r="B50"/>
      <c r="C50"/>
      <c r="D50"/>
      <c r="E50"/>
      <c r="F50" s="50">
        <v>38838</v>
      </c>
      <c r="G50" s="53">
        <v>115.66</v>
      </c>
      <c r="H50"/>
      <c r="I50"/>
      <c r="J50" s="107">
        <v>1.1514186162269786</v>
      </c>
      <c r="K50" s="54"/>
      <c r="L50" s="107">
        <v>1.1514186162269786</v>
      </c>
    </row>
    <row r="51" spans="1:12" s="15" customFormat="1" x14ac:dyDescent="0.3">
      <c r="A51" s="17"/>
      <c r="B51"/>
      <c r="C51"/>
      <c r="D51"/>
      <c r="E51"/>
      <c r="F51" s="50">
        <v>38869</v>
      </c>
      <c r="G51" s="53">
        <v>114.72</v>
      </c>
      <c r="H51"/>
      <c r="I51"/>
      <c r="J51" s="107">
        <v>1.1420607267297163</v>
      </c>
      <c r="K51" s="54"/>
      <c r="L51" s="107">
        <v>1.1420607267297163</v>
      </c>
    </row>
    <row r="52" spans="1:12" s="15" customFormat="1" x14ac:dyDescent="0.3">
      <c r="A52" s="17"/>
      <c r="B52"/>
      <c r="C52"/>
      <c r="D52"/>
      <c r="E52"/>
      <c r="F52" s="50">
        <v>38899</v>
      </c>
      <c r="G52" s="53">
        <v>116.94</v>
      </c>
      <c r="H52"/>
      <c r="I52"/>
      <c r="J52" s="107">
        <v>1.1641612742658038</v>
      </c>
      <c r="K52" s="54"/>
      <c r="L52" s="107">
        <v>1.1641612742658038</v>
      </c>
    </row>
    <row r="53" spans="1:12" s="15" customFormat="1" x14ac:dyDescent="0.3">
      <c r="A53" s="17"/>
      <c r="B53"/>
      <c r="C53"/>
      <c r="D53"/>
      <c r="E53"/>
      <c r="F53" s="50">
        <v>38930</v>
      </c>
      <c r="G53" s="53">
        <v>116.62</v>
      </c>
      <c r="H53"/>
      <c r="I53"/>
      <c r="J53" s="107">
        <v>1.1609756097560975</v>
      </c>
      <c r="K53" s="54"/>
      <c r="L53" s="107">
        <v>1.1609756097560975</v>
      </c>
    </row>
    <row r="54" spans="1:12" s="15" customFormat="1" x14ac:dyDescent="0.3">
      <c r="A54" s="17"/>
      <c r="B54"/>
      <c r="C54"/>
      <c r="D54"/>
      <c r="E54"/>
      <c r="F54" s="50">
        <v>38961</v>
      </c>
      <c r="G54" s="53">
        <v>116.82</v>
      </c>
      <c r="H54"/>
      <c r="I54"/>
      <c r="J54" s="107">
        <v>1.1629666500746638</v>
      </c>
      <c r="K54" s="54"/>
      <c r="L54" s="107">
        <v>1.1629666500746638</v>
      </c>
    </row>
    <row r="55" spans="1:12" s="15" customFormat="1" x14ac:dyDescent="0.3">
      <c r="A55" s="17"/>
      <c r="B55"/>
      <c r="C55"/>
      <c r="D55"/>
      <c r="E55"/>
      <c r="F55" s="50">
        <v>38991</v>
      </c>
      <c r="G55" s="53">
        <v>118.07</v>
      </c>
      <c r="H55"/>
      <c r="I55"/>
      <c r="J55" s="107">
        <v>1.1754106520657042</v>
      </c>
      <c r="K55" s="54"/>
      <c r="L55" s="107">
        <v>1.1754106520657042</v>
      </c>
    </row>
    <row r="56" spans="1:12" s="15" customFormat="1" x14ac:dyDescent="0.3">
      <c r="A56" s="17"/>
      <c r="B56"/>
      <c r="C56"/>
      <c r="D56"/>
      <c r="E56"/>
      <c r="F56" s="50">
        <v>39022</v>
      </c>
      <c r="G56" s="53">
        <v>118.87</v>
      </c>
      <c r="H56"/>
      <c r="I56"/>
      <c r="J56" s="107">
        <v>1.1833748133399702</v>
      </c>
      <c r="K56" s="54"/>
      <c r="L56" s="107">
        <v>1.1833748133399702</v>
      </c>
    </row>
    <row r="57" spans="1:12" s="15" customFormat="1" x14ac:dyDescent="0.3">
      <c r="A57" s="17"/>
      <c r="B57"/>
      <c r="C57"/>
      <c r="D57"/>
      <c r="E57"/>
      <c r="F57" s="50">
        <v>39052</v>
      </c>
      <c r="G57" s="53">
        <v>119.87</v>
      </c>
      <c r="H57"/>
      <c r="I57"/>
      <c r="J57" s="107">
        <v>1.1933300149328023</v>
      </c>
      <c r="K57" s="54"/>
      <c r="L57" s="107">
        <v>1.1933300149328023</v>
      </c>
    </row>
    <row r="58" spans="1:12" s="15" customFormat="1" x14ac:dyDescent="0.3">
      <c r="A58" s="17"/>
      <c r="B58"/>
      <c r="C58"/>
      <c r="D58"/>
      <c r="E58"/>
      <c r="F58" s="50">
        <v>39083</v>
      </c>
      <c r="G58" s="53">
        <v>119.66</v>
      </c>
      <c r="H58"/>
      <c r="I58"/>
      <c r="J58" s="107">
        <v>1.1912394225983076</v>
      </c>
      <c r="K58" s="54"/>
      <c r="L58" s="107">
        <v>1.1912394225983076</v>
      </c>
    </row>
    <row r="59" spans="1:12" s="15" customFormat="1" x14ac:dyDescent="0.3">
      <c r="A59" s="17"/>
      <c r="B59"/>
      <c r="C59"/>
      <c r="D59"/>
      <c r="E59"/>
      <c r="F59" s="50">
        <v>39114</v>
      </c>
      <c r="G59" s="53">
        <v>120.17</v>
      </c>
      <c r="H59"/>
      <c r="I59"/>
      <c r="J59" s="107">
        <v>1.196316575410652</v>
      </c>
      <c r="K59" s="54"/>
      <c r="L59" s="107">
        <v>1.196316575410652</v>
      </c>
    </row>
    <row r="60" spans="1:12" s="15" customFormat="1" x14ac:dyDescent="0.3">
      <c r="A60" s="17"/>
      <c r="B60"/>
      <c r="C60"/>
      <c r="D60"/>
      <c r="E60"/>
      <c r="F60" s="50">
        <v>39142</v>
      </c>
      <c r="G60" s="53">
        <v>119.4</v>
      </c>
      <c r="H60"/>
      <c r="I60"/>
      <c r="J60" s="107">
        <v>1.1886510701841713</v>
      </c>
      <c r="K60" s="54"/>
      <c r="L60" s="107">
        <v>1.1886510701841713</v>
      </c>
    </row>
    <row r="61" spans="1:12" s="15" customFormat="1" x14ac:dyDescent="0.3">
      <c r="A61" s="17"/>
      <c r="B61"/>
      <c r="C61"/>
      <c r="D61"/>
      <c r="E61"/>
      <c r="F61" s="50">
        <v>39173</v>
      </c>
      <c r="G61" s="53">
        <v>121.18</v>
      </c>
      <c r="H61"/>
      <c r="I61"/>
      <c r="J61" s="107">
        <v>1.2063713290194127</v>
      </c>
      <c r="K61" s="54"/>
      <c r="L61" s="107">
        <v>1.2063713290194127</v>
      </c>
    </row>
    <row r="62" spans="1:12" s="15" customFormat="1" x14ac:dyDescent="0.3">
      <c r="A62" s="17"/>
      <c r="B62"/>
      <c r="C62"/>
      <c r="D62"/>
      <c r="E62"/>
      <c r="F62" s="50">
        <v>39203</v>
      </c>
      <c r="G62" s="53">
        <v>122.38</v>
      </c>
      <c r="H62"/>
      <c r="I62"/>
      <c r="J62" s="107">
        <v>1.2183175709308112</v>
      </c>
      <c r="K62" s="54"/>
      <c r="L62" s="107">
        <v>1.2183175709308112</v>
      </c>
    </row>
    <row r="63" spans="1:12" s="15" customFormat="1" x14ac:dyDescent="0.3">
      <c r="A63" s="17"/>
      <c r="B63"/>
      <c r="C63"/>
      <c r="D63"/>
      <c r="E63"/>
      <c r="F63" s="50">
        <v>39234</v>
      </c>
      <c r="G63" s="53">
        <v>123.41</v>
      </c>
      <c r="H63"/>
      <c r="I63"/>
      <c r="J63" s="107">
        <v>1.2285714285714284</v>
      </c>
      <c r="K63" s="54"/>
      <c r="L63" s="107">
        <v>1.2285714285714284</v>
      </c>
    </row>
    <row r="64" spans="1:12" s="15" customFormat="1" x14ac:dyDescent="0.3">
      <c r="A64" s="17"/>
      <c r="B64"/>
      <c r="C64"/>
      <c r="D64"/>
      <c r="E64"/>
      <c r="F64" s="50">
        <v>39264</v>
      </c>
      <c r="G64" s="53">
        <v>124.23</v>
      </c>
      <c r="H64"/>
      <c r="I64"/>
      <c r="J64" s="107">
        <v>1.236734693877551</v>
      </c>
      <c r="K64" s="54"/>
      <c r="L64" s="107">
        <v>1.236734693877551</v>
      </c>
    </row>
    <row r="65" spans="1:12" s="15" customFormat="1" x14ac:dyDescent="0.3">
      <c r="A65" s="17"/>
      <c r="B65"/>
      <c r="C65"/>
      <c r="D65"/>
      <c r="E65"/>
      <c r="F65" s="50">
        <v>39295</v>
      </c>
      <c r="G65" s="53">
        <v>124.34</v>
      </c>
      <c r="H65"/>
      <c r="I65"/>
      <c r="J65" s="107">
        <v>1.2378297660527626</v>
      </c>
      <c r="K65" s="54"/>
      <c r="L65" s="107">
        <v>1.2378297660527626</v>
      </c>
    </row>
    <row r="66" spans="1:12" s="15" customFormat="1" x14ac:dyDescent="0.3">
      <c r="A66" s="17"/>
      <c r="B66"/>
      <c r="C66"/>
      <c r="D66"/>
      <c r="E66"/>
      <c r="F66" s="50">
        <v>39326</v>
      </c>
      <c r="G66" s="53">
        <v>125.35</v>
      </c>
      <c r="H66"/>
      <c r="I66"/>
      <c r="J66" s="107">
        <v>1.2478845196615231</v>
      </c>
      <c r="K66" s="54"/>
      <c r="L66" s="107">
        <v>1.2478845196615231</v>
      </c>
    </row>
    <row r="67" spans="1:12" s="15" customFormat="1" x14ac:dyDescent="0.3">
      <c r="A67" s="17"/>
      <c r="B67"/>
      <c r="C67"/>
      <c r="D67"/>
      <c r="E67"/>
      <c r="F67" s="50">
        <v>39356</v>
      </c>
      <c r="G67" s="53">
        <v>126.32</v>
      </c>
      <c r="H67"/>
      <c r="I67"/>
      <c r="J67" s="107">
        <v>1.2575410652065704</v>
      </c>
      <c r="K67" s="54"/>
      <c r="L67" s="107">
        <v>1.2575410652065704</v>
      </c>
    </row>
    <row r="68" spans="1:12" s="15" customFormat="1" x14ac:dyDescent="0.3">
      <c r="A68" s="17"/>
      <c r="B68"/>
      <c r="C68"/>
      <c r="D68"/>
      <c r="E68"/>
      <c r="F68" s="50">
        <v>39387</v>
      </c>
      <c r="G68" s="53">
        <v>126.17</v>
      </c>
      <c r="H68"/>
      <c r="I68"/>
      <c r="J68" s="107">
        <v>1.2560477849676457</v>
      </c>
      <c r="K68" s="54"/>
      <c r="L68" s="107">
        <v>1.2560477849676457</v>
      </c>
    </row>
    <row r="69" spans="1:12" s="15" customFormat="1" x14ac:dyDescent="0.3">
      <c r="A69" s="17"/>
      <c r="B69"/>
      <c r="C69"/>
      <c r="D69"/>
      <c r="E69"/>
      <c r="F69" s="50">
        <v>39417</v>
      </c>
      <c r="G69" s="53">
        <v>126.96</v>
      </c>
      <c r="H69"/>
      <c r="I69"/>
      <c r="J69" s="107">
        <v>1.2639123942259829</v>
      </c>
      <c r="K69" s="54"/>
      <c r="L69" s="107">
        <v>1.2639123942259829</v>
      </c>
    </row>
    <row r="70" spans="1:12" s="15" customFormat="1" x14ac:dyDescent="0.3">
      <c r="A70" s="17"/>
      <c r="B70"/>
      <c r="C70"/>
      <c r="D70"/>
      <c r="E70"/>
      <c r="F70" s="50">
        <v>39448</v>
      </c>
      <c r="G70" s="53">
        <v>127.22</v>
      </c>
      <c r="H70"/>
      <c r="I70"/>
      <c r="J70" s="107">
        <v>1.2665007466401195</v>
      </c>
      <c r="K70" s="54"/>
      <c r="L70" s="107">
        <v>1.2665007466401195</v>
      </c>
    </row>
    <row r="71" spans="1:12" s="15" customFormat="1" x14ac:dyDescent="0.3">
      <c r="A71" s="17"/>
      <c r="B71"/>
      <c r="C71"/>
      <c r="D71"/>
      <c r="E71"/>
      <c r="F71" s="50">
        <v>39479</v>
      </c>
      <c r="G71" s="53">
        <v>126.83</v>
      </c>
      <c r="H71"/>
      <c r="I71"/>
      <c r="J71" s="107">
        <v>1.2626182180189149</v>
      </c>
      <c r="K71" s="54"/>
      <c r="L71" s="107">
        <v>1.2626182180189149</v>
      </c>
    </row>
    <row r="72" spans="1:12" s="15" customFormat="1" x14ac:dyDescent="0.3">
      <c r="A72" s="17"/>
      <c r="B72"/>
      <c r="C72"/>
      <c r="D72"/>
      <c r="E72"/>
      <c r="F72" s="50">
        <v>39508</v>
      </c>
      <c r="G72" s="53">
        <v>126.44</v>
      </c>
      <c r="H72"/>
      <c r="I72"/>
      <c r="J72" s="107">
        <v>1.2587356893977102</v>
      </c>
      <c r="K72" s="54"/>
      <c r="L72" s="107">
        <v>1.2587356893977102</v>
      </c>
    </row>
    <row r="73" spans="1:12" s="15" customFormat="1" x14ac:dyDescent="0.3">
      <c r="A73" s="17"/>
      <c r="B73"/>
      <c r="C73"/>
      <c r="D73"/>
      <c r="E73"/>
      <c r="F73" s="50">
        <v>39539</v>
      </c>
      <c r="G73" s="53">
        <v>127.7</v>
      </c>
      <c r="H73"/>
      <c r="I73"/>
      <c r="J73" s="107">
        <v>1.2712792434046789</v>
      </c>
      <c r="K73" s="54"/>
      <c r="L73" s="107">
        <v>1.2712792434046789</v>
      </c>
    </row>
    <row r="74" spans="1:12" s="15" customFormat="1" x14ac:dyDescent="0.3">
      <c r="A74" s="17"/>
      <c r="B74"/>
      <c r="C74"/>
      <c r="D74"/>
      <c r="E74"/>
      <c r="F74" s="50">
        <v>39569</v>
      </c>
      <c r="G74" s="53">
        <v>129.4</v>
      </c>
      <c r="H74"/>
      <c r="I74"/>
      <c r="J74" s="107">
        <v>1.2882030861124938</v>
      </c>
      <c r="K74" s="54"/>
      <c r="L74" s="107">
        <v>1.2882030861124938</v>
      </c>
    </row>
    <row r="75" spans="1:12" s="15" customFormat="1" x14ac:dyDescent="0.3">
      <c r="A75" s="17"/>
      <c r="B75"/>
      <c r="C75"/>
      <c r="D75"/>
      <c r="E75"/>
      <c r="F75" s="50">
        <v>39600</v>
      </c>
      <c r="G75" s="53">
        <v>131.19</v>
      </c>
      <c r="H75"/>
      <c r="I75"/>
      <c r="J75" s="107">
        <v>1.3060228969636634</v>
      </c>
      <c r="K75" s="54"/>
      <c r="L75" s="107">
        <v>1.3060228969636634</v>
      </c>
    </row>
    <row r="76" spans="1:12" s="15" customFormat="1" x14ac:dyDescent="0.3">
      <c r="A76" s="17"/>
      <c r="B76"/>
      <c r="C76"/>
      <c r="D76"/>
      <c r="E76"/>
      <c r="F76" s="50">
        <v>39630</v>
      </c>
      <c r="G76" s="53">
        <v>130.93</v>
      </c>
      <c r="H76"/>
      <c r="I76"/>
      <c r="J76" s="107">
        <v>1.3034345445495272</v>
      </c>
      <c r="K76" s="54"/>
      <c r="L76" s="107">
        <v>1.3034345445495272</v>
      </c>
    </row>
    <row r="77" spans="1:12" s="15" customFormat="1" x14ac:dyDescent="0.3">
      <c r="A77" s="17"/>
      <c r="B77"/>
      <c r="C77"/>
      <c r="D77"/>
      <c r="E77"/>
      <c r="F77" s="50">
        <v>39661</v>
      </c>
      <c r="G77" s="53">
        <v>130.99</v>
      </c>
      <c r="H77"/>
      <c r="I77"/>
      <c r="J77" s="107">
        <v>1.304031856645097</v>
      </c>
      <c r="K77" s="54"/>
      <c r="L77" s="107">
        <v>1.304031856645097</v>
      </c>
    </row>
    <row r="78" spans="1:12" s="15" customFormat="1" x14ac:dyDescent="0.3">
      <c r="A78" s="17"/>
      <c r="B78"/>
      <c r="C78"/>
      <c r="D78"/>
      <c r="E78"/>
      <c r="F78" s="50">
        <v>39692</v>
      </c>
      <c r="G78" s="53">
        <v>130.93</v>
      </c>
      <c r="H78"/>
      <c r="I78"/>
      <c r="J78" s="107">
        <v>1.3034345445495272</v>
      </c>
      <c r="K78" s="54"/>
      <c r="L78" s="107">
        <v>1.3034345445495272</v>
      </c>
    </row>
    <row r="79" spans="1:12" s="15" customFormat="1" x14ac:dyDescent="0.3">
      <c r="A79" s="17"/>
      <c r="B79"/>
      <c r="C79"/>
      <c r="D79"/>
      <c r="E79"/>
      <c r="F79" s="50">
        <v>39722</v>
      </c>
      <c r="G79" s="53">
        <v>128.19</v>
      </c>
      <c r="H79"/>
      <c r="I79"/>
      <c r="J79" s="107">
        <v>1.2761572921851667</v>
      </c>
      <c r="K79" s="54"/>
      <c r="L79" s="107">
        <v>1.2761572921851667</v>
      </c>
    </row>
    <row r="80" spans="1:12" s="15" customFormat="1" x14ac:dyDescent="0.3">
      <c r="A80" s="17"/>
      <c r="B80"/>
      <c r="C80"/>
      <c r="D80"/>
      <c r="E80"/>
      <c r="F80" s="50">
        <v>39753</v>
      </c>
      <c r="G80" s="53">
        <v>124.95</v>
      </c>
      <c r="H80"/>
      <c r="I80"/>
      <c r="J80" s="107">
        <v>1.2439024390243902</v>
      </c>
      <c r="K80" s="54"/>
      <c r="L80" s="107">
        <v>1.2439024390243902</v>
      </c>
    </row>
    <row r="81" spans="1:12" s="15" customFormat="1" x14ac:dyDescent="0.3">
      <c r="A81" s="17"/>
      <c r="B81"/>
      <c r="C81"/>
      <c r="D81"/>
      <c r="E81"/>
      <c r="F81" s="50">
        <v>39783</v>
      </c>
      <c r="G81" s="53">
        <v>120.93</v>
      </c>
      <c r="H81"/>
      <c r="I81"/>
      <c r="J81" s="107">
        <v>1.2038825286212047</v>
      </c>
      <c r="K81" s="54"/>
      <c r="L81" s="107">
        <v>1.2038825286212047</v>
      </c>
    </row>
    <row r="82" spans="1:12" s="15" customFormat="1" x14ac:dyDescent="0.3">
      <c r="A82" s="17"/>
      <c r="B82"/>
      <c r="C82"/>
      <c r="D82"/>
      <c r="E82"/>
      <c r="F82" s="50">
        <v>39814</v>
      </c>
      <c r="G82" s="53">
        <v>120.82</v>
      </c>
      <c r="H82"/>
      <c r="I82"/>
      <c r="J82" s="107">
        <v>1.2027874564459928</v>
      </c>
      <c r="K82" s="54"/>
      <c r="L82" s="107">
        <v>1.2027874564459928</v>
      </c>
    </row>
    <row r="83" spans="1:12" s="15" customFormat="1" x14ac:dyDescent="0.3">
      <c r="A83" s="17"/>
      <c r="B83"/>
      <c r="C83"/>
      <c r="D83"/>
      <c r="E83"/>
      <c r="F83" s="50">
        <v>39845</v>
      </c>
      <c r="G83" s="53">
        <v>122.19</v>
      </c>
      <c r="H83"/>
      <c r="I83"/>
      <c r="J83" s="107">
        <v>1.2164260826281732</v>
      </c>
      <c r="K83" s="54"/>
      <c r="L83" s="107">
        <v>1.2164260826281732</v>
      </c>
    </row>
    <row r="84" spans="1:12" s="15" customFormat="1" x14ac:dyDescent="0.3">
      <c r="A84" s="17"/>
      <c r="B84"/>
      <c r="C84"/>
      <c r="D84"/>
      <c r="E84"/>
      <c r="F84" s="50">
        <v>39873</v>
      </c>
      <c r="G84" s="53">
        <v>122.97</v>
      </c>
      <c r="H84"/>
      <c r="I84"/>
      <c r="J84" s="107">
        <v>1.2241911398705823</v>
      </c>
      <c r="K84" s="54"/>
      <c r="L84" s="107">
        <v>1.2241911398705823</v>
      </c>
    </row>
    <row r="85" spans="1:12" s="15" customFormat="1" x14ac:dyDescent="0.3">
      <c r="A85" s="17"/>
      <c r="B85"/>
      <c r="C85"/>
      <c r="D85"/>
      <c r="E85"/>
      <c r="F85" s="50">
        <v>39904</v>
      </c>
      <c r="G85" s="53">
        <v>123.64</v>
      </c>
      <c r="H85"/>
      <c r="I85"/>
      <c r="J85" s="107">
        <v>1.2308611249377799</v>
      </c>
      <c r="K85" s="54"/>
      <c r="L85" s="107">
        <v>1.2308611249377799</v>
      </c>
    </row>
    <row r="86" spans="1:12" s="15" customFormat="1" x14ac:dyDescent="0.3">
      <c r="A86" s="17"/>
      <c r="B86"/>
      <c r="C86"/>
      <c r="D86"/>
      <c r="E86"/>
      <c r="F86" s="50">
        <v>39934</v>
      </c>
      <c r="G86" s="53">
        <v>124.87</v>
      </c>
      <c r="H86"/>
      <c r="I86"/>
      <c r="J86" s="107">
        <v>1.2431060228969637</v>
      </c>
      <c r="K86" s="54"/>
      <c r="L86" s="107">
        <v>1.2431060228969637</v>
      </c>
    </row>
    <row r="87" spans="1:12" s="15" customFormat="1" x14ac:dyDescent="0.3">
      <c r="A87" s="17"/>
      <c r="B87"/>
      <c r="C87"/>
      <c r="D87"/>
      <c r="E87"/>
      <c r="F87" s="50">
        <v>39965</v>
      </c>
      <c r="G87" s="53">
        <v>125.93</v>
      </c>
      <c r="H87"/>
      <c r="I87"/>
      <c r="J87" s="107">
        <v>1.2536585365853659</v>
      </c>
      <c r="K87" s="54"/>
      <c r="L87" s="107">
        <v>1.2536585365853659</v>
      </c>
    </row>
    <row r="88" spans="1:12" s="15" customFormat="1" x14ac:dyDescent="0.3">
      <c r="A88" s="17"/>
      <c r="B88"/>
      <c r="C88"/>
      <c r="D88"/>
      <c r="E88"/>
      <c r="F88" s="50">
        <v>39995</v>
      </c>
      <c r="G88" s="53">
        <v>126.29</v>
      </c>
      <c r="H88"/>
      <c r="I88"/>
      <c r="J88" s="107">
        <v>1.2572424091587855</v>
      </c>
      <c r="K88" s="54"/>
      <c r="L88" s="107">
        <v>1.2572424091587855</v>
      </c>
    </row>
    <row r="89" spans="1:12" s="15" customFormat="1" x14ac:dyDescent="0.3">
      <c r="A89" s="17"/>
      <c r="B89"/>
      <c r="C89"/>
      <c r="D89"/>
      <c r="E89"/>
      <c r="F89" s="50">
        <v>40026</v>
      </c>
      <c r="G89" s="53">
        <v>128.09</v>
      </c>
      <c r="H89"/>
      <c r="I89"/>
      <c r="J89" s="107">
        <v>1.2751617720258834</v>
      </c>
      <c r="K89" s="54"/>
      <c r="L89" s="107">
        <v>1.2751617720258834</v>
      </c>
    </row>
    <row r="90" spans="1:12" s="15" customFormat="1" x14ac:dyDescent="0.3">
      <c r="A90" s="17"/>
      <c r="B90"/>
      <c r="C90"/>
      <c r="D90"/>
      <c r="E90"/>
      <c r="F90" s="50">
        <v>40057</v>
      </c>
      <c r="G90" s="53">
        <v>129.12</v>
      </c>
      <c r="H90"/>
      <c r="I90"/>
      <c r="J90" s="107">
        <v>1.2854156296665007</v>
      </c>
      <c r="K90" s="54"/>
      <c r="L90" s="107">
        <v>1.2854156296665007</v>
      </c>
    </row>
    <row r="91" spans="1:12" s="15" customFormat="1" x14ac:dyDescent="0.3">
      <c r="A91" s="17"/>
      <c r="B91"/>
      <c r="C91"/>
      <c r="D91"/>
      <c r="E91"/>
      <c r="F91" s="50">
        <v>40087</v>
      </c>
      <c r="G91" s="53">
        <v>129.79</v>
      </c>
      <c r="H91"/>
      <c r="I91"/>
      <c r="J91" s="107">
        <v>1.2920856147336983</v>
      </c>
      <c r="K91" s="54"/>
      <c r="L91" s="107">
        <v>1.2920856147336983</v>
      </c>
    </row>
    <row r="92" spans="1:12" s="15" customFormat="1" x14ac:dyDescent="0.3">
      <c r="A92" s="17"/>
      <c r="B92"/>
      <c r="C92"/>
      <c r="D92"/>
      <c r="E92"/>
      <c r="F92" s="50">
        <v>40118</v>
      </c>
      <c r="G92" s="53">
        <v>130.02000000000001</v>
      </c>
      <c r="H92"/>
      <c r="I92"/>
      <c r="J92" s="107">
        <v>1.2943753111000498</v>
      </c>
      <c r="K92" s="54"/>
      <c r="L92" s="107">
        <v>1.2943753111000498</v>
      </c>
    </row>
    <row r="93" spans="1:12" s="15" customFormat="1" x14ac:dyDescent="0.3">
      <c r="A93" s="17"/>
      <c r="B93"/>
      <c r="C93"/>
      <c r="D93"/>
      <c r="E93"/>
      <c r="F93" s="50">
        <v>40148</v>
      </c>
      <c r="G93" s="53">
        <v>131.30000000000001</v>
      </c>
      <c r="H93"/>
      <c r="I93"/>
      <c r="J93" s="107">
        <v>1.3071179691388752</v>
      </c>
      <c r="K93" s="54"/>
      <c r="L93" s="107">
        <v>1.3071179691388752</v>
      </c>
    </row>
    <row r="94" spans="1:12" s="15" customFormat="1" x14ac:dyDescent="0.3">
      <c r="A94" s="17"/>
      <c r="B94"/>
      <c r="C94"/>
      <c r="D94"/>
      <c r="E94"/>
      <c r="F94" s="50">
        <v>40179</v>
      </c>
      <c r="G94" s="53">
        <v>133.47</v>
      </c>
      <c r="H94"/>
      <c r="I94"/>
      <c r="J94" s="107">
        <v>1.328720756595321</v>
      </c>
      <c r="K94" s="54"/>
      <c r="L94" s="107">
        <v>1.328720756595321</v>
      </c>
    </row>
    <row r="95" spans="1:12" s="15" customFormat="1" x14ac:dyDescent="0.3">
      <c r="A95" s="17"/>
      <c r="B95"/>
      <c r="C95"/>
      <c r="D95"/>
      <c r="E95"/>
      <c r="F95" s="50">
        <v>40210</v>
      </c>
      <c r="G95" s="53">
        <v>135.16999999999999</v>
      </c>
      <c r="H95"/>
      <c r="I95"/>
      <c r="J95" s="107">
        <v>1.3456445993031356</v>
      </c>
      <c r="K95" s="54"/>
      <c r="L95" s="107">
        <v>1.3456445993031356</v>
      </c>
    </row>
    <row r="96" spans="1:12" s="15" customFormat="1" x14ac:dyDescent="0.3">
      <c r="A96" s="17"/>
      <c r="B96"/>
      <c r="C96"/>
      <c r="D96"/>
      <c r="E96"/>
      <c r="F96" s="50">
        <v>40238</v>
      </c>
      <c r="G96" s="53">
        <v>136.59</v>
      </c>
      <c r="H96"/>
      <c r="I96"/>
      <c r="J96" s="107">
        <v>1.3597809855649576</v>
      </c>
      <c r="K96" s="54"/>
      <c r="L96" s="107">
        <v>1.3597809855649576</v>
      </c>
    </row>
    <row r="97" spans="1:12" s="15" customFormat="1" x14ac:dyDescent="0.3">
      <c r="A97" s="17"/>
      <c r="B97"/>
      <c r="C97"/>
      <c r="D97"/>
      <c r="E97"/>
      <c r="F97" s="50">
        <v>40269</v>
      </c>
      <c r="G97" s="53">
        <v>137.05000000000001</v>
      </c>
      <c r="H97"/>
      <c r="I97"/>
      <c r="J97" s="107">
        <v>1.3643603782976605</v>
      </c>
      <c r="K97" s="54"/>
      <c r="L97" s="107">
        <v>1.3643603782976605</v>
      </c>
    </row>
    <row r="98" spans="1:12" s="15" customFormat="1" x14ac:dyDescent="0.3">
      <c r="A98" s="17"/>
      <c r="B98"/>
      <c r="C98"/>
      <c r="D98"/>
      <c r="E98"/>
      <c r="F98" s="50">
        <v>40299</v>
      </c>
      <c r="G98" s="53">
        <v>136.49</v>
      </c>
      <c r="H98"/>
      <c r="I98"/>
      <c r="J98" s="107">
        <v>1.3587854654056746</v>
      </c>
      <c r="K98" s="54"/>
      <c r="L98" s="107">
        <v>1.3587854654056746</v>
      </c>
    </row>
    <row r="99" spans="1:12" s="15" customFormat="1" x14ac:dyDescent="0.3">
      <c r="A99" s="17"/>
      <c r="B99"/>
      <c r="C99"/>
      <c r="D99"/>
      <c r="E99"/>
      <c r="F99" s="50">
        <v>40330</v>
      </c>
      <c r="G99" s="53">
        <v>136.22999999999999</v>
      </c>
      <c r="H99"/>
      <c r="I99"/>
      <c r="J99" s="107">
        <v>1.356197112991538</v>
      </c>
      <c r="K99" s="54"/>
      <c r="L99" s="107">
        <v>1.356197112991538</v>
      </c>
    </row>
    <row r="100" spans="1:12" s="15" customFormat="1" x14ac:dyDescent="0.3">
      <c r="A100" s="17"/>
      <c r="B100"/>
      <c r="C100"/>
      <c r="D100"/>
      <c r="E100"/>
      <c r="F100" s="50">
        <v>40360</v>
      </c>
      <c r="G100" s="53">
        <v>136.93</v>
      </c>
      <c r="H100"/>
      <c r="I100"/>
      <c r="J100" s="107">
        <v>1.3631657541065207</v>
      </c>
      <c r="K100" s="54"/>
      <c r="L100" s="107">
        <v>1.3631657541065207</v>
      </c>
    </row>
    <row r="101" spans="1:12" s="15" customFormat="1" x14ac:dyDescent="0.3">
      <c r="A101" s="17"/>
      <c r="B101"/>
      <c r="C101"/>
      <c r="D101"/>
      <c r="E101"/>
      <c r="F101" s="50">
        <v>40391</v>
      </c>
      <c r="G101" s="53">
        <v>137.66999999999999</v>
      </c>
      <c r="H101"/>
      <c r="I101"/>
      <c r="J101" s="107">
        <v>1.3705326032852163</v>
      </c>
      <c r="K101" s="54"/>
      <c r="L101" s="107">
        <v>1.3705326032852163</v>
      </c>
    </row>
    <row r="102" spans="1:12" s="15" customFormat="1" x14ac:dyDescent="0.3">
      <c r="A102" s="17"/>
      <c r="B102"/>
      <c r="C102"/>
      <c r="D102"/>
      <c r="E102"/>
      <c r="F102" s="50">
        <v>40422</v>
      </c>
      <c r="G102" s="53">
        <v>139.41</v>
      </c>
      <c r="H102"/>
      <c r="I102"/>
      <c r="J102" s="107">
        <v>1.3878546540567447</v>
      </c>
      <c r="K102" s="54"/>
      <c r="L102" s="107">
        <v>1.3878546540567447</v>
      </c>
    </row>
    <row r="103" spans="1:12" s="15" customFormat="1" x14ac:dyDescent="0.3">
      <c r="A103" s="17"/>
      <c r="B103"/>
      <c r="C103"/>
      <c r="D103"/>
      <c r="E103"/>
      <c r="F103" s="50">
        <v>40452</v>
      </c>
      <c r="G103" s="53">
        <v>138.72</v>
      </c>
      <c r="H103"/>
      <c r="I103"/>
      <c r="J103" s="107">
        <v>1.3809855649576903</v>
      </c>
      <c r="K103" s="54"/>
      <c r="L103" s="107">
        <v>1.3809855649576903</v>
      </c>
    </row>
    <row r="104" spans="1:12" s="15" customFormat="1" x14ac:dyDescent="0.3">
      <c r="A104" s="17"/>
      <c r="B104"/>
      <c r="C104"/>
      <c r="D104"/>
      <c r="E104"/>
      <c r="F104" s="50">
        <v>40483</v>
      </c>
      <c r="G104" s="53">
        <v>140.09</v>
      </c>
      <c r="H104"/>
      <c r="I104"/>
      <c r="J104" s="107">
        <v>1.3946241911398707</v>
      </c>
      <c r="K104" s="54"/>
      <c r="L104" s="107">
        <v>1.3946241911398707</v>
      </c>
    </row>
    <row r="105" spans="1:12" s="15" customFormat="1" x14ac:dyDescent="0.3">
      <c r="A105" s="17"/>
      <c r="B105"/>
      <c r="C105"/>
      <c r="D105"/>
      <c r="E105"/>
      <c r="F105" s="50">
        <v>40513</v>
      </c>
      <c r="G105" s="53">
        <v>138.29</v>
      </c>
      <c r="H105"/>
      <c r="I105"/>
      <c r="J105" s="107">
        <v>1.3767048282727723</v>
      </c>
      <c r="K105" s="54"/>
      <c r="L105" s="107">
        <v>1.3767048282727723</v>
      </c>
    </row>
    <row r="106" spans="1:12" s="15" customFormat="1" x14ac:dyDescent="0.3">
      <c r="A106" s="17"/>
      <c r="B106"/>
      <c r="C106"/>
      <c r="D106"/>
      <c r="E106"/>
      <c r="F106" s="50">
        <v>40544</v>
      </c>
      <c r="G106" s="53">
        <v>140.13999999999999</v>
      </c>
      <c r="H106"/>
      <c r="I106"/>
      <c r="J106" s="107">
        <v>1.3951219512195121</v>
      </c>
      <c r="K106" s="54"/>
      <c r="L106" s="107">
        <v>1.3951219512195121</v>
      </c>
    </row>
    <row r="107" spans="1:12" s="15" customFormat="1" x14ac:dyDescent="0.3">
      <c r="A107" s="17"/>
      <c r="B107"/>
      <c r="C107"/>
      <c r="D107"/>
      <c r="E107"/>
      <c r="F107" s="50">
        <v>40575</v>
      </c>
      <c r="G107" s="53">
        <v>140.72</v>
      </c>
      <c r="H107"/>
      <c r="I107"/>
      <c r="J107" s="107">
        <v>1.4008959681433548</v>
      </c>
      <c r="K107" s="54"/>
      <c r="L107" s="107">
        <v>1.4008959681433548</v>
      </c>
    </row>
    <row r="108" spans="1:12" s="15" customFormat="1" x14ac:dyDescent="0.3">
      <c r="A108" s="17"/>
      <c r="B108"/>
      <c r="C108"/>
      <c r="D108"/>
      <c r="E108"/>
      <c r="F108" s="50">
        <v>40603</v>
      </c>
      <c r="G108" s="53">
        <v>141.1</v>
      </c>
      <c r="H108"/>
      <c r="I108"/>
      <c r="J108" s="107">
        <v>1.404678944748631</v>
      </c>
      <c r="K108" s="54"/>
      <c r="L108" s="107">
        <v>1.404678944748631</v>
      </c>
    </row>
    <row r="109" spans="1:12" s="15" customFormat="1" x14ac:dyDescent="0.3">
      <c r="A109" s="17"/>
      <c r="B109"/>
      <c r="C109"/>
      <c r="D109"/>
      <c r="E109"/>
      <c r="F109" s="50">
        <v>40634</v>
      </c>
      <c r="G109" s="53">
        <v>140.84</v>
      </c>
      <c r="H109"/>
      <c r="I109"/>
      <c r="J109" s="107">
        <v>1.4020905923344948</v>
      </c>
      <c r="K109" s="54"/>
      <c r="L109" s="107">
        <v>1.4020905923344948</v>
      </c>
    </row>
    <row r="110" spans="1:12" s="15" customFormat="1" x14ac:dyDescent="0.3">
      <c r="A110" s="17"/>
      <c r="B110"/>
      <c r="C110"/>
      <c r="D110"/>
      <c r="E110"/>
      <c r="F110" s="50">
        <v>40664</v>
      </c>
      <c r="G110" s="53">
        <v>141.27000000000001</v>
      </c>
      <c r="H110"/>
      <c r="I110"/>
      <c r="J110" s="107">
        <v>1.4063713290194126</v>
      </c>
      <c r="K110" s="54"/>
      <c r="L110" s="107">
        <v>1.4063713290194126</v>
      </c>
    </row>
    <row r="111" spans="1:12" s="15" customFormat="1" x14ac:dyDescent="0.3">
      <c r="A111" s="17"/>
      <c r="B111"/>
      <c r="C111"/>
      <c r="D111"/>
      <c r="E111"/>
      <c r="F111" s="50">
        <v>40695</v>
      </c>
      <c r="G111" s="53">
        <v>142.22</v>
      </c>
      <c r="H111"/>
      <c r="I111"/>
      <c r="J111" s="107">
        <v>1.4158287705326031</v>
      </c>
      <c r="K111" s="54"/>
      <c r="L111" s="107">
        <v>1.4158287705326031</v>
      </c>
    </row>
    <row r="112" spans="1:12" s="15" customFormat="1" x14ac:dyDescent="0.3">
      <c r="A112" s="17"/>
      <c r="B112"/>
      <c r="C112"/>
      <c r="D112"/>
      <c r="E112"/>
      <c r="F112" s="50">
        <v>40725</v>
      </c>
      <c r="G112" s="53">
        <v>142.25</v>
      </c>
      <c r="H112"/>
      <c r="I112"/>
      <c r="J112" s="107">
        <v>1.4161274265803883</v>
      </c>
      <c r="K112" s="54"/>
      <c r="L112" s="107">
        <v>1.4161274265803883</v>
      </c>
    </row>
    <row r="113" spans="1:12" s="15" customFormat="1" x14ac:dyDescent="0.3">
      <c r="A113" s="17"/>
      <c r="B113"/>
      <c r="C113"/>
      <c r="D113"/>
      <c r="E113"/>
      <c r="F113" s="50">
        <v>40756</v>
      </c>
      <c r="G113" s="53">
        <v>141.96</v>
      </c>
      <c r="H113"/>
      <c r="I113"/>
      <c r="J113" s="107">
        <v>1.413240418118467</v>
      </c>
      <c r="K113" s="54"/>
      <c r="L113" s="107">
        <v>1.413240418118467</v>
      </c>
    </row>
    <row r="114" spans="1:12" s="15" customFormat="1" x14ac:dyDescent="0.3">
      <c r="A114" s="17"/>
      <c r="B114"/>
      <c r="C114"/>
      <c r="D114"/>
      <c r="E114"/>
      <c r="F114" s="50">
        <v>40787</v>
      </c>
      <c r="G114" s="53">
        <v>141.79</v>
      </c>
      <c r="H114"/>
      <c r="I114"/>
      <c r="J114" s="107">
        <v>1.4115480338476853</v>
      </c>
      <c r="K114" s="54"/>
      <c r="L114" s="107">
        <v>1.4115480338476853</v>
      </c>
    </row>
    <row r="115" spans="1:12" s="15" customFormat="1" x14ac:dyDescent="0.3">
      <c r="A115" s="17"/>
      <c r="B115"/>
      <c r="C115"/>
      <c r="D115"/>
      <c r="E115"/>
      <c r="F115" s="50">
        <v>40817</v>
      </c>
      <c r="G115" s="53">
        <v>141.58000000000001</v>
      </c>
      <c r="H115"/>
      <c r="I115"/>
      <c r="J115" s="107">
        <v>1.4094574415131906</v>
      </c>
      <c r="K115" s="54"/>
      <c r="L115" s="107">
        <v>1.4094574415131906</v>
      </c>
    </row>
    <row r="116" spans="1:12" s="15" customFormat="1" x14ac:dyDescent="0.3">
      <c r="A116" s="17"/>
      <c r="B116"/>
      <c r="C116"/>
      <c r="D116"/>
      <c r="E116"/>
      <c r="F116" s="50">
        <v>40848</v>
      </c>
      <c r="G116" s="53">
        <v>142.25</v>
      </c>
      <c r="H116"/>
      <c r="I116"/>
      <c r="J116" s="107">
        <v>1.4161274265803883</v>
      </c>
      <c r="K116" s="54"/>
      <c r="L116" s="107">
        <v>1.4161274265803883</v>
      </c>
    </row>
    <row r="117" spans="1:12" s="15" customFormat="1" x14ac:dyDescent="0.3">
      <c r="A117" s="17"/>
      <c r="B117"/>
      <c r="C117"/>
      <c r="D117"/>
      <c r="E117"/>
      <c r="F117" s="50">
        <v>40878</v>
      </c>
      <c r="G117" s="53">
        <v>140.44999999999999</v>
      </c>
      <c r="H117"/>
      <c r="I117"/>
      <c r="J117" s="107">
        <v>1.3982080637132901</v>
      </c>
      <c r="K117" s="54"/>
      <c r="L117" s="107">
        <v>1.3982080637132901</v>
      </c>
    </row>
    <row r="118" spans="1:12" s="15" customFormat="1" x14ac:dyDescent="0.3">
      <c r="A118" s="17"/>
      <c r="B118"/>
      <c r="C118"/>
      <c r="D118"/>
      <c r="E118"/>
      <c r="F118" s="50">
        <v>40909</v>
      </c>
      <c r="G118" s="53">
        <v>138.87</v>
      </c>
      <c r="H118"/>
      <c r="I118"/>
      <c r="J118" s="107">
        <v>1.3824788451966152</v>
      </c>
      <c r="K118" s="54"/>
      <c r="L118" s="107">
        <v>1.3824788451966152</v>
      </c>
    </row>
    <row r="119" spans="1:12" s="15" customFormat="1" x14ac:dyDescent="0.3">
      <c r="A119" s="17"/>
      <c r="B119"/>
      <c r="C119"/>
      <c r="D119"/>
      <c r="E119"/>
      <c r="F119" s="50">
        <v>40940</v>
      </c>
      <c r="G119" s="53">
        <v>140.49</v>
      </c>
      <c r="H119"/>
      <c r="I119"/>
      <c r="J119" s="107">
        <v>1.3986062717770036</v>
      </c>
      <c r="K119" s="54"/>
      <c r="L119" s="107">
        <v>1.3986062717770036</v>
      </c>
    </row>
    <row r="120" spans="1:12" s="15" customFormat="1" x14ac:dyDescent="0.3">
      <c r="A120" s="17"/>
      <c r="B120"/>
      <c r="C120"/>
      <c r="D120"/>
      <c r="E120"/>
      <c r="F120" s="50">
        <v>40969</v>
      </c>
      <c r="G120" s="53">
        <v>140.06</v>
      </c>
      <c r="H120"/>
      <c r="I120"/>
      <c r="J120" s="107">
        <v>1.3943255350920856</v>
      </c>
      <c r="K120" s="54"/>
      <c r="L120" s="107">
        <v>1.3943255350920856</v>
      </c>
    </row>
    <row r="121" spans="1:12" s="15" customFormat="1" x14ac:dyDescent="0.3">
      <c r="A121" s="17"/>
      <c r="B121"/>
      <c r="C121"/>
      <c r="D121"/>
      <c r="E121"/>
      <c r="F121" s="50">
        <v>41000</v>
      </c>
      <c r="G121" s="53">
        <v>141.04</v>
      </c>
      <c r="H121"/>
      <c r="I121"/>
      <c r="J121" s="107">
        <v>1.4040816326530612</v>
      </c>
      <c r="K121" s="54"/>
      <c r="L121" s="107">
        <v>1.4040816326530612</v>
      </c>
    </row>
    <row r="122" spans="1:12" s="15" customFormat="1" x14ac:dyDescent="0.3">
      <c r="A122" s="17"/>
      <c r="B122"/>
      <c r="C122"/>
      <c r="D122"/>
      <c r="E122"/>
      <c r="F122" s="50">
        <v>41030</v>
      </c>
      <c r="G122" s="53">
        <v>142.66999999999999</v>
      </c>
      <c r="H122"/>
      <c r="I122"/>
      <c r="J122" s="107">
        <v>1.4203086112493777</v>
      </c>
      <c r="K122" s="54"/>
      <c r="L122" s="107">
        <v>1.4203086112493777</v>
      </c>
    </row>
    <row r="123" spans="1:12" s="15" customFormat="1" x14ac:dyDescent="0.3">
      <c r="A123" s="17"/>
      <c r="B123"/>
      <c r="C123"/>
      <c r="D123"/>
      <c r="E123"/>
      <c r="F123" s="50">
        <v>41061</v>
      </c>
      <c r="G123" s="53">
        <v>143.56</v>
      </c>
      <c r="H123"/>
      <c r="I123"/>
      <c r="J123" s="107">
        <v>1.4291687406669984</v>
      </c>
      <c r="K123" s="54"/>
      <c r="L123" s="107">
        <v>1.4291687406669984</v>
      </c>
    </row>
    <row r="124" spans="1:12" s="15" customFormat="1" x14ac:dyDescent="0.3">
      <c r="A124" s="17"/>
      <c r="B124"/>
      <c r="C124"/>
      <c r="D124"/>
      <c r="E124"/>
      <c r="F124" s="50">
        <v>41091</v>
      </c>
      <c r="G124" s="53">
        <v>144.03</v>
      </c>
      <c r="H124"/>
      <c r="I124"/>
      <c r="J124" s="107">
        <v>1.4338476854156297</v>
      </c>
      <c r="K124" s="54"/>
      <c r="L124" s="107">
        <v>1.4338476854156297</v>
      </c>
    </row>
    <row r="125" spans="1:12" s="15" customFormat="1" x14ac:dyDescent="0.3">
      <c r="A125" s="17"/>
      <c r="B125"/>
      <c r="C125"/>
      <c r="D125"/>
      <c r="E125"/>
      <c r="F125" s="50">
        <v>41122</v>
      </c>
      <c r="G125" s="53">
        <v>144.35</v>
      </c>
      <c r="H125"/>
      <c r="I125"/>
      <c r="J125" s="107">
        <v>1.4370333499253358</v>
      </c>
      <c r="K125" s="54"/>
      <c r="L125" s="107">
        <v>1.4370333499253358</v>
      </c>
    </row>
    <row r="126" spans="1:12" s="15" customFormat="1" x14ac:dyDescent="0.3">
      <c r="A126" s="17"/>
      <c r="B126"/>
      <c r="C126"/>
      <c r="D126"/>
      <c r="E126"/>
      <c r="F126" s="50">
        <v>41153</v>
      </c>
      <c r="G126" s="53">
        <v>143.71</v>
      </c>
      <c r="H126"/>
      <c r="I126"/>
      <c r="J126" s="107">
        <v>1.4306620209059233</v>
      </c>
      <c r="K126" s="54"/>
      <c r="L126" s="107">
        <v>1.4306620209059233</v>
      </c>
    </row>
    <row r="127" spans="1:12" s="15" customFormat="1" x14ac:dyDescent="0.3">
      <c r="A127" s="17"/>
      <c r="B127"/>
      <c r="C127"/>
      <c r="D127"/>
      <c r="E127"/>
      <c r="F127" s="50">
        <v>41183</v>
      </c>
      <c r="G127" s="53">
        <v>144.86000000000001</v>
      </c>
      <c r="H127"/>
      <c r="I127"/>
      <c r="J127" s="107">
        <v>1.4421105027376806</v>
      </c>
      <c r="K127" s="54"/>
      <c r="L127" s="107">
        <v>1.4421105027376806</v>
      </c>
    </row>
    <row r="128" spans="1:12" s="15" customFormat="1" x14ac:dyDescent="0.3">
      <c r="A128" s="17"/>
      <c r="B128"/>
      <c r="C128"/>
      <c r="D128"/>
      <c r="E128"/>
      <c r="F128" s="50">
        <v>41214</v>
      </c>
      <c r="G128" s="53">
        <v>144.58000000000001</v>
      </c>
      <c r="H128"/>
      <c r="I128"/>
      <c r="J128" s="107">
        <v>1.4393230462916875</v>
      </c>
      <c r="K128" s="54"/>
      <c r="L128" s="107">
        <v>1.4393230462916875</v>
      </c>
    </row>
    <row r="129" spans="1:12" s="15" customFormat="1" x14ac:dyDescent="0.3">
      <c r="A129" s="17"/>
      <c r="B129"/>
      <c r="C129"/>
      <c r="D129"/>
      <c r="E129"/>
      <c r="F129" s="50">
        <v>41244</v>
      </c>
      <c r="G129" s="53">
        <v>144.16</v>
      </c>
      <c r="H129"/>
      <c r="I129"/>
      <c r="J129" s="107">
        <v>1.4351418616226979</v>
      </c>
      <c r="K129" s="54"/>
      <c r="L129" s="107">
        <v>1.4351418616226979</v>
      </c>
    </row>
    <row r="130" spans="1:12" s="15" customFormat="1" x14ac:dyDescent="0.3">
      <c r="A130" s="17"/>
      <c r="B130"/>
      <c r="C130"/>
      <c r="D130"/>
      <c r="E130"/>
      <c r="F130" s="50">
        <v>41275</v>
      </c>
      <c r="G130" s="53">
        <v>144.99</v>
      </c>
      <c r="H130"/>
      <c r="I130"/>
      <c r="J130" s="107">
        <v>1.4434046789447488</v>
      </c>
      <c r="K130" s="54"/>
      <c r="L130" s="107">
        <v>1.4434046789447488</v>
      </c>
    </row>
    <row r="131" spans="1:12" s="15" customFormat="1" x14ac:dyDescent="0.3">
      <c r="A131" s="17"/>
      <c r="B131"/>
      <c r="C131"/>
      <c r="D131"/>
      <c r="E131"/>
      <c r="F131" s="50">
        <v>41306</v>
      </c>
      <c r="G131" s="53">
        <v>143.77000000000001</v>
      </c>
      <c r="H131"/>
      <c r="I131"/>
      <c r="J131" s="107">
        <v>1.4312593330014933</v>
      </c>
      <c r="K131" s="54"/>
      <c r="L131" s="107">
        <v>1.4312593330014933</v>
      </c>
    </row>
    <row r="132" spans="1:12" s="15" customFormat="1" x14ac:dyDescent="0.3">
      <c r="A132" s="17"/>
      <c r="B132"/>
      <c r="C132"/>
      <c r="D132"/>
      <c r="E132"/>
      <c r="F132" s="50">
        <v>41334</v>
      </c>
      <c r="G132" s="53">
        <v>144.94999999999999</v>
      </c>
      <c r="H132"/>
      <c r="I132"/>
      <c r="J132" s="107">
        <v>1.4430064708810353</v>
      </c>
      <c r="K132" s="54"/>
      <c r="L132" s="107">
        <v>1.4430064708810353</v>
      </c>
    </row>
    <row r="133" spans="1:12" s="15" customFormat="1" x14ac:dyDescent="0.3">
      <c r="A133" s="17"/>
      <c r="B133"/>
      <c r="C133"/>
      <c r="D133"/>
      <c r="E133"/>
      <c r="F133" s="50">
        <v>41365</v>
      </c>
      <c r="G133" s="53">
        <v>146.24</v>
      </c>
      <c r="H133"/>
      <c r="I133"/>
      <c r="J133" s="107">
        <v>1.4558486809357889</v>
      </c>
      <c r="K133" s="54"/>
      <c r="L133" s="107">
        <v>1.4558486809357889</v>
      </c>
    </row>
    <row r="134" spans="1:12" s="15" customFormat="1" x14ac:dyDescent="0.3">
      <c r="A134" s="17"/>
      <c r="B134"/>
      <c r="C134"/>
      <c r="D134"/>
      <c r="E134"/>
      <c r="F134" s="50">
        <v>41395</v>
      </c>
      <c r="G134" s="53">
        <v>146.83000000000001</v>
      </c>
      <c r="H134"/>
      <c r="I134"/>
      <c r="J134" s="107">
        <v>1.46172224987556</v>
      </c>
      <c r="K134" s="54"/>
      <c r="L134" s="107">
        <v>1.46172224987556</v>
      </c>
    </row>
    <row r="135" spans="1:12" s="15" customFormat="1" x14ac:dyDescent="0.3">
      <c r="A135" s="17"/>
      <c r="B135"/>
      <c r="C135"/>
      <c r="D135"/>
      <c r="E135"/>
      <c r="F135" s="50">
        <v>41426</v>
      </c>
      <c r="G135" s="53">
        <v>146.35</v>
      </c>
      <c r="H135"/>
      <c r="I135"/>
      <c r="J135" s="107">
        <v>1.4569437531110003</v>
      </c>
      <c r="K135" s="54"/>
      <c r="L135" s="107">
        <v>1.4569437531110003</v>
      </c>
    </row>
    <row r="136" spans="1:12" s="15" customFormat="1" x14ac:dyDescent="0.3">
      <c r="A136" s="17"/>
      <c r="B136"/>
      <c r="C136"/>
      <c r="D136"/>
      <c r="E136"/>
      <c r="F136" s="50">
        <v>41456</v>
      </c>
      <c r="G136" s="53">
        <v>147.19</v>
      </c>
      <c r="H136"/>
      <c r="I136"/>
      <c r="J136" s="107">
        <v>1.4653061224489796</v>
      </c>
      <c r="K136" s="54"/>
      <c r="L136" s="107">
        <v>1.4653061224489796</v>
      </c>
    </row>
    <row r="137" spans="1:12" s="15" customFormat="1" x14ac:dyDescent="0.3">
      <c r="A137" s="17"/>
      <c r="B137"/>
      <c r="C137"/>
      <c r="D137"/>
      <c r="E137"/>
      <c r="F137" s="50">
        <v>41487</v>
      </c>
      <c r="G137" s="53">
        <v>147.11000000000001</v>
      </c>
      <c r="H137"/>
      <c r="I137"/>
      <c r="J137" s="107">
        <v>1.4645097063215531</v>
      </c>
      <c r="K137" s="54"/>
      <c r="L137" s="107">
        <v>1.4645097063215531</v>
      </c>
    </row>
    <row r="138" spans="1:12" s="15" customFormat="1" x14ac:dyDescent="0.3">
      <c r="A138" s="17"/>
      <c r="B138"/>
      <c r="C138"/>
      <c r="D138"/>
      <c r="E138"/>
      <c r="F138" s="50">
        <v>41518</v>
      </c>
      <c r="G138" s="53">
        <v>148.13999999999999</v>
      </c>
      <c r="H138"/>
      <c r="I138"/>
      <c r="J138" s="107">
        <v>1.4747635639621701</v>
      </c>
      <c r="K138" s="54"/>
      <c r="L138" s="107">
        <v>1.4747635639621701</v>
      </c>
    </row>
    <row r="139" spans="1:12" s="15" customFormat="1" x14ac:dyDescent="0.3">
      <c r="A139" s="17"/>
      <c r="B139"/>
      <c r="C139"/>
      <c r="D139"/>
      <c r="E139"/>
      <c r="F139" s="50">
        <v>41548</v>
      </c>
      <c r="G139" s="53">
        <v>147.99</v>
      </c>
      <c r="H139"/>
      <c r="I139"/>
      <c r="J139" s="107">
        <v>1.4732702837232454</v>
      </c>
      <c r="K139" s="54"/>
      <c r="L139" s="107">
        <v>1.4732702837232454</v>
      </c>
    </row>
    <row r="140" spans="1:12" s="15" customFormat="1" x14ac:dyDescent="0.3">
      <c r="A140" s="17"/>
      <c r="B140"/>
      <c r="C140"/>
      <c r="D140"/>
      <c r="E140"/>
      <c r="F140" s="50">
        <v>41579</v>
      </c>
      <c r="G140" s="53">
        <v>148.34</v>
      </c>
      <c r="H140"/>
      <c r="I140"/>
      <c r="J140" s="107">
        <v>1.4767546042807367</v>
      </c>
      <c r="K140" s="54"/>
      <c r="L140" s="107">
        <v>1.4767546042807367</v>
      </c>
    </row>
    <row r="141" spans="1:12" s="15" customFormat="1" x14ac:dyDescent="0.3">
      <c r="A141" s="17"/>
      <c r="B141"/>
      <c r="C141"/>
      <c r="D141"/>
      <c r="E141"/>
      <c r="F141" s="50">
        <v>41609</v>
      </c>
      <c r="G141" s="53">
        <v>148.61000000000001</v>
      </c>
      <c r="H141"/>
      <c r="I141"/>
      <c r="J141" s="107">
        <v>1.4794425087108014</v>
      </c>
      <c r="K141" s="54"/>
      <c r="L141" s="107">
        <v>1.4794425087108014</v>
      </c>
    </row>
    <row r="142" spans="1:12" s="15" customFormat="1" x14ac:dyDescent="0.3">
      <c r="A142" s="17"/>
      <c r="B142"/>
      <c r="C142"/>
      <c r="D142"/>
      <c r="E142"/>
      <c r="F142" s="50">
        <v>41640</v>
      </c>
      <c r="G142" s="53">
        <v>148.27000000000001</v>
      </c>
      <c r="H142"/>
      <c r="I142"/>
      <c r="J142" s="107">
        <v>1.4760577401692385</v>
      </c>
      <c r="K142" s="54"/>
      <c r="L142" s="107">
        <v>1.4760577401692385</v>
      </c>
    </row>
    <row r="143" spans="1:12" s="15" customFormat="1" x14ac:dyDescent="0.3">
      <c r="A143" s="17"/>
      <c r="B143"/>
      <c r="C143"/>
      <c r="D143"/>
      <c r="E143"/>
      <c r="F143" s="50">
        <v>41671</v>
      </c>
      <c r="G143" s="53">
        <v>147.85</v>
      </c>
      <c r="H143"/>
      <c r="I143"/>
      <c r="J143" s="107">
        <v>1.4718765555002489</v>
      </c>
      <c r="K143" s="54"/>
      <c r="L143" s="107">
        <v>1.4718765555002489</v>
      </c>
    </row>
    <row r="144" spans="1:12" s="15" customFormat="1" x14ac:dyDescent="0.3">
      <c r="A144" s="17"/>
      <c r="B144"/>
      <c r="C144"/>
      <c r="D144"/>
      <c r="E144"/>
      <c r="F144" s="50">
        <v>41699</v>
      </c>
      <c r="G144" s="53">
        <v>147.88999999999999</v>
      </c>
      <c r="H144"/>
      <c r="I144"/>
      <c r="J144" s="107">
        <v>1.4722747635639619</v>
      </c>
      <c r="K144" s="54"/>
      <c r="L144" s="107">
        <v>1.4722747635639619</v>
      </c>
    </row>
    <row r="145" spans="1:12" s="15" customFormat="1" x14ac:dyDescent="0.3">
      <c r="A145" s="17"/>
      <c r="B145"/>
      <c r="C145"/>
      <c r="D145"/>
      <c r="E145"/>
      <c r="F145" s="50">
        <v>41730</v>
      </c>
      <c r="G145" s="53">
        <v>146.88</v>
      </c>
      <c r="H145"/>
      <c r="I145"/>
      <c r="J145" s="107">
        <v>1.4622200099552014</v>
      </c>
      <c r="K145" s="54"/>
      <c r="L145" s="107">
        <v>1.4622200099552014</v>
      </c>
    </row>
    <row r="146" spans="1:12" s="15" customFormat="1" x14ac:dyDescent="0.3">
      <c r="A146" s="17"/>
      <c r="B146"/>
      <c r="C146"/>
      <c r="D146"/>
      <c r="E146"/>
      <c r="F146" s="50">
        <v>41760</v>
      </c>
      <c r="G146" s="53">
        <v>146.30000000000001</v>
      </c>
      <c r="H146"/>
      <c r="I146"/>
      <c r="J146" s="107">
        <v>1.4564459930313589</v>
      </c>
      <c r="K146" s="54"/>
      <c r="L146" s="107">
        <v>1.4564459930313589</v>
      </c>
    </row>
    <row r="147" spans="1:12" s="15" customFormat="1" x14ac:dyDescent="0.3">
      <c r="A147" s="17"/>
      <c r="B147"/>
      <c r="C147"/>
      <c r="D147"/>
      <c r="E147"/>
      <c r="F147" s="50">
        <v>41791</v>
      </c>
      <c r="G147" s="53">
        <v>143.61000000000001</v>
      </c>
      <c r="H147"/>
      <c r="I147"/>
      <c r="J147" s="107">
        <v>1.4296665007466403</v>
      </c>
      <c r="K147" s="54"/>
      <c r="L147" s="107">
        <v>1.4296665007466403</v>
      </c>
    </row>
    <row r="148" spans="1:12" s="15" customFormat="1" x14ac:dyDescent="0.3">
      <c r="A148" s="17"/>
      <c r="B148"/>
      <c r="C148"/>
      <c r="D148"/>
      <c r="E148"/>
      <c r="F148" s="50">
        <v>41821</v>
      </c>
      <c r="G148" s="53">
        <v>144.81</v>
      </c>
      <c r="H148"/>
      <c r="I148"/>
      <c r="J148" s="107">
        <v>1.4416127426580387</v>
      </c>
      <c r="K148" s="54"/>
      <c r="L148" s="107">
        <v>1.4416127426580387</v>
      </c>
    </row>
    <row r="149" spans="1:12" s="15" customFormat="1" x14ac:dyDescent="0.3">
      <c r="A149" s="17"/>
      <c r="B149"/>
      <c r="C149"/>
      <c r="D149"/>
      <c r="E149"/>
      <c r="F149" s="50">
        <v>41852</v>
      </c>
      <c r="G149" s="53">
        <v>145.58000000000001</v>
      </c>
      <c r="H149"/>
      <c r="I149"/>
      <c r="J149" s="107">
        <v>1.4492782478845196</v>
      </c>
      <c r="K149" s="54"/>
      <c r="L149" s="107">
        <v>1.4492782478845196</v>
      </c>
    </row>
    <row r="150" spans="1:12" s="15" customFormat="1" x14ac:dyDescent="0.3">
      <c r="A150" s="17"/>
      <c r="B150"/>
      <c r="C150"/>
      <c r="D150"/>
      <c r="E150"/>
      <c r="F150" s="50">
        <v>41883</v>
      </c>
      <c r="G150" s="53">
        <v>146.24</v>
      </c>
      <c r="H150"/>
      <c r="I150"/>
      <c r="J150" s="107">
        <v>1.4558486809357889</v>
      </c>
      <c r="K150" s="54"/>
      <c r="L150" s="107">
        <v>1.4558486809357889</v>
      </c>
    </row>
    <row r="151" spans="1:12" s="15" customFormat="1" x14ac:dyDescent="0.3">
      <c r="A151" s="17"/>
      <c r="B151"/>
      <c r="C151"/>
      <c r="D151"/>
      <c r="E151"/>
      <c r="F151" s="50">
        <v>41913</v>
      </c>
      <c r="G151" s="53">
        <v>145.41999999999999</v>
      </c>
      <c r="H151"/>
      <c r="I151"/>
      <c r="J151" s="107">
        <v>1.4476854156296664</v>
      </c>
      <c r="K151" s="54"/>
      <c r="L151" s="107">
        <v>1.4476854156296664</v>
      </c>
    </row>
    <row r="152" spans="1:12" s="15" customFormat="1" x14ac:dyDescent="0.3">
      <c r="A152" s="17"/>
      <c r="B152"/>
      <c r="C152"/>
      <c r="D152"/>
      <c r="E152"/>
      <c r="F152" s="50">
        <v>41944</v>
      </c>
      <c r="G152" s="53">
        <v>145.56</v>
      </c>
      <c r="H152"/>
      <c r="I152"/>
      <c r="J152" s="107">
        <v>1.4490791438526629</v>
      </c>
      <c r="K152" s="54"/>
      <c r="L152" s="107">
        <v>1.4490791438526629</v>
      </c>
    </row>
    <row r="153" spans="1:12" s="15" customFormat="1" x14ac:dyDescent="0.3">
      <c r="A153" s="17"/>
      <c r="B153"/>
      <c r="C153"/>
      <c r="D153"/>
      <c r="E153"/>
      <c r="F153" s="50">
        <v>41974</v>
      </c>
      <c r="G153" s="53">
        <v>146.21</v>
      </c>
      <c r="H153"/>
      <c r="I153"/>
      <c r="J153" s="107">
        <v>1.455550024888004</v>
      </c>
      <c r="K153" s="54"/>
      <c r="L153" s="107">
        <v>1.455550024888004</v>
      </c>
    </row>
    <row r="154" spans="1:12" s="15" customFormat="1" x14ac:dyDescent="0.3">
      <c r="A154" s="17"/>
      <c r="B154"/>
      <c r="C154"/>
      <c r="D154"/>
      <c r="E154"/>
      <c r="F154" s="50">
        <v>42005</v>
      </c>
      <c r="G154" s="53">
        <v>144.96</v>
      </c>
      <c r="H154"/>
      <c r="I154"/>
      <c r="J154" s="107">
        <v>1.4431060228969637</v>
      </c>
      <c r="K154" s="54"/>
      <c r="L154" s="107">
        <v>1.4431060228969637</v>
      </c>
    </row>
    <row r="155" spans="1:12" s="15" customFormat="1" x14ac:dyDescent="0.3">
      <c r="A155" s="17"/>
      <c r="B155"/>
      <c r="C155"/>
      <c r="D155"/>
      <c r="E155"/>
      <c r="F155" s="50">
        <v>42036</v>
      </c>
      <c r="G155" s="53">
        <v>143.97999999999999</v>
      </c>
      <c r="H155"/>
      <c r="I155"/>
      <c r="J155" s="107">
        <v>1.4333499253359878</v>
      </c>
      <c r="K155" s="54"/>
      <c r="L155" s="107">
        <v>1.4333499253359878</v>
      </c>
    </row>
    <row r="156" spans="1:12" s="15" customFormat="1" x14ac:dyDescent="0.3">
      <c r="A156" s="17"/>
      <c r="B156"/>
      <c r="C156"/>
      <c r="D156"/>
      <c r="E156"/>
      <c r="F156" s="50">
        <v>42064</v>
      </c>
      <c r="G156" s="53">
        <v>143.72999999999999</v>
      </c>
      <c r="H156"/>
      <c r="I156"/>
      <c r="J156" s="107">
        <v>1.4308611249377798</v>
      </c>
      <c r="K156" s="54"/>
      <c r="L156" s="107">
        <v>1.4308611249377798</v>
      </c>
    </row>
    <row r="157" spans="1:12" s="15" customFormat="1" x14ac:dyDescent="0.3">
      <c r="A157" s="17"/>
      <c r="B157"/>
      <c r="C157"/>
      <c r="D157"/>
      <c r="E157"/>
      <c r="F157" s="50">
        <v>42095</v>
      </c>
      <c r="G157" s="53">
        <v>142.38</v>
      </c>
      <c r="H157"/>
      <c r="I157"/>
      <c r="J157" s="107">
        <v>1.4174216027874564</v>
      </c>
      <c r="K157" s="54"/>
      <c r="L157" s="107">
        <v>1.4174216027874564</v>
      </c>
    </row>
    <row r="158" spans="1:12" s="15" customFormat="1" x14ac:dyDescent="0.3">
      <c r="A158" s="17"/>
      <c r="B158"/>
      <c r="C158"/>
      <c r="D158"/>
      <c r="E158"/>
      <c r="F158" s="50">
        <v>42125</v>
      </c>
      <c r="G158" s="53">
        <v>141.08000000000001</v>
      </c>
      <c r="H158"/>
      <c r="I158"/>
      <c r="J158" s="107">
        <v>1.4044798407167747</v>
      </c>
      <c r="K158" s="54"/>
      <c r="L158" s="107">
        <v>1.4044798407167747</v>
      </c>
    </row>
    <row r="159" spans="1:12" s="15" customFormat="1" x14ac:dyDescent="0.3">
      <c r="A159" s="17"/>
      <c r="B159"/>
      <c r="C159"/>
      <c r="D159"/>
      <c r="E159"/>
      <c r="F159" s="50">
        <v>42156</v>
      </c>
      <c r="G159" s="53">
        <v>139.58000000000001</v>
      </c>
      <c r="H159"/>
      <c r="I159"/>
      <c r="J159" s="107">
        <v>1.3895470383275261</v>
      </c>
      <c r="K159" s="54"/>
      <c r="L159" s="107">
        <v>1.3895470383275261</v>
      </c>
    </row>
    <row r="160" spans="1:12" s="15" customFormat="1" x14ac:dyDescent="0.3">
      <c r="A160" s="17"/>
      <c r="B160"/>
      <c r="C160"/>
      <c r="D160"/>
      <c r="E160"/>
      <c r="F160" s="50">
        <v>42186</v>
      </c>
      <c r="G160" s="53">
        <v>138.66999999999999</v>
      </c>
      <c r="H160"/>
      <c r="I160"/>
      <c r="J160" s="107">
        <v>1.3804878048780487</v>
      </c>
      <c r="K160" s="54"/>
      <c r="L160" s="107">
        <v>1.3804878048780487</v>
      </c>
    </row>
    <row r="161" spans="1:12" s="15" customFormat="1" x14ac:dyDescent="0.3">
      <c r="A161" s="17"/>
      <c r="B161"/>
      <c r="C161"/>
      <c r="D161"/>
      <c r="E161"/>
      <c r="F161" s="50">
        <v>42217</v>
      </c>
      <c r="G161" s="53">
        <v>138.93</v>
      </c>
      <c r="H161"/>
      <c r="I161"/>
      <c r="J161" s="107">
        <v>1.3830761572921852</v>
      </c>
      <c r="K161" s="54"/>
      <c r="L161" s="107">
        <v>1.3830761572921852</v>
      </c>
    </row>
    <row r="162" spans="1:12" s="15" customFormat="1" x14ac:dyDescent="0.3">
      <c r="A162" s="17"/>
      <c r="B162"/>
      <c r="C162"/>
      <c r="D162"/>
      <c r="E162"/>
      <c r="F162" s="50">
        <v>42248</v>
      </c>
      <c r="G162" s="53">
        <v>137.57</v>
      </c>
      <c r="H162"/>
      <c r="I162"/>
      <c r="J162" s="107">
        <v>1.3695370831259333</v>
      </c>
      <c r="K162" s="54"/>
      <c r="L162" s="107">
        <v>1.3695370831259333</v>
      </c>
    </row>
    <row r="163" spans="1:12" s="15" customFormat="1" x14ac:dyDescent="0.3">
      <c r="A163" s="17"/>
      <c r="B163"/>
      <c r="C163"/>
      <c r="D163"/>
      <c r="E163"/>
      <c r="F163" s="50">
        <v>42278</v>
      </c>
      <c r="G163" s="53">
        <v>138.51</v>
      </c>
      <c r="H163"/>
      <c r="I163"/>
      <c r="J163" s="107">
        <v>1.3788949726231954</v>
      </c>
      <c r="K163" s="54"/>
      <c r="L163" s="107">
        <v>1.3788949726231954</v>
      </c>
    </row>
    <row r="164" spans="1:12" s="15" customFormat="1" x14ac:dyDescent="0.3">
      <c r="A164" s="17"/>
      <c r="B164"/>
      <c r="C164"/>
      <c r="D164"/>
      <c r="E164"/>
      <c r="F164" s="50">
        <v>42309</v>
      </c>
      <c r="G164" s="53">
        <v>136.68</v>
      </c>
      <c r="H164"/>
      <c r="I164"/>
      <c r="J164" s="107">
        <v>1.3606769537083125</v>
      </c>
      <c r="K164" s="54"/>
      <c r="L164" s="107">
        <v>1.3606769537083125</v>
      </c>
    </row>
    <row r="165" spans="1:12" s="15" customFormat="1" x14ac:dyDescent="0.3">
      <c r="A165" s="17"/>
      <c r="B165"/>
      <c r="C165"/>
      <c r="D165"/>
      <c r="E165"/>
      <c r="F165" s="50">
        <v>42339</v>
      </c>
      <c r="G165" s="53">
        <v>136.31</v>
      </c>
      <c r="H165"/>
      <c r="I165"/>
      <c r="J165" s="107">
        <v>1.3569935291189645</v>
      </c>
      <c r="K165" s="54"/>
      <c r="L165" s="107">
        <v>1.3569935291189645</v>
      </c>
    </row>
    <row r="166" spans="1:12" s="15" customFormat="1" x14ac:dyDescent="0.3">
      <c r="A166" s="17"/>
      <c r="B166"/>
      <c r="C166"/>
      <c r="D166"/>
      <c r="E166"/>
      <c r="F166" s="50">
        <v>42370</v>
      </c>
      <c r="G166" s="53">
        <v>135.52000000000001</v>
      </c>
      <c r="H166"/>
      <c r="I166"/>
      <c r="J166" s="107">
        <v>1.3491289198606273</v>
      </c>
      <c r="K166" s="54"/>
      <c r="L166" s="107">
        <v>1.3491289198606273</v>
      </c>
    </row>
    <row r="167" spans="1:12" s="15" customFormat="1" x14ac:dyDescent="0.3">
      <c r="A167" s="17"/>
      <c r="B167"/>
      <c r="C167"/>
      <c r="D167"/>
      <c r="E167"/>
      <c r="F167" s="50">
        <v>42401</v>
      </c>
      <c r="G167" s="53">
        <v>135.51</v>
      </c>
      <c r="H167"/>
      <c r="I167"/>
      <c r="J167" s="107">
        <v>1.3490293678446987</v>
      </c>
      <c r="K167" s="54"/>
      <c r="L167" s="107">
        <v>1.3490293678446987</v>
      </c>
    </row>
    <row r="168" spans="1:12" s="15" customFormat="1" x14ac:dyDescent="0.3">
      <c r="A168" s="17"/>
      <c r="B168"/>
      <c r="C168"/>
      <c r="D168"/>
      <c r="E168"/>
      <c r="F168" s="50">
        <v>42430</v>
      </c>
      <c r="G168" s="53">
        <v>134.61000000000001</v>
      </c>
      <c r="H168"/>
      <c r="I168"/>
      <c r="J168" s="107">
        <v>1.3400696864111499</v>
      </c>
      <c r="K168" s="54"/>
      <c r="L168" s="107">
        <v>1.3400696864111499</v>
      </c>
    </row>
    <row r="169" spans="1:12" s="15" customFormat="1" x14ac:dyDescent="0.3">
      <c r="A169" s="17"/>
      <c r="B169"/>
      <c r="C169"/>
      <c r="D169"/>
      <c r="E169"/>
      <c r="F169" s="50">
        <v>42461</v>
      </c>
      <c r="G169" s="53">
        <v>134.72999999999999</v>
      </c>
      <c r="H169"/>
      <c r="I169"/>
      <c r="J169" s="107">
        <v>1.3412643106022895</v>
      </c>
      <c r="K169" s="54"/>
      <c r="L169" s="107">
        <v>1.3412643106022895</v>
      </c>
    </row>
    <row r="170" spans="1:12" s="15" customFormat="1" x14ac:dyDescent="0.3">
      <c r="A170" s="17"/>
      <c r="B170"/>
      <c r="C170"/>
      <c r="D170"/>
      <c r="E170"/>
      <c r="F170" s="50">
        <v>42491</v>
      </c>
      <c r="G170" s="53">
        <v>134.29</v>
      </c>
      <c r="H170"/>
      <c r="I170"/>
      <c r="J170" s="107">
        <v>1.3368840219014433</v>
      </c>
      <c r="K170" s="54"/>
      <c r="L170" s="107">
        <v>1.3368840219014433</v>
      </c>
    </row>
    <row r="171" spans="1:12" s="15" customFormat="1" x14ac:dyDescent="0.3">
      <c r="A171" s="17"/>
      <c r="B171"/>
      <c r="C171"/>
      <c r="D171"/>
      <c r="E171"/>
      <c r="F171" s="50">
        <v>42522</v>
      </c>
      <c r="G171" s="53">
        <v>134.84</v>
      </c>
      <c r="H171"/>
      <c r="I171"/>
      <c r="J171" s="107">
        <v>1.3423593827775013</v>
      </c>
      <c r="K171" s="54"/>
      <c r="L171" s="107">
        <v>1.3423593827775013</v>
      </c>
    </row>
    <row r="172" spans="1:12" s="15" customFormat="1" x14ac:dyDescent="0.3">
      <c r="A172" s="17"/>
      <c r="B172"/>
      <c r="C172"/>
      <c r="D172"/>
      <c r="E172"/>
      <c r="F172" s="50">
        <v>42552</v>
      </c>
      <c r="G172" s="53">
        <v>134.61000000000001</v>
      </c>
      <c r="H172"/>
      <c r="I172"/>
      <c r="J172" s="107">
        <v>1.3400696864111499</v>
      </c>
      <c r="K172" s="54"/>
      <c r="L172" s="107">
        <v>1.3400696864111499</v>
      </c>
    </row>
    <row r="173" spans="1:12" s="15" customFormat="1" x14ac:dyDescent="0.3">
      <c r="A173" s="17"/>
      <c r="B173"/>
      <c r="C173"/>
      <c r="D173"/>
      <c r="E173"/>
      <c r="F173" s="50">
        <v>42583</v>
      </c>
      <c r="G173" s="53">
        <v>134</v>
      </c>
      <c r="H173"/>
      <c r="I173"/>
      <c r="J173" s="107">
        <v>1.333997013439522</v>
      </c>
      <c r="K173" s="54"/>
      <c r="L173" s="107">
        <v>1.333997013439522</v>
      </c>
    </row>
    <row r="174" spans="1:12" s="15" customFormat="1" x14ac:dyDescent="0.3">
      <c r="A174" s="17"/>
      <c r="B174"/>
      <c r="C174"/>
      <c r="D174"/>
      <c r="E174"/>
      <c r="F174" s="50">
        <v>42614</v>
      </c>
      <c r="G174" s="53">
        <v>133.75</v>
      </c>
      <c r="H174"/>
      <c r="I174"/>
      <c r="J174" s="107">
        <v>1.3315082130413141</v>
      </c>
      <c r="K174" s="54"/>
      <c r="L174" s="107">
        <v>1.3315082130413141</v>
      </c>
    </row>
    <row r="175" spans="1:12" s="15" customFormat="1" x14ac:dyDescent="0.3">
      <c r="A175" s="17"/>
      <c r="B175"/>
      <c r="C175"/>
      <c r="D175"/>
      <c r="E175"/>
      <c r="F175" s="50">
        <v>42644</v>
      </c>
      <c r="G175" s="53">
        <v>133.30000000000001</v>
      </c>
      <c r="H175"/>
      <c r="I175"/>
      <c r="J175" s="107">
        <v>1.3270283723245397</v>
      </c>
      <c r="K175" s="54"/>
      <c r="L175" s="107">
        <v>1.3270283723245397</v>
      </c>
    </row>
    <row r="176" spans="1:12" s="15" customFormat="1" x14ac:dyDescent="0.3">
      <c r="A176" s="17"/>
      <c r="B176"/>
      <c r="C176"/>
      <c r="D176"/>
      <c r="E176"/>
      <c r="F176" s="50">
        <v>42675</v>
      </c>
      <c r="G176" s="53">
        <v>133.02000000000001</v>
      </c>
      <c r="H176"/>
      <c r="I176"/>
      <c r="J176" s="107">
        <v>1.3242409158785466</v>
      </c>
      <c r="K176" s="54"/>
      <c r="L176" s="107">
        <v>1.3242409158785466</v>
      </c>
    </row>
    <row r="177" spans="1:12" s="15" customFormat="1" x14ac:dyDescent="0.3">
      <c r="A177" s="17"/>
      <c r="B177"/>
      <c r="C177"/>
      <c r="D177"/>
      <c r="E177"/>
      <c r="F177" s="50">
        <v>42705</v>
      </c>
      <c r="G177" s="53">
        <v>132.36000000000001</v>
      </c>
      <c r="H177"/>
      <c r="I177"/>
      <c r="J177" s="107">
        <v>1.3176704828272774</v>
      </c>
      <c r="K177" s="54"/>
      <c r="L177" s="107">
        <v>1.3176704828272774</v>
      </c>
    </row>
    <row r="178" spans="1:12" s="15" customFormat="1" x14ac:dyDescent="0.3">
      <c r="A178" s="17"/>
      <c r="B178"/>
      <c r="C178"/>
      <c r="D178"/>
      <c r="E178"/>
      <c r="F178" s="50">
        <v>42736</v>
      </c>
      <c r="G178" s="53">
        <v>133.37</v>
      </c>
      <c r="H178"/>
      <c r="I178"/>
      <c r="J178" s="107">
        <v>1.3277252364360379</v>
      </c>
      <c r="K178" s="54"/>
      <c r="L178" s="107">
        <v>1.3277252364360379</v>
      </c>
    </row>
    <row r="179" spans="1:12" s="15" customFormat="1" x14ac:dyDescent="0.3">
      <c r="A179" s="17"/>
      <c r="B179"/>
      <c r="C179"/>
      <c r="D179"/>
      <c r="E179"/>
      <c r="F179" s="50">
        <v>42767</v>
      </c>
      <c r="G179" s="53">
        <v>135.4</v>
      </c>
      <c r="H179"/>
      <c r="I179"/>
      <c r="J179" s="107">
        <v>1.3479342956694873</v>
      </c>
      <c r="K179" s="54"/>
      <c r="L179" s="107">
        <v>1.3479342956694873</v>
      </c>
    </row>
    <row r="180" spans="1:12" s="15" customFormat="1" x14ac:dyDescent="0.3">
      <c r="A180" s="17"/>
      <c r="B180"/>
      <c r="C180"/>
      <c r="D180"/>
      <c r="E180"/>
      <c r="F180" s="50">
        <v>42795</v>
      </c>
      <c r="G180" s="53">
        <v>135.65</v>
      </c>
      <c r="H180"/>
      <c r="I180"/>
      <c r="J180" s="107">
        <v>1.3504230960676953</v>
      </c>
      <c r="K180" s="54"/>
      <c r="L180" s="107">
        <v>1.3504230960676953</v>
      </c>
    </row>
    <row r="181" spans="1:12" s="15" customFormat="1" x14ac:dyDescent="0.3">
      <c r="A181" s="17"/>
      <c r="B181"/>
      <c r="C181"/>
      <c r="D181"/>
      <c r="E181"/>
      <c r="F181" s="50">
        <v>42826</v>
      </c>
      <c r="G181" s="53">
        <v>135.77000000000001</v>
      </c>
      <c r="H181"/>
      <c r="I181"/>
      <c r="J181" s="107">
        <v>1.3516177202588353</v>
      </c>
      <c r="K181" s="54"/>
      <c r="L181" s="107">
        <v>1.3516177202588353</v>
      </c>
    </row>
    <row r="182" spans="1:12" s="15" customFormat="1" x14ac:dyDescent="0.3">
      <c r="A182" s="17"/>
      <c r="B182"/>
      <c r="C182"/>
      <c r="D182"/>
      <c r="E182"/>
      <c r="F182" s="50">
        <v>42856</v>
      </c>
      <c r="G182" s="53">
        <v>135.16999999999999</v>
      </c>
      <c r="H182"/>
      <c r="I182"/>
      <c r="J182" s="107">
        <v>1.3456445993031356</v>
      </c>
      <c r="K182" s="54"/>
      <c r="L182" s="107">
        <v>1.3456445993031356</v>
      </c>
    </row>
    <row r="183" spans="1:12" s="15" customFormat="1" x14ac:dyDescent="0.3">
      <c r="A183" s="17"/>
      <c r="B183"/>
      <c r="C183"/>
      <c r="D183"/>
      <c r="E183"/>
      <c r="F183" s="50">
        <v>42887</v>
      </c>
      <c r="G183" s="53">
        <v>136.04</v>
      </c>
      <c r="H183"/>
      <c r="I183"/>
      <c r="J183" s="107">
        <v>1.3543056246888998</v>
      </c>
      <c r="K183" s="54"/>
      <c r="L183" s="107">
        <v>1.3543056246888998</v>
      </c>
    </row>
    <row r="184" spans="1:12" s="15" customFormat="1" x14ac:dyDescent="0.3">
      <c r="A184" s="17"/>
      <c r="B184"/>
      <c r="C184"/>
      <c r="D184"/>
      <c r="E184"/>
      <c r="F184" s="50">
        <v>42917</v>
      </c>
      <c r="G184" s="53">
        <v>136.49</v>
      </c>
      <c r="H184"/>
      <c r="I184"/>
      <c r="J184" s="107">
        <v>1.3587854654056746</v>
      </c>
      <c r="K184" s="54"/>
      <c r="L184" s="107">
        <v>1.3587854654056746</v>
      </c>
    </row>
    <row r="185" spans="1:12" s="15" customFormat="1" x14ac:dyDescent="0.3">
      <c r="A185" s="17"/>
      <c r="B185"/>
      <c r="C185"/>
      <c r="D185"/>
      <c r="E185"/>
      <c r="F185" s="50">
        <v>42948</v>
      </c>
      <c r="G185" s="53">
        <v>135.81</v>
      </c>
      <c r="H185"/>
      <c r="I185"/>
      <c r="J185" s="107">
        <v>1.3520159283225486</v>
      </c>
      <c r="K185" s="54"/>
      <c r="L185" s="107">
        <v>1.3520159283225486</v>
      </c>
    </row>
    <row r="186" spans="1:12" s="15" customFormat="1" x14ac:dyDescent="0.3">
      <c r="A186" s="17"/>
      <c r="B186"/>
      <c r="C186"/>
      <c r="D186"/>
      <c r="E186"/>
      <c r="F186" s="50">
        <v>42979</v>
      </c>
      <c r="G186" s="53">
        <v>135.49</v>
      </c>
      <c r="H186"/>
      <c r="I186"/>
      <c r="J186" s="107">
        <v>1.3488302638128422</v>
      </c>
      <c r="K186" s="54"/>
      <c r="L186" s="107">
        <v>1.3488302638128422</v>
      </c>
    </row>
    <row r="187" spans="1:12" s="15" customFormat="1" x14ac:dyDescent="0.3">
      <c r="A187" s="17"/>
      <c r="B187"/>
      <c r="C187"/>
      <c r="D187"/>
      <c r="E187"/>
      <c r="F187" s="50">
        <v>43009</v>
      </c>
      <c r="G187" s="53">
        <v>135.77000000000001</v>
      </c>
      <c r="H187"/>
      <c r="I187"/>
      <c r="J187" s="107">
        <v>1.3516177202588353</v>
      </c>
      <c r="K187" s="54"/>
      <c r="L187" s="107">
        <v>1.3516177202588353</v>
      </c>
    </row>
    <row r="188" spans="1:12" s="15" customFormat="1" x14ac:dyDescent="0.3">
      <c r="A188" s="17"/>
      <c r="B188"/>
      <c r="C188"/>
      <c r="D188"/>
      <c r="E188"/>
      <c r="F188" s="50">
        <v>43040</v>
      </c>
      <c r="G188" s="53">
        <v>135.57</v>
      </c>
      <c r="H188"/>
      <c r="I188"/>
      <c r="J188" s="107">
        <v>1.3496266799402687</v>
      </c>
      <c r="K188" s="54"/>
      <c r="L188" s="107">
        <v>1.3496266799402687</v>
      </c>
    </row>
    <row r="189" spans="1:12" s="15" customFormat="1" x14ac:dyDescent="0.3">
      <c r="A189" s="17"/>
      <c r="B189"/>
      <c r="C189"/>
      <c r="D189"/>
      <c r="E189"/>
      <c r="F189" s="50">
        <v>43070</v>
      </c>
      <c r="G189" s="53">
        <v>137.43</v>
      </c>
      <c r="H189"/>
      <c r="I189"/>
      <c r="J189" s="107">
        <v>1.3681433549029367</v>
      </c>
      <c r="K189" s="54"/>
      <c r="L189" s="107">
        <v>1.3681433549029367</v>
      </c>
    </row>
    <row r="190" spans="1:12" s="15" customFormat="1" x14ac:dyDescent="0.3">
      <c r="A190" s="17"/>
      <c r="B190"/>
      <c r="C190"/>
      <c r="D190"/>
      <c r="E190"/>
      <c r="F190" s="50">
        <v>43101</v>
      </c>
      <c r="G190" s="53">
        <v>136.85</v>
      </c>
      <c r="H190"/>
      <c r="I190"/>
      <c r="J190" s="107">
        <v>1.362369337979094</v>
      </c>
      <c r="K190" s="54"/>
      <c r="L190" s="107">
        <v>1.362369337979094</v>
      </c>
    </row>
    <row r="191" spans="1:12" s="15" customFormat="1" x14ac:dyDescent="0.3">
      <c r="A191" s="17"/>
      <c r="B191"/>
      <c r="C191"/>
      <c r="D191"/>
      <c r="E191"/>
      <c r="F191" s="50">
        <v>43132</v>
      </c>
      <c r="G191" s="53">
        <v>136.63999999999999</v>
      </c>
      <c r="H191"/>
      <c r="I191"/>
      <c r="J191" s="107">
        <v>1.3602787456445991</v>
      </c>
      <c r="K191" s="54"/>
      <c r="L191" s="107">
        <v>1.3602787456445991</v>
      </c>
    </row>
    <row r="192" spans="1:12" s="15" customFormat="1" x14ac:dyDescent="0.3">
      <c r="A192" s="17"/>
      <c r="B192"/>
      <c r="C192"/>
      <c r="D192"/>
      <c r="E192"/>
      <c r="F192" s="50">
        <v>43160</v>
      </c>
      <c r="G192" s="53">
        <v>137.26</v>
      </c>
      <c r="H192"/>
      <c r="I192"/>
      <c r="J192" s="107">
        <v>1.3664509706321553</v>
      </c>
      <c r="K192" s="54"/>
      <c r="L192" s="107">
        <v>1.3664509706321553</v>
      </c>
    </row>
    <row r="193" spans="1:12" s="15" customFormat="1" x14ac:dyDescent="0.3">
      <c r="A193" s="17"/>
      <c r="B193"/>
      <c r="C193"/>
      <c r="D193"/>
      <c r="E193"/>
      <c r="F193" s="50">
        <v>43191</v>
      </c>
      <c r="G193" s="53">
        <v>138.36000000000001</v>
      </c>
      <c r="H193"/>
      <c r="I193"/>
      <c r="J193" s="107">
        <v>1.3774016923842709</v>
      </c>
      <c r="K193" s="54"/>
      <c r="L193" s="107">
        <v>1.3774016923842709</v>
      </c>
    </row>
    <row r="194" spans="1:12" s="15" customFormat="1" x14ac:dyDescent="0.3">
      <c r="A194" s="17"/>
      <c r="B194"/>
      <c r="C194"/>
      <c r="D194"/>
      <c r="E194"/>
      <c r="F194" s="50">
        <v>43221</v>
      </c>
      <c r="G194" s="53">
        <v>133.38999999999999</v>
      </c>
      <c r="H194"/>
      <c r="I194"/>
      <c r="J194" s="107">
        <v>1.3279243404678942</v>
      </c>
      <c r="K194" s="54"/>
      <c r="L194" s="107">
        <v>1.3279243404678942</v>
      </c>
    </row>
    <row r="195" spans="1:12" s="15" customFormat="1" x14ac:dyDescent="0.3">
      <c r="A195" s="17"/>
      <c r="B195"/>
      <c r="C195"/>
      <c r="D195"/>
      <c r="E195"/>
      <c r="F195" s="50">
        <v>43252</v>
      </c>
      <c r="G195" s="53">
        <v>137.44</v>
      </c>
      <c r="H195"/>
      <c r="I195"/>
      <c r="J195" s="107">
        <v>1.3682429069188651</v>
      </c>
      <c r="K195" s="54"/>
      <c r="L195" s="107">
        <v>1.3682429069188651</v>
      </c>
    </row>
    <row r="196" spans="1:12" s="15" customFormat="1" x14ac:dyDescent="0.3">
      <c r="A196" s="17"/>
      <c r="B196"/>
      <c r="C196"/>
      <c r="D196"/>
      <c r="E196"/>
      <c r="F196" s="50">
        <v>43282</v>
      </c>
      <c r="G196" s="53">
        <v>138.04</v>
      </c>
      <c r="H196"/>
      <c r="I196"/>
      <c r="J196" s="107">
        <v>1.3742160278745643</v>
      </c>
      <c r="K196" s="54"/>
      <c r="L196" s="107">
        <v>1.3742160278745643</v>
      </c>
    </row>
    <row r="197" spans="1:12" s="15" customFormat="1" x14ac:dyDescent="0.3">
      <c r="A197" s="17"/>
      <c r="B197"/>
      <c r="C197"/>
      <c r="D197"/>
      <c r="E197"/>
      <c r="F197" s="50">
        <v>43313</v>
      </c>
      <c r="G197" s="53">
        <v>139.32</v>
      </c>
      <c r="H197"/>
      <c r="I197"/>
      <c r="J197" s="107">
        <v>1.3869586859133896</v>
      </c>
      <c r="K197" s="54"/>
      <c r="L197" s="107">
        <v>1.3869586859133896</v>
      </c>
    </row>
    <row r="198" spans="1:12" s="15" customFormat="1" x14ac:dyDescent="0.3">
      <c r="A198" s="17"/>
      <c r="B198"/>
      <c r="C198"/>
      <c r="D198"/>
      <c r="E198"/>
      <c r="F198" s="50">
        <v>43344</v>
      </c>
      <c r="G198" s="53">
        <v>137.99</v>
      </c>
      <c r="H198"/>
      <c r="I198"/>
      <c r="J198" s="107">
        <v>1.3737182677949229</v>
      </c>
      <c r="K198" s="54"/>
      <c r="L198" s="107">
        <v>1.3737182677949229</v>
      </c>
    </row>
    <row r="199" spans="1:12" s="15" customFormat="1" x14ac:dyDescent="0.3">
      <c r="A199" s="17"/>
      <c r="B199"/>
      <c r="C199"/>
      <c r="D199"/>
      <c r="E199"/>
      <c r="F199" s="50">
        <v>43374</v>
      </c>
      <c r="G199" s="53">
        <v>138.06</v>
      </c>
      <c r="H199"/>
      <c r="I199"/>
      <c r="J199" s="107">
        <v>1.3744151319064211</v>
      </c>
      <c r="K199" s="54"/>
      <c r="L199" s="107">
        <v>1.3744151319064211</v>
      </c>
    </row>
    <row r="200" spans="1:12" s="15" customFormat="1" x14ac:dyDescent="0.3">
      <c r="A200" s="17"/>
      <c r="B200"/>
      <c r="C200"/>
      <c r="D200"/>
      <c r="E200"/>
      <c r="F200" s="50">
        <v>43405</v>
      </c>
      <c r="G200" s="53">
        <v>137.86000000000001</v>
      </c>
      <c r="H200"/>
      <c r="I200"/>
      <c r="J200" s="107">
        <v>1.3724240915878547</v>
      </c>
      <c r="K200" s="54"/>
      <c r="L200" s="107">
        <v>1.3724240915878547</v>
      </c>
    </row>
    <row r="201" spans="1:12" s="15" customFormat="1" x14ac:dyDescent="0.3">
      <c r="A201" s="17"/>
      <c r="B201"/>
      <c r="C201"/>
      <c r="D201"/>
      <c r="E201"/>
      <c r="F201" s="50">
        <v>43435</v>
      </c>
      <c r="G201" s="53">
        <v>138.53</v>
      </c>
      <c r="H201"/>
      <c r="I201"/>
      <c r="J201" s="107">
        <v>1.3790940766550523</v>
      </c>
      <c r="K201" s="54"/>
      <c r="L201" s="107">
        <v>1.3790940766550523</v>
      </c>
    </row>
    <row r="202" spans="1:12" s="15" customFormat="1" x14ac:dyDescent="0.3">
      <c r="A202" s="17"/>
      <c r="B202"/>
      <c r="C202"/>
      <c r="D202"/>
      <c r="E202"/>
      <c r="F202" s="50">
        <v>43466</v>
      </c>
      <c r="G202" s="53">
        <v>138.47999999999999</v>
      </c>
      <c r="H202"/>
      <c r="I202"/>
      <c r="J202" s="107">
        <v>1.3785963165754105</v>
      </c>
      <c r="K202" s="54"/>
      <c r="L202" s="107">
        <v>1.3785963165754105</v>
      </c>
    </row>
    <row r="203" spans="1:12" s="15" customFormat="1" x14ac:dyDescent="0.3">
      <c r="A203" s="17"/>
      <c r="B203"/>
      <c r="C203"/>
      <c r="D203"/>
      <c r="E203"/>
      <c r="F203" s="50">
        <v>43497</v>
      </c>
      <c r="G203" s="53">
        <v>137.38</v>
      </c>
      <c r="H203"/>
      <c r="I203"/>
      <c r="J203" s="107">
        <v>1.3676455948232951</v>
      </c>
      <c r="K203" s="54"/>
      <c r="L203" s="107">
        <v>1.3676455948232951</v>
      </c>
    </row>
    <row r="204" spans="1:12" s="15" customFormat="1" x14ac:dyDescent="0.3">
      <c r="A204" s="17"/>
      <c r="B204"/>
      <c r="C204"/>
      <c r="D204"/>
      <c r="E204"/>
      <c r="F204" s="50">
        <v>43525</v>
      </c>
      <c r="G204" s="53">
        <v>138.41999999999999</v>
      </c>
      <c r="H204"/>
      <c r="I204"/>
      <c r="J204" s="107">
        <v>1.3779990044798405</v>
      </c>
      <c r="K204" s="54"/>
      <c r="L204" s="107">
        <v>1.3779990044798405</v>
      </c>
    </row>
    <row r="205" spans="1:12" s="15" customFormat="1" x14ac:dyDescent="0.3">
      <c r="A205" s="17"/>
      <c r="B205"/>
      <c r="C205"/>
      <c r="D205"/>
      <c r="E205"/>
      <c r="F205" s="50">
        <v>43556</v>
      </c>
      <c r="G205" s="53">
        <v>138.09</v>
      </c>
      <c r="H205"/>
      <c r="I205"/>
      <c r="J205" s="107">
        <v>1.374713787954206</v>
      </c>
      <c r="K205" s="54"/>
      <c r="L205" s="107">
        <v>1.374713787954206</v>
      </c>
    </row>
    <row r="206" spans="1:12" s="15" customFormat="1" x14ac:dyDescent="0.3">
      <c r="A206" s="17"/>
      <c r="B206"/>
      <c r="C206"/>
      <c r="D206"/>
      <c r="E206"/>
      <c r="F206" s="50">
        <v>43586</v>
      </c>
      <c r="G206" s="53">
        <v>138.96</v>
      </c>
      <c r="H206"/>
      <c r="I206"/>
      <c r="J206" s="107">
        <v>1.3833748133399701</v>
      </c>
      <c r="K206" s="54"/>
      <c r="L206" s="107">
        <v>1.3833748133399701</v>
      </c>
    </row>
    <row r="207" spans="1:12" s="15" customFormat="1" x14ac:dyDescent="0.3">
      <c r="A207" s="17"/>
      <c r="B207"/>
      <c r="C207"/>
      <c r="D207"/>
      <c r="E207"/>
      <c r="F207" s="50">
        <v>43617</v>
      </c>
      <c r="G207" s="53">
        <v>138.99</v>
      </c>
      <c r="H207"/>
      <c r="I207"/>
      <c r="J207" s="107">
        <v>1.3836734693877553</v>
      </c>
      <c r="K207" s="54"/>
      <c r="L207" s="107">
        <v>1.3836734693877553</v>
      </c>
    </row>
    <row r="208" spans="1:12" s="15" customFormat="1" x14ac:dyDescent="0.3">
      <c r="A208" s="17"/>
      <c r="B208"/>
      <c r="C208"/>
      <c r="D208"/>
      <c r="E208"/>
      <c r="F208" s="50">
        <v>43647</v>
      </c>
      <c r="G208" s="53">
        <v>138.56</v>
      </c>
      <c r="H208"/>
      <c r="I208"/>
      <c r="J208" s="107">
        <v>1.3793927327028372</v>
      </c>
      <c r="K208" s="54"/>
      <c r="L208" s="107">
        <v>1.3793927327028372</v>
      </c>
    </row>
    <row r="209" spans="1:12" s="15" customFormat="1" x14ac:dyDescent="0.3">
      <c r="A209" s="17"/>
      <c r="B209"/>
      <c r="C209"/>
      <c r="D209"/>
      <c r="E209"/>
      <c r="F209" s="50">
        <v>43678</v>
      </c>
      <c r="G209" s="53">
        <v>138.59</v>
      </c>
      <c r="H209"/>
      <c r="I209"/>
      <c r="J209" s="107">
        <v>1.3796913887506221</v>
      </c>
      <c r="K209" s="54"/>
      <c r="L209" s="107">
        <v>1.3796913887506221</v>
      </c>
    </row>
    <row r="210" spans="1:12" s="15" customFormat="1" x14ac:dyDescent="0.3">
      <c r="A210" s="17"/>
      <c r="B210"/>
      <c r="C210"/>
      <c r="D210"/>
      <c r="E210"/>
      <c r="F210" s="50">
        <v>43709</v>
      </c>
      <c r="G210" s="53">
        <v>139.09</v>
      </c>
      <c r="H210"/>
      <c r="I210"/>
      <c r="J210" s="107">
        <v>1.3846689895470383</v>
      </c>
      <c r="K210" s="54"/>
      <c r="L210" s="107">
        <v>1.3846689895470383</v>
      </c>
    </row>
    <row r="211" spans="1:12" s="15" customFormat="1" x14ac:dyDescent="0.3">
      <c r="A211" s="17"/>
      <c r="B211"/>
      <c r="C211"/>
      <c r="D211"/>
      <c r="E211"/>
      <c r="F211" s="50">
        <v>43739</v>
      </c>
      <c r="G211" s="53">
        <v>139.96</v>
      </c>
      <c r="H211"/>
      <c r="I211"/>
      <c r="J211" s="107">
        <v>1.3933300149328025</v>
      </c>
      <c r="K211" s="54"/>
      <c r="L211" s="107">
        <v>1.3933300149328025</v>
      </c>
    </row>
    <row r="212" spans="1:12" s="15" customFormat="1" x14ac:dyDescent="0.3">
      <c r="A212" s="17"/>
      <c r="B212"/>
      <c r="C212"/>
      <c r="D212"/>
      <c r="E212"/>
      <c r="F212" s="50">
        <v>43770</v>
      </c>
      <c r="G212" s="53">
        <v>138.79</v>
      </c>
      <c r="H212"/>
      <c r="I212"/>
      <c r="J212" s="107">
        <v>1.3816824290691885</v>
      </c>
      <c r="K212" s="54"/>
      <c r="L212" s="107">
        <v>1.3816824290691885</v>
      </c>
    </row>
    <row r="213" spans="1:12" s="15" customFormat="1" x14ac:dyDescent="0.3">
      <c r="A213" s="17"/>
      <c r="B213"/>
      <c r="C213"/>
      <c r="D213"/>
      <c r="E213"/>
      <c r="F213" s="50">
        <v>43800</v>
      </c>
      <c r="G213" s="53">
        <v>138.09</v>
      </c>
      <c r="H213"/>
      <c r="I213"/>
      <c r="J213" s="107">
        <v>1.374713787954206</v>
      </c>
      <c r="K213" s="54"/>
      <c r="L213" s="107">
        <v>1.374713787954206</v>
      </c>
    </row>
    <row r="214" spans="1:12" s="15" customFormat="1" x14ac:dyDescent="0.3">
      <c r="A214" s="17"/>
      <c r="B214"/>
      <c r="C214"/>
      <c r="D214"/>
      <c r="E214"/>
      <c r="F214" s="50">
        <v>43831</v>
      </c>
      <c r="G214" s="53">
        <v>138.83000000000001</v>
      </c>
      <c r="H214"/>
      <c r="I214"/>
      <c r="J214" s="107">
        <v>1.382080637132902</v>
      </c>
      <c r="K214" s="54"/>
      <c r="L214" s="107">
        <v>1.382080637132902</v>
      </c>
    </row>
    <row r="215" spans="1:12" s="15" customFormat="1" x14ac:dyDescent="0.3">
      <c r="A215" s="17"/>
      <c r="B215"/>
      <c r="C215"/>
      <c r="D215"/>
      <c r="E215"/>
      <c r="F215" s="50">
        <v>43862</v>
      </c>
      <c r="G215" s="53">
        <v>139.36000000000001</v>
      </c>
      <c r="H215"/>
      <c r="I215"/>
      <c r="J215" s="107">
        <v>1.387356893977103</v>
      </c>
      <c r="K215" s="54"/>
      <c r="L215" s="107">
        <v>1.387356893977103</v>
      </c>
    </row>
    <row r="216" spans="1:12" s="15" customFormat="1" x14ac:dyDescent="0.3">
      <c r="A216" s="17"/>
      <c r="B216"/>
      <c r="C216"/>
      <c r="D216"/>
      <c r="E216"/>
      <c r="F216" s="50">
        <v>43891</v>
      </c>
      <c r="G216" s="53">
        <v>132.13</v>
      </c>
      <c r="H216"/>
      <c r="I216"/>
      <c r="J216" s="107">
        <v>1.3153807864609257</v>
      </c>
      <c r="K216" s="54"/>
      <c r="L216" s="107">
        <v>1.3153807864609257</v>
      </c>
    </row>
    <row r="217" spans="1:12" s="15" customFormat="1" x14ac:dyDescent="0.3">
      <c r="A217" s="17"/>
      <c r="B217"/>
      <c r="C217"/>
      <c r="D217"/>
      <c r="E217"/>
      <c r="F217" s="50">
        <v>43922</v>
      </c>
      <c r="G217" s="53">
        <v>118.98</v>
      </c>
      <c r="H217"/>
      <c r="I217"/>
      <c r="J217" s="107">
        <v>1.1844698855151816</v>
      </c>
      <c r="K217" s="54"/>
      <c r="L217" s="107">
        <v>1.1844698855151816</v>
      </c>
    </row>
    <row r="218" spans="1:12" s="15" customFormat="1" x14ac:dyDescent="0.3">
      <c r="A218" s="17"/>
      <c r="B218"/>
      <c r="C218"/>
      <c r="D218"/>
      <c r="E218"/>
      <c r="F218" s="50">
        <v>43952</v>
      </c>
      <c r="G218" s="53">
        <v>121.47</v>
      </c>
      <c r="H218"/>
      <c r="I218"/>
      <c r="J218" s="107">
        <v>1.2092583374813339</v>
      </c>
      <c r="K218" s="54"/>
      <c r="L218" s="107">
        <v>1.2092583374813339</v>
      </c>
    </row>
    <row r="219" spans="1:12" s="15" customFormat="1" x14ac:dyDescent="0.3">
      <c r="A219" s="17"/>
      <c r="B219"/>
      <c r="C219"/>
      <c r="D219"/>
      <c r="E219"/>
      <c r="F219" s="50">
        <v>43983</v>
      </c>
      <c r="G219" s="53">
        <v>127.62</v>
      </c>
      <c r="H219"/>
      <c r="I219"/>
      <c r="J219" s="107">
        <v>1.2704828272772524</v>
      </c>
      <c r="K219" s="54"/>
      <c r="L219" s="107">
        <v>1.2704828272772524</v>
      </c>
    </row>
    <row r="220" spans="1:12" s="15" customFormat="1" x14ac:dyDescent="0.3">
      <c r="A220" s="17"/>
      <c r="B220"/>
      <c r="C220"/>
      <c r="D220"/>
      <c r="E220"/>
      <c r="F220" s="50">
        <v>44013</v>
      </c>
      <c r="G220" s="53">
        <v>131.76</v>
      </c>
      <c r="H220"/>
      <c r="I220"/>
      <c r="J220" s="107">
        <v>1.3116973618715777</v>
      </c>
      <c r="K220" s="54"/>
      <c r="L220" s="107">
        <v>1.3116973618715777</v>
      </c>
    </row>
    <row r="221" spans="1:12" s="15" customFormat="1" x14ac:dyDescent="0.3">
      <c r="A221" s="17"/>
      <c r="B221"/>
      <c r="C221"/>
      <c r="D221"/>
      <c r="E221"/>
      <c r="F221" s="50">
        <v>44044</v>
      </c>
      <c r="G221" s="53">
        <v>134.5</v>
      </c>
      <c r="H221"/>
      <c r="I221"/>
      <c r="J221" s="107">
        <v>1.3389746142359382</v>
      </c>
      <c r="K221" s="54"/>
      <c r="L221" s="107">
        <v>1.3389746142359382</v>
      </c>
    </row>
    <row r="222" spans="1:12" s="15" customFormat="1" x14ac:dyDescent="0.3">
      <c r="A222" s="17"/>
      <c r="B222"/>
      <c r="C222"/>
      <c r="D222"/>
      <c r="E222"/>
      <c r="F222" s="50">
        <v>44075</v>
      </c>
      <c r="G222" s="53">
        <v>136.44</v>
      </c>
      <c r="H222"/>
      <c r="I222"/>
      <c r="J222" s="107">
        <v>1.3582877053260327</v>
      </c>
      <c r="K222" s="54"/>
      <c r="L222" s="107">
        <v>1.3582877053260327</v>
      </c>
    </row>
    <row r="223" spans="1:12" s="15" customFormat="1" x14ac:dyDescent="0.3">
      <c r="A223" s="17"/>
      <c r="B223"/>
      <c r="C223"/>
      <c r="D223"/>
      <c r="E223"/>
      <c r="F223" s="50">
        <v>44105</v>
      </c>
      <c r="G223" s="53">
        <v>138.36000000000001</v>
      </c>
      <c r="H223"/>
      <c r="I223"/>
      <c r="J223" s="107">
        <v>1.3774016923842709</v>
      </c>
      <c r="K223" s="54"/>
      <c r="L223" s="107">
        <v>1.3774016923842709</v>
      </c>
    </row>
    <row r="224" spans="1:12" s="15" customFormat="1" x14ac:dyDescent="0.3">
      <c r="A224" s="17"/>
      <c r="B224"/>
      <c r="C224"/>
      <c r="D224"/>
      <c r="E224"/>
      <c r="F224" s="50">
        <v>44136</v>
      </c>
      <c r="G224" s="53">
        <v>137.9</v>
      </c>
      <c r="H224"/>
      <c r="I224"/>
      <c r="J224" s="107">
        <v>1.372822299651568</v>
      </c>
      <c r="K224" s="54"/>
      <c r="L224" s="107">
        <v>1.372822299651568</v>
      </c>
    </row>
    <row r="225" spans="1:12" s="15" customFormat="1" x14ac:dyDescent="0.3">
      <c r="A225" s="17"/>
      <c r="B225"/>
      <c r="C225"/>
      <c r="D225"/>
      <c r="E225"/>
      <c r="F225" s="50">
        <v>44166</v>
      </c>
      <c r="G225" s="53">
        <v>138.19</v>
      </c>
      <c r="H225"/>
      <c r="I225"/>
      <c r="J225" s="107">
        <v>1.3757093081134892</v>
      </c>
      <c r="K225" s="54"/>
      <c r="L225" s="107">
        <v>1.3757093081134892</v>
      </c>
    </row>
    <row r="226" spans="1:12" s="15" customFormat="1" x14ac:dyDescent="0.3">
      <c r="A226" s="17"/>
      <c r="B226"/>
      <c r="C226"/>
      <c r="D226"/>
      <c r="E226"/>
      <c r="F226" s="50">
        <v>44197</v>
      </c>
      <c r="G226" s="53">
        <v>139.01</v>
      </c>
      <c r="H226"/>
      <c r="I226"/>
      <c r="J226" s="107">
        <v>1.3838725734196116</v>
      </c>
      <c r="K226" s="54"/>
      <c r="L226" s="107">
        <v>1.3838725734196116</v>
      </c>
    </row>
    <row r="227" spans="1:12" s="15" customFormat="1" x14ac:dyDescent="0.3">
      <c r="A227" s="17"/>
      <c r="B227"/>
      <c r="C227"/>
      <c r="D227"/>
      <c r="E227"/>
      <c r="F227" s="50">
        <v>44228</v>
      </c>
      <c r="G227" s="53">
        <v>141.1</v>
      </c>
      <c r="H227"/>
      <c r="I227"/>
      <c r="J227" s="107">
        <v>1.404678944748631</v>
      </c>
      <c r="K227" s="54"/>
      <c r="L227" s="107">
        <v>1.404678944748631</v>
      </c>
    </row>
    <row r="228" spans="1:12" s="15" customFormat="1" x14ac:dyDescent="0.3">
      <c r="A228" s="17"/>
      <c r="B228"/>
      <c r="C228"/>
      <c r="D228"/>
      <c r="E228"/>
      <c r="F228" s="50">
        <v>44256</v>
      </c>
      <c r="G228" s="53">
        <v>138.85</v>
      </c>
      <c r="H228"/>
      <c r="I228"/>
      <c r="J228" s="107">
        <v>1.3822797411647585</v>
      </c>
      <c r="K228" s="54"/>
      <c r="L228" s="107">
        <v>1.3822797411647585</v>
      </c>
    </row>
    <row r="229" spans="1:12" s="15" customFormat="1" x14ac:dyDescent="0.3">
      <c r="A229" s="17"/>
      <c r="B229"/>
      <c r="C229"/>
      <c r="D229"/>
      <c r="E229"/>
      <c r="F229" s="50">
        <v>44287</v>
      </c>
      <c r="G229" s="53">
        <v>139.22999999999999</v>
      </c>
      <c r="H229"/>
      <c r="I229"/>
      <c r="J229" s="107">
        <v>1.3860627177700346</v>
      </c>
      <c r="K229" s="54"/>
      <c r="L229" s="107">
        <v>1.3860627177700346</v>
      </c>
    </row>
    <row r="230" spans="1:12" s="15" customFormat="1" x14ac:dyDescent="0.3">
      <c r="A230" s="17"/>
      <c r="B230"/>
      <c r="C230"/>
      <c r="D230"/>
      <c r="E230"/>
      <c r="F230" s="50">
        <v>44317</v>
      </c>
      <c r="G230" s="53">
        <v>139.28</v>
      </c>
      <c r="H230"/>
      <c r="I230"/>
      <c r="J230" s="107">
        <v>1.3865604778496765</v>
      </c>
      <c r="K230" s="54"/>
      <c r="L230" s="107">
        <v>1.3865604778496765</v>
      </c>
    </row>
    <row r="231" spans="1:12" s="15" customFormat="1" x14ac:dyDescent="0.3">
      <c r="A231" s="17"/>
      <c r="B231"/>
      <c r="C231"/>
      <c r="D231"/>
      <c r="E231"/>
      <c r="F231" s="50">
        <v>44348</v>
      </c>
      <c r="G231" s="53">
        <v>139.53</v>
      </c>
      <c r="H231"/>
      <c r="I231"/>
      <c r="J231" s="107">
        <v>1.3890492782478845</v>
      </c>
      <c r="K231" s="54"/>
      <c r="L231" s="107">
        <v>1.3890492782478845</v>
      </c>
    </row>
    <row r="232" spans="1:12" s="15" customFormat="1" x14ac:dyDescent="0.3">
      <c r="A232" s="17"/>
      <c r="B232"/>
      <c r="C232"/>
      <c r="D232"/>
      <c r="E232"/>
      <c r="F232" s="50">
        <v>44378</v>
      </c>
      <c r="G232" s="53">
        <v>139.36000000000001</v>
      </c>
      <c r="H232"/>
      <c r="I232"/>
      <c r="J232" s="107">
        <v>1.387356893977103</v>
      </c>
      <c r="K232" s="54"/>
      <c r="L232" s="107">
        <v>1.387356893977103</v>
      </c>
    </row>
    <row r="233" spans="1:12" s="15" customFormat="1" x14ac:dyDescent="0.3">
      <c r="A233" s="17"/>
      <c r="B233"/>
      <c r="C233"/>
      <c r="D233"/>
      <c r="E233"/>
      <c r="F233" s="50">
        <v>44409</v>
      </c>
      <c r="G233" s="53">
        <v>139.5</v>
      </c>
      <c r="H233"/>
      <c r="I233"/>
      <c r="J233" s="107">
        <v>1.3887506222000996</v>
      </c>
      <c r="K233" s="54"/>
      <c r="L233" s="107">
        <v>1.3887506222000996</v>
      </c>
    </row>
    <row r="234" spans="1:12" s="15" customFormat="1" x14ac:dyDescent="0.3">
      <c r="A234" s="17"/>
      <c r="B234"/>
      <c r="C234"/>
      <c r="D234"/>
      <c r="E234"/>
      <c r="F234" s="50">
        <v>44440</v>
      </c>
      <c r="G234" s="53">
        <v>138.69999999999999</v>
      </c>
      <c r="H234"/>
      <c r="I234"/>
      <c r="J234" s="107">
        <v>1.3807864609258336</v>
      </c>
      <c r="K234" s="54"/>
      <c r="L234" s="107">
        <v>1.3807864609258336</v>
      </c>
    </row>
    <row r="235" spans="1:12" s="15" customFormat="1" x14ac:dyDescent="0.3">
      <c r="A235" s="17"/>
      <c r="B235"/>
      <c r="C235"/>
      <c r="D235"/>
      <c r="E235"/>
      <c r="F235" s="50">
        <v>44470</v>
      </c>
      <c r="G235" s="53">
        <v>138.77000000000001</v>
      </c>
      <c r="H235"/>
      <c r="I235"/>
      <c r="J235" s="107">
        <v>1.3814833250373322</v>
      </c>
      <c r="K235" s="54"/>
      <c r="L235" s="107">
        <v>1.3814833250373322</v>
      </c>
    </row>
    <row r="236" spans="1:12" s="15" customFormat="1" x14ac:dyDescent="0.3">
      <c r="A236" s="17"/>
      <c r="B236"/>
      <c r="C236"/>
      <c r="D236"/>
      <c r="E236"/>
      <c r="F236" s="50">
        <v>44501</v>
      </c>
      <c r="G236" s="53">
        <v>139.4</v>
      </c>
      <c r="H236"/>
      <c r="I236"/>
      <c r="J236" s="107">
        <v>1.3877551020408163</v>
      </c>
      <c r="K236" s="54"/>
      <c r="L236" s="107">
        <v>1.3877551020408163</v>
      </c>
    </row>
    <row r="237" spans="1:12" s="15" customFormat="1" x14ac:dyDescent="0.3">
      <c r="A237" s="17"/>
      <c r="B237"/>
      <c r="C237"/>
      <c r="D237"/>
      <c r="E237"/>
      <c r="F237" s="50">
        <v>44531</v>
      </c>
      <c r="G237" s="53">
        <v>139.85</v>
      </c>
      <c r="H237"/>
      <c r="I237"/>
      <c r="J237" s="107">
        <v>1.3922349427575909</v>
      </c>
      <c r="K237" s="54"/>
      <c r="L237" s="107">
        <v>1.3922349427575909</v>
      </c>
    </row>
    <row r="238" spans="1:12" s="15" customFormat="1" x14ac:dyDescent="0.3">
      <c r="A238" s="17"/>
      <c r="B238"/>
      <c r="C238"/>
      <c r="D238"/>
      <c r="E238"/>
      <c r="F238" s="50">
        <v>44562</v>
      </c>
      <c r="G238" s="53">
        <v>138.83000000000001</v>
      </c>
      <c r="H238"/>
      <c r="I238"/>
      <c r="J238" s="107">
        <v>1.382080637132902</v>
      </c>
      <c r="K238" s="54"/>
      <c r="L238" s="107">
        <v>1.382080637132902</v>
      </c>
    </row>
    <row r="239" spans="1:12" s="15" customFormat="1" x14ac:dyDescent="0.3">
      <c r="A239" s="17"/>
      <c r="B239"/>
      <c r="C239"/>
      <c r="D239"/>
      <c r="E239"/>
      <c r="F239" s="50">
        <v>44593</v>
      </c>
      <c r="G239" s="53">
        <v>139.30000000000001</v>
      </c>
      <c r="H239"/>
      <c r="I239"/>
      <c r="J239" s="107">
        <v>1.3867595818815333</v>
      </c>
      <c r="K239" s="54"/>
      <c r="L239" s="107">
        <v>1.3867595818815333</v>
      </c>
    </row>
    <row r="240" spans="1:12" s="15" customFormat="1" x14ac:dyDescent="0.3">
      <c r="A240" s="17"/>
      <c r="B240"/>
      <c r="C240"/>
      <c r="D240"/>
      <c r="E240"/>
      <c r="F240"/>
      <c r="G240"/>
      <c r="H240"/>
      <c r="I240"/>
      <c r="J240" s="54"/>
      <c r="K240" s="54"/>
      <c r="L240" s="54"/>
    </row>
    <row r="241" spans="1:12" s="15" customFormat="1" x14ac:dyDescent="0.3">
      <c r="A241" s="17"/>
      <c r="B241"/>
      <c r="C241"/>
      <c r="D241"/>
      <c r="E241"/>
      <c r="F241"/>
      <c r="G241"/>
      <c r="H241"/>
      <c r="I241"/>
      <c r="J241" s="54"/>
      <c r="K241" s="54"/>
      <c r="L241" s="54"/>
    </row>
    <row r="242" spans="1:12" s="15" customFormat="1" x14ac:dyDescent="0.3">
      <c r="A242" s="17"/>
      <c r="B242"/>
      <c r="C242"/>
      <c r="D242"/>
      <c r="E242"/>
      <c r="F242"/>
      <c r="G242"/>
      <c r="H242"/>
      <c r="I242"/>
      <c r="J242" s="54"/>
      <c r="K242" s="54"/>
      <c r="L242" s="54"/>
    </row>
    <row r="243" spans="1:12" s="15" customFormat="1" x14ac:dyDescent="0.3">
      <c r="A243" s="17"/>
      <c r="B243"/>
      <c r="C243"/>
      <c r="D243"/>
      <c r="E243"/>
      <c r="F243"/>
      <c r="G243"/>
      <c r="H243"/>
      <c r="I243"/>
      <c r="J243" s="54"/>
      <c r="K243" s="54"/>
      <c r="L243" s="54"/>
    </row>
    <row r="244" spans="1:12" s="15" customFormat="1" x14ac:dyDescent="0.3">
      <c r="A244" s="17"/>
      <c r="B244"/>
      <c r="C244"/>
      <c r="D244"/>
      <c r="E244"/>
      <c r="F244"/>
      <c r="G244"/>
      <c r="H244"/>
      <c r="I244"/>
      <c r="J244" s="54"/>
      <c r="K244" s="54"/>
      <c r="L244" s="54"/>
    </row>
    <row r="245" spans="1:12" s="15" customFormat="1" x14ac:dyDescent="0.3">
      <c r="A245" s="17"/>
      <c r="B245"/>
      <c r="C245"/>
      <c r="D245"/>
      <c r="E245"/>
      <c r="F245"/>
      <c r="G245"/>
      <c r="H245"/>
      <c r="I245"/>
      <c r="J245" s="54"/>
      <c r="K245" s="54"/>
      <c r="L245" s="54"/>
    </row>
    <row r="246" spans="1:12" s="15" customFormat="1" x14ac:dyDescent="0.3">
      <c r="A246" s="17"/>
      <c r="B246"/>
      <c r="C246"/>
      <c r="D246"/>
      <c r="E246"/>
      <c r="F246"/>
      <c r="G246"/>
      <c r="H246"/>
      <c r="I246"/>
      <c r="J246" s="54"/>
      <c r="K246" s="54"/>
      <c r="L246" s="54"/>
    </row>
    <row r="247" spans="1:12" s="15" customFormat="1" x14ac:dyDescent="0.3">
      <c r="A247" s="17"/>
      <c r="B247"/>
      <c r="C247"/>
      <c r="D247"/>
      <c r="E247"/>
      <c r="F247"/>
      <c r="G247"/>
      <c r="H247"/>
      <c r="I247"/>
      <c r="J247" s="54"/>
      <c r="K247" s="54"/>
      <c r="L247" s="54"/>
    </row>
    <row r="248" spans="1:12" s="15" customFormat="1" x14ac:dyDescent="0.3">
      <c r="A248" s="17"/>
      <c r="B248"/>
      <c r="C248"/>
      <c r="D248"/>
      <c r="E248"/>
      <c r="F248"/>
      <c r="G248"/>
      <c r="H248"/>
      <c r="I248"/>
      <c r="J248" s="54"/>
      <c r="K248" s="54"/>
      <c r="L248" s="54"/>
    </row>
    <row r="249" spans="1:12" s="15" customFormat="1" x14ac:dyDescent="0.3">
      <c r="A249" s="17"/>
      <c r="B249"/>
      <c r="C249"/>
      <c r="D249"/>
      <c r="E249"/>
      <c r="F249"/>
      <c r="G249"/>
      <c r="H249"/>
      <c r="I249"/>
      <c r="J249" s="54"/>
      <c r="K249" s="54"/>
      <c r="L249" s="54"/>
    </row>
    <row r="250" spans="1:12" s="15" customFormat="1" x14ac:dyDescent="0.3">
      <c r="A250" s="17"/>
      <c r="B250"/>
      <c r="C250"/>
      <c r="D250"/>
      <c r="E250"/>
      <c r="F250"/>
      <c r="G250"/>
      <c r="H250"/>
      <c r="I250"/>
      <c r="J250" s="27"/>
      <c r="K250" s="27"/>
      <c r="L250" s="27"/>
    </row>
    <row r="251" spans="1:12" s="15" customFormat="1" x14ac:dyDescent="0.3">
      <c r="A251" s="17"/>
      <c r="B251"/>
      <c r="C251"/>
      <c r="D251"/>
      <c r="E251"/>
      <c r="F251"/>
      <c r="G251"/>
      <c r="H251"/>
      <c r="I251"/>
      <c r="J251" s="27"/>
      <c r="K251" s="27"/>
      <c r="L251" s="27"/>
    </row>
    <row r="252" spans="1:12" s="15" customFormat="1" x14ac:dyDescent="0.3">
      <c r="A252" s="17"/>
      <c r="B252"/>
      <c r="C252"/>
      <c r="D252"/>
      <c r="E252"/>
      <c r="F252"/>
      <c r="G252"/>
      <c r="H252"/>
      <c r="I252"/>
      <c r="J252" s="27"/>
      <c r="K252" s="27"/>
      <c r="L252" s="27"/>
    </row>
    <row r="253" spans="1:12" s="15" customFormat="1" x14ac:dyDescent="0.3">
      <c r="A253" s="17"/>
      <c r="B253"/>
      <c r="C253"/>
      <c r="D253"/>
      <c r="E253"/>
      <c r="F253"/>
      <c r="G253"/>
      <c r="H253"/>
      <c r="I253"/>
      <c r="J253" s="27"/>
      <c r="K253" s="27"/>
      <c r="L253" s="27"/>
    </row>
    <row r="254" spans="1:12" s="15" customFormat="1" x14ac:dyDescent="0.3">
      <c r="A254" s="17"/>
      <c r="B254"/>
      <c r="C254"/>
      <c r="D254"/>
      <c r="E254"/>
      <c r="F254"/>
      <c r="G254"/>
      <c r="H254"/>
      <c r="I254"/>
      <c r="J254" s="27"/>
      <c r="K254" s="27"/>
      <c r="L254" s="27"/>
    </row>
    <row r="255" spans="1:12" s="15" customFormat="1" x14ac:dyDescent="0.3">
      <c r="A255" s="17"/>
      <c r="B255"/>
      <c r="C255"/>
      <c r="D255"/>
      <c r="E255"/>
      <c r="F255"/>
      <c r="G255"/>
      <c r="H255"/>
      <c r="I255"/>
      <c r="J255" s="27"/>
      <c r="K255" s="27"/>
      <c r="L255" s="27"/>
    </row>
    <row r="256" spans="1:12" s="15" customFormat="1" x14ac:dyDescent="0.3">
      <c r="A256" s="17"/>
      <c r="B256"/>
      <c r="C256"/>
      <c r="D256"/>
      <c r="E256"/>
      <c r="F256"/>
      <c r="G256"/>
      <c r="H256"/>
      <c r="I256"/>
      <c r="J256" s="27"/>
      <c r="K256" s="27"/>
      <c r="L256" s="27"/>
    </row>
    <row r="257" spans="1:12" s="15" customFormat="1" x14ac:dyDescent="0.3">
      <c r="A257" s="17"/>
      <c r="B257"/>
      <c r="C257"/>
      <c r="D257"/>
      <c r="E257"/>
      <c r="F257"/>
      <c r="G257"/>
      <c r="H257"/>
      <c r="I257"/>
      <c r="J257" s="27"/>
      <c r="K257" s="27"/>
      <c r="L257" s="27"/>
    </row>
    <row r="258" spans="1:12" s="15" customFormat="1" x14ac:dyDescent="0.3">
      <c r="A258" s="17"/>
      <c r="B258"/>
      <c r="C258"/>
      <c r="D258"/>
      <c r="E258"/>
      <c r="F258"/>
      <c r="G258"/>
      <c r="H258"/>
      <c r="I258"/>
      <c r="J258" s="27"/>
      <c r="K258" s="27"/>
      <c r="L258" s="27"/>
    </row>
    <row r="259" spans="1:12" s="15" customFormat="1" x14ac:dyDescent="0.3">
      <c r="A259" s="17"/>
      <c r="B259"/>
      <c r="C259"/>
      <c r="D259"/>
      <c r="E259"/>
      <c r="F259"/>
      <c r="G259"/>
      <c r="H259"/>
      <c r="I259"/>
      <c r="J259" s="27"/>
      <c r="K259" s="27"/>
      <c r="L259" s="27"/>
    </row>
    <row r="260" spans="1:12" s="15" customFormat="1" x14ac:dyDescent="0.3">
      <c r="A260" s="17"/>
      <c r="B260"/>
      <c r="C260"/>
      <c r="D260"/>
      <c r="E260"/>
      <c r="F260"/>
      <c r="G260"/>
      <c r="H260"/>
      <c r="I260"/>
      <c r="J260" s="27"/>
      <c r="K260" s="27"/>
      <c r="L260" s="27"/>
    </row>
    <row r="261" spans="1:12" s="15" customFormat="1" x14ac:dyDescent="0.3">
      <c r="A261" s="17"/>
      <c r="B261"/>
      <c r="C261"/>
      <c r="D261"/>
      <c r="E261"/>
      <c r="F261"/>
      <c r="G261"/>
      <c r="H261"/>
      <c r="I261"/>
      <c r="J261" s="27"/>
      <c r="K261" s="27"/>
      <c r="L261" s="27"/>
    </row>
    <row r="262" spans="1:12" s="15" customFormat="1" x14ac:dyDescent="0.3">
      <c r="A262" s="17"/>
      <c r="B262"/>
      <c r="C262"/>
      <c r="D262"/>
      <c r="E262"/>
      <c r="F262"/>
      <c r="G262"/>
      <c r="H262"/>
      <c r="I262"/>
      <c r="J262" s="27"/>
      <c r="K262" s="27"/>
      <c r="L262" s="27"/>
    </row>
    <row r="263" spans="1:12" s="15" customFormat="1" x14ac:dyDescent="0.3">
      <c r="A263" s="17"/>
      <c r="B263"/>
      <c r="C263"/>
      <c r="D263"/>
      <c r="E263"/>
      <c r="F263"/>
      <c r="G263"/>
      <c r="H263"/>
      <c r="I263"/>
      <c r="J263" s="27"/>
      <c r="K263" s="27"/>
      <c r="L263" s="27"/>
    </row>
    <row r="264" spans="1:12" s="15" customFormat="1" x14ac:dyDescent="0.3">
      <c r="A264" s="17"/>
      <c r="B264"/>
      <c r="C264"/>
      <c r="D264"/>
      <c r="E264"/>
      <c r="F264"/>
      <c r="G264"/>
      <c r="H264"/>
      <c r="I264"/>
      <c r="J264" s="27"/>
      <c r="K264" s="27"/>
      <c r="L264" s="27"/>
    </row>
    <row r="265" spans="1:12" s="15" customFormat="1" x14ac:dyDescent="0.3">
      <c r="A265" s="17"/>
      <c r="B265"/>
      <c r="C265"/>
      <c r="D265"/>
      <c r="E265"/>
      <c r="F265"/>
      <c r="G265"/>
      <c r="H265"/>
      <c r="I265"/>
      <c r="J265" s="27"/>
      <c r="K265" s="27"/>
      <c r="L265" s="27"/>
    </row>
    <row r="266" spans="1:12" s="15" customFormat="1" x14ac:dyDescent="0.3">
      <c r="A266" s="17"/>
      <c r="B266"/>
      <c r="C266"/>
      <c r="D266"/>
      <c r="E266"/>
      <c r="F266"/>
      <c r="G266"/>
      <c r="H266"/>
      <c r="I266"/>
      <c r="J266" s="27"/>
      <c r="K266" s="27"/>
      <c r="L266" s="27"/>
    </row>
    <row r="267" spans="1:12" s="15" customFormat="1" x14ac:dyDescent="0.3">
      <c r="A267" s="17"/>
      <c r="B267"/>
      <c r="C267"/>
      <c r="D267"/>
      <c r="E267"/>
      <c r="F267"/>
      <c r="G267"/>
      <c r="H267"/>
      <c r="I267"/>
      <c r="J267" s="27"/>
      <c r="K267" s="27"/>
      <c r="L267" s="27"/>
    </row>
    <row r="268" spans="1:12" s="15" customFormat="1" x14ac:dyDescent="0.3">
      <c r="A268" s="17"/>
      <c r="B268"/>
      <c r="C268"/>
      <c r="D268"/>
      <c r="E268"/>
      <c r="F268"/>
      <c r="G268"/>
      <c r="H268"/>
      <c r="I268"/>
      <c r="J268" s="27"/>
      <c r="K268" s="27"/>
      <c r="L268" s="27"/>
    </row>
    <row r="269" spans="1:12" s="15" customFormat="1" x14ac:dyDescent="0.3">
      <c r="A269" s="17"/>
      <c r="B269"/>
      <c r="C269"/>
      <c r="D269"/>
      <c r="E269"/>
      <c r="F269"/>
      <c r="G269"/>
      <c r="H269"/>
      <c r="I269"/>
      <c r="J269" s="27"/>
      <c r="K269" s="27"/>
      <c r="L269" s="27"/>
    </row>
    <row r="270" spans="1:12" s="15" customFormat="1" x14ac:dyDescent="0.3">
      <c r="A270" s="17"/>
      <c r="B270"/>
      <c r="C270"/>
      <c r="D270"/>
      <c r="E270"/>
      <c r="F270"/>
      <c r="G270"/>
      <c r="H270"/>
      <c r="I270"/>
      <c r="J270" s="27"/>
      <c r="K270" s="27"/>
      <c r="L270" s="27"/>
    </row>
    <row r="271" spans="1:12" s="15" customFormat="1" x14ac:dyDescent="0.3">
      <c r="A271" s="17"/>
      <c r="B271"/>
      <c r="C271"/>
      <c r="D271"/>
      <c r="E271"/>
      <c r="F271"/>
      <c r="G271"/>
      <c r="H271"/>
      <c r="I271"/>
      <c r="J271" s="27"/>
      <c r="K271" s="27"/>
      <c r="L271" s="27"/>
    </row>
    <row r="272" spans="1:12" s="15" customFormat="1" x14ac:dyDescent="0.3">
      <c r="A272" s="17"/>
      <c r="B272"/>
      <c r="C272"/>
      <c r="D272"/>
      <c r="E272"/>
      <c r="F272"/>
      <c r="G272"/>
      <c r="H272"/>
      <c r="I272"/>
      <c r="J272" s="27"/>
      <c r="K272" s="27"/>
      <c r="L272" s="27"/>
    </row>
    <row r="273" spans="1:12" s="15" customFormat="1" x14ac:dyDescent="0.3">
      <c r="A273" s="17"/>
      <c r="B273"/>
      <c r="C273"/>
      <c r="D273"/>
      <c r="E273"/>
      <c r="F273"/>
      <c r="G273"/>
      <c r="H273"/>
      <c r="I273"/>
      <c r="J273" s="27"/>
      <c r="K273" s="27"/>
      <c r="L273" s="27"/>
    </row>
    <row r="274" spans="1:12" s="15" customFormat="1" x14ac:dyDescent="0.3">
      <c r="A274" s="17"/>
      <c r="B274"/>
      <c r="C274"/>
      <c r="D274"/>
      <c r="E274"/>
      <c r="F274"/>
      <c r="G274"/>
      <c r="H274"/>
      <c r="I274"/>
      <c r="J274" s="27"/>
      <c r="K274" s="27"/>
      <c r="L274" s="27"/>
    </row>
    <row r="275" spans="1:12" s="15" customFormat="1" x14ac:dyDescent="0.3">
      <c r="A275" s="17"/>
      <c r="B275"/>
      <c r="C275"/>
      <c r="D275"/>
      <c r="E275"/>
      <c r="F275"/>
      <c r="G275"/>
      <c r="H275"/>
      <c r="I275"/>
      <c r="J275" s="27"/>
      <c r="K275" s="27"/>
      <c r="L275" s="27"/>
    </row>
    <row r="276" spans="1:12" s="15" customFormat="1" x14ac:dyDescent="0.3">
      <c r="A276" s="17"/>
      <c r="B276"/>
      <c r="C276"/>
      <c r="D276"/>
      <c r="E276"/>
      <c r="F276"/>
      <c r="G276"/>
      <c r="H276"/>
      <c r="I276"/>
      <c r="J276" s="27"/>
      <c r="K276" s="27"/>
      <c r="L276" s="27"/>
    </row>
    <row r="277" spans="1:12" s="15" customFormat="1" x14ac:dyDescent="0.3">
      <c r="A277" s="17"/>
      <c r="B277"/>
      <c r="C277"/>
      <c r="D277"/>
      <c r="E277"/>
      <c r="F277"/>
      <c r="G277"/>
      <c r="H277"/>
      <c r="I277"/>
      <c r="J277" s="27"/>
      <c r="K277" s="27"/>
      <c r="L277" s="27"/>
    </row>
    <row r="278" spans="1:12" s="15" customFormat="1" x14ac:dyDescent="0.3">
      <c r="A278" s="17"/>
      <c r="B278"/>
      <c r="C278"/>
      <c r="D278"/>
      <c r="E278"/>
      <c r="F278"/>
      <c r="G278"/>
      <c r="H278"/>
      <c r="I278"/>
      <c r="J278" s="27"/>
      <c r="K278" s="27"/>
      <c r="L278" s="27"/>
    </row>
    <row r="279" spans="1:12" s="15" customFormat="1" x14ac:dyDescent="0.3">
      <c r="A279" s="17"/>
      <c r="B279"/>
      <c r="C279"/>
      <c r="D279"/>
      <c r="E279"/>
      <c r="F279"/>
      <c r="G279"/>
      <c r="H279"/>
      <c r="I279"/>
      <c r="J279" s="27"/>
      <c r="K279" s="27"/>
      <c r="L279" s="27"/>
    </row>
    <row r="280" spans="1:12" s="15" customFormat="1" x14ac:dyDescent="0.3">
      <c r="A280" s="17"/>
      <c r="B280"/>
      <c r="C280"/>
      <c r="D280"/>
      <c r="E280"/>
      <c r="F280"/>
      <c r="G280"/>
      <c r="H280"/>
      <c r="I280"/>
      <c r="J280" s="27"/>
      <c r="K280" s="27"/>
      <c r="L280" s="27"/>
    </row>
    <row r="281" spans="1:12" s="15" customFormat="1" x14ac:dyDescent="0.3">
      <c r="A281" s="17"/>
      <c r="B281"/>
      <c r="C281"/>
      <c r="D281"/>
      <c r="E281"/>
      <c r="F281"/>
      <c r="G281"/>
      <c r="H281"/>
      <c r="I281"/>
      <c r="J281" s="27"/>
      <c r="K281" s="27"/>
      <c r="L281" s="27"/>
    </row>
    <row r="282" spans="1:12" s="15" customFormat="1" x14ac:dyDescent="0.3">
      <c r="A282" s="17"/>
      <c r="B282"/>
      <c r="C282"/>
      <c r="D282"/>
      <c r="E282"/>
      <c r="F282"/>
      <c r="G282"/>
      <c r="H282"/>
      <c r="I282"/>
      <c r="J282" s="27"/>
      <c r="K282" s="27"/>
      <c r="L282" s="27"/>
    </row>
    <row r="283" spans="1:12" s="15" customFormat="1" x14ac:dyDescent="0.3">
      <c r="A283" s="17"/>
      <c r="B283"/>
      <c r="C283"/>
      <c r="D283"/>
      <c r="E283"/>
      <c r="F283"/>
      <c r="G283"/>
      <c r="H283"/>
      <c r="I283"/>
      <c r="J283" s="27"/>
      <c r="K283" s="27"/>
      <c r="L283" s="27"/>
    </row>
    <row r="284" spans="1:12" s="15" customFormat="1" x14ac:dyDescent="0.3">
      <c r="A284" s="17"/>
      <c r="B284"/>
      <c r="C284"/>
      <c r="D284"/>
      <c r="E284"/>
      <c r="F284"/>
      <c r="G284"/>
      <c r="H284"/>
      <c r="I284"/>
      <c r="J284" s="27"/>
      <c r="K284" s="27"/>
      <c r="L284" s="27"/>
    </row>
    <row r="285" spans="1:12" s="15" customFormat="1" x14ac:dyDescent="0.3">
      <c r="A285" s="17"/>
      <c r="B285"/>
      <c r="C285"/>
      <c r="D285"/>
      <c r="E285"/>
      <c r="F285"/>
      <c r="G285"/>
      <c r="H285"/>
      <c r="I285"/>
      <c r="J285" s="27"/>
      <c r="K285" s="27"/>
      <c r="L285" s="27"/>
    </row>
    <row r="286" spans="1:12" s="15" customFormat="1" x14ac:dyDescent="0.3">
      <c r="A286" s="17"/>
      <c r="B286"/>
      <c r="C286"/>
      <c r="D286"/>
      <c r="E286"/>
      <c r="F286"/>
      <c r="G286"/>
      <c r="H286"/>
      <c r="I286"/>
      <c r="J286" s="27"/>
      <c r="K286" s="27"/>
      <c r="L286" s="27"/>
    </row>
    <row r="287" spans="1:12" s="15" customFormat="1" x14ac:dyDescent="0.3">
      <c r="A287" s="17"/>
      <c r="B287"/>
      <c r="C287"/>
      <c r="D287"/>
      <c r="E287"/>
      <c r="F287"/>
      <c r="G287"/>
      <c r="H287"/>
      <c r="I287"/>
      <c r="J287" s="27"/>
      <c r="K287" s="27"/>
      <c r="L287" s="27"/>
    </row>
    <row r="288" spans="1:12" s="15" customFormat="1" x14ac:dyDescent="0.3">
      <c r="A288" s="17"/>
      <c r="B288"/>
      <c r="C288"/>
      <c r="D288"/>
      <c r="E288"/>
      <c r="F288"/>
      <c r="G288"/>
      <c r="H288"/>
      <c r="I288"/>
      <c r="J288" s="27"/>
      <c r="K288" s="27"/>
      <c r="L288" s="27"/>
    </row>
    <row r="289" spans="1:12" s="15" customFormat="1" x14ac:dyDescent="0.3">
      <c r="A289" s="17"/>
      <c r="B289"/>
      <c r="C289"/>
      <c r="D289"/>
      <c r="E289"/>
      <c r="F289"/>
      <c r="G289"/>
      <c r="H289"/>
      <c r="I289"/>
      <c r="J289" s="27"/>
      <c r="K289" s="27"/>
      <c r="L289" s="27"/>
    </row>
    <row r="290" spans="1:12" s="15" customFormat="1" x14ac:dyDescent="0.3">
      <c r="A290" s="17"/>
      <c r="B290"/>
      <c r="C290"/>
      <c r="D290"/>
      <c r="E290"/>
      <c r="F290"/>
      <c r="G290"/>
      <c r="H290"/>
      <c r="I290"/>
      <c r="J290" s="27"/>
      <c r="K290" s="27"/>
      <c r="L290" s="27"/>
    </row>
    <row r="291" spans="1:12" s="15" customFormat="1" x14ac:dyDescent="0.3">
      <c r="A291" s="17"/>
      <c r="B291"/>
      <c r="C291"/>
      <c r="D291"/>
      <c r="E291"/>
      <c r="F291"/>
      <c r="G291"/>
      <c r="H291"/>
      <c r="I291"/>
      <c r="J291" s="27"/>
      <c r="K291" s="27"/>
      <c r="L291" s="27"/>
    </row>
    <row r="292" spans="1:12" s="15" customFormat="1" x14ac:dyDescent="0.3">
      <c r="A292" s="17"/>
      <c r="B292"/>
      <c r="C292"/>
      <c r="D292"/>
      <c r="E292"/>
      <c r="F292"/>
      <c r="G292"/>
      <c r="H292"/>
      <c r="I292"/>
      <c r="J292" s="27"/>
      <c r="K292" s="27"/>
      <c r="L292" s="27"/>
    </row>
    <row r="293" spans="1:12" s="15" customFormat="1" x14ac:dyDescent="0.3">
      <c r="A293" s="17"/>
      <c r="B293"/>
      <c r="C293"/>
      <c r="D293"/>
      <c r="E293"/>
      <c r="F293"/>
      <c r="G293"/>
      <c r="H293"/>
      <c r="I293"/>
      <c r="J293" s="27"/>
      <c r="K293" s="27"/>
      <c r="L293" s="27"/>
    </row>
    <row r="294" spans="1:12" s="15" customFormat="1" x14ac:dyDescent="0.3">
      <c r="A294" s="17"/>
      <c r="B294"/>
      <c r="C294"/>
      <c r="D294"/>
      <c r="E294"/>
      <c r="F294"/>
      <c r="G294"/>
      <c r="H294"/>
      <c r="I294"/>
      <c r="J294" s="27"/>
      <c r="K294" s="27"/>
      <c r="L294" s="27"/>
    </row>
    <row r="295" spans="1:12" s="15" customFormat="1" x14ac:dyDescent="0.3">
      <c r="A295" s="17"/>
      <c r="B295"/>
      <c r="C295"/>
      <c r="D295"/>
      <c r="E295"/>
      <c r="F295"/>
      <c r="G295"/>
      <c r="H295"/>
      <c r="I295"/>
      <c r="J295" s="27"/>
      <c r="K295" s="27"/>
      <c r="L295" s="27"/>
    </row>
    <row r="296" spans="1:12" s="15" customFormat="1" x14ac:dyDescent="0.3">
      <c r="A296" s="17"/>
      <c r="B296"/>
      <c r="C296"/>
      <c r="D296"/>
      <c r="E296"/>
      <c r="F296"/>
      <c r="G296"/>
      <c r="H296"/>
      <c r="I296"/>
      <c r="J296" s="27"/>
      <c r="K296" s="27"/>
      <c r="L296" s="27"/>
    </row>
    <row r="297" spans="1:12" s="15" customFormat="1" x14ac:dyDescent="0.3">
      <c r="A297" s="17"/>
      <c r="B297"/>
      <c r="C297"/>
      <c r="D297"/>
      <c r="E297"/>
      <c r="F297"/>
      <c r="G297"/>
      <c r="H297"/>
      <c r="I297"/>
      <c r="J297" s="27"/>
      <c r="K297" s="27"/>
      <c r="L297" s="27"/>
    </row>
    <row r="298" spans="1:12" s="15" customFormat="1" x14ac:dyDescent="0.3">
      <c r="A298" s="17"/>
      <c r="B298"/>
      <c r="C298"/>
      <c r="D298"/>
      <c r="E298"/>
      <c r="F298"/>
      <c r="G298"/>
      <c r="H298"/>
      <c r="I298"/>
      <c r="J298" s="27"/>
      <c r="K298" s="27"/>
      <c r="L298" s="27"/>
    </row>
    <row r="299" spans="1:12" s="15" customFormat="1" x14ac:dyDescent="0.3">
      <c r="A299" s="17"/>
      <c r="B299"/>
      <c r="C299"/>
      <c r="D299"/>
      <c r="E299"/>
      <c r="F299"/>
      <c r="G299"/>
      <c r="H299"/>
      <c r="I299"/>
      <c r="J299" s="27"/>
      <c r="K299" s="27"/>
      <c r="L299" s="27"/>
    </row>
  </sheetData>
  <mergeCells count="1">
    <mergeCell ref="D13:D14"/>
  </mergeCells>
  <pageMargins left="0.511811024" right="0.511811024" top="0.78740157499999996" bottom="0.78740157499999996" header="0.31496062000000002" footer="0.31496062000000002"/>
  <ignoredErrors>
    <ignoredError sqref="L10:L12" evalError="1"/>
  </ignoredErrors>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9606A-1B00-4CC0-925E-FE6387AA73A9}">
  <sheetPr codeName="Planilha47">
    <tabColor theme="9" tint="0.59999389629810485"/>
  </sheetPr>
  <dimension ref="A1:X290"/>
  <sheetViews>
    <sheetView showGridLines="0" workbookViewId="0">
      <selection activeCell="K14" sqref="K14"/>
    </sheetView>
  </sheetViews>
  <sheetFormatPr defaultColWidth="8.85546875" defaultRowHeight="18.75" x14ac:dyDescent="0.3"/>
  <cols>
    <col min="1" max="1" width="12.7109375" style="17" customWidth="1"/>
    <col min="2" max="2" width="52.42578125" customWidth="1"/>
    <col min="4" max="4" width="25.28515625" customWidth="1"/>
    <col min="5" max="5" width="4.5703125" customWidth="1"/>
    <col min="6" max="8" width="7.140625" bestFit="1" customWidth="1"/>
    <col min="9" max="9" width="10.7109375" customWidth="1"/>
    <col min="10" max="10" width="10.42578125" bestFit="1" customWidth="1"/>
    <col min="11" max="13" width="9" style="15" customWidth="1"/>
    <col min="14" max="22" width="8.85546875" style="15"/>
  </cols>
  <sheetData>
    <row r="1" spans="1:24" x14ac:dyDescent="0.3">
      <c r="A1" s="16" t="s">
        <v>509</v>
      </c>
      <c r="K1" s="14"/>
      <c r="L1" s="14"/>
      <c r="M1" s="14"/>
      <c r="N1" s="14"/>
      <c r="O1" s="14"/>
      <c r="P1" s="14"/>
      <c r="Q1" s="14"/>
      <c r="R1" s="14"/>
      <c r="S1" s="14"/>
      <c r="T1" s="14"/>
      <c r="U1" s="14"/>
      <c r="V1" s="14"/>
    </row>
    <row r="2" spans="1:24" x14ac:dyDescent="0.3">
      <c r="A2" s="17" t="s">
        <v>510</v>
      </c>
      <c r="K2" s="14"/>
      <c r="L2" s="14"/>
      <c r="M2" s="14"/>
      <c r="N2" s="14"/>
      <c r="O2" s="14"/>
      <c r="P2" s="14"/>
      <c r="Q2" s="14"/>
      <c r="R2" s="14"/>
      <c r="S2" s="14"/>
      <c r="T2" s="14"/>
      <c r="U2" s="14"/>
      <c r="V2" s="14"/>
    </row>
    <row r="3" spans="1:24" x14ac:dyDescent="0.3">
      <c r="N3" s="108" t="s">
        <v>499</v>
      </c>
      <c r="O3" s="51" t="str">
        <f>"IBC-Br SA "&amp;$I$14</f>
        <v>IBC-Br SA IDX(37622)</v>
      </c>
    </row>
    <row r="4" spans="1:24" ht="15.75" x14ac:dyDescent="0.25">
      <c r="A4" s="2" t="s">
        <v>15</v>
      </c>
      <c r="B4" s="2" t="s">
        <v>16</v>
      </c>
    </row>
    <row r="5" spans="1:24" ht="15.75" x14ac:dyDescent="0.25">
      <c r="A5" s="23" t="s">
        <v>280</v>
      </c>
      <c r="B5" s="24"/>
    </row>
    <row r="6" spans="1:24" ht="15.75" x14ac:dyDescent="0.25">
      <c r="A6" s="23" t="s">
        <v>511</v>
      </c>
      <c r="B6" s="24"/>
    </row>
    <row r="7" spans="1:24" ht="83.25" customHeight="1" x14ac:dyDescent="0.25">
      <c r="A7" s="23" t="s">
        <v>512</v>
      </c>
      <c r="B7" s="26"/>
    </row>
    <row r="8" spans="1:24" ht="15.75" x14ac:dyDescent="0.25">
      <c r="A8" s="23" t="s">
        <v>513</v>
      </c>
      <c r="B8" s="24"/>
    </row>
    <row r="9" spans="1:24" ht="15.75" x14ac:dyDescent="0.25">
      <c r="A9" s="23" t="s">
        <v>514</v>
      </c>
      <c r="B9" s="24"/>
    </row>
    <row r="10" spans="1:24" ht="15.75" x14ac:dyDescent="0.25">
      <c r="A10" s="23" t="s">
        <v>515</v>
      </c>
    </row>
    <row r="11" spans="1:24" s="15" customFormat="1" x14ac:dyDescent="0.3">
      <c r="A11" s="17"/>
      <c r="B11"/>
      <c r="C11"/>
      <c r="D11"/>
      <c r="E11"/>
      <c r="F11"/>
      <c r="G11"/>
      <c r="H11"/>
      <c r="I11"/>
      <c r="J11"/>
    </row>
    <row r="12" spans="1:24" s="15" customFormat="1" x14ac:dyDescent="0.3">
      <c r="A12" s="17"/>
      <c r="B12"/>
      <c r="C12"/>
      <c r="D12"/>
      <c r="E12"/>
      <c r="F12"/>
      <c r="G12"/>
      <c r="H12"/>
      <c r="I12"/>
      <c r="J12"/>
    </row>
    <row r="13" spans="1:24" s="15" customFormat="1" x14ac:dyDescent="0.3">
      <c r="A13" s="17"/>
      <c r="B13"/>
      <c r="C13"/>
      <c r="D13" s="1" t="s">
        <v>17</v>
      </c>
      <c r="E13"/>
      <c r="F13"/>
      <c r="G13" s="132" t="s">
        <v>167</v>
      </c>
      <c r="H13" s="133"/>
      <c r="I13" s="13" t="s">
        <v>498</v>
      </c>
      <c r="J13"/>
      <c r="K13" s="15" t="s">
        <v>194</v>
      </c>
      <c r="M13" s="15" t="s">
        <v>194</v>
      </c>
      <c r="W13"/>
      <c r="X13"/>
    </row>
    <row r="14" spans="1:24" s="15" customFormat="1" x14ac:dyDescent="0.3">
      <c r="A14" s="17"/>
      <c r="B14"/>
      <c r="C14"/>
      <c r="D14" t="s">
        <v>197</v>
      </c>
      <c r="E14"/>
      <c r="F14" s="50">
        <v>37622</v>
      </c>
      <c r="G14" s="53">
        <v>100.45</v>
      </c>
      <c r="H14" s="53">
        <v>107</v>
      </c>
      <c r="I14" s="81" t="str">
        <f>"IDX(" &amp; DATE(2003,1,1) &amp; ")"</f>
        <v>IDX(37622)</v>
      </c>
      <c r="J14"/>
      <c r="K14" s="107" cm="1">
        <f t="array" ref="K14:L243">_xlfn.LAMBDA(_xlpm.array,_xlpm.func,_xlpm.paramArrayPos,_xlop.param1,_xlop.param2,_xlop.param3,
_xlfn.LET(
_xlpm.nParams, NOT(_xlfn.ISOMITTED(_xlpm.param1)) + NOT(_xlfn.ISOMITTED(_xlpm.param2)) + NOT(_xlfn.ISOMITTED(_xlpm.param3)),
_xlpm.nCols, COLUMNS(_xlpm.array),
_xlpm.colVals, INDEX(_xlpm.array,0,1),
_xlpm.fcol, _xlfn.SWITCH( _xlpm.nParams,
0, _xlpm.func(_xlpm.colVals),
1,  _xlfn.SWITCH( _xlpm.paramArrayPos, 1, _xlpm.func(_xlpm.colVals, _xlpm.param1), 2, _xlpm.func(_xlpm.param1, _xlpm.colVals)),
2,  _xlfn.SWITCH( _xlpm.paramArrayPos, 1, _xlpm.func(_xlpm.colVals, _xlpm.param1, _xlpm.param2), 2, _xlpm.func(_xlpm.param1, _xlpm.colVals, _xlpm.param2)),
3,  _xlfn.SWITCH( _xlpm.paramArrayPos, 1, _xlpm.func(_xlpm.colVals, _xlpm.param1, _xlpm.param2, _xlpm.param3), 2, _xlpm.func(_xlpm.param1, _xlpm.colVals, _xlpm.param2, _xlpm.param3), 3, _xlpm.func(_xlpm.param1, _xlpm.param2, _xlpm.colVals))
),
IF(_xlpm.nCols = 1, _xlpm.fcol, _xlfn.HSTACK( _xlpm.fcol, APPLYCOLS(_xlfn.DROP(_xlpm.array,0,1), _xlpm.func, _xlpm.paramArrayPos, _xlpm.param1, _xlpm.param2, _xlpm.param3)))
))($G$14:$H$243,_xlfn.LAMBDA(_xlpm.datas,_xlpm.valores,_xlpm.operacao, TSOPER(_xlpm.datas, _xlpm.valores, _xlpm.operacao)),2,$F$14:$F$243,$I$14)</f>
        <v>1</v>
      </c>
      <c r="L14" s="107">
        <v>1</v>
      </c>
      <c r="M14" s="107" cm="1">
        <f t="array" ref="M14:N243">APPLYCOLS($G$14:$H$243,_xlfn.LAMBDA(_xlpm.datas,_xlpm.valores,_xlpm.operacao, TSOPER(_xlpm.datas, _xlpm.valores, _xlpm.operacao)),2,$F$14:$F$243,$I$14)</f>
        <v>1</v>
      </c>
      <c r="N14" s="107">
        <v>1</v>
      </c>
      <c r="W14"/>
      <c r="X14"/>
    </row>
    <row r="15" spans="1:24" s="15" customFormat="1" x14ac:dyDescent="0.3">
      <c r="A15" s="17"/>
      <c r="B15"/>
      <c r="C15"/>
      <c r="D15" t="s">
        <v>198</v>
      </c>
      <c r="E15"/>
      <c r="F15" s="50">
        <v>37653</v>
      </c>
      <c r="G15" s="53">
        <v>101.95</v>
      </c>
      <c r="H15" s="53">
        <v>101.95</v>
      </c>
      <c r="I15"/>
      <c r="J15"/>
      <c r="K15" s="107">
        <v>1.0149328023892483</v>
      </c>
      <c r="L15" s="107">
        <v>0.952803738317757</v>
      </c>
      <c r="M15" s="107">
        <v>1.0149328023892483</v>
      </c>
      <c r="N15" s="107">
        <v>0.952803738317757</v>
      </c>
      <c r="W15"/>
      <c r="X15"/>
    </row>
    <row r="16" spans="1:24" s="15" customFormat="1" x14ac:dyDescent="0.3">
      <c r="A16" s="17"/>
      <c r="B16"/>
      <c r="C16"/>
      <c r="D16"/>
      <c r="E16"/>
      <c r="F16" s="50">
        <v>37681</v>
      </c>
      <c r="G16" s="53">
        <v>102.03</v>
      </c>
      <c r="H16" s="53">
        <v>102.03</v>
      </c>
      <c r="I16"/>
      <c r="J16"/>
      <c r="K16" s="107">
        <v>1.0157292185166749</v>
      </c>
      <c r="L16" s="107">
        <v>0.95355140186915888</v>
      </c>
      <c r="M16" s="107">
        <v>1.0157292185166749</v>
      </c>
      <c r="N16" s="107">
        <v>0.95355140186915888</v>
      </c>
      <c r="W16"/>
      <c r="X16"/>
    </row>
    <row r="17" spans="1:24" s="15" customFormat="1" x14ac:dyDescent="0.3">
      <c r="A17" s="17"/>
      <c r="B17"/>
      <c r="C17"/>
      <c r="D17" s="134"/>
      <c r="E17"/>
      <c r="F17" s="50">
        <v>37712</v>
      </c>
      <c r="G17" s="53">
        <v>100.92</v>
      </c>
      <c r="H17" s="53">
        <v>100.92</v>
      </c>
      <c r="I17"/>
      <c r="J17"/>
      <c r="K17" s="107">
        <v>1.0046789447486311</v>
      </c>
      <c r="L17" s="107">
        <v>0.94317757009345793</v>
      </c>
      <c r="M17" s="107">
        <v>1.0046789447486311</v>
      </c>
      <c r="N17" s="107">
        <v>0.94317757009345793</v>
      </c>
      <c r="W17"/>
      <c r="X17"/>
    </row>
    <row r="18" spans="1:24" s="15" customFormat="1" x14ac:dyDescent="0.3">
      <c r="A18" s="17"/>
      <c r="B18"/>
      <c r="C18"/>
      <c r="D18" s="134"/>
      <c r="E18"/>
      <c r="F18" s="50">
        <v>37742</v>
      </c>
      <c r="G18" s="53">
        <v>99.89</v>
      </c>
      <c r="H18" s="53">
        <v>99.89</v>
      </c>
      <c r="I18"/>
      <c r="J18"/>
      <c r="K18" s="107">
        <v>0.99442508710801392</v>
      </c>
      <c r="L18" s="107">
        <v>0.93355140186915886</v>
      </c>
      <c r="M18" s="107">
        <v>0.99442508710801392</v>
      </c>
      <c r="N18" s="107">
        <v>0.93355140186915886</v>
      </c>
      <c r="W18"/>
      <c r="X18"/>
    </row>
    <row r="19" spans="1:24" s="15" customFormat="1" x14ac:dyDescent="0.3">
      <c r="A19" s="17"/>
      <c r="B19"/>
      <c r="C19"/>
      <c r="D19" s="47"/>
      <c r="E19"/>
      <c r="F19" s="50">
        <v>37773</v>
      </c>
      <c r="G19" s="53">
        <v>100.28</v>
      </c>
      <c r="H19" s="53">
        <v>100.28</v>
      </c>
      <c r="I19"/>
      <c r="J19"/>
      <c r="K19" s="107">
        <v>0.99830761572921844</v>
      </c>
      <c r="L19" s="107">
        <v>0.93719626168224301</v>
      </c>
      <c r="M19" s="107">
        <v>0.99830761572921844</v>
      </c>
      <c r="N19" s="107">
        <v>0.93719626168224301</v>
      </c>
      <c r="W19"/>
      <c r="X19"/>
    </row>
    <row r="20" spans="1:24" s="15" customFormat="1" x14ac:dyDescent="0.3">
      <c r="A20" s="17"/>
      <c r="B20"/>
      <c r="C20"/>
      <c r="D20"/>
      <c r="E20"/>
      <c r="F20" s="50">
        <v>37803</v>
      </c>
      <c r="G20" s="53">
        <v>99.07</v>
      </c>
      <c r="H20" s="53">
        <v>99.07</v>
      </c>
      <c r="I20"/>
      <c r="J20"/>
      <c r="K20" s="107">
        <v>0.98626182180189137</v>
      </c>
      <c r="L20" s="107">
        <v>0.92588785046728961</v>
      </c>
      <c r="M20" s="107">
        <v>0.98626182180189137</v>
      </c>
      <c r="N20" s="107">
        <v>0.92588785046728961</v>
      </c>
      <c r="W20"/>
      <c r="X20"/>
    </row>
    <row r="21" spans="1:24" s="15" customFormat="1" x14ac:dyDescent="0.3">
      <c r="A21" s="17"/>
      <c r="B21"/>
      <c r="C21"/>
      <c r="D21"/>
      <c r="E21"/>
      <c r="F21" s="50">
        <v>37834</v>
      </c>
      <c r="G21" s="53">
        <v>99.73</v>
      </c>
      <c r="H21" s="53">
        <v>99.73</v>
      </c>
      <c r="I21"/>
      <c r="J21"/>
      <c r="K21" s="107">
        <v>0.99283225485316073</v>
      </c>
      <c r="L21" s="107">
        <v>0.93205607476635521</v>
      </c>
      <c r="M21" s="107">
        <v>0.99283225485316073</v>
      </c>
      <c r="N21" s="107">
        <v>0.93205607476635521</v>
      </c>
      <c r="W21"/>
      <c r="X21"/>
    </row>
    <row r="22" spans="1:24" s="15" customFormat="1" x14ac:dyDescent="0.3">
      <c r="A22" s="17"/>
      <c r="B22"/>
      <c r="C22"/>
      <c r="D22"/>
      <c r="E22"/>
      <c r="F22" s="50">
        <v>37865</v>
      </c>
      <c r="G22" s="53">
        <v>101.71</v>
      </c>
      <c r="H22" s="53">
        <v>101.71</v>
      </c>
      <c r="I22"/>
      <c r="J22"/>
      <c r="K22" s="107">
        <v>1.0125435540069685</v>
      </c>
      <c r="L22" s="107">
        <v>0.95056074766355136</v>
      </c>
      <c r="M22" s="107">
        <v>1.0125435540069685</v>
      </c>
      <c r="N22" s="107">
        <v>0.95056074766355136</v>
      </c>
      <c r="W22"/>
      <c r="X22"/>
    </row>
    <row r="23" spans="1:24" s="15" customFormat="1" x14ac:dyDescent="0.3">
      <c r="A23" s="17"/>
      <c r="B23"/>
      <c r="C23"/>
      <c r="D23"/>
      <c r="E23"/>
      <c r="F23" s="50">
        <v>37895</v>
      </c>
      <c r="G23" s="53">
        <v>101.88</v>
      </c>
      <c r="H23" s="53">
        <v>101.88</v>
      </c>
      <c r="I23"/>
      <c r="J23"/>
      <c r="K23" s="107">
        <v>1.0142359382777502</v>
      </c>
      <c r="L23" s="107">
        <v>0.95214953271028036</v>
      </c>
      <c r="M23" s="107">
        <v>1.0142359382777502</v>
      </c>
      <c r="N23" s="107">
        <v>0.95214953271028036</v>
      </c>
    </row>
    <row r="24" spans="1:24" s="15" customFormat="1" x14ac:dyDescent="0.3">
      <c r="A24" s="17"/>
      <c r="B24"/>
      <c r="C24"/>
      <c r="D24"/>
      <c r="E24"/>
      <c r="F24" s="50">
        <v>37926</v>
      </c>
      <c r="G24" s="53">
        <v>101.97</v>
      </c>
      <c r="H24" s="53">
        <v>101.97</v>
      </c>
      <c r="I24"/>
      <c r="J24"/>
      <c r="K24" s="107">
        <v>1.0151319064211051</v>
      </c>
      <c r="L24" s="107">
        <v>0.95299065420560747</v>
      </c>
      <c r="M24" s="107">
        <v>1.0151319064211051</v>
      </c>
      <c r="N24" s="107">
        <v>0.95299065420560747</v>
      </c>
    </row>
    <row r="25" spans="1:24" s="15" customFormat="1" x14ac:dyDescent="0.3">
      <c r="A25" s="17"/>
      <c r="B25"/>
      <c r="C25"/>
      <c r="D25"/>
      <c r="E25"/>
      <c r="F25" s="50">
        <v>37956</v>
      </c>
      <c r="G25" s="53">
        <v>101.58</v>
      </c>
      <c r="H25" s="53">
        <v>101.58</v>
      </c>
      <c r="I25"/>
      <c r="J25"/>
      <c r="K25" s="107">
        <v>1.0112493777999003</v>
      </c>
      <c r="L25" s="107">
        <v>0.94934579439252331</v>
      </c>
      <c r="M25" s="107">
        <v>1.0112493777999003</v>
      </c>
      <c r="N25" s="107">
        <v>0.94934579439252331</v>
      </c>
    </row>
    <row r="26" spans="1:24" s="15" customFormat="1" x14ac:dyDescent="0.3">
      <c r="A26" s="17"/>
      <c r="B26"/>
      <c r="C26"/>
      <c r="D26"/>
      <c r="E26"/>
      <c r="F26" s="50">
        <v>37987</v>
      </c>
      <c r="G26" s="53">
        <v>103.57</v>
      </c>
      <c r="H26" s="53">
        <v>103.57</v>
      </c>
      <c r="I26"/>
      <c r="J26"/>
      <c r="K26" s="107">
        <v>1.0310602289696364</v>
      </c>
      <c r="L26" s="107">
        <v>0.96794392523364481</v>
      </c>
      <c r="M26" s="107">
        <v>1.0310602289696364</v>
      </c>
      <c r="N26" s="107">
        <v>0.96794392523364481</v>
      </c>
    </row>
    <row r="27" spans="1:24" s="15" customFormat="1" x14ac:dyDescent="0.3">
      <c r="A27" s="17"/>
      <c r="B27"/>
      <c r="C27"/>
      <c r="D27"/>
      <c r="E27"/>
      <c r="F27" s="50">
        <v>38018</v>
      </c>
      <c r="G27" s="53">
        <v>104.49</v>
      </c>
      <c r="H27" s="53">
        <v>104.49</v>
      </c>
      <c r="I27"/>
      <c r="J27"/>
      <c r="K27" s="107">
        <v>1.0402190144350423</v>
      </c>
      <c r="L27" s="107">
        <v>0.9765420560747663</v>
      </c>
      <c r="M27" s="107">
        <v>1.0402190144350423</v>
      </c>
      <c r="N27" s="107">
        <v>0.9765420560747663</v>
      </c>
    </row>
    <row r="28" spans="1:24" s="15" customFormat="1" x14ac:dyDescent="0.3">
      <c r="A28" s="17"/>
      <c r="B28"/>
      <c r="C28"/>
      <c r="D28"/>
      <c r="E28"/>
      <c r="F28" s="50">
        <v>38047</v>
      </c>
      <c r="G28" s="53">
        <v>105.98</v>
      </c>
      <c r="H28" s="53">
        <v>105.98</v>
      </c>
      <c r="I28"/>
      <c r="J28"/>
      <c r="K28" s="107">
        <v>1.0550522648083624</v>
      </c>
      <c r="L28" s="107">
        <v>0.99046728971962616</v>
      </c>
      <c r="M28" s="107">
        <v>1.0550522648083624</v>
      </c>
      <c r="N28" s="107">
        <v>0.99046728971962616</v>
      </c>
    </row>
    <row r="29" spans="1:24" s="15" customFormat="1" x14ac:dyDescent="0.3">
      <c r="A29" s="17"/>
      <c r="B29"/>
      <c r="C29"/>
      <c r="D29"/>
      <c r="E29"/>
      <c r="F29" s="50">
        <v>38078</v>
      </c>
      <c r="G29" s="53">
        <v>106.41</v>
      </c>
      <c r="H29" s="53">
        <v>106.41</v>
      </c>
      <c r="I29"/>
      <c r="J29"/>
      <c r="K29" s="107">
        <v>1.0593330014932802</v>
      </c>
      <c r="L29" s="107">
        <v>0.99448598130841115</v>
      </c>
      <c r="M29" s="107">
        <v>1.0593330014932802</v>
      </c>
      <c r="N29" s="107">
        <v>0.99448598130841115</v>
      </c>
    </row>
    <row r="30" spans="1:24" s="15" customFormat="1" x14ac:dyDescent="0.3">
      <c r="A30" s="17"/>
      <c r="B30"/>
      <c r="C30"/>
      <c r="D30"/>
      <c r="E30"/>
      <c r="F30" s="50">
        <v>38108</v>
      </c>
      <c r="G30" s="53">
        <v>106.44</v>
      </c>
      <c r="H30" s="53">
        <v>106.44</v>
      </c>
      <c r="I30"/>
      <c r="J30"/>
      <c r="K30" s="107">
        <v>1.0596316575410651</v>
      </c>
      <c r="L30" s="107">
        <v>0.99476635514018685</v>
      </c>
      <c r="M30" s="107">
        <v>1.0596316575410651</v>
      </c>
      <c r="N30" s="107">
        <v>0.99476635514018685</v>
      </c>
    </row>
    <row r="31" spans="1:24" s="15" customFormat="1" x14ac:dyDescent="0.3">
      <c r="A31" s="17"/>
      <c r="B31"/>
      <c r="C31"/>
      <c r="D31"/>
      <c r="E31"/>
      <c r="F31" s="50">
        <v>38139</v>
      </c>
      <c r="G31" s="53">
        <v>107.22</v>
      </c>
      <c r="H31" s="53">
        <v>107.22</v>
      </c>
      <c r="I31"/>
      <c r="J31"/>
      <c r="K31" s="107">
        <v>1.0673967147834744</v>
      </c>
      <c r="L31" s="107">
        <v>1.0020560747663552</v>
      </c>
      <c r="M31" s="107">
        <v>1.0673967147834744</v>
      </c>
      <c r="N31" s="107">
        <v>1.0020560747663552</v>
      </c>
    </row>
    <row r="32" spans="1:24" s="15" customFormat="1" x14ac:dyDescent="0.3">
      <c r="A32" s="17"/>
      <c r="B32"/>
      <c r="C32"/>
      <c r="D32"/>
      <c r="E32"/>
      <c r="F32" s="50">
        <v>38169</v>
      </c>
      <c r="G32" s="53">
        <v>107.82</v>
      </c>
      <c r="H32" s="53">
        <v>107.82</v>
      </c>
      <c r="I32"/>
      <c r="J32"/>
      <c r="K32" s="107">
        <v>1.0733698357391737</v>
      </c>
      <c r="L32" s="107">
        <v>1.007663551401869</v>
      </c>
      <c r="M32" s="107">
        <v>1.0733698357391737</v>
      </c>
      <c r="N32" s="107">
        <v>1.007663551401869</v>
      </c>
    </row>
    <row r="33" spans="1:14" s="15" customFormat="1" x14ac:dyDescent="0.3">
      <c r="A33" s="17"/>
      <c r="B33"/>
      <c r="C33"/>
      <c r="D33"/>
      <c r="E33"/>
      <c r="F33" s="50">
        <v>38200</v>
      </c>
      <c r="G33" s="53">
        <v>108.19</v>
      </c>
      <c r="H33" s="53">
        <v>108.19</v>
      </c>
      <c r="I33"/>
      <c r="J33"/>
      <c r="K33" s="107">
        <v>1.0770532603285217</v>
      </c>
      <c r="L33" s="107">
        <v>1.0111214953271028</v>
      </c>
      <c r="M33" s="107">
        <v>1.0770532603285217</v>
      </c>
      <c r="N33" s="107">
        <v>1.0111214953271028</v>
      </c>
    </row>
    <row r="34" spans="1:14" s="15" customFormat="1" x14ac:dyDescent="0.3">
      <c r="A34" s="17"/>
      <c r="B34"/>
      <c r="C34"/>
      <c r="D34"/>
      <c r="E34"/>
      <c r="F34" s="50">
        <v>38231</v>
      </c>
      <c r="G34" s="53">
        <v>109.46</v>
      </c>
      <c r="H34" s="53">
        <v>109.46</v>
      </c>
      <c r="I34"/>
      <c r="J34"/>
      <c r="K34" s="107">
        <v>1.0896963663514185</v>
      </c>
      <c r="L34" s="107">
        <v>1.0229906542056073</v>
      </c>
      <c r="M34" s="107">
        <v>1.0896963663514185</v>
      </c>
      <c r="N34" s="107">
        <v>1.0229906542056073</v>
      </c>
    </row>
    <row r="35" spans="1:14" s="15" customFormat="1" x14ac:dyDescent="0.3">
      <c r="A35" s="17"/>
      <c r="B35"/>
      <c r="C35"/>
      <c r="D35"/>
      <c r="E35"/>
      <c r="F35" s="50">
        <v>38261</v>
      </c>
      <c r="G35" s="53">
        <v>108.73</v>
      </c>
      <c r="H35" s="53">
        <v>108.73</v>
      </c>
      <c r="I35"/>
      <c r="J35"/>
      <c r="K35" s="107">
        <v>1.0824290691886511</v>
      </c>
      <c r="L35" s="107">
        <v>1.0161682242990655</v>
      </c>
      <c r="M35" s="107">
        <v>1.0824290691886511</v>
      </c>
      <c r="N35" s="107">
        <v>1.0161682242990655</v>
      </c>
    </row>
    <row r="36" spans="1:14" s="15" customFormat="1" x14ac:dyDescent="0.3">
      <c r="A36" s="17"/>
      <c r="B36"/>
      <c r="C36"/>
      <c r="D36"/>
      <c r="E36"/>
      <c r="F36" s="50">
        <v>38292</v>
      </c>
      <c r="G36" s="53">
        <v>109.62</v>
      </c>
      <c r="H36" s="53">
        <v>109.62</v>
      </c>
      <c r="I36"/>
      <c r="J36"/>
      <c r="K36" s="107">
        <v>1.0912891986062718</v>
      </c>
      <c r="L36" s="107">
        <v>1.0244859813084113</v>
      </c>
      <c r="M36" s="107">
        <v>1.0912891986062718</v>
      </c>
      <c r="N36" s="107">
        <v>1.0244859813084113</v>
      </c>
    </row>
    <row r="37" spans="1:14" s="15" customFormat="1" x14ac:dyDescent="0.3">
      <c r="A37" s="17"/>
      <c r="B37"/>
      <c r="C37"/>
      <c r="D37"/>
      <c r="E37"/>
      <c r="F37" s="50">
        <v>38322</v>
      </c>
      <c r="G37" s="53">
        <v>108.79</v>
      </c>
      <c r="H37" s="53">
        <v>108.79</v>
      </c>
      <c r="I37"/>
      <c r="J37"/>
      <c r="K37" s="107">
        <v>1.0830263812842211</v>
      </c>
      <c r="L37" s="107">
        <v>1.0167289719626169</v>
      </c>
      <c r="M37" s="107">
        <v>1.0830263812842211</v>
      </c>
      <c r="N37" s="107">
        <v>1.0167289719626169</v>
      </c>
    </row>
    <row r="38" spans="1:14" s="15" customFormat="1" x14ac:dyDescent="0.3">
      <c r="A38" s="17"/>
      <c r="B38"/>
      <c r="C38"/>
      <c r="D38"/>
      <c r="E38"/>
      <c r="F38" s="50">
        <v>38353</v>
      </c>
      <c r="G38" s="53">
        <v>109.62</v>
      </c>
      <c r="H38" s="53">
        <v>109.62</v>
      </c>
      <c r="I38"/>
      <c r="J38"/>
      <c r="K38" s="107">
        <v>1.0912891986062718</v>
      </c>
      <c r="L38" s="107">
        <v>1.0244859813084113</v>
      </c>
      <c r="M38" s="107">
        <v>1.0912891986062718</v>
      </c>
      <c r="N38" s="107">
        <v>1.0244859813084113</v>
      </c>
    </row>
    <row r="39" spans="1:14" s="15" customFormat="1" x14ac:dyDescent="0.3">
      <c r="A39" s="17"/>
      <c r="B39"/>
      <c r="C39"/>
      <c r="D39"/>
      <c r="E39"/>
      <c r="F39" s="50">
        <v>38384</v>
      </c>
      <c r="G39" s="53">
        <v>110.14</v>
      </c>
      <c r="H39" s="53">
        <v>110.14</v>
      </c>
      <c r="I39"/>
      <c r="J39"/>
      <c r="K39" s="107">
        <v>1.0964659034345445</v>
      </c>
      <c r="L39" s="107">
        <v>1.0293457943925233</v>
      </c>
      <c r="M39" s="107">
        <v>1.0964659034345445</v>
      </c>
      <c r="N39" s="107">
        <v>1.0293457943925233</v>
      </c>
    </row>
    <row r="40" spans="1:14" s="15" customFormat="1" x14ac:dyDescent="0.3">
      <c r="A40" s="17"/>
      <c r="B40"/>
      <c r="C40"/>
      <c r="D40"/>
      <c r="E40"/>
      <c r="F40" s="50">
        <v>38412</v>
      </c>
      <c r="G40" s="53">
        <v>110.43</v>
      </c>
      <c r="H40" s="53">
        <v>110.43</v>
      </c>
      <c r="I40"/>
      <c r="J40"/>
      <c r="K40" s="107">
        <v>1.099352911896466</v>
      </c>
      <c r="L40" s="107">
        <v>1.0320560747663552</v>
      </c>
      <c r="M40" s="107">
        <v>1.099352911896466</v>
      </c>
      <c r="N40" s="107">
        <v>1.0320560747663552</v>
      </c>
    </row>
    <row r="41" spans="1:14" s="15" customFormat="1" x14ac:dyDescent="0.3">
      <c r="A41" s="17"/>
      <c r="B41"/>
      <c r="C41"/>
      <c r="D41"/>
      <c r="E41"/>
      <c r="F41" s="50">
        <v>38443</v>
      </c>
      <c r="G41" s="53">
        <v>110.95</v>
      </c>
      <c r="H41" s="53">
        <v>110.95</v>
      </c>
      <c r="I41"/>
      <c r="J41"/>
      <c r="K41" s="107">
        <v>1.1045296167247387</v>
      </c>
      <c r="L41" s="107">
        <v>1.0369158878504674</v>
      </c>
      <c r="M41" s="107">
        <v>1.1045296167247387</v>
      </c>
      <c r="N41" s="107">
        <v>1.0369158878504674</v>
      </c>
    </row>
    <row r="42" spans="1:14" s="15" customFormat="1" x14ac:dyDescent="0.3">
      <c r="A42" s="17"/>
      <c r="B42"/>
      <c r="C42"/>
      <c r="D42"/>
      <c r="E42"/>
      <c r="F42" s="50">
        <v>38473</v>
      </c>
      <c r="G42" s="53">
        <v>110.99</v>
      </c>
      <c r="H42" s="53">
        <v>110.99</v>
      </c>
      <c r="I42"/>
      <c r="J42"/>
      <c r="K42" s="107">
        <v>1.104927824788452</v>
      </c>
      <c r="L42" s="107">
        <v>1.0372897196261681</v>
      </c>
      <c r="M42" s="107">
        <v>1.104927824788452</v>
      </c>
      <c r="N42" s="107">
        <v>1.0372897196261681</v>
      </c>
    </row>
    <row r="43" spans="1:14" s="15" customFormat="1" x14ac:dyDescent="0.3">
      <c r="A43" s="17"/>
      <c r="B43"/>
      <c r="C43"/>
      <c r="D43"/>
      <c r="E43"/>
      <c r="F43" s="50">
        <v>38504</v>
      </c>
      <c r="G43" s="53">
        <v>110.63</v>
      </c>
      <c r="H43" s="53">
        <v>110.63</v>
      </c>
      <c r="I43"/>
      <c r="J43"/>
      <c r="K43" s="107">
        <v>1.1013439522150323</v>
      </c>
      <c r="L43" s="107">
        <v>1.0339252336448597</v>
      </c>
      <c r="M43" s="107">
        <v>1.1013439522150323</v>
      </c>
      <c r="N43" s="107">
        <v>1.0339252336448597</v>
      </c>
    </row>
    <row r="44" spans="1:14" s="15" customFormat="1" x14ac:dyDescent="0.3">
      <c r="A44" s="17"/>
      <c r="B44"/>
      <c r="C44"/>
      <c r="D44"/>
      <c r="E44"/>
      <c r="F44" s="50">
        <v>38534</v>
      </c>
      <c r="G44" s="53">
        <v>110.63</v>
      </c>
      <c r="H44" s="53">
        <v>110.63</v>
      </c>
      <c r="I44"/>
      <c r="J44"/>
      <c r="K44" s="107">
        <v>1.1013439522150323</v>
      </c>
      <c r="L44" s="107">
        <v>1.0339252336448597</v>
      </c>
      <c r="M44" s="107">
        <v>1.1013439522150323</v>
      </c>
      <c r="N44" s="107">
        <v>1.0339252336448597</v>
      </c>
    </row>
    <row r="45" spans="1:14" s="15" customFormat="1" x14ac:dyDescent="0.3">
      <c r="A45" s="17"/>
      <c r="B45"/>
      <c r="C45"/>
      <c r="D45"/>
      <c r="E45"/>
      <c r="F45" s="50">
        <v>38565</v>
      </c>
      <c r="G45" s="53">
        <v>111.29</v>
      </c>
      <c r="H45" s="53">
        <v>111.29</v>
      </c>
      <c r="I45"/>
      <c r="J45"/>
      <c r="K45" s="107">
        <v>1.1079143852663016</v>
      </c>
      <c r="L45" s="107">
        <v>1.0400934579439254</v>
      </c>
      <c r="M45" s="107">
        <v>1.1079143852663016</v>
      </c>
      <c r="N45" s="107">
        <v>1.0400934579439254</v>
      </c>
    </row>
    <row r="46" spans="1:14" s="15" customFormat="1" x14ac:dyDescent="0.3">
      <c r="A46" s="17"/>
      <c r="B46"/>
      <c r="C46"/>
      <c r="D46"/>
      <c r="E46"/>
      <c r="F46" s="50">
        <v>38596</v>
      </c>
      <c r="G46" s="53">
        <v>110.86</v>
      </c>
      <c r="H46" s="53">
        <v>110.86</v>
      </c>
      <c r="I46"/>
      <c r="J46"/>
      <c r="K46" s="107">
        <v>1.1036336485813838</v>
      </c>
      <c r="L46" s="107">
        <v>1.0360747663551402</v>
      </c>
      <c r="M46" s="107">
        <v>1.1036336485813838</v>
      </c>
      <c r="N46" s="107">
        <v>1.0360747663551402</v>
      </c>
    </row>
    <row r="47" spans="1:14" s="15" customFormat="1" x14ac:dyDescent="0.3">
      <c r="A47" s="17"/>
      <c r="B47"/>
      <c r="C47"/>
      <c r="D47"/>
      <c r="E47"/>
      <c r="F47" s="50">
        <v>38626</v>
      </c>
      <c r="G47" s="53">
        <v>111.05</v>
      </c>
      <c r="H47" s="53">
        <v>111.05</v>
      </c>
      <c r="I47"/>
      <c r="J47"/>
      <c r="K47" s="107">
        <v>1.1055251368840218</v>
      </c>
      <c r="L47" s="107">
        <v>1.0378504672897195</v>
      </c>
      <c r="M47" s="107">
        <v>1.1055251368840218</v>
      </c>
      <c r="N47" s="107">
        <v>1.0378504672897195</v>
      </c>
    </row>
    <row r="48" spans="1:14" s="15" customFormat="1" x14ac:dyDescent="0.3">
      <c r="A48" s="17"/>
      <c r="B48"/>
      <c r="C48"/>
      <c r="D48"/>
      <c r="E48"/>
      <c r="F48" s="50">
        <v>38657</v>
      </c>
      <c r="G48" s="53">
        <v>111.81</v>
      </c>
      <c r="H48" s="53">
        <v>111.81</v>
      </c>
      <c r="I48"/>
      <c r="J48"/>
      <c r="K48" s="107">
        <v>1.1130910900945743</v>
      </c>
      <c r="L48" s="107">
        <v>1.0449532710280374</v>
      </c>
      <c r="M48" s="107">
        <v>1.1130910900945743</v>
      </c>
      <c r="N48" s="107">
        <v>1.0449532710280374</v>
      </c>
    </row>
    <row r="49" spans="1:14" s="15" customFormat="1" x14ac:dyDescent="0.3">
      <c r="A49" s="17"/>
      <c r="B49"/>
      <c r="C49"/>
      <c r="D49"/>
      <c r="E49"/>
      <c r="F49" s="50">
        <v>38687</v>
      </c>
      <c r="G49" s="53">
        <v>112.32</v>
      </c>
      <c r="H49" s="53">
        <v>112.32</v>
      </c>
      <c r="I49"/>
      <c r="J49"/>
      <c r="K49" s="107">
        <v>1.1181682429069189</v>
      </c>
      <c r="L49" s="107">
        <v>1.0497196261682242</v>
      </c>
      <c r="M49" s="107">
        <v>1.1181682429069189</v>
      </c>
      <c r="N49" s="107">
        <v>1.0497196261682242</v>
      </c>
    </row>
    <row r="50" spans="1:14" s="15" customFormat="1" x14ac:dyDescent="0.3">
      <c r="A50" s="17"/>
      <c r="B50"/>
      <c r="C50"/>
      <c r="D50"/>
      <c r="E50"/>
      <c r="F50" s="50">
        <v>38718</v>
      </c>
      <c r="G50" s="53">
        <v>113.38</v>
      </c>
      <c r="H50" s="53">
        <v>113.38</v>
      </c>
      <c r="I50"/>
      <c r="J50"/>
      <c r="K50" s="107">
        <v>1.128720756595321</v>
      </c>
      <c r="L50" s="107">
        <v>1.0596261682242991</v>
      </c>
      <c r="M50" s="107">
        <v>1.128720756595321</v>
      </c>
      <c r="N50" s="107">
        <v>1.0596261682242991</v>
      </c>
    </row>
    <row r="51" spans="1:14" s="15" customFormat="1" x14ac:dyDescent="0.3">
      <c r="A51" s="17"/>
      <c r="B51"/>
      <c r="C51"/>
      <c r="D51"/>
      <c r="E51"/>
      <c r="F51" s="50">
        <v>38749</v>
      </c>
      <c r="G51" s="53">
        <v>113.61</v>
      </c>
      <c r="H51" s="53">
        <v>113.61</v>
      </c>
      <c r="I51"/>
      <c r="J51"/>
      <c r="K51" s="107">
        <v>1.1310104529616725</v>
      </c>
      <c r="L51" s="107">
        <v>1.0617757009345794</v>
      </c>
      <c r="M51" s="107">
        <v>1.1310104529616725</v>
      </c>
      <c r="N51" s="107">
        <v>1.0617757009345794</v>
      </c>
    </row>
    <row r="52" spans="1:14" s="15" customFormat="1" x14ac:dyDescent="0.3">
      <c r="A52" s="17"/>
      <c r="B52"/>
      <c r="C52"/>
      <c r="D52"/>
      <c r="E52"/>
      <c r="F52" s="50">
        <v>38777</v>
      </c>
      <c r="G52" s="53">
        <v>113.55</v>
      </c>
      <c r="H52" s="53">
        <v>113.55</v>
      </c>
      <c r="I52"/>
      <c r="J52"/>
      <c r="K52" s="107">
        <v>1.1304131408661025</v>
      </c>
      <c r="L52" s="107">
        <v>1.061214953271028</v>
      </c>
      <c r="M52" s="107">
        <v>1.1304131408661025</v>
      </c>
      <c r="N52" s="107">
        <v>1.061214953271028</v>
      </c>
    </row>
    <row r="53" spans="1:14" s="15" customFormat="1" x14ac:dyDescent="0.3">
      <c r="A53" s="17"/>
      <c r="B53"/>
      <c r="C53"/>
      <c r="D53"/>
      <c r="E53"/>
      <c r="F53" s="50">
        <v>38808</v>
      </c>
      <c r="G53" s="53">
        <v>114.23</v>
      </c>
      <c r="H53" s="53">
        <v>114.23</v>
      </c>
      <c r="I53"/>
      <c r="J53"/>
      <c r="K53" s="107">
        <v>1.1371826779492284</v>
      </c>
      <c r="L53" s="107">
        <v>1.067570093457944</v>
      </c>
      <c r="M53" s="107">
        <v>1.1371826779492284</v>
      </c>
      <c r="N53" s="107">
        <v>1.067570093457944</v>
      </c>
    </row>
    <row r="54" spans="1:14" s="15" customFormat="1" x14ac:dyDescent="0.3">
      <c r="A54" s="17"/>
      <c r="B54"/>
      <c r="C54"/>
      <c r="D54"/>
      <c r="E54"/>
      <c r="F54" s="50">
        <v>38838</v>
      </c>
      <c r="G54" s="53">
        <v>115.66</v>
      </c>
      <c r="H54" s="53">
        <v>115.66</v>
      </c>
      <c r="I54"/>
      <c r="J54"/>
      <c r="K54" s="107">
        <v>1.1514186162269786</v>
      </c>
      <c r="L54" s="107">
        <v>1.0809345794392522</v>
      </c>
      <c r="M54" s="107">
        <v>1.1514186162269786</v>
      </c>
      <c r="N54" s="107">
        <v>1.0809345794392522</v>
      </c>
    </row>
    <row r="55" spans="1:14" s="15" customFormat="1" x14ac:dyDescent="0.3">
      <c r="A55" s="17"/>
      <c r="B55"/>
      <c r="C55"/>
      <c r="D55"/>
      <c r="E55"/>
      <c r="F55" s="50">
        <v>38869</v>
      </c>
      <c r="G55" s="53">
        <v>114.72</v>
      </c>
      <c r="H55" s="53">
        <v>114.72</v>
      </c>
      <c r="I55"/>
      <c r="J55"/>
      <c r="K55" s="107">
        <v>1.1420607267297163</v>
      </c>
      <c r="L55" s="107">
        <v>1.0721495327102804</v>
      </c>
      <c r="M55" s="107">
        <v>1.1420607267297163</v>
      </c>
      <c r="N55" s="107">
        <v>1.0721495327102804</v>
      </c>
    </row>
    <row r="56" spans="1:14" s="15" customFormat="1" x14ac:dyDescent="0.3">
      <c r="A56" s="17"/>
      <c r="B56"/>
      <c r="C56"/>
      <c r="D56"/>
      <c r="E56"/>
      <c r="F56" s="50">
        <v>38899</v>
      </c>
      <c r="G56" s="53">
        <v>116.94</v>
      </c>
      <c r="H56" s="53">
        <v>116.94</v>
      </c>
      <c r="I56"/>
      <c r="J56"/>
      <c r="K56" s="107">
        <v>1.1641612742658038</v>
      </c>
      <c r="L56" s="107">
        <v>1.0928971962616822</v>
      </c>
      <c r="M56" s="107">
        <v>1.1641612742658038</v>
      </c>
      <c r="N56" s="107">
        <v>1.0928971962616822</v>
      </c>
    </row>
    <row r="57" spans="1:14" s="15" customFormat="1" x14ac:dyDescent="0.3">
      <c r="A57" s="17"/>
      <c r="B57"/>
      <c r="C57"/>
      <c r="D57"/>
      <c r="E57"/>
      <c r="F57" s="50">
        <v>38930</v>
      </c>
      <c r="G57" s="53">
        <v>116.62</v>
      </c>
      <c r="H57" s="53">
        <v>116.62</v>
      </c>
      <c r="I57"/>
      <c r="J57"/>
      <c r="K57" s="107">
        <v>1.1609756097560975</v>
      </c>
      <c r="L57" s="107">
        <v>1.0899065420560747</v>
      </c>
      <c r="M57" s="107">
        <v>1.1609756097560975</v>
      </c>
      <c r="N57" s="107">
        <v>1.0899065420560747</v>
      </c>
    </row>
    <row r="58" spans="1:14" s="15" customFormat="1" x14ac:dyDescent="0.3">
      <c r="A58" s="17"/>
      <c r="B58"/>
      <c r="C58"/>
      <c r="D58"/>
      <c r="E58"/>
      <c r="F58" s="50">
        <v>38961</v>
      </c>
      <c r="G58" s="53">
        <v>116.82</v>
      </c>
      <c r="H58" s="53">
        <v>116.82</v>
      </c>
      <c r="I58"/>
      <c r="J58"/>
      <c r="K58" s="107">
        <v>1.1629666500746638</v>
      </c>
      <c r="L58" s="107">
        <v>1.0917757009345794</v>
      </c>
      <c r="M58" s="107">
        <v>1.1629666500746638</v>
      </c>
      <c r="N58" s="107">
        <v>1.0917757009345794</v>
      </c>
    </row>
    <row r="59" spans="1:14" s="15" customFormat="1" x14ac:dyDescent="0.3">
      <c r="A59" s="17"/>
      <c r="B59"/>
      <c r="C59"/>
      <c r="D59"/>
      <c r="E59"/>
      <c r="F59" s="50">
        <v>38991</v>
      </c>
      <c r="G59" s="53">
        <v>118.07</v>
      </c>
      <c r="H59" s="53">
        <v>118.07</v>
      </c>
      <c r="I59"/>
      <c r="J59"/>
      <c r="K59" s="107">
        <v>1.1754106520657042</v>
      </c>
      <c r="L59" s="107">
        <v>1.1034579439252337</v>
      </c>
      <c r="M59" s="107">
        <v>1.1754106520657042</v>
      </c>
      <c r="N59" s="107">
        <v>1.1034579439252337</v>
      </c>
    </row>
    <row r="60" spans="1:14" s="15" customFormat="1" x14ac:dyDescent="0.3">
      <c r="A60" s="17"/>
      <c r="B60"/>
      <c r="C60"/>
      <c r="D60"/>
      <c r="E60"/>
      <c r="F60" s="50">
        <v>39022</v>
      </c>
      <c r="G60" s="53">
        <v>118.87</v>
      </c>
      <c r="H60" s="53">
        <v>118.87</v>
      </c>
      <c r="I60"/>
      <c r="J60"/>
      <c r="K60" s="107">
        <v>1.1833748133399702</v>
      </c>
      <c r="L60" s="107">
        <v>1.1109345794392524</v>
      </c>
      <c r="M60" s="107">
        <v>1.1833748133399702</v>
      </c>
      <c r="N60" s="107">
        <v>1.1109345794392524</v>
      </c>
    </row>
    <row r="61" spans="1:14" s="15" customFormat="1" x14ac:dyDescent="0.3">
      <c r="A61" s="17"/>
      <c r="B61"/>
      <c r="C61"/>
      <c r="D61"/>
      <c r="E61"/>
      <c r="F61" s="50">
        <v>39052</v>
      </c>
      <c r="G61" s="53">
        <v>119.87</v>
      </c>
      <c r="H61" s="53">
        <v>119.87</v>
      </c>
      <c r="I61"/>
      <c r="J61"/>
      <c r="K61" s="107">
        <v>1.1933300149328023</v>
      </c>
      <c r="L61" s="107">
        <v>1.1202803738317757</v>
      </c>
      <c r="M61" s="107">
        <v>1.1933300149328023</v>
      </c>
      <c r="N61" s="107">
        <v>1.1202803738317757</v>
      </c>
    </row>
    <row r="62" spans="1:14" s="15" customFormat="1" x14ac:dyDescent="0.3">
      <c r="A62" s="17"/>
      <c r="B62"/>
      <c r="C62"/>
      <c r="D62"/>
      <c r="E62"/>
      <c r="F62" s="50">
        <v>39083</v>
      </c>
      <c r="G62" s="53">
        <v>119.66</v>
      </c>
      <c r="H62" s="53">
        <v>119.66</v>
      </c>
      <c r="I62"/>
      <c r="J62"/>
      <c r="K62" s="107">
        <v>1.1912394225983076</v>
      </c>
      <c r="L62" s="107">
        <v>1.1183177570093457</v>
      </c>
      <c r="M62" s="107">
        <v>1.1912394225983076</v>
      </c>
      <c r="N62" s="107">
        <v>1.1183177570093457</v>
      </c>
    </row>
    <row r="63" spans="1:14" s="15" customFormat="1" x14ac:dyDescent="0.3">
      <c r="A63" s="17"/>
      <c r="B63"/>
      <c r="C63"/>
      <c r="D63"/>
      <c r="E63"/>
      <c r="F63" s="50">
        <v>39114</v>
      </c>
      <c r="G63" s="53">
        <v>120.17</v>
      </c>
      <c r="H63" s="53">
        <v>120.17</v>
      </c>
      <c r="I63"/>
      <c r="J63"/>
      <c r="K63" s="107">
        <v>1.196316575410652</v>
      </c>
      <c r="L63" s="107">
        <v>1.1230841121495327</v>
      </c>
      <c r="M63" s="107">
        <v>1.196316575410652</v>
      </c>
      <c r="N63" s="107">
        <v>1.1230841121495327</v>
      </c>
    </row>
    <row r="64" spans="1:14" s="15" customFormat="1" x14ac:dyDescent="0.3">
      <c r="A64" s="17"/>
      <c r="B64"/>
      <c r="C64"/>
      <c r="D64"/>
      <c r="E64"/>
      <c r="F64" s="50">
        <v>39142</v>
      </c>
      <c r="G64" s="53">
        <v>119.4</v>
      </c>
      <c r="H64" s="53">
        <v>119.4</v>
      </c>
      <c r="I64"/>
      <c r="J64"/>
      <c r="K64" s="107">
        <v>1.1886510701841713</v>
      </c>
      <c r="L64" s="107">
        <v>1.1158878504672898</v>
      </c>
      <c r="M64" s="107">
        <v>1.1886510701841713</v>
      </c>
      <c r="N64" s="107">
        <v>1.1158878504672898</v>
      </c>
    </row>
    <row r="65" spans="1:14" s="15" customFormat="1" x14ac:dyDescent="0.3">
      <c r="A65" s="17"/>
      <c r="B65"/>
      <c r="C65"/>
      <c r="D65"/>
      <c r="E65"/>
      <c r="F65" s="50">
        <v>39173</v>
      </c>
      <c r="G65" s="53">
        <v>121.18</v>
      </c>
      <c r="H65" s="53">
        <v>121.18</v>
      </c>
      <c r="I65"/>
      <c r="J65"/>
      <c r="K65" s="107">
        <v>1.2063713290194127</v>
      </c>
      <c r="L65" s="107">
        <v>1.1325233644859813</v>
      </c>
      <c r="M65" s="107">
        <v>1.2063713290194127</v>
      </c>
      <c r="N65" s="107">
        <v>1.1325233644859813</v>
      </c>
    </row>
    <row r="66" spans="1:14" s="15" customFormat="1" x14ac:dyDescent="0.3">
      <c r="A66" s="17"/>
      <c r="B66"/>
      <c r="C66"/>
      <c r="D66"/>
      <c r="E66"/>
      <c r="F66" s="50">
        <v>39203</v>
      </c>
      <c r="G66" s="53">
        <v>122.38</v>
      </c>
      <c r="H66" s="53">
        <v>122.38</v>
      </c>
      <c r="I66"/>
      <c r="J66"/>
      <c r="K66" s="107">
        <v>1.2183175709308112</v>
      </c>
      <c r="L66" s="107">
        <v>1.1437383177570093</v>
      </c>
      <c r="M66" s="107">
        <v>1.2183175709308112</v>
      </c>
      <c r="N66" s="107">
        <v>1.1437383177570093</v>
      </c>
    </row>
    <row r="67" spans="1:14" s="15" customFormat="1" x14ac:dyDescent="0.3">
      <c r="A67" s="17"/>
      <c r="B67"/>
      <c r="C67"/>
      <c r="D67"/>
      <c r="E67"/>
      <c r="F67" s="50">
        <v>39234</v>
      </c>
      <c r="G67" s="53">
        <v>123.41</v>
      </c>
      <c r="H67" s="53">
        <v>123.41</v>
      </c>
      <c r="I67"/>
      <c r="J67"/>
      <c r="K67" s="107">
        <v>1.2285714285714284</v>
      </c>
      <c r="L67" s="107">
        <v>1.1533644859813084</v>
      </c>
      <c r="M67" s="107">
        <v>1.2285714285714284</v>
      </c>
      <c r="N67" s="107">
        <v>1.1533644859813084</v>
      </c>
    </row>
    <row r="68" spans="1:14" s="15" customFormat="1" x14ac:dyDescent="0.3">
      <c r="A68" s="17"/>
      <c r="B68"/>
      <c r="C68"/>
      <c r="D68"/>
      <c r="E68"/>
      <c r="F68" s="50">
        <v>39264</v>
      </c>
      <c r="G68" s="53">
        <v>124.23</v>
      </c>
      <c r="H68" s="53">
        <v>124.23</v>
      </c>
      <c r="I68"/>
      <c r="J68"/>
      <c r="K68" s="107">
        <v>1.236734693877551</v>
      </c>
      <c r="L68" s="107">
        <v>1.1610280373831776</v>
      </c>
      <c r="M68" s="107">
        <v>1.236734693877551</v>
      </c>
      <c r="N68" s="107">
        <v>1.1610280373831776</v>
      </c>
    </row>
    <row r="69" spans="1:14" s="15" customFormat="1" x14ac:dyDescent="0.3">
      <c r="A69" s="17"/>
      <c r="B69"/>
      <c r="C69"/>
      <c r="D69"/>
      <c r="E69"/>
      <c r="F69" s="50">
        <v>39295</v>
      </c>
      <c r="G69" s="53">
        <v>124.34</v>
      </c>
      <c r="H69" s="53">
        <v>124.34</v>
      </c>
      <c r="I69"/>
      <c r="J69"/>
      <c r="K69" s="107">
        <v>1.2378297660527626</v>
      </c>
      <c r="L69" s="107">
        <v>1.1620560747663551</v>
      </c>
      <c r="M69" s="107">
        <v>1.2378297660527626</v>
      </c>
      <c r="N69" s="107">
        <v>1.1620560747663551</v>
      </c>
    </row>
    <row r="70" spans="1:14" s="15" customFormat="1" x14ac:dyDescent="0.3">
      <c r="A70" s="17"/>
      <c r="B70"/>
      <c r="C70"/>
      <c r="D70"/>
      <c r="E70"/>
      <c r="F70" s="50">
        <v>39326</v>
      </c>
      <c r="G70" s="53">
        <v>125.35</v>
      </c>
      <c r="H70" s="53">
        <v>125.35</v>
      </c>
      <c r="I70"/>
      <c r="J70"/>
      <c r="K70" s="107">
        <v>1.2478845196615231</v>
      </c>
      <c r="L70" s="107">
        <v>1.1714953271028037</v>
      </c>
      <c r="M70" s="107">
        <v>1.2478845196615231</v>
      </c>
      <c r="N70" s="107">
        <v>1.1714953271028037</v>
      </c>
    </row>
    <row r="71" spans="1:14" s="15" customFormat="1" x14ac:dyDescent="0.3">
      <c r="A71" s="17"/>
      <c r="B71"/>
      <c r="C71"/>
      <c r="D71"/>
      <c r="E71"/>
      <c r="F71" s="50">
        <v>39356</v>
      </c>
      <c r="G71" s="53">
        <v>126.32</v>
      </c>
      <c r="H71" s="53">
        <v>126.32</v>
      </c>
      <c r="I71"/>
      <c r="J71"/>
      <c r="K71" s="107">
        <v>1.2575410652065704</v>
      </c>
      <c r="L71" s="107">
        <v>1.1805607476635513</v>
      </c>
      <c r="M71" s="107">
        <v>1.2575410652065704</v>
      </c>
      <c r="N71" s="107">
        <v>1.1805607476635513</v>
      </c>
    </row>
    <row r="72" spans="1:14" s="15" customFormat="1" x14ac:dyDescent="0.3">
      <c r="A72" s="17"/>
      <c r="B72"/>
      <c r="C72"/>
      <c r="D72"/>
      <c r="E72"/>
      <c r="F72" s="50">
        <v>39387</v>
      </c>
      <c r="G72" s="53">
        <v>126.17</v>
      </c>
      <c r="H72" s="53">
        <v>126.17</v>
      </c>
      <c r="I72"/>
      <c r="J72"/>
      <c r="K72" s="107">
        <v>1.2560477849676457</v>
      </c>
      <c r="L72" s="107">
        <v>1.1791588785046729</v>
      </c>
      <c r="M72" s="107">
        <v>1.2560477849676457</v>
      </c>
      <c r="N72" s="107">
        <v>1.1791588785046729</v>
      </c>
    </row>
    <row r="73" spans="1:14" s="15" customFormat="1" x14ac:dyDescent="0.3">
      <c r="A73" s="17"/>
      <c r="B73"/>
      <c r="C73"/>
      <c r="D73"/>
      <c r="E73"/>
      <c r="F73" s="50">
        <v>39417</v>
      </c>
      <c r="G73" s="53">
        <v>126.96</v>
      </c>
      <c r="H73" s="53">
        <v>126.96</v>
      </c>
      <c r="I73"/>
      <c r="J73"/>
      <c r="K73" s="107">
        <v>1.2639123942259829</v>
      </c>
      <c r="L73" s="107">
        <v>1.1865420560747664</v>
      </c>
      <c r="M73" s="107">
        <v>1.2639123942259829</v>
      </c>
      <c r="N73" s="107">
        <v>1.1865420560747664</v>
      </c>
    </row>
    <row r="74" spans="1:14" s="15" customFormat="1" x14ac:dyDescent="0.3">
      <c r="A74" s="17"/>
      <c r="B74"/>
      <c r="C74"/>
      <c r="D74"/>
      <c r="E74"/>
      <c r="F74" s="50">
        <v>39448</v>
      </c>
      <c r="G74" s="53">
        <v>127.22</v>
      </c>
      <c r="H74" s="53">
        <v>127.22</v>
      </c>
      <c r="I74"/>
      <c r="J74"/>
      <c r="K74" s="107">
        <v>1.2665007466401195</v>
      </c>
      <c r="L74" s="107">
        <v>1.1889719626168225</v>
      </c>
      <c r="M74" s="107">
        <v>1.2665007466401195</v>
      </c>
      <c r="N74" s="107">
        <v>1.1889719626168225</v>
      </c>
    </row>
    <row r="75" spans="1:14" s="15" customFormat="1" x14ac:dyDescent="0.3">
      <c r="A75" s="17"/>
      <c r="B75"/>
      <c r="C75"/>
      <c r="D75"/>
      <c r="E75"/>
      <c r="F75" s="50">
        <v>39479</v>
      </c>
      <c r="G75" s="53">
        <v>126.83</v>
      </c>
      <c r="H75" s="53">
        <v>126.83</v>
      </c>
      <c r="I75"/>
      <c r="J75"/>
      <c r="K75" s="107">
        <v>1.2626182180189149</v>
      </c>
      <c r="L75" s="107">
        <v>1.1853271028037382</v>
      </c>
      <c r="M75" s="107">
        <v>1.2626182180189149</v>
      </c>
      <c r="N75" s="107">
        <v>1.1853271028037382</v>
      </c>
    </row>
    <row r="76" spans="1:14" s="15" customFormat="1" x14ac:dyDescent="0.3">
      <c r="A76" s="17"/>
      <c r="B76"/>
      <c r="C76"/>
      <c r="D76"/>
      <c r="E76"/>
      <c r="F76" s="50">
        <v>39508</v>
      </c>
      <c r="G76" s="53">
        <v>126.44</v>
      </c>
      <c r="H76" s="53">
        <v>126.44</v>
      </c>
      <c r="I76"/>
      <c r="J76"/>
      <c r="K76" s="107">
        <v>1.2587356893977102</v>
      </c>
      <c r="L76" s="107">
        <v>1.1816822429906542</v>
      </c>
      <c r="M76" s="107">
        <v>1.2587356893977102</v>
      </c>
      <c r="N76" s="107">
        <v>1.1816822429906542</v>
      </c>
    </row>
    <row r="77" spans="1:14" s="15" customFormat="1" x14ac:dyDescent="0.3">
      <c r="A77" s="17"/>
      <c r="B77"/>
      <c r="C77"/>
      <c r="D77"/>
      <c r="E77"/>
      <c r="F77" s="50">
        <v>39539</v>
      </c>
      <c r="G77" s="53">
        <v>127.7</v>
      </c>
      <c r="H77" s="53">
        <v>127.7</v>
      </c>
      <c r="I77"/>
      <c r="J77"/>
      <c r="K77" s="107">
        <v>1.2712792434046789</v>
      </c>
      <c r="L77" s="107">
        <v>1.1934579439252337</v>
      </c>
      <c r="M77" s="107">
        <v>1.2712792434046789</v>
      </c>
      <c r="N77" s="107">
        <v>1.1934579439252337</v>
      </c>
    </row>
    <row r="78" spans="1:14" s="15" customFormat="1" x14ac:dyDescent="0.3">
      <c r="A78" s="17"/>
      <c r="B78"/>
      <c r="C78"/>
      <c r="D78"/>
      <c r="E78"/>
      <c r="F78" s="50">
        <v>39569</v>
      </c>
      <c r="G78" s="53">
        <v>129.4</v>
      </c>
      <c r="H78" s="53">
        <v>129.4</v>
      </c>
      <c r="I78"/>
      <c r="J78"/>
      <c r="K78" s="107">
        <v>1.2882030861124938</v>
      </c>
      <c r="L78" s="107">
        <v>1.2093457943925234</v>
      </c>
      <c r="M78" s="107">
        <v>1.2882030861124938</v>
      </c>
      <c r="N78" s="107">
        <v>1.2093457943925234</v>
      </c>
    </row>
    <row r="79" spans="1:14" s="15" customFormat="1" x14ac:dyDescent="0.3">
      <c r="A79" s="17"/>
      <c r="B79"/>
      <c r="C79"/>
      <c r="D79"/>
      <c r="E79"/>
      <c r="F79" s="50">
        <v>39600</v>
      </c>
      <c r="G79" s="53">
        <v>131.19</v>
      </c>
      <c r="H79" s="53">
        <v>131.19</v>
      </c>
      <c r="I79"/>
      <c r="J79"/>
      <c r="K79" s="107">
        <v>1.3060228969636634</v>
      </c>
      <c r="L79" s="107">
        <v>1.2260747663551401</v>
      </c>
      <c r="M79" s="107">
        <v>1.3060228969636634</v>
      </c>
      <c r="N79" s="107">
        <v>1.2260747663551401</v>
      </c>
    </row>
    <row r="80" spans="1:14" s="15" customFormat="1" x14ac:dyDescent="0.3">
      <c r="A80" s="17"/>
      <c r="B80"/>
      <c r="C80"/>
      <c r="D80"/>
      <c r="E80"/>
      <c r="F80" s="50">
        <v>39630</v>
      </c>
      <c r="G80" s="53">
        <v>130.93</v>
      </c>
      <c r="H80" s="53">
        <v>130.93</v>
      </c>
      <c r="I80"/>
      <c r="J80"/>
      <c r="K80" s="107">
        <v>1.3034345445495272</v>
      </c>
      <c r="L80" s="107">
        <v>1.2236448598130842</v>
      </c>
      <c r="M80" s="107">
        <v>1.3034345445495272</v>
      </c>
      <c r="N80" s="107">
        <v>1.2236448598130842</v>
      </c>
    </row>
    <row r="81" spans="1:14" s="15" customFormat="1" x14ac:dyDescent="0.3">
      <c r="A81" s="17"/>
      <c r="B81"/>
      <c r="C81"/>
      <c r="D81"/>
      <c r="E81"/>
      <c r="F81" s="50">
        <v>39661</v>
      </c>
      <c r="G81" s="53">
        <v>130.99</v>
      </c>
      <c r="H81" s="53">
        <v>130.99</v>
      </c>
      <c r="I81"/>
      <c r="J81"/>
      <c r="K81" s="107">
        <v>1.304031856645097</v>
      </c>
      <c r="L81" s="107">
        <v>1.2242056074766356</v>
      </c>
      <c r="M81" s="107">
        <v>1.304031856645097</v>
      </c>
      <c r="N81" s="107">
        <v>1.2242056074766356</v>
      </c>
    </row>
    <row r="82" spans="1:14" s="15" customFormat="1" x14ac:dyDescent="0.3">
      <c r="A82" s="17"/>
      <c r="B82"/>
      <c r="C82"/>
      <c r="D82"/>
      <c r="E82"/>
      <c r="F82" s="50">
        <v>39692</v>
      </c>
      <c r="G82" s="53">
        <v>130.93</v>
      </c>
      <c r="H82" s="53">
        <v>130.93</v>
      </c>
      <c r="I82"/>
      <c r="J82"/>
      <c r="K82" s="107">
        <v>1.3034345445495272</v>
      </c>
      <c r="L82" s="107">
        <v>1.2236448598130842</v>
      </c>
      <c r="M82" s="107">
        <v>1.3034345445495272</v>
      </c>
      <c r="N82" s="107">
        <v>1.2236448598130842</v>
      </c>
    </row>
    <row r="83" spans="1:14" s="15" customFormat="1" x14ac:dyDescent="0.3">
      <c r="A83" s="17"/>
      <c r="B83"/>
      <c r="C83"/>
      <c r="D83"/>
      <c r="E83"/>
      <c r="F83" s="50">
        <v>39722</v>
      </c>
      <c r="G83" s="53">
        <v>128.19</v>
      </c>
      <c r="H83" s="53">
        <v>128.19</v>
      </c>
      <c r="I83"/>
      <c r="J83"/>
      <c r="K83" s="107">
        <v>1.2761572921851667</v>
      </c>
      <c r="L83" s="107">
        <v>1.1980373831775701</v>
      </c>
      <c r="M83" s="107">
        <v>1.2761572921851667</v>
      </c>
      <c r="N83" s="107">
        <v>1.1980373831775701</v>
      </c>
    </row>
    <row r="84" spans="1:14" s="15" customFormat="1" x14ac:dyDescent="0.3">
      <c r="A84" s="17"/>
      <c r="B84"/>
      <c r="C84"/>
      <c r="D84"/>
      <c r="E84"/>
      <c r="F84" s="50">
        <v>39753</v>
      </c>
      <c r="G84" s="53">
        <v>124.95</v>
      </c>
      <c r="H84" s="53">
        <v>124.95</v>
      </c>
      <c r="I84"/>
      <c r="J84"/>
      <c r="K84" s="107">
        <v>1.2439024390243902</v>
      </c>
      <c r="L84" s="107">
        <v>1.1677570093457945</v>
      </c>
      <c r="M84" s="107">
        <v>1.2439024390243902</v>
      </c>
      <c r="N84" s="107">
        <v>1.1677570093457945</v>
      </c>
    </row>
    <row r="85" spans="1:14" s="15" customFormat="1" x14ac:dyDescent="0.3">
      <c r="A85" s="17"/>
      <c r="B85"/>
      <c r="C85"/>
      <c r="D85"/>
      <c r="E85"/>
      <c r="F85" s="50">
        <v>39783</v>
      </c>
      <c r="G85" s="53">
        <v>120.93</v>
      </c>
      <c r="H85" s="53">
        <v>120.93</v>
      </c>
      <c r="I85"/>
      <c r="J85"/>
      <c r="K85" s="107">
        <v>1.2038825286212047</v>
      </c>
      <c r="L85" s="107">
        <v>1.1301869158878506</v>
      </c>
      <c r="M85" s="107">
        <v>1.2038825286212047</v>
      </c>
      <c r="N85" s="107">
        <v>1.1301869158878506</v>
      </c>
    </row>
    <row r="86" spans="1:14" s="15" customFormat="1" x14ac:dyDescent="0.3">
      <c r="A86" s="17"/>
      <c r="B86"/>
      <c r="C86"/>
      <c r="D86"/>
      <c r="E86"/>
      <c r="F86" s="50">
        <v>39814</v>
      </c>
      <c r="G86" s="53">
        <v>120.82</v>
      </c>
      <c r="H86" s="53">
        <v>120.82</v>
      </c>
      <c r="I86"/>
      <c r="J86"/>
      <c r="K86" s="107">
        <v>1.2027874564459928</v>
      </c>
      <c r="L86" s="107">
        <v>1.1291588785046729</v>
      </c>
      <c r="M86" s="107">
        <v>1.2027874564459928</v>
      </c>
      <c r="N86" s="107">
        <v>1.1291588785046729</v>
      </c>
    </row>
    <row r="87" spans="1:14" s="15" customFormat="1" x14ac:dyDescent="0.3">
      <c r="A87" s="17"/>
      <c r="B87"/>
      <c r="C87"/>
      <c r="D87"/>
      <c r="E87"/>
      <c r="F87" s="50">
        <v>39845</v>
      </c>
      <c r="G87" s="53">
        <v>122.19</v>
      </c>
      <c r="H87" s="53">
        <v>122.19</v>
      </c>
      <c r="I87"/>
      <c r="J87"/>
      <c r="K87" s="107">
        <v>1.2164260826281732</v>
      </c>
      <c r="L87" s="107">
        <v>1.1419626168224299</v>
      </c>
      <c r="M87" s="107">
        <v>1.2164260826281732</v>
      </c>
      <c r="N87" s="107">
        <v>1.1419626168224299</v>
      </c>
    </row>
    <row r="88" spans="1:14" s="15" customFormat="1" x14ac:dyDescent="0.3">
      <c r="A88" s="17"/>
      <c r="B88"/>
      <c r="C88"/>
      <c r="D88"/>
      <c r="E88"/>
      <c r="F88" s="50">
        <v>39873</v>
      </c>
      <c r="G88" s="53">
        <v>122.97</v>
      </c>
      <c r="H88" s="53">
        <v>122.97</v>
      </c>
      <c r="I88"/>
      <c r="J88"/>
      <c r="K88" s="107">
        <v>1.2241911398705823</v>
      </c>
      <c r="L88" s="107">
        <v>1.149252336448598</v>
      </c>
      <c r="M88" s="107">
        <v>1.2241911398705823</v>
      </c>
      <c r="N88" s="107">
        <v>1.149252336448598</v>
      </c>
    </row>
    <row r="89" spans="1:14" s="15" customFormat="1" x14ac:dyDescent="0.3">
      <c r="A89" s="17"/>
      <c r="B89"/>
      <c r="C89"/>
      <c r="D89"/>
      <c r="E89"/>
      <c r="F89" s="50">
        <v>39904</v>
      </c>
      <c r="G89" s="53">
        <v>123.64</v>
      </c>
      <c r="H89" s="53">
        <v>123.64</v>
      </c>
      <c r="I89"/>
      <c r="J89"/>
      <c r="K89" s="107">
        <v>1.2308611249377799</v>
      </c>
      <c r="L89" s="107">
        <v>1.1555140186915889</v>
      </c>
      <c r="M89" s="107">
        <v>1.2308611249377799</v>
      </c>
      <c r="N89" s="107">
        <v>1.1555140186915889</v>
      </c>
    </row>
    <row r="90" spans="1:14" s="15" customFormat="1" x14ac:dyDescent="0.3">
      <c r="A90" s="17"/>
      <c r="B90"/>
      <c r="C90"/>
      <c r="D90"/>
      <c r="E90"/>
      <c r="F90" s="50">
        <v>39934</v>
      </c>
      <c r="G90" s="53">
        <v>124.87</v>
      </c>
      <c r="H90" s="53">
        <v>124.87</v>
      </c>
      <c r="I90"/>
      <c r="J90"/>
      <c r="K90" s="107">
        <v>1.2431060228969637</v>
      </c>
      <c r="L90" s="107">
        <v>1.1670093457943926</v>
      </c>
      <c r="M90" s="107">
        <v>1.2431060228969637</v>
      </c>
      <c r="N90" s="107">
        <v>1.1670093457943926</v>
      </c>
    </row>
    <row r="91" spans="1:14" s="15" customFormat="1" x14ac:dyDescent="0.3">
      <c r="A91" s="17"/>
      <c r="B91"/>
      <c r="C91"/>
      <c r="D91"/>
      <c r="E91"/>
      <c r="F91" s="50">
        <v>39965</v>
      </c>
      <c r="G91" s="53">
        <v>125.93</v>
      </c>
      <c r="H91" s="53">
        <v>125.93</v>
      </c>
      <c r="I91"/>
      <c r="J91"/>
      <c r="K91" s="107">
        <v>1.2536585365853659</v>
      </c>
      <c r="L91" s="107">
        <v>1.1769158878504673</v>
      </c>
      <c r="M91" s="107">
        <v>1.2536585365853659</v>
      </c>
      <c r="N91" s="107">
        <v>1.1769158878504673</v>
      </c>
    </row>
    <row r="92" spans="1:14" s="15" customFormat="1" x14ac:dyDescent="0.3">
      <c r="A92" s="17"/>
      <c r="B92"/>
      <c r="C92"/>
      <c r="D92"/>
      <c r="E92"/>
      <c r="F92" s="50">
        <v>39995</v>
      </c>
      <c r="G92" s="53">
        <v>126.29</v>
      </c>
      <c r="H92" s="53">
        <v>126.29</v>
      </c>
      <c r="I92"/>
      <c r="J92"/>
      <c r="K92" s="107">
        <v>1.2572424091587855</v>
      </c>
      <c r="L92" s="107">
        <v>1.1802803738317758</v>
      </c>
      <c r="M92" s="107">
        <v>1.2572424091587855</v>
      </c>
      <c r="N92" s="107">
        <v>1.1802803738317758</v>
      </c>
    </row>
    <row r="93" spans="1:14" s="15" customFormat="1" x14ac:dyDescent="0.3">
      <c r="A93" s="17"/>
      <c r="B93"/>
      <c r="C93"/>
      <c r="D93"/>
      <c r="E93"/>
      <c r="F93" s="50">
        <v>40026</v>
      </c>
      <c r="G93" s="53">
        <v>128.09</v>
      </c>
      <c r="H93" s="53">
        <v>128.09</v>
      </c>
      <c r="I93"/>
      <c r="J93"/>
      <c r="K93" s="107">
        <v>1.2751617720258834</v>
      </c>
      <c r="L93" s="107">
        <v>1.1971028037383178</v>
      </c>
      <c r="M93" s="107">
        <v>1.2751617720258834</v>
      </c>
      <c r="N93" s="107">
        <v>1.1971028037383178</v>
      </c>
    </row>
    <row r="94" spans="1:14" s="15" customFormat="1" x14ac:dyDescent="0.3">
      <c r="A94" s="17"/>
      <c r="B94"/>
      <c r="C94"/>
      <c r="D94"/>
      <c r="E94"/>
      <c r="F94" s="50">
        <v>40057</v>
      </c>
      <c r="G94" s="53">
        <v>129.12</v>
      </c>
      <c r="H94" s="53">
        <v>129.12</v>
      </c>
      <c r="I94"/>
      <c r="J94"/>
      <c r="K94" s="107">
        <v>1.2854156296665007</v>
      </c>
      <c r="L94" s="107">
        <v>1.2067289719626169</v>
      </c>
      <c r="M94" s="107">
        <v>1.2854156296665007</v>
      </c>
      <c r="N94" s="107">
        <v>1.2067289719626169</v>
      </c>
    </row>
    <row r="95" spans="1:14" s="15" customFormat="1" x14ac:dyDescent="0.3">
      <c r="A95" s="17"/>
      <c r="B95"/>
      <c r="C95"/>
      <c r="D95"/>
      <c r="E95"/>
      <c r="F95" s="50">
        <v>40087</v>
      </c>
      <c r="G95" s="53">
        <v>129.79</v>
      </c>
      <c r="H95" s="53">
        <v>129.79</v>
      </c>
      <c r="I95"/>
      <c r="J95"/>
      <c r="K95" s="107">
        <v>1.2920856147336983</v>
      </c>
      <c r="L95" s="107">
        <v>1.2129906542056075</v>
      </c>
      <c r="M95" s="107">
        <v>1.2920856147336983</v>
      </c>
      <c r="N95" s="107">
        <v>1.2129906542056075</v>
      </c>
    </row>
    <row r="96" spans="1:14" s="15" customFormat="1" x14ac:dyDescent="0.3">
      <c r="A96" s="17"/>
      <c r="B96"/>
      <c r="C96"/>
      <c r="D96"/>
      <c r="E96"/>
      <c r="F96" s="50">
        <v>40118</v>
      </c>
      <c r="G96" s="53">
        <v>130.02000000000001</v>
      </c>
      <c r="H96" s="53">
        <v>130.02000000000001</v>
      </c>
      <c r="I96"/>
      <c r="J96"/>
      <c r="K96" s="107">
        <v>1.2943753111000498</v>
      </c>
      <c r="L96" s="107">
        <v>1.215140186915888</v>
      </c>
      <c r="M96" s="107">
        <v>1.2943753111000498</v>
      </c>
      <c r="N96" s="107">
        <v>1.215140186915888</v>
      </c>
    </row>
    <row r="97" spans="1:14" s="15" customFormat="1" x14ac:dyDescent="0.3">
      <c r="A97" s="17"/>
      <c r="B97"/>
      <c r="C97"/>
      <c r="D97"/>
      <c r="E97"/>
      <c r="F97" s="50">
        <v>40148</v>
      </c>
      <c r="G97" s="53">
        <v>131.30000000000001</v>
      </c>
      <c r="H97" s="53">
        <v>131.30000000000001</v>
      </c>
      <c r="I97"/>
      <c r="J97"/>
      <c r="K97" s="107">
        <v>1.3071179691388752</v>
      </c>
      <c r="L97" s="107">
        <v>1.2271028037383178</v>
      </c>
      <c r="M97" s="107">
        <v>1.3071179691388752</v>
      </c>
      <c r="N97" s="107">
        <v>1.2271028037383178</v>
      </c>
    </row>
    <row r="98" spans="1:14" s="15" customFormat="1" x14ac:dyDescent="0.3">
      <c r="A98" s="17"/>
      <c r="B98"/>
      <c r="C98"/>
      <c r="D98"/>
      <c r="E98"/>
      <c r="F98" s="50">
        <v>40179</v>
      </c>
      <c r="G98" s="53">
        <v>133.47</v>
      </c>
      <c r="H98" s="53">
        <v>133.47</v>
      </c>
      <c r="I98"/>
      <c r="J98"/>
      <c r="K98" s="107">
        <v>1.328720756595321</v>
      </c>
      <c r="L98" s="107">
        <v>1.2473831775700934</v>
      </c>
      <c r="M98" s="107">
        <v>1.328720756595321</v>
      </c>
      <c r="N98" s="107">
        <v>1.2473831775700934</v>
      </c>
    </row>
    <row r="99" spans="1:14" s="15" customFormat="1" x14ac:dyDescent="0.3">
      <c r="A99" s="17"/>
      <c r="B99"/>
      <c r="C99"/>
      <c r="D99"/>
      <c r="E99"/>
      <c r="F99" s="50">
        <v>40210</v>
      </c>
      <c r="G99" s="53">
        <v>135.16999999999999</v>
      </c>
      <c r="H99" s="53">
        <v>135.16999999999999</v>
      </c>
      <c r="I99"/>
      <c r="J99"/>
      <c r="K99" s="107">
        <v>1.3456445993031356</v>
      </c>
      <c r="L99" s="107">
        <v>1.2632710280373831</v>
      </c>
      <c r="M99" s="107">
        <v>1.3456445993031356</v>
      </c>
      <c r="N99" s="107">
        <v>1.2632710280373831</v>
      </c>
    </row>
    <row r="100" spans="1:14" s="15" customFormat="1" x14ac:dyDescent="0.3">
      <c r="A100" s="17"/>
      <c r="B100"/>
      <c r="C100"/>
      <c r="D100"/>
      <c r="E100"/>
      <c r="F100" s="50">
        <v>40238</v>
      </c>
      <c r="G100" s="53">
        <v>136.59</v>
      </c>
      <c r="H100" s="53">
        <v>136.59</v>
      </c>
      <c r="I100"/>
      <c r="J100"/>
      <c r="K100" s="107">
        <v>1.3597809855649576</v>
      </c>
      <c r="L100" s="107">
        <v>1.2765420560747665</v>
      </c>
      <c r="M100" s="107">
        <v>1.3597809855649576</v>
      </c>
      <c r="N100" s="107">
        <v>1.2765420560747665</v>
      </c>
    </row>
    <row r="101" spans="1:14" s="15" customFormat="1" x14ac:dyDescent="0.3">
      <c r="A101" s="17"/>
      <c r="B101"/>
      <c r="C101"/>
      <c r="D101"/>
      <c r="E101"/>
      <c r="F101" s="50">
        <v>40269</v>
      </c>
      <c r="G101" s="53">
        <v>137.05000000000001</v>
      </c>
      <c r="H101" s="53">
        <v>137.05000000000001</v>
      </c>
      <c r="I101"/>
      <c r="J101"/>
      <c r="K101" s="107">
        <v>1.3643603782976605</v>
      </c>
      <c r="L101" s="107">
        <v>1.2808411214953273</v>
      </c>
      <c r="M101" s="107">
        <v>1.3643603782976605</v>
      </c>
      <c r="N101" s="107">
        <v>1.2808411214953273</v>
      </c>
    </row>
    <row r="102" spans="1:14" s="15" customFormat="1" x14ac:dyDescent="0.3">
      <c r="A102" s="17"/>
      <c r="B102"/>
      <c r="C102"/>
      <c r="D102"/>
      <c r="E102"/>
      <c r="F102" s="50">
        <v>40299</v>
      </c>
      <c r="G102" s="53">
        <v>136.49</v>
      </c>
      <c r="H102" s="53">
        <v>136.49</v>
      </c>
      <c r="I102"/>
      <c r="J102"/>
      <c r="K102" s="107">
        <v>1.3587854654056746</v>
      </c>
      <c r="L102" s="107">
        <v>1.2756074766355141</v>
      </c>
      <c r="M102" s="107">
        <v>1.3587854654056746</v>
      </c>
      <c r="N102" s="107">
        <v>1.2756074766355141</v>
      </c>
    </row>
    <row r="103" spans="1:14" s="15" customFormat="1" x14ac:dyDescent="0.3">
      <c r="A103" s="17"/>
      <c r="B103"/>
      <c r="C103"/>
      <c r="D103"/>
      <c r="E103"/>
      <c r="F103" s="50">
        <v>40330</v>
      </c>
      <c r="G103" s="53">
        <v>136.22999999999999</v>
      </c>
      <c r="H103" s="53">
        <v>136.22999999999999</v>
      </c>
      <c r="I103"/>
      <c r="J103"/>
      <c r="K103" s="107">
        <v>1.356197112991538</v>
      </c>
      <c r="L103" s="107">
        <v>1.2731775700934578</v>
      </c>
      <c r="M103" s="107">
        <v>1.356197112991538</v>
      </c>
      <c r="N103" s="107">
        <v>1.2731775700934578</v>
      </c>
    </row>
    <row r="104" spans="1:14" s="15" customFormat="1" x14ac:dyDescent="0.3">
      <c r="A104" s="17"/>
      <c r="B104"/>
      <c r="C104"/>
      <c r="D104"/>
      <c r="E104"/>
      <c r="F104" s="50">
        <v>40360</v>
      </c>
      <c r="G104" s="53">
        <v>136.93</v>
      </c>
      <c r="H104" s="53">
        <v>136.93</v>
      </c>
      <c r="I104"/>
      <c r="J104"/>
      <c r="K104" s="107">
        <v>1.3631657541065207</v>
      </c>
      <c r="L104" s="107">
        <v>1.2797196261682244</v>
      </c>
      <c r="M104" s="107">
        <v>1.3631657541065207</v>
      </c>
      <c r="N104" s="107">
        <v>1.2797196261682244</v>
      </c>
    </row>
    <row r="105" spans="1:14" s="15" customFormat="1" x14ac:dyDescent="0.3">
      <c r="A105" s="17"/>
      <c r="B105"/>
      <c r="C105"/>
      <c r="D105"/>
      <c r="E105"/>
      <c r="F105" s="50">
        <v>40391</v>
      </c>
      <c r="G105" s="53">
        <v>137.66999999999999</v>
      </c>
      <c r="H105" s="53">
        <v>137.66999999999999</v>
      </c>
      <c r="I105"/>
      <c r="J105"/>
      <c r="K105" s="107">
        <v>1.3705326032852163</v>
      </c>
      <c r="L105" s="107">
        <v>1.2866355140186914</v>
      </c>
      <c r="M105" s="107">
        <v>1.3705326032852163</v>
      </c>
      <c r="N105" s="107">
        <v>1.2866355140186914</v>
      </c>
    </row>
    <row r="106" spans="1:14" s="15" customFormat="1" x14ac:dyDescent="0.3">
      <c r="A106" s="17"/>
      <c r="B106"/>
      <c r="C106"/>
      <c r="D106"/>
      <c r="E106"/>
      <c r="F106" s="50">
        <v>40422</v>
      </c>
      <c r="G106" s="53">
        <v>139.41</v>
      </c>
      <c r="H106" s="53">
        <v>139.41</v>
      </c>
      <c r="I106"/>
      <c r="J106"/>
      <c r="K106" s="107">
        <v>1.3878546540567447</v>
      </c>
      <c r="L106" s="107">
        <v>1.3028971962616822</v>
      </c>
      <c r="M106" s="107">
        <v>1.3878546540567447</v>
      </c>
      <c r="N106" s="107">
        <v>1.3028971962616822</v>
      </c>
    </row>
    <row r="107" spans="1:14" s="15" customFormat="1" x14ac:dyDescent="0.3">
      <c r="A107" s="17"/>
      <c r="B107"/>
      <c r="C107"/>
      <c r="D107"/>
      <c r="E107"/>
      <c r="F107" s="50">
        <v>40452</v>
      </c>
      <c r="G107" s="53">
        <v>138.72</v>
      </c>
      <c r="H107" s="53">
        <v>138.72</v>
      </c>
      <c r="I107"/>
      <c r="J107"/>
      <c r="K107" s="107">
        <v>1.3809855649576903</v>
      </c>
      <c r="L107" s="107">
        <v>1.2964485981308411</v>
      </c>
      <c r="M107" s="107">
        <v>1.3809855649576903</v>
      </c>
      <c r="N107" s="107">
        <v>1.2964485981308411</v>
      </c>
    </row>
    <row r="108" spans="1:14" s="15" customFormat="1" x14ac:dyDescent="0.3">
      <c r="A108" s="17"/>
      <c r="B108"/>
      <c r="C108"/>
      <c r="D108"/>
      <c r="E108"/>
      <c r="F108" s="50">
        <v>40483</v>
      </c>
      <c r="G108" s="53">
        <v>140.09</v>
      </c>
      <c r="H108" s="53">
        <v>140.09</v>
      </c>
      <c r="I108"/>
      <c r="J108"/>
      <c r="K108" s="107">
        <v>1.3946241911398707</v>
      </c>
      <c r="L108" s="107">
        <v>1.3092523364485982</v>
      </c>
      <c r="M108" s="107">
        <v>1.3946241911398707</v>
      </c>
      <c r="N108" s="107">
        <v>1.3092523364485982</v>
      </c>
    </row>
    <row r="109" spans="1:14" s="15" customFormat="1" x14ac:dyDescent="0.3">
      <c r="A109" s="17"/>
      <c r="B109"/>
      <c r="C109"/>
      <c r="D109"/>
      <c r="E109"/>
      <c r="F109" s="50">
        <v>40513</v>
      </c>
      <c r="G109" s="53">
        <v>138.29</v>
      </c>
      <c r="H109" s="53">
        <v>138.29</v>
      </c>
      <c r="I109"/>
      <c r="J109"/>
      <c r="K109" s="107">
        <v>1.3767048282727723</v>
      </c>
      <c r="L109" s="107">
        <v>1.2924299065420559</v>
      </c>
      <c r="M109" s="107">
        <v>1.3767048282727723</v>
      </c>
      <c r="N109" s="107">
        <v>1.2924299065420559</v>
      </c>
    </row>
    <row r="110" spans="1:14" s="15" customFormat="1" x14ac:dyDescent="0.3">
      <c r="A110" s="17"/>
      <c r="B110"/>
      <c r="C110"/>
      <c r="D110"/>
      <c r="E110"/>
      <c r="F110" s="50">
        <v>40544</v>
      </c>
      <c r="G110" s="53">
        <v>140.13999999999999</v>
      </c>
      <c r="H110" s="53">
        <v>140.13999999999999</v>
      </c>
      <c r="I110"/>
      <c r="J110"/>
      <c r="K110" s="107">
        <v>1.3951219512195121</v>
      </c>
      <c r="L110" s="107">
        <v>1.3097196261682242</v>
      </c>
      <c r="M110" s="107">
        <v>1.3951219512195121</v>
      </c>
      <c r="N110" s="107">
        <v>1.3097196261682242</v>
      </c>
    </row>
    <row r="111" spans="1:14" s="15" customFormat="1" x14ac:dyDescent="0.3">
      <c r="A111" s="17"/>
      <c r="B111"/>
      <c r="C111"/>
      <c r="D111"/>
      <c r="E111"/>
      <c r="F111" s="50">
        <v>40575</v>
      </c>
      <c r="G111" s="53">
        <v>140.72</v>
      </c>
      <c r="H111" s="53">
        <v>140.72</v>
      </c>
      <c r="I111"/>
      <c r="J111"/>
      <c r="K111" s="107">
        <v>1.4008959681433548</v>
      </c>
      <c r="L111" s="107">
        <v>1.3151401869158879</v>
      </c>
      <c r="M111" s="107">
        <v>1.4008959681433548</v>
      </c>
      <c r="N111" s="107">
        <v>1.3151401869158879</v>
      </c>
    </row>
    <row r="112" spans="1:14" s="15" customFormat="1" x14ac:dyDescent="0.3">
      <c r="A112" s="17"/>
      <c r="B112"/>
      <c r="C112"/>
      <c r="D112"/>
      <c r="E112"/>
      <c r="F112" s="50">
        <v>40603</v>
      </c>
      <c r="G112" s="53">
        <v>141.1</v>
      </c>
      <c r="H112" s="53">
        <v>141.1</v>
      </c>
      <c r="I112"/>
      <c r="J112"/>
      <c r="K112" s="107">
        <v>1.404678944748631</v>
      </c>
      <c r="L112" s="107">
        <v>1.3186915887850468</v>
      </c>
      <c r="M112" s="107">
        <v>1.404678944748631</v>
      </c>
      <c r="N112" s="107">
        <v>1.3186915887850468</v>
      </c>
    </row>
    <row r="113" spans="1:14" s="15" customFormat="1" x14ac:dyDescent="0.3">
      <c r="A113" s="17"/>
      <c r="B113"/>
      <c r="C113"/>
      <c r="D113"/>
      <c r="E113"/>
      <c r="F113" s="50">
        <v>40634</v>
      </c>
      <c r="G113" s="53">
        <v>140.84</v>
      </c>
      <c r="H113" s="53">
        <v>140.84</v>
      </c>
      <c r="I113"/>
      <c r="J113"/>
      <c r="K113" s="107">
        <v>1.4020905923344948</v>
      </c>
      <c r="L113" s="107">
        <v>1.3162616822429907</v>
      </c>
      <c r="M113" s="107">
        <v>1.4020905923344948</v>
      </c>
      <c r="N113" s="107">
        <v>1.3162616822429907</v>
      </c>
    </row>
    <row r="114" spans="1:14" s="15" customFormat="1" x14ac:dyDescent="0.3">
      <c r="A114" s="17"/>
      <c r="B114"/>
      <c r="C114"/>
      <c r="D114"/>
      <c r="E114"/>
      <c r="F114" s="50">
        <v>40664</v>
      </c>
      <c r="G114" s="53">
        <v>141.27000000000001</v>
      </c>
      <c r="H114" s="53">
        <v>141.27000000000001</v>
      </c>
      <c r="I114"/>
      <c r="J114"/>
      <c r="K114" s="107">
        <v>1.4063713290194126</v>
      </c>
      <c r="L114" s="107">
        <v>1.3202803738317759</v>
      </c>
      <c r="M114" s="107">
        <v>1.4063713290194126</v>
      </c>
      <c r="N114" s="107">
        <v>1.3202803738317759</v>
      </c>
    </row>
    <row r="115" spans="1:14" s="15" customFormat="1" x14ac:dyDescent="0.3">
      <c r="A115" s="17"/>
      <c r="B115"/>
      <c r="C115"/>
      <c r="D115"/>
      <c r="E115"/>
      <c r="F115" s="50">
        <v>40695</v>
      </c>
      <c r="G115" s="53">
        <v>142.22</v>
      </c>
      <c r="H115" s="53">
        <v>142.22</v>
      </c>
      <c r="I115"/>
      <c r="J115"/>
      <c r="K115" s="107">
        <v>1.4158287705326031</v>
      </c>
      <c r="L115" s="107">
        <v>1.3291588785046728</v>
      </c>
      <c r="M115" s="107">
        <v>1.4158287705326031</v>
      </c>
      <c r="N115" s="107">
        <v>1.3291588785046728</v>
      </c>
    </row>
    <row r="116" spans="1:14" s="15" customFormat="1" x14ac:dyDescent="0.3">
      <c r="A116" s="17"/>
      <c r="B116"/>
      <c r="C116"/>
      <c r="D116"/>
      <c r="E116"/>
      <c r="F116" s="50">
        <v>40725</v>
      </c>
      <c r="G116" s="53">
        <v>142.25</v>
      </c>
      <c r="H116" s="53">
        <v>142.25</v>
      </c>
      <c r="I116"/>
      <c r="J116"/>
      <c r="K116" s="107">
        <v>1.4161274265803883</v>
      </c>
      <c r="L116" s="107">
        <v>1.3294392523364487</v>
      </c>
      <c r="M116" s="107">
        <v>1.4161274265803883</v>
      </c>
      <c r="N116" s="107">
        <v>1.3294392523364487</v>
      </c>
    </row>
    <row r="117" spans="1:14" s="15" customFormat="1" x14ac:dyDescent="0.3">
      <c r="A117" s="17"/>
      <c r="B117"/>
      <c r="C117"/>
      <c r="D117"/>
      <c r="E117"/>
      <c r="F117" s="50">
        <v>40756</v>
      </c>
      <c r="G117" s="53">
        <v>141.96</v>
      </c>
      <c r="H117" s="53">
        <v>141.96</v>
      </c>
      <c r="I117"/>
      <c r="J117"/>
      <c r="K117" s="107">
        <v>1.413240418118467</v>
      </c>
      <c r="L117" s="107">
        <v>1.326728971962617</v>
      </c>
      <c r="M117" s="107">
        <v>1.413240418118467</v>
      </c>
      <c r="N117" s="107">
        <v>1.326728971962617</v>
      </c>
    </row>
    <row r="118" spans="1:14" s="15" customFormat="1" x14ac:dyDescent="0.3">
      <c r="A118" s="17"/>
      <c r="B118"/>
      <c r="C118"/>
      <c r="D118"/>
      <c r="E118"/>
      <c r="F118" s="50">
        <v>40787</v>
      </c>
      <c r="G118" s="53">
        <v>141.79</v>
      </c>
      <c r="H118" s="53">
        <v>141.79</v>
      </c>
      <c r="I118"/>
      <c r="J118"/>
      <c r="K118" s="107">
        <v>1.4115480338476853</v>
      </c>
      <c r="L118" s="107">
        <v>1.3251401869158879</v>
      </c>
      <c r="M118" s="107">
        <v>1.4115480338476853</v>
      </c>
      <c r="N118" s="107">
        <v>1.3251401869158879</v>
      </c>
    </row>
    <row r="119" spans="1:14" s="15" customFormat="1" x14ac:dyDescent="0.3">
      <c r="A119" s="17"/>
      <c r="B119"/>
      <c r="C119"/>
      <c r="D119"/>
      <c r="E119"/>
      <c r="F119" s="50">
        <v>40817</v>
      </c>
      <c r="G119" s="53">
        <v>141.58000000000001</v>
      </c>
      <c r="H119" s="53">
        <v>141.58000000000001</v>
      </c>
      <c r="I119"/>
      <c r="J119"/>
      <c r="K119" s="107">
        <v>1.4094574415131906</v>
      </c>
      <c r="L119" s="107">
        <v>1.323177570093458</v>
      </c>
      <c r="M119" s="107">
        <v>1.4094574415131906</v>
      </c>
      <c r="N119" s="107">
        <v>1.323177570093458</v>
      </c>
    </row>
    <row r="120" spans="1:14" s="15" customFormat="1" x14ac:dyDescent="0.3">
      <c r="A120" s="17"/>
      <c r="B120"/>
      <c r="C120"/>
      <c r="D120"/>
      <c r="E120"/>
      <c r="F120" s="50">
        <v>40848</v>
      </c>
      <c r="G120" s="53">
        <v>142.25</v>
      </c>
      <c r="H120" s="53">
        <v>142.25</v>
      </c>
      <c r="I120"/>
      <c r="J120"/>
      <c r="K120" s="107">
        <v>1.4161274265803883</v>
      </c>
      <c r="L120" s="107">
        <v>1.3294392523364487</v>
      </c>
      <c r="M120" s="107">
        <v>1.4161274265803883</v>
      </c>
      <c r="N120" s="107">
        <v>1.3294392523364487</v>
      </c>
    </row>
    <row r="121" spans="1:14" s="15" customFormat="1" x14ac:dyDescent="0.3">
      <c r="A121" s="17"/>
      <c r="B121"/>
      <c r="C121"/>
      <c r="D121"/>
      <c r="E121"/>
      <c r="F121" s="50">
        <v>40878</v>
      </c>
      <c r="G121" s="53">
        <v>140.44999999999999</v>
      </c>
      <c r="H121" s="53">
        <v>140.44999999999999</v>
      </c>
      <c r="I121"/>
      <c r="J121"/>
      <c r="K121" s="107">
        <v>1.3982080637132901</v>
      </c>
      <c r="L121" s="107">
        <v>1.3126168224299064</v>
      </c>
      <c r="M121" s="107">
        <v>1.3982080637132901</v>
      </c>
      <c r="N121" s="107">
        <v>1.3126168224299064</v>
      </c>
    </row>
    <row r="122" spans="1:14" s="15" customFormat="1" x14ac:dyDescent="0.3">
      <c r="A122" s="17"/>
      <c r="B122"/>
      <c r="C122"/>
      <c r="D122"/>
      <c r="E122"/>
      <c r="F122" s="50">
        <v>40909</v>
      </c>
      <c r="G122" s="53">
        <v>138.87</v>
      </c>
      <c r="H122" s="53">
        <v>138.87</v>
      </c>
      <c r="I122"/>
      <c r="J122"/>
      <c r="K122" s="107">
        <v>1.3824788451966152</v>
      </c>
      <c r="L122" s="107">
        <v>1.2978504672897198</v>
      </c>
      <c r="M122" s="107">
        <v>1.3824788451966152</v>
      </c>
      <c r="N122" s="107">
        <v>1.2978504672897198</v>
      </c>
    </row>
    <row r="123" spans="1:14" s="15" customFormat="1" x14ac:dyDescent="0.3">
      <c r="A123" s="17"/>
      <c r="B123"/>
      <c r="C123"/>
      <c r="D123"/>
      <c r="E123"/>
      <c r="F123" s="50">
        <v>40940</v>
      </c>
      <c r="G123" s="53">
        <v>140.49</v>
      </c>
      <c r="H123" s="53">
        <v>140.49</v>
      </c>
      <c r="I123"/>
      <c r="J123"/>
      <c r="K123" s="107">
        <v>1.3986062717770036</v>
      </c>
      <c r="L123" s="107">
        <v>1.3129906542056076</v>
      </c>
      <c r="M123" s="107">
        <v>1.3986062717770036</v>
      </c>
      <c r="N123" s="107">
        <v>1.3129906542056076</v>
      </c>
    </row>
    <row r="124" spans="1:14" s="15" customFormat="1" x14ac:dyDescent="0.3">
      <c r="A124" s="17"/>
      <c r="B124"/>
      <c r="C124"/>
      <c r="D124"/>
      <c r="E124"/>
      <c r="F124" s="50">
        <v>40969</v>
      </c>
      <c r="G124" s="53">
        <v>140.06</v>
      </c>
      <c r="H124" s="53">
        <v>140.06</v>
      </c>
      <c r="I124"/>
      <c r="J124"/>
      <c r="K124" s="107">
        <v>1.3943255350920856</v>
      </c>
      <c r="L124" s="107">
        <v>1.3089719626168224</v>
      </c>
      <c r="M124" s="107">
        <v>1.3943255350920856</v>
      </c>
      <c r="N124" s="107">
        <v>1.3089719626168224</v>
      </c>
    </row>
    <row r="125" spans="1:14" s="15" customFormat="1" x14ac:dyDescent="0.3">
      <c r="A125" s="17"/>
      <c r="B125"/>
      <c r="C125"/>
      <c r="D125"/>
      <c r="E125"/>
      <c r="F125" s="50">
        <v>41000</v>
      </c>
      <c r="G125" s="53">
        <v>141.04</v>
      </c>
      <c r="H125" s="53">
        <v>141.04</v>
      </c>
      <c r="I125"/>
      <c r="J125"/>
      <c r="K125" s="107">
        <v>1.4040816326530612</v>
      </c>
      <c r="L125" s="107">
        <v>1.3181308411214951</v>
      </c>
      <c r="M125" s="107">
        <v>1.4040816326530612</v>
      </c>
      <c r="N125" s="107">
        <v>1.3181308411214951</v>
      </c>
    </row>
    <row r="126" spans="1:14" s="15" customFormat="1" x14ac:dyDescent="0.3">
      <c r="A126" s="17"/>
      <c r="B126"/>
      <c r="C126"/>
      <c r="D126"/>
      <c r="E126"/>
      <c r="F126" s="50">
        <v>41030</v>
      </c>
      <c r="G126" s="53">
        <v>142.66999999999999</v>
      </c>
      <c r="H126" s="53">
        <v>142.66999999999999</v>
      </c>
      <c r="I126"/>
      <c r="J126"/>
      <c r="K126" s="107">
        <v>1.4203086112493777</v>
      </c>
      <c r="L126" s="107">
        <v>1.3333644859813083</v>
      </c>
      <c r="M126" s="107">
        <v>1.4203086112493777</v>
      </c>
      <c r="N126" s="107">
        <v>1.3333644859813083</v>
      </c>
    </row>
    <row r="127" spans="1:14" s="15" customFormat="1" x14ac:dyDescent="0.3">
      <c r="A127" s="17"/>
      <c r="B127"/>
      <c r="C127"/>
      <c r="D127"/>
      <c r="E127"/>
      <c r="F127" s="50">
        <v>41061</v>
      </c>
      <c r="G127" s="53">
        <v>143.56</v>
      </c>
      <c r="H127" s="53">
        <v>143.56</v>
      </c>
      <c r="I127"/>
      <c r="J127"/>
      <c r="K127" s="107">
        <v>1.4291687406669984</v>
      </c>
      <c r="L127" s="107">
        <v>1.3416822429906543</v>
      </c>
      <c r="M127" s="107">
        <v>1.4291687406669984</v>
      </c>
      <c r="N127" s="107">
        <v>1.3416822429906543</v>
      </c>
    </row>
    <row r="128" spans="1:14" s="15" customFormat="1" x14ac:dyDescent="0.3">
      <c r="A128" s="17"/>
      <c r="B128"/>
      <c r="C128"/>
      <c r="D128"/>
      <c r="E128"/>
      <c r="F128" s="50">
        <v>41091</v>
      </c>
      <c r="G128" s="53">
        <v>144.03</v>
      </c>
      <c r="H128" s="53">
        <v>144.03</v>
      </c>
      <c r="I128"/>
      <c r="J128"/>
      <c r="K128" s="107">
        <v>1.4338476854156297</v>
      </c>
      <c r="L128" s="107">
        <v>1.3460747663551402</v>
      </c>
      <c r="M128" s="107">
        <v>1.4338476854156297</v>
      </c>
      <c r="N128" s="107">
        <v>1.3460747663551402</v>
      </c>
    </row>
    <row r="129" spans="1:14" s="15" customFormat="1" x14ac:dyDescent="0.3">
      <c r="A129" s="17"/>
      <c r="B129"/>
      <c r="C129"/>
      <c r="D129"/>
      <c r="E129"/>
      <c r="F129" s="50">
        <v>41122</v>
      </c>
      <c r="G129" s="53">
        <v>144.35</v>
      </c>
      <c r="H129" s="53">
        <v>144.35</v>
      </c>
      <c r="I129"/>
      <c r="J129"/>
      <c r="K129" s="107">
        <v>1.4370333499253358</v>
      </c>
      <c r="L129" s="107">
        <v>1.3490654205607475</v>
      </c>
      <c r="M129" s="107">
        <v>1.4370333499253358</v>
      </c>
      <c r="N129" s="107">
        <v>1.3490654205607475</v>
      </c>
    </row>
    <row r="130" spans="1:14" s="15" customFormat="1" x14ac:dyDescent="0.3">
      <c r="A130" s="17"/>
      <c r="B130"/>
      <c r="C130"/>
      <c r="D130"/>
      <c r="E130"/>
      <c r="F130" s="50">
        <v>41153</v>
      </c>
      <c r="G130" s="53">
        <v>143.71</v>
      </c>
      <c r="H130" s="53">
        <v>143.71</v>
      </c>
      <c r="I130"/>
      <c r="J130"/>
      <c r="K130" s="107">
        <v>1.4306620209059233</v>
      </c>
      <c r="L130" s="107">
        <v>1.3430841121495327</v>
      </c>
      <c r="M130" s="107">
        <v>1.4306620209059233</v>
      </c>
      <c r="N130" s="107">
        <v>1.3430841121495327</v>
      </c>
    </row>
    <row r="131" spans="1:14" s="15" customFormat="1" x14ac:dyDescent="0.3">
      <c r="A131" s="17"/>
      <c r="B131"/>
      <c r="C131"/>
      <c r="D131"/>
      <c r="E131"/>
      <c r="F131" s="50">
        <v>41183</v>
      </c>
      <c r="G131" s="53">
        <v>144.86000000000001</v>
      </c>
      <c r="H131" s="53">
        <v>144.86000000000001</v>
      </c>
      <c r="I131"/>
      <c r="J131"/>
      <c r="K131" s="107">
        <v>1.4421105027376806</v>
      </c>
      <c r="L131" s="107">
        <v>1.3538317757009346</v>
      </c>
      <c r="M131" s="107">
        <v>1.4421105027376806</v>
      </c>
      <c r="N131" s="107">
        <v>1.3538317757009346</v>
      </c>
    </row>
    <row r="132" spans="1:14" s="15" customFormat="1" x14ac:dyDescent="0.3">
      <c r="A132" s="17"/>
      <c r="B132"/>
      <c r="C132"/>
      <c r="D132"/>
      <c r="E132"/>
      <c r="F132" s="50">
        <v>41214</v>
      </c>
      <c r="G132" s="53">
        <v>144.58000000000001</v>
      </c>
      <c r="H132" s="53">
        <v>144.58000000000001</v>
      </c>
      <c r="I132"/>
      <c r="J132"/>
      <c r="K132" s="107">
        <v>1.4393230462916875</v>
      </c>
      <c r="L132" s="107">
        <v>1.3512149532710283</v>
      </c>
      <c r="M132" s="107">
        <v>1.4393230462916875</v>
      </c>
      <c r="N132" s="107">
        <v>1.3512149532710283</v>
      </c>
    </row>
    <row r="133" spans="1:14" s="15" customFormat="1" x14ac:dyDescent="0.3">
      <c r="A133" s="17"/>
      <c r="B133"/>
      <c r="C133"/>
      <c r="D133"/>
      <c r="E133"/>
      <c r="F133" s="50">
        <v>41244</v>
      </c>
      <c r="G133" s="53">
        <v>144.16</v>
      </c>
      <c r="H133" s="53">
        <v>144.16</v>
      </c>
      <c r="I133"/>
      <c r="J133"/>
      <c r="K133" s="107">
        <v>1.4351418616226979</v>
      </c>
      <c r="L133" s="107">
        <v>1.3472897196261682</v>
      </c>
      <c r="M133" s="107">
        <v>1.4351418616226979</v>
      </c>
      <c r="N133" s="107">
        <v>1.3472897196261682</v>
      </c>
    </row>
    <row r="134" spans="1:14" s="15" customFormat="1" x14ac:dyDescent="0.3">
      <c r="A134" s="17"/>
      <c r="B134"/>
      <c r="C134"/>
      <c r="D134"/>
      <c r="E134"/>
      <c r="F134" s="50">
        <v>41275</v>
      </c>
      <c r="G134" s="53">
        <v>144.99</v>
      </c>
      <c r="H134" s="53">
        <v>144.99</v>
      </c>
      <c r="I134"/>
      <c r="J134"/>
      <c r="K134" s="107">
        <v>1.4434046789447488</v>
      </c>
      <c r="L134" s="107">
        <v>1.3550467289719628</v>
      </c>
      <c r="M134" s="107">
        <v>1.4434046789447488</v>
      </c>
      <c r="N134" s="107">
        <v>1.3550467289719628</v>
      </c>
    </row>
    <row r="135" spans="1:14" s="15" customFormat="1" x14ac:dyDescent="0.3">
      <c r="A135" s="17"/>
      <c r="B135"/>
      <c r="C135"/>
      <c r="D135"/>
      <c r="E135"/>
      <c r="F135" s="50">
        <v>41306</v>
      </c>
      <c r="G135" s="53">
        <v>143.77000000000001</v>
      </c>
      <c r="H135" s="53">
        <v>143.77000000000001</v>
      </c>
      <c r="I135"/>
      <c r="J135"/>
      <c r="K135" s="107">
        <v>1.4312593330014933</v>
      </c>
      <c r="L135" s="107">
        <v>1.3436448598130841</v>
      </c>
      <c r="M135" s="107">
        <v>1.4312593330014933</v>
      </c>
      <c r="N135" s="107">
        <v>1.3436448598130841</v>
      </c>
    </row>
    <row r="136" spans="1:14" s="15" customFormat="1" x14ac:dyDescent="0.3">
      <c r="A136" s="17"/>
      <c r="B136"/>
      <c r="C136"/>
      <c r="D136"/>
      <c r="E136"/>
      <c r="F136" s="50">
        <v>41334</v>
      </c>
      <c r="G136" s="53">
        <v>144.94999999999999</v>
      </c>
      <c r="H136" s="53">
        <v>144.94999999999999</v>
      </c>
      <c r="I136"/>
      <c r="J136"/>
      <c r="K136" s="107">
        <v>1.4430064708810353</v>
      </c>
      <c r="L136" s="107">
        <v>1.3546728971962616</v>
      </c>
      <c r="M136" s="107">
        <v>1.4430064708810353</v>
      </c>
      <c r="N136" s="107">
        <v>1.3546728971962616</v>
      </c>
    </row>
    <row r="137" spans="1:14" s="15" customFormat="1" x14ac:dyDescent="0.3">
      <c r="A137" s="17"/>
      <c r="B137"/>
      <c r="C137"/>
      <c r="D137"/>
      <c r="E137"/>
      <c r="F137" s="50">
        <v>41365</v>
      </c>
      <c r="G137" s="53">
        <v>146.24</v>
      </c>
      <c r="H137" s="53">
        <v>146.24</v>
      </c>
      <c r="I137"/>
      <c r="J137"/>
      <c r="K137" s="107">
        <v>1.4558486809357889</v>
      </c>
      <c r="L137" s="107">
        <v>1.366728971962617</v>
      </c>
      <c r="M137" s="107">
        <v>1.4558486809357889</v>
      </c>
      <c r="N137" s="107">
        <v>1.366728971962617</v>
      </c>
    </row>
    <row r="138" spans="1:14" s="15" customFormat="1" x14ac:dyDescent="0.3">
      <c r="A138" s="17"/>
      <c r="B138"/>
      <c r="C138"/>
      <c r="D138"/>
      <c r="E138"/>
      <c r="F138" s="50">
        <v>41395</v>
      </c>
      <c r="G138" s="53">
        <v>146.83000000000001</v>
      </c>
      <c r="H138" s="53">
        <v>146.83000000000001</v>
      </c>
      <c r="I138"/>
      <c r="J138"/>
      <c r="K138" s="107">
        <v>1.46172224987556</v>
      </c>
      <c r="L138" s="107">
        <v>1.3722429906542057</v>
      </c>
      <c r="M138" s="107">
        <v>1.46172224987556</v>
      </c>
      <c r="N138" s="107">
        <v>1.3722429906542057</v>
      </c>
    </row>
    <row r="139" spans="1:14" s="15" customFormat="1" x14ac:dyDescent="0.3">
      <c r="A139" s="17"/>
      <c r="B139"/>
      <c r="C139"/>
      <c r="D139"/>
      <c r="E139"/>
      <c r="F139" s="50">
        <v>41426</v>
      </c>
      <c r="G139" s="53">
        <v>146.35</v>
      </c>
      <c r="H139" s="53">
        <v>146.35</v>
      </c>
      <c r="I139"/>
      <c r="J139"/>
      <c r="K139" s="107">
        <v>1.4569437531110003</v>
      </c>
      <c r="L139" s="107">
        <v>1.3677570093457943</v>
      </c>
      <c r="M139" s="107">
        <v>1.4569437531110003</v>
      </c>
      <c r="N139" s="107">
        <v>1.3677570093457943</v>
      </c>
    </row>
    <row r="140" spans="1:14" s="15" customFormat="1" x14ac:dyDescent="0.3">
      <c r="A140" s="17"/>
      <c r="B140"/>
      <c r="C140"/>
      <c r="D140"/>
      <c r="E140"/>
      <c r="F140" s="50">
        <v>41456</v>
      </c>
      <c r="G140" s="53">
        <v>147.19</v>
      </c>
      <c r="H140" s="53">
        <v>147.19</v>
      </c>
      <c r="I140"/>
      <c r="J140"/>
      <c r="K140" s="107">
        <v>1.4653061224489796</v>
      </c>
      <c r="L140" s="107">
        <v>1.375607476635514</v>
      </c>
      <c r="M140" s="107">
        <v>1.4653061224489796</v>
      </c>
      <c r="N140" s="107">
        <v>1.375607476635514</v>
      </c>
    </row>
    <row r="141" spans="1:14" s="15" customFormat="1" x14ac:dyDescent="0.3">
      <c r="A141" s="17"/>
      <c r="B141"/>
      <c r="C141"/>
      <c r="D141"/>
      <c r="E141"/>
      <c r="F141" s="50">
        <v>41487</v>
      </c>
      <c r="G141" s="53">
        <v>147.11000000000001</v>
      </c>
      <c r="H141" s="53">
        <v>147.11000000000001</v>
      </c>
      <c r="I141"/>
      <c r="J141"/>
      <c r="K141" s="107">
        <v>1.4645097063215531</v>
      </c>
      <c r="L141" s="107">
        <v>1.3748598130841123</v>
      </c>
      <c r="M141" s="107">
        <v>1.4645097063215531</v>
      </c>
      <c r="N141" s="107">
        <v>1.3748598130841123</v>
      </c>
    </row>
    <row r="142" spans="1:14" s="15" customFormat="1" x14ac:dyDescent="0.3">
      <c r="A142" s="17"/>
      <c r="B142"/>
      <c r="C142"/>
      <c r="D142"/>
      <c r="E142"/>
      <c r="F142" s="50">
        <v>41518</v>
      </c>
      <c r="G142" s="53">
        <v>148.13999999999999</v>
      </c>
      <c r="H142" s="53">
        <v>148.13999999999999</v>
      </c>
      <c r="I142"/>
      <c r="J142"/>
      <c r="K142" s="107">
        <v>1.4747635639621701</v>
      </c>
      <c r="L142" s="107">
        <v>1.3844859813084112</v>
      </c>
      <c r="M142" s="107">
        <v>1.4747635639621701</v>
      </c>
      <c r="N142" s="107">
        <v>1.3844859813084112</v>
      </c>
    </row>
    <row r="143" spans="1:14" s="15" customFormat="1" x14ac:dyDescent="0.3">
      <c r="A143" s="17"/>
      <c r="B143"/>
      <c r="C143"/>
      <c r="D143"/>
      <c r="E143"/>
      <c r="F143" s="50">
        <v>41548</v>
      </c>
      <c r="G143" s="53">
        <v>147.99</v>
      </c>
      <c r="H143" s="53">
        <v>147.99</v>
      </c>
      <c r="I143"/>
      <c r="J143"/>
      <c r="K143" s="107">
        <v>1.4732702837232454</v>
      </c>
      <c r="L143" s="107">
        <v>1.3830841121495328</v>
      </c>
      <c r="M143" s="107">
        <v>1.4732702837232454</v>
      </c>
      <c r="N143" s="107">
        <v>1.3830841121495328</v>
      </c>
    </row>
    <row r="144" spans="1:14" s="15" customFormat="1" x14ac:dyDescent="0.3">
      <c r="A144" s="17"/>
      <c r="B144"/>
      <c r="C144"/>
      <c r="D144"/>
      <c r="E144"/>
      <c r="F144" s="50">
        <v>41579</v>
      </c>
      <c r="G144" s="53">
        <v>148.34</v>
      </c>
      <c r="H144" s="53">
        <v>148.34</v>
      </c>
      <c r="I144"/>
      <c r="J144"/>
      <c r="K144" s="107">
        <v>1.4767546042807367</v>
      </c>
      <c r="L144" s="107">
        <v>1.3863551401869159</v>
      </c>
      <c r="M144" s="107">
        <v>1.4767546042807367</v>
      </c>
      <c r="N144" s="107">
        <v>1.3863551401869159</v>
      </c>
    </row>
    <row r="145" spans="1:14" s="15" customFormat="1" x14ac:dyDescent="0.3">
      <c r="A145" s="17"/>
      <c r="B145"/>
      <c r="C145"/>
      <c r="D145"/>
      <c r="E145"/>
      <c r="F145" s="50">
        <v>41609</v>
      </c>
      <c r="G145" s="53">
        <v>148.61000000000001</v>
      </c>
      <c r="H145" s="53">
        <v>148.61000000000001</v>
      </c>
      <c r="I145"/>
      <c r="J145"/>
      <c r="K145" s="107">
        <v>1.4794425087108014</v>
      </c>
      <c r="L145" s="107">
        <v>1.3888785046728973</v>
      </c>
      <c r="M145" s="107">
        <v>1.4794425087108014</v>
      </c>
      <c r="N145" s="107">
        <v>1.3888785046728973</v>
      </c>
    </row>
    <row r="146" spans="1:14" s="15" customFormat="1" x14ac:dyDescent="0.3">
      <c r="A146" s="17"/>
      <c r="B146"/>
      <c r="C146"/>
      <c r="D146"/>
      <c r="E146"/>
      <c r="F146" s="50">
        <v>41640</v>
      </c>
      <c r="G146" s="53">
        <v>148.27000000000001</v>
      </c>
      <c r="H146" s="53">
        <v>148.27000000000001</v>
      </c>
      <c r="I146"/>
      <c r="J146"/>
      <c r="K146" s="107">
        <v>1.4760577401692385</v>
      </c>
      <c r="L146" s="107">
        <v>1.3857009345794393</v>
      </c>
      <c r="M146" s="107">
        <v>1.4760577401692385</v>
      </c>
      <c r="N146" s="107">
        <v>1.3857009345794393</v>
      </c>
    </row>
    <row r="147" spans="1:14" s="15" customFormat="1" x14ac:dyDescent="0.3">
      <c r="A147" s="17"/>
      <c r="B147"/>
      <c r="C147"/>
      <c r="D147"/>
      <c r="E147"/>
      <c r="F147" s="50">
        <v>41671</v>
      </c>
      <c r="G147" s="53">
        <v>147.85</v>
      </c>
      <c r="H147" s="53">
        <v>147.85</v>
      </c>
      <c r="I147"/>
      <c r="J147"/>
      <c r="K147" s="107">
        <v>1.4718765555002489</v>
      </c>
      <c r="L147" s="107">
        <v>1.3817757009345795</v>
      </c>
      <c r="M147" s="107">
        <v>1.4718765555002489</v>
      </c>
      <c r="N147" s="107">
        <v>1.3817757009345795</v>
      </c>
    </row>
    <row r="148" spans="1:14" s="15" customFormat="1" x14ac:dyDescent="0.3">
      <c r="A148" s="17"/>
      <c r="B148"/>
      <c r="C148"/>
      <c r="D148"/>
      <c r="E148"/>
      <c r="F148" s="50">
        <v>41699</v>
      </c>
      <c r="G148" s="53">
        <v>147.88999999999999</v>
      </c>
      <c r="H148" s="53">
        <v>147.88999999999999</v>
      </c>
      <c r="I148"/>
      <c r="J148"/>
      <c r="K148" s="107">
        <v>1.4722747635639619</v>
      </c>
      <c r="L148" s="107">
        <v>1.3821495327102802</v>
      </c>
      <c r="M148" s="107">
        <v>1.4722747635639619</v>
      </c>
      <c r="N148" s="107">
        <v>1.3821495327102802</v>
      </c>
    </row>
    <row r="149" spans="1:14" s="15" customFormat="1" x14ac:dyDescent="0.3">
      <c r="A149" s="17"/>
      <c r="B149"/>
      <c r="C149"/>
      <c r="D149"/>
      <c r="E149"/>
      <c r="F149" s="50">
        <v>41730</v>
      </c>
      <c r="G149" s="53">
        <v>146.88</v>
      </c>
      <c r="H149" s="53">
        <v>146.88</v>
      </c>
      <c r="I149"/>
      <c r="J149"/>
      <c r="K149" s="107">
        <v>1.4622200099552014</v>
      </c>
      <c r="L149" s="107">
        <v>1.3727102803738318</v>
      </c>
      <c r="M149" s="107">
        <v>1.4622200099552014</v>
      </c>
      <c r="N149" s="107">
        <v>1.3727102803738318</v>
      </c>
    </row>
    <row r="150" spans="1:14" s="15" customFormat="1" x14ac:dyDescent="0.3">
      <c r="A150" s="17"/>
      <c r="B150"/>
      <c r="C150"/>
      <c r="D150"/>
      <c r="E150"/>
      <c r="F150" s="50">
        <v>41760</v>
      </c>
      <c r="G150" s="53">
        <v>146.30000000000001</v>
      </c>
      <c r="H150" s="53">
        <v>146.30000000000001</v>
      </c>
      <c r="I150"/>
      <c r="J150"/>
      <c r="K150" s="107">
        <v>1.4564459930313589</v>
      </c>
      <c r="L150" s="107">
        <v>1.3672897196261684</v>
      </c>
      <c r="M150" s="107">
        <v>1.4564459930313589</v>
      </c>
      <c r="N150" s="107">
        <v>1.3672897196261684</v>
      </c>
    </row>
    <row r="151" spans="1:14" s="15" customFormat="1" x14ac:dyDescent="0.3">
      <c r="A151" s="17"/>
      <c r="B151"/>
      <c r="C151"/>
      <c r="D151"/>
      <c r="E151"/>
      <c r="F151" s="50">
        <v>41791</v>
      </c>
      <c r="G151" s="53">
        <v>143.61000000000001</v>
      </c>
      <c r="H151" s="53">
        <v>143.61000000000001</v>
      </c>
      <c r="I151"/>
      <c r="J151"/>
      <c r="K151" s="107">
        <v>1.4296665007466403</v>
      </c>
      <c r="L151" s="107">
        <v>1.3421495327102806</v>
      </c>
      <c r="M151" s="107">
        <v>1.4296665007466403</v>
      </c>
      <c r="N151" s="107">
        <v>1.3421495327102806</v>
      </c>
    </row>
    <row r="152" spans="1:14" s="15" customFormat="1" x14ac:dyDescent="0.3">
      <c r="A152" s="17"/>
      <c r="B152"/>
      <c r="C152"/>
      <c r="D152"/>
      <c r="E152"/>
      <c r="F152" s="50">
        <v>41821</v>
      </c>
      <c r="G152" s="53">
        <v>144.81</v>
      </c>
      <c r="H152" s="53">
        <v>144.81</v>
      </c>
      <c r="I152"/>
      <c r="J152"/>
      <c r="K152" s="107">
        <v>1.4416127426580387</v>
      </c>
      <c r="L152" s="107">
        <v>1.3533644859813085</v>
      </c>
      <c r="M152" s="107">
        <v>1.4416127426580387</v>
      </c>
      <c r="N152" s="107">
        <v>1.3533644859813085</v>
      </c>
    </row>
    <row r="153" spans="1:14" s="15" customFormat="1" x14ac:dyDescent="0.3">
      <c r="A153" s="17"/>
      <c r="B153"/>
      <c r="C153"/>
      <c r="D153"/>
      <c r="E153"/>
      <c r="F153" s="50">
        <v>41852</v>
      </c>
      <c r="G153" s="53">
        <v>145.58000000000001</v>
      </c>
      <c r="H153" s="53">
        <v>145.58000000000001</v>
      </c>
      <c r="I153"/>
      <c r="J153"/>
      <c r="K153" s="107">
        <v>1.4492782478845196</v>
      </c>
      <c r="L153" s="107">
        <v>1.3605607476635515</v>
      </c>
      <c r="M153" s="107">
        <v>1.4492782478845196</v>
      </c>
      <c r="N153" s="107">
        <v>1.3605607476635515</v>
      </c>
    </row>
    <row r="154" spans="1:14" s="15" customFormat="1" x14ac:dyDescent="0.3">
      <c r="A154" s="17"/>
      <c r="B154"/>
      <c r="C154"/>
      <c r="D154"/>
      <c r="E154"/>
      <c r="F154" s="50">
        <v>41883</v>
      </c>
      <c r="G154" s="53">
        <v>146.24</v>
      </c>
      <c r="H154" s="53">
        <v>146.24</v>
      </c>
      <c r="I154"/>
      <c r="J154"/>
      <c r="K154" s="107">
        <v>1.4558486809357889</v>
      </c>
      <c r="L154" s="107">
        <v>1.366728971962617</v>
      </c>
      <c r="M154" s="107">
        <v>1.4558486809357889</v>
      </c>
      <c r="N154" s="107">
        <v>1.366728971962617</v>
      </c>
    </row>
    <row r="155" spans="1:14" s="15" customFormat="1" x14ac:dyDescent="0.3">
      <c r="A155" s="17"/>
      <c r="B155"/>
      <c r="C155"/>
      <c r="D155"/>
      <c r="E155"/>
      <c r="F155" s="50">
        <v>41913</v>
      </c>
      <c r="G155" s="53">
        <v>145.41999999999999</v>
      </c>
      <c r="H155" s="53">
        <v>145.41999999999999</v>
      </c>
      <c r="I155"/>
      <c r="J155"/>
      <c r="K155" s="107">
        <v>1.4476854156296664</v>
      </c>
      <c r="L155" s="107">
        <v>1.3590654205607475</v>
      </c>
      <c r="M155" s="107">
        <v>1.4476854156296664</v>
      </c>
      <c r="N155" s="107">
        <v>1.3590654205607475</v>
      </c>
    </row>
    <row r="156" spans="1:14" s="15" customFormat="1" x14ac:dyDescent="0.3">
      <c r="A156" s="17"/>
      <c r="B156"/>
      <c r="C156"/>
      <c r="D156"/>
      <c r="E156"/>
      <c r="F156" s="50">
        <v>41944</v>
      </c>
      <c r="G156" s="53">
        <v>145.56</v>
      </c>
      <c r="H156" s="53">
        <v>145.56</v>
      </c>
      <c r="I156"/>
      <c r="J156"/>
      <c r="K156" s="107">
        <v>1.4490791438526629</v>
      </c>
      <c r="L156" s="107">
        <v>1.360373831775701</v>
      </c>
      <c r="M156" s="107">
        <v>1.4490791438526629</v>
      </c>
      <c r="N156" s="107">
        <v>1.360373831775701</v>
      </c>
    </row>
    <row r="157" spans="1:14" s="15" customFormat="1" x14ac:dyDescent="0.3">
      <c r="A157" s="17"/>
      <c r="B157"/>
      <c r="C157"/>
      <c r="D157"/>
      <c r="E157"/>
      <c r="F157" s="50">
        <v>41974</v>
      </c>
      <c r="G157" s="53">
        <v>146.21</v>
      </c>
      <c r="H157" s="53">
        <v>146.21</v>
      </c>
      <c r="I157"/>
      <c r="J157"/>
      <c r="K157" s="107">
        <v>1.455550024888004</v>
      </c>
      <c r="L157" s="107">
        <v>1.3664485981308412</v>
      </c>
      <c r="M157" s="107">
        <v>1.455550024888004</v>
      </c>
      <c r="N157" s="107">
        <v>1.3664485981308412</v>
      </c>
    </row>
    <row r="158" spans="1:14" s="15" customFormat="1" x14ac:dyDescent="0.3">
      <c r="A158" s="17"/>
      <c r="B158"/>
      <c r="C158"/>
      <c r="D158"/>
      <c r="E158"/>
      <c r="F158" s="50">
        <v>42005</v>
      </c>
      <c r="G158" s="53">
        <v>144.96</v>
      </c>
      <c r="H158" s="53">
        <v>144.96</v>
      </c>
      <c r="I158"/>
      <c r="J158"/>
      <c r="K158" s="107">
        <v>1.4431060228969637</v>
      </c>
      <c r="L158" s="107">
        <v>1.354766355140187</v>
      </c>
      <c r="M158" s="107">
        <v>1.4431060228969637</v>
      </c>
      <c r="N158" s="107">
        <v>1.354766355140187</v>
      </c>
    </row>
    <row r="159" spans="1:14" s="15" customFormat="1" x14ac:dyDescent="0.3">
      <c r="A159" s="17"/>
      <c r="B159"/>
      <c r="C159"/>
      <c r="D159"/>
      <c r="E159"/>
      <c r="F159" s="50">
        <v>42036</v>
      </c>
      <c r="G159" s="53">
        <v>143.97999999999999</v>
      </c>
      <c r="H159" s="53">
        <v>143.97999999999999</v>
      </c>
      <c r="I159"/>
      <c r="J159"/>
      <c r="K159" s="107">
        <v>1.4333499253359878</v>
      </c>
      <c r="L159" s="107">
        <v>1.3456074766355139</v>
      </c>
      <c r="M159" s="107">
        <v>1.4333499253359878</v>
      </c>
      <c r="N159" s="107">
        <v>1.3456074766355139</v>
      </c>
    </row>
    <row r="160" spans="1:14" s="15" customFormat="1" x14ac:dyDescent="0.3">
      <c r="A160" s="17"/>
      <c r="B160"/>
      <c r="C160"/>
      <c r="D160"/>
      <c r="E160"/>
      <c r="F160" s="50">
        <v>42064</v>
      </c>
      <c r="G160" s="53">
        <v>143.72999999999999</v>
      </c>
      <c r="H160" s="53">
        <v>143.72999999999999</v>
      </c>
      <c r="I160"/>
      <c r="J160"/>
      <c r="K160" s="107">
        <v>1.4308611249377798</v>
      </c>
      <c r="L160" s="107">
        <v>1.3432710280373832</v>
      </c>
      <c r="M160" s="107">
        <v>1.4308611249377798</v>
      </c>
      <c r="N160" s="107">
        <v>1.3432710280373832</v>
      </c>
    </row>
    <row r="161" spans="1:14" s="15" customFormat="1" x14ac:dyDescent="0.3">
      <c r="A161" s="17"/>
      <c r="B161"/>
      <c r="C161"/>
      <c r="D161"/>
      <c r="E161"/>
      <c r="F161" s="50">
        <v>42095</v>
      </c>
      <c r="G161" s="53">
        <v>142.38</v>
      </c>
      <c r="H161" s="53">
        <v>142.38</v>
      </c>
      <c r="I161"/>
      <c r="J161"/>
      <c r="K161" s="107">
        <v>1.4174216027874564</v>
      </c>
      <c r="L161" s="107">
        <v>1.3306542056074766</v>
      </c>
      <c r="M161" s="107">
        <v>1.4174216027874564</v>
      </c>
      <c r="N161" s="107">
        <v>1.3306542056074766</v>
      </c>
    </row>
    <row r="162" spans="1:14" s="15" customFormat="1" x14ac:dyDescent="0.3">
      <c r="A162" s="17"/>
      <c r="B162"/>
      <c r="C162"/>
      <c r="D162"/>
      <c r="E162"/>
      <c r="F162" s="50">
        <v>42125</v>
      </c>
      <c r="G162" s="53">
        <v>141.08000000000001</v>
      </c>
      <c r="H162" s="53">
        <v>141.08000000000001</v>
      </c>
      <c r="I162"/>
      <c r="J162"/>
      <c r="K162" s="107">
        <v>1.4044798407167747</v>
      </c>
      <c r="L162" s="107">
        <v>1.3185046728971963</v>
      </c>
      <c r="M162" s="107">
        <v>1.4044798407167747</v>
      </c>
      <c r="N162" s="107">
        <v>1.3185046728971963</v>
      </c>
    </row>
    <row r="163" spans="1:14" s="15" customFormat="1" x14ac:dyDescent="0.3">
      <c r="A163" s="17"/>
      <c r="B163"/>
      <c r="C163"/>
      <c r="D163"/>
      <c r="E163"/>
      <c r="F163" s="50">
        <v>42156</v>
      </c>
      <c r="G163" s="53">
        <v>139.58000000000001</v>
      </c>
      <c r="H163" s="53">
        <v>139.58000000000001</v>
      </c>
      <c r="I163"/>
      <c r="J163"/>
      <c r="K163" s="107">
        <v>1.3895470383275261</v>
      </c>
      <c r="L163" s="107">
        <v>1.3044859813084113</v>
      </c>
      <c r="M163" s="107">
        <v>1.3895470383275261</v>
      </c>
      <c r="N163" s="107">
        <v>1.3044859813084113</v>
      </c>
    </row>
    <row r="164" spans="1:14" s="15" customFormat="1" x14ac:dyDescent="0.3">
      <c r="A164" s="17"/>
      <c r="B164"/>
      <c r="C164"/>
      <c r="D164"/>
      <c r="E164"/>
      <c r="F164" s="50">
        <v>42186</v>
      </c>
      <c r="G164" s="53">
        <v>138.66999999999999</v>
      </c>
      <c r="H164" s="53">
        <v>138.66999999999999</v>
      </c>
      <c r="I164"/>
      <c r="J164"/>
      <c r="K164" s="107">
        <v>1.3804878048780487</v>
      </c>
      <c r="L164" s="107">
        <v>1.2959813084112148</v>
      </c>
      <c r="M164" s="107">
        <v>1.3804878048780487</v>
      </c>
      <c r="N164" s="107">
        <v>1.2959813084112148</v>
      </c>
    </row>
    <row r="165" spans="1:14" s="15" customFormat="1" x14ac:dyDescent="0.3">
      <c r="A165" s="17"/>
      <c r="B165"/>
      <c r="C165"/>
      <c r="D165"/>
      <c r="E165"/>
      <c r="F165" s="50">
        <v>42217</v>
      </c>
      <c r="G165" s="53">
        <v>138.93</v>
      </c>
      <c r="H165" s="53">
        <v>138.93</v>
      </c>
      <c r="I165"/>
      <c r="J165"/>
      <c r="K165" s="107">
        <v>1.3830761572921852</v>
      </c>
      <c r="L165" s="107">
        <v>1.2984112149532712</v>
      </c>
      <c r="M165" s="107">
        <v>1.3830761572921852</v>
      </c>
      <c r="N165" s="107">
        <v>1.2984112149532712</v>
      </c>
    </row>
    <row r="166" spans="1:14" s="15" customFormat="1" x14ac:dyDescent="0.3">
      <c r="A166" s="17"/>
      <c r="B166"/>
      <c r="C166"/>
      <c r="D166"/>
      <c r="E166"/>
      <c r="F166" s="50">
        <v>42248</v>
      </c>
      <c r="G166" s="53">
        <v>137.57</v>
      </c>
      <c r="H166" s="53">
        <v>137.57</v>
      </c>
      <c r="I166"/>
      <c r="J166"/>
      <c r="K166" s="107">
        <v>1.3695370831259333</v>
      </c>
      <c r="L166" s="107">
        <v>1.2857009345794392</v>
      </c>
      <c r="M166" s="107">
        <v>1.3695370831259333</v>
      </c>
      <c r="N166" s="107">
        <v>1.2857009345794392</v>
      </c>
    </row>
    <row r="167" spans="1:14" s="15" customFormat="1" x14ac:dyDescent="0.3">
      <c r="A167" s="17"/>
      <c r="B167"/>
      <c r="C167"/>
      <c r="D167"/>
      <c r="E167"/>
      <c r="F167" s="50">
        <v>42278</v>
      </c>
      <c r="G167" s="53">
        <v>138.51</v>
      </c>
      <c r="H167" s="53">
        <v>138.51</v>
      </c>
      <c r="I167"/>
      <c r="J167"/>
      <c r="K167" s="107">
        <v>1.3788949726231954</v>
      </c>
      <c r="L167" s="107">
        <v>1.2944859813084111</v>
      </c>
      <c r="M167" s="107">
        <v>1.3788949726231954</v>
      </c>
      <c r="N167" s="107">
        <v>1.2944859813084111</v>
      </c>
    </row>
    <row r="168" spans="1:14" s="15" customFormat="1" x14ac:dyDescent="0.3">
      <c r="A168" s="17"/>
      <c r="B168"/>
      <c r="C168"/>
      <c r="D168"/>
      <c r="E168"/>
      <c r="F168" s="50">
        <v>42309</v>
      </c>
      <c r="G168" s="53">
        <v>136.68</v>
      </c>
      <c r="H168" s="53">
        <v>136.68</v>
      </c>
      <c r="I168"/>
      <c r="J168"/>
      <c r="K168" s="107">
        <v>1.3606769537083125</v>
      </c>
      <c r="L168" s="107">
        <v>1.2773831775700935</v>
      </c>
      <c r="M168" s="107">
        <v>1.3606769537083125</v>
      </c>
      <c r="N168" s="107">
        <v>1.2773831775700935</v>
      </c>
    </row>
    <row r="169" spans="1:14" s="15" customFormat="1" x14ac:dyDescent="0.3">
      <c r="A169" s="17"/>
      <c r="B169"/>
      <c r="C169"/>
      <c r="D169"/>
      <c r="E169"/>
      <c r="F169" s="50">
        <v>42339</v>
      </c>
      <c r="G169" s="53">
        <v>136.31</v>
      </c>
      <c r="H169" s="53">
        <v>136.31</v>
      </c>
      <c r="I169"/>
      <c r="J169"/>
      <c r="K169" s="107">
        <v>1.3569935291189645</v>
      </c>
      <c r="L169" s="107">
        <v>1.2739252336448599</v>
      </c>
      <c r="M169" s="107">
        <v>1.3569935291189645</v>
      </c>
      <c r="N169" s="107">
        <v>1.2739252336448599</v>
      </c>
    </row>
    <row r="170" spans="1:14" s="15" customFormat="1" x14ac:dyDescent="0.3">
      <c r="A170" s="17"/>
      <c r="B170"/>
      <c r="C170"/>
      <c r="D170"/>
      <c r="E170"/>
      <c r="F170" s="50">
        <v>42370</v>
      </c>
      <c r="G170" s="53">
        <v>135.52000000000001</v>
      </c>
      <c r="H170" s="53">
        <v>135.52000000000001</v>
      </c>
      <c r="I170"/>
      <c r="J170"/>
      <c r="K170" s="107">
        <v>1.3491289198606273</v>
      </c>
      <c r="L170" s="107">
        <v>1.2665420560747664</v>
      </c>
      <c r="M170" s="107">
        <v>1.3491289198606273</v>
      </c>
      <c r="N170" s="107">
        <v>1.2665420560747664</v>
      </c>
    </row>
    <row r="171" spans="1:14" s="15" customFormat="1" x14ac:dyDescent="0.3">
      <c r="A171" s="17"/>
      <c r="B171"/>
      <c r="C171"/>
      <c r="D171"/>
      <c r="E171"/>
      <c r="F171" s="50">
        <v>42401</v>
      </c>
      <c r="G171" s="53">
        <v>135.51</v>
      </c>
      <c r="H171" s="53">
        <v>135.51</v>
      </c>
      <c r="I171"/>
      <c r="J171"/>
      <c r="K171" s="107">
        <v>1.3490293678446987</v>
      </c>
      <c r="L171" s="107">
        <v>1.2664485981308411</v>
      </c>
      <c r="M171" s="107">
        <v>1.3490293678446987</v>
      </c>
      <c r="N171" s="107">
        <v>1.2664485981308411</v>
      </c>
    </row>
    <row r="172" spans="1:14" s="15" customFormat="1" x14ac:dyDescent="0.3">
      <c r="A172" s="17"/>
      <c r="B172"/>
      <c r="C172"/>
      <c r="D172"/>
      <c r="E172"/>
      <c r="F172" s="50">
        <v>42430</v>
      </c>
      <c r="G172" s="53">
        <v>134.61000000000001</v>
      </c>
      <c r="H172" s="53">
        <v>134.61000000000001</v>
      </c>
      <c r="I172"/>
      <c r="J172"/>
      <c r="K172" s="107">
        <v>1.3400696864111499</v>
      </c>
      <c r="L172" s="107">
        <v>1.2580373831775702</v>
      </c>
      <c r="M172" s="107">
        <v>1.3400696864111499</v>
      </c>
      <c r="N172" s="107">
        <v>1.2580373831775702</v>
      </c>
    </row>
    <row r="173" spans="1:14" s="15" customFormat="1" x14ac:dyDescent="0.3">
      <c r="A173" s="17"/>
      <c r="B173"/>
      <c r="C173"/>
      <c r="D173"/>
      <c r="E173"/>
      <c r="F173" s="50">
        <v>42461</v>
      </c>
      <c r="G173" s="53">
        <v>134.72999999999999</v>
      </c>
      <c r="H173" s="53">
        <v>134.72999999999999</v>
      </c>
      <c r="I173"/>
      <c r="J173"/>
      <c r="K173" s="107">
        <v>1.3412643106022895</v>
      </c>
      <c r="L173" s="107">
        <v>1.2591588785046728</v>
      </c>
      <c r="M173" s="107">
        <v>1.3412643106022895</v>
      </c>
      <c r="N173" s="107">
        <v>1.2591588785046728</v>
      </c>
    </row>
    <row r="174" spans="1:14" s="15" customFormat="1" x14ac:dyDescent="0.3">
      <c r="A174" s="17"/>
      <c r="B174"/>
      <c r="C174"/>
      <c r="D174"/>
      <c r="E174"/>
      <c r="F174" s="50">
        <v>42491</v>
      </c>
      <c r="G174" s="53">
        <v>134.29</v>
      </c>
      <c r="H174" s="53">
        <v>134.29</v>
      </c>
      <c r="I174"/>
      <c r="J174"/>
      <c r="K174" s="107">
        <v>1.3368840219014433</v>
      </c>
      <c r="L174" s="107">
        <v>1.2550467289719625</v>
      </c>
      <c r="M174" s="107">
        <v>1.3368840219014433</v>
      </c>
      <c r="N174" s="107">
        <v>1.2550467289719625</v>
      </c>
    </row>
    <row r="175" spans="1:14" s="15" customFormat="1" x14ac:dyDescent="0.3">
      <c r="A175" s="17"/>
      <c r="B175"/>
      <c r="C175"/>
      <c r="D175"/>
      <c r="E175"/>
      <c r="F175" s="50">
        <v>42522</v>
      </c>
      <c r="G175" s="53">
        <v>134.84</v>
      </c>
      <c r="H175" s="53">
        <v>134.84</v>
      </c>
      <c r="I175"/>
      <c r="J175"/>
      <c r="K175" s="107">
        <v>1.3423593827775013</v>
      </c>
      <c r="L175" s="107">
        <v>1.2601869158878505</v>
      </c>
      <c r="M175" s="107">
        <v>1.3423593827775013</v>
      </c>
      <c r="N175" s="107">
        <v>1.2601869158878505</v>
      </c>
    </row>
    <row r="176" spans="1:14" s="15" customFormat="1" x14ac:dyDescent="0.3">
      <c r="A176" s="17"/>
      <c r="B176"/>
      <c r="C176"/>
      <c r="D176"/>
      <c r="E176"/>
      <c r="F176" s="50">
        <v>42552</v>
      </c>
      <c r="G176" s="53">
        <v>134.61000000000001</v>
      </c>
      <c r="H176" s="53">
        <v>134.61000000000001</v>
      </c>
      <c r="I176"/>
      <c r="J176"/>
      <c r="K176" s="107">
        <v>1.3400696864111499</v>
      </c>
      <c r="L176" s="107">
        <v>1.2580373831775702</v>
      </c>
      <c r="M176" s="107">
        <v>1.3400696864111499</v>
      </c>
      <c r="N176" s="107">
        <v>1.2580373831775702</v>
      </c>
    </row>
    <row r="177" spans="1:14" s="15" customFormat="1" x14ac:dyDescent="0.3">
      <c r="A177" s="17"/>
      <c r="B177"/>
      <c r="C177"/>
      <c r="D177"/>
      <c r="E177"/>
      <c r="F177" s="50">
        <v>42583</v>
      </c>
      <c r="G177" s="53">
        <v>134</v>
      </c>
      <c r="H177" s="53">
        <v>134</v>
      </c>
      <c r="I177"/>
      <c r="J177"/>
      <c r="K177" s="107">
        <v>1.333997013439522</v>
      </c>
      <c r="L177" s="107">
        <v>1.2523364485981308</v>
      </c>
      <c r="M177" s="107">
        <v>1.333997013439522</v>
      </c>
      <c r="N177" s="107">
        <v>1.2523364485981308</v>
      </c>
    </row>
    <row r="178" spans="1:14" s="15" customFormat="1" x14ac:dyDescent="0.3">
      <c r="A178" s="17"/>
      <c r="B178"/>
      <c r="C178"/>
      <c r="D178"/>
      <c r="E178"/>
      <c r="F178" s="50">
        <v>42614</v>
      </c>
      <c r="G178" s="53">
        <v>133.75</v>
      </c>
      <c r="H178" s="53">
        <v>133.75</v>
      </c>
      <c r="I178"/>
      <c r="J178"/>
      <c r="K178" s="107">
        <v>1.3315082130413141</v>
      </c>
      <c r="L178" s="107">
        <v>1.25</v>
      </c>
      <c r="M178" s="107">
        <v>1.3315082130413141</v>
      </c>
      <c r="N178" s="107">
        <v>1.25</v>
      </c>
    </row>
    <row r="179" spans="1:14" s="15" customFormat="1" x14ac:dyDescent="0.3">
      <c r="A179" s="17"/>
      <c r="B179"/>
      <c r="C179"/>
      <c r="D179"/>
      <c r="E179"/>
      <c r="F179" s="50">
        <v>42644</v>
      </c>
      <c r="G179" s="53">
        <v>133.30000000000001</v>
      </c>
      <c r="H179" s="53">
        <v>133.30000000000001</v>
      </c>
      <c r="I179"/>
      <c r="J179"/>
      <c r="K179" s="107">
        <v>1.3270283723245397</v>
      </c>
      <c r="L179" s="107">
        <v>1.2457943925233645</v>
      </c>
      <c r="M179" s="107">
        <v>1.3270283723245397</v>
      </c>
      <c r="N179" s="107">
        <v>1.2457943925233645</v>
      </c>
    </row>
    <row r="180" spans="1:14" s="15" customFormat="1" x14ac:dyDescent="0.3">
      <c r="A180" s="17"/>
      <c r="B180"/>
      <c r="C180"/>
      <c r="D180"/>
      <c r="E180"/>
      <c r="F180" s="50">
        <v>42675</v>
      </c>
      <c r="G180" s="53">
        <v>133.02000000000001</v>
      </c>
      <c r="H180" s="53">
        <v>133.02000000000001</v>
      </c>
      <c r="I180"/>
      <c r="J180"/>
      <c r="K180" s="107">
        <v>1.3242409158785466</v>
      </c>
      <c r="L180" s="107">
        <v>1.243177570093458</v>
      </c>
      <c r="M180" s="107">
        <v>1.3242409158785466</v>
      </c>
      <c r="N180" s="107">
        <v>1.243177570093458</v>
      </c>
    </row>
    <row r="181" spans="1:14" s="15" customFormat="1" x14ac:dyDescent="0.3">
      <c r="A181" s="17"/>
      <c r="B181"/>
      <c r="C181"/>
      <c r="D181"/>
      <c r="E181"/>
      <c r="F181" s="50">
        <v>42705</v>
      </c>
      <c r="G181" s="53">
        <v>132.36000000000001</v>
      </c>
      <c r="H181" s="53">
        <v>132.36000000000001</v>
      </c>
      <c r="I181"/>
      <c r="J181"/>
      <c r="K181" s="107">
        <v>1.3176704828272774</v>
      </c>
      <c r="L181" s="107">
        <v>1.2370093457943927</v>
      </c>
      <c r="M181" s="107">
        <v>1.3176704828272774</v>
      </c>
      <c r="N181" s="107">
        <v>1.2370093457943927</v>
      </c>
    </row>
    <row r="182" spans="1:14" s="15" customFormat="1" x14ac:dyDescent="0.3">
      <c r="A182" s="17"/>
      <c r="B182"/>
      <c r="C182"/>
      <c r="D182"/>
      <c r="E182"/>
      <c r="F182" s="50">
        <v>42736</v>
      </c>
      <c r="G182" s="53">
        <v>133.37</v>
      </c>
      <c r="H182" s="53">
        <v>133.37</v>
      </c>
      <c r="I182"/>
      <c r="J182"/>
      <c r="K182" s="107">
        <v>1.3277252364360379</v>
      </c>
      <c r="L182" s="107">
        <v>1.2464485981308411</v>
      </c>
      <c r="M182" s="107">
        <v>1.3277252364360379</v>
      </c>
      <c r="N182" s="107">
        <v>1.2464485981308411</v>
      </c>
    </row>
    <row r="183" spans="1:14" s="15" customFormat="1" x14ac:dyDescent="0.3">
      <c r="A183" s="17"/>
      <c r="B183"/>
      <c r="C183"/>
      <c r="D183"/>
      <c r="E183"/>
      <c r="F183" s="50">
        <v>42767</v>
      </c>
      <c r="G183" s="53">
        <v>135.4</v>
      </c>
      <c r="H183" s="53">
        <v>135.4</v>
      </c>
      <c r="I183"/>
      <c r="J183"/>
      <c r="K183" s="107">
        <v>1.3479342956694873</v>
      </c>
      <c r="L183" s="107">
        <v>1.2654205607476636</v>
      </c>
      <c r="M183" s="107">
        <v>1.3479342956694873</v>
      </c>
      <c r="N183" s="107">
        <v>1.2654205607476636</v>
      </c>
    </row>
    <row r="184" spans="1:14" s="15" customFormat="1" x14ac:dyDescent="0.3">
      <c r="A184" s="17"/>
      <c r="B184"/>
      <c r="C184"/>
      <c r="D184"/>
      <c r="E184"/>
      <c r="F184" s="50">
        <v>42795</v>
      </c>
      <c r="G184" s="53">
        <v>135.65</v>
      </c>
      <c r="H184" s="53">
        <v>135.65</v>
      </c>
      <c r="I184"/>
      <c r="J184"/>
      <c r="K184" s="107">
        <v>1.3504230960676953</v>
      </c>
      <c r="L184" s="107">
        <v>1.2677570093457944</v>
      </c>
      <c r="M184" s="107">
        <v>1.3504230960676953</v>
      </c>
      <c r="N184" s="107">
        <v>1.2677570093457944</v>
      </c>
    </row>
    <row r="185" spans="1:14" s="15" customFormat="1" x14ac:dyDescent="0.3">
      <c r="A185" s="17"/>
      <c r="B185"/>
      <c r="C185"/>
      <c r="D185"/>
      <c r="E185"/>
      <c r="F185" s="50">
        <v>42826</v>
      </c>
      <c r="G185" s="53">
        <v>135.77000000000001</v>
      </c>
      <c r="H185" s="53">
        <v>135.77000000000001</v>
      </c>
      <c r="I185"/>
      <c r="J185"/>
      <c r="K185" s="107">
        <v>1.3516177202588353</v>
      </c>
      <c r="L185" s="107">
        <v>1.2688785046728972</v>
      </c>
      <c r="M185" s="107">
        <v>1.3516177202588353</v>
      </c>
      <c r="N185" s="107">
        <v>1.2688785046728972</v>
      </c>
    </row>
    <row r="186" spans="1:14" s="15" customFormat="1" x14ac:dyDescent="0.3">
      <c r="A186" s="17"/>
      <c r="B186"/>
      <c r="C186"/>
      <c r="D186"/>
      <c r="E186"/>
      <c r="F186" s="50">
        <v>42856</v>
      </c>
      <c r="G186" s="53">
        <v>135.16999999999999</v>
      </c>
      <c r="H186" s="53">
        <v>135.16999999999999</v>
      </c>
      <c r="I186"/>
      <c r="J186"/>
      <c r="K186" s="107">
        <v>1.3456445993031356</v>
      </c>
      <c r="L186" s="107">
        <v>1.2632710280373831</v>
      </c>
      <c r="M186" s="107">
        <v>1.3456445993031356</v>
      </c>
      <c r="N186" s="107">
        <v>1.2632710280373831</v>
      </c>
    </row>
    <row r="187" spans="1:14" s="15" customFormat="1" x14ac:dyDescent="0.3">
      <c r="A187" s="17"/>
      <c r="B187"/>
      <c r="C187"/>
      <c r="D187"/>
      <c r="E187"/>
      <c r="F187" s="50">
        <v>42887</v>
      </c>
      <c r="G187" s="53">
        <v>136.04</v>
      </c>
      <c r="H187" s="53">
        <v>136.04</v>
      </c>
      <c r="I187"/>
      <c r="J187"/>
      <c r="K187" s="107">
        <v>1.3543056246888998</v>
      </c>
      <c r="L187" s="107">
        <v>1.2714018691588784</v>
      </c>
      <c r="M187" s="107">
        <v>1.3543056246888998</v>
      </c>
      <c r="N187" s="107">
        <v>1.2714018691588784</v>
      </c>
    </row>
    <row r="188" spans="1:14" s="15" customFormat="1" x14ac:dyDescent="0.3">
      <c r="A188" s="17"/>
      <c r="B188"/>
      <c r="C188"/>
      <c r="D188"/>
      <c r="E188"/>
      <c r="F188" s="50">
        <v>42917</v>
      </c>
      <c r="G188" s="53">
        <v>136.49</v>
      </c>
      <c r="H188" s="53">
        <v>136.49</v>
      </c>
      <c r="I188"/>
      <c r="J188"/>
      <c r="K188" s="107">
        <v>1.3587854654056746</v>
      </c>
      <c r="L188" s="107">
        <v>1.2756074766355141</v>
      </c>
      <c r="M188" s="107">
        <v>1.3587854654056746</v>
      </c>
      <c r="N188" s="107">
        <v>1.2756074766355141</v>
      </c>
    </row>
    <row r="189" spans="1:14" s="15" customFormat="1" x14ac:dyDescent="0.3">
      <c r="A189" s="17"/>
      <c r="B189"/>
      <c r="C189"/>
      <c r="D189"/>
      <c r="E189"/>
      <c r="F189" s="50">
        <v>42948</v>
      </c>
      <c r="G189" s="53">
        <v>135.81</v>
      </c>
      <c r="H189" s="53">
        <v>135.81</v>
      </c>
      <c r="I189"/>
      <c r="J189"/>
      <c r="K189" s="107">
        <v>1.3520159283225486</v>
      </c>
      <c r="L189" s="107">
        <v>1.2692523364485981</v>
      </c>
      <c r="M189" s="107">
        <v>1.3520159283225486</v>
      </c>
      <c r="N189" s="107">
        <v>1.2692523364485981</v>
      </c>
    </row>
    <row r="190" spans="1:14" s="15" customFormat="1" x14ac:dyDescent="0.3">
      <c r="A190" s="17"/>
      <c r="B190"/>
      <c r="C190"/>
      <c r="D190"/>
      <c r="E190"/>
      <c r="F190" s="50">
        <v>42979</v>
      </c>
      <c r="G190" s="53">
        <v>135.49</v>
      </c>
      <c r="H190" s="53">
        <v>135.49</v>
      </c>
      <c r="I190"/>
      <c r="J190"/>
      <c r="K190" s="107">
        <v>1.3488302638128422</v>
      </c>
      <c r="L190" s="107">
        <v>1.2662616822429908</v>
      </c>
      <c r="M190" s="107">
        <v>1.3488302638128422</v>
      </c>
      <c r="N190" s="107">
        <v>1.2662616822429908</v>
      </c>
    </row>
    <row r="191" spans="1:14" s="15" customFormat="1" x14ac:dyDescent="0.3">
      <c r="A191" s="17"/>
      <c r="B191"/>
      <c r="C191"/>
      <c r="D191"/>
      <c r="E191"/>
      <c r="F191" s="50">
        <v>43009</v>
      </c>
      <c r="G191" s="53">
        <v>135.77000000000001</v>
      </c>
      <c r="H191" s="53">
        <v>135.77000000000001</v>
      </c>
      <c r="I191"/>
      <c r="J191"/>
      <c r="K191" s="107">
        <v>1.3516177202588353</v>
      </c>
      <c r="L191" s="107">
        <v>1.2688785046728972</v>
      </c>
      <c r="M191" s="107">
        <v>1.3516177202588353</v>
      </c>
      <c r="N191" s="107">
        <v>1.2688785046728972</v>
      </c>
    </row>
    <row r="192" spans="1:14" s="15" customFormat="1" x14ac:dyDescent="0.3">
      <c r="A192" s="17"/>
      <c r="B192"/>
      <c r="C192"/>
      <c r="D192"/>
      <c r="E192"/>
      <c r="F192" s="50">
        <v>43040</v>
      </c>
      <c r="G192" s="53">
        <v>135.57</v>
      </c>
      <c r="H192" s="53">
        <v>135.57</v>
      </c>
      <c r="I192"/>
      <c r="J192"/>
      <c r="K192" s="107">
        <v>1.3496266799402687</v>
      </c>
      <c r="L192" s="107">
        <v>1.2670093457943925</v>
      </c>
      <c r="M192" s="107">
        <v>1.3496266799402687</v>
      </c>
      <c r="N192" s="107">
        <v>1.2670093457943925</v>
      </c>
    </row>
    <row r="193" spans="1:14" s="15" customFormat="1" x14ac:dyDescent="0.3">
      <c r="A193" s="17"/>
      <c r="B193"/>
      <c r="C193"/>
      <c r="D193"/>
      <c r="E193"/>
      <c r="F193" s="50">
        <v>43070</v>
      </c>
      <c r="G193" s="53">
        <v>137.43</v>
      </c>
      <c r="H193" s="53">
        <v>137.43</v>
      </c>
      <c r="I193"/>
      <c r="J193"/>
      <c r="K193" s="107">
        <v>1.3681433549029367</v>
      </c>
      <c r="L193" s="107">
        <v>1.2843925233644859</v>
      </c>
      <c r="M193" s="107">
        <v>1.3681433549029367</v>
      </c>
      <c r="N193" s="107">
        <v>1.2843925233644859</v>
      </c>
    </row>
    <row r="194" spans="1:14" s="15" customFormat="1" x14ac:dyDescent="0.3">
      <c r="A194" s="17"/>
      <c r="B194"/>
      <c r="C194"/>
      <c r="D194"/>
      <c r="E194"/>
      <c r="F194" s="50">
        <v>43101</v>
      </c>
      <c r="G194" s="53">
        <v>136.85</v>
      </c>
      <c r="H194" s="53">
        <v>136.85</v>
      </c>
      <c r="I194"/>
      <c r="J194"/>
      <c r="K194" s="107">
        <v>1.362369337979094</v>
      </c>
      <c r="L194" s="107">
        <v>1.2789719626168223</v>
      </c>
      <c r="M194" s="107">
        <v>1.362369337979094</v>
      </c>
      <c r="N194" s="107">
        <v>1.2789719626168223</v>
      </c>
    </row>
    <row r="195" spans="1:14" s="15" customFormat="1" x14ac:dyDescent="0.3">
      <c r="A195" s="17"/>
      <c r="B195"/>
      <c r="C195"/>
      <c r="D195"/>
      <c r="E195"/>
      <c r="F195" s="50">
        <v>43132</v>
      </c>
      <c r="G195" s="53">
        <v>136.63999999999999</v>
      </c>
      <c r="H195" s="53">
        <v>136.63999999999999</v>
      </c>
      <c r="I195"/>
      <c r="J195"/>
      <c r="K195" s="107">
        <v>1.3602787456445991</v>
      </c>
      <c r="L195" s="107">
        <v>1.2770093457943923</v>
      </c>
      <c r="M195" s="107">
        <v>1.3602787456445991</v>
      </c>
      <c r="N195" s="107">
        <v>1.2770093457943923</v>
      </c>
    </row>
    <row r="196" spans="1:14" s="15" customFormat="1" x14ac:dyDescent="0.3">
      <c r="A196" s="17"/>
      <c r="B196"/>
      <c r="C196"/>
      <c r="D196"/>
      <c r="E196"/>
      <c r="F196" s="50">
        <v>43160</v>
      </c>
      <c r="G196" s="53">
        <v>137.26</v>
      </c>
      <c r="H196" s="53">
        <v>137.26</v>
      </c>
      <c r="I196"/>
      <c r="J196"/>
      <c r="K196" s="107">
        <v>1.3664509706321553</v>
      </c>
      <c r="L196" s="107">
        <v>1.2828037383177568</v>
      </c>
      <c r="M196" s="107">
        <v>1.3664509706321553</v>
      </c>
      <c r="N196" s="107">
        <v>1.2828037383177568</v>
      </c>
    </row>
    <row r="197" spans="1:14" s="15" customFormat="1" x14ac:dyDescent="0.3">
      <c r="A197" s="17"/>
      <c r="B197"/>
      <c r="C197"/>
      <c r="D197"/>
      <c r="E197"/>
      <c r="F197" s="50">
        <v>43191</v>
      </c>
      <c r="G197" s="53">
        <v>138.36000000000001</v>
      </c>
      <c r="H197" s="53">
        <v>138.36000000000001</v>
      </c>
      <c r="I197"/>
      <c r="J197"/>
      <c r="K197" s="107">
        <v>1.3774016923842709</v>
      </c>
      <c r="L197" s="107">
        <v>1.2930841121495329</v>
      </c>
      <c r="M197" s="107">
        <v>1.3774016923842709</v>
      </c>
      <c r="N197" s="107">
        <v>1.2930841121495329</v>
      </c>
    </row>
    <row r="198" spans="1:14" s="15" customFormat="1" x14ac:dyDescent="0.3">
      <c r="A198" s="17"/>
      <c r="B198"/>
      <c r="C198"/>
      <c r="D198"/>
      <c r="E198"/>
      <c r="F198" s="50">
        <v>43221</v>
      </c>
      <c r="G198" s="53">
        <v>133.38999999999999</v>
      </c>
      <c r="H198" s="53">
        <v>133.38999999999999</v>
      </c>
      <c r="I198"/>
      <c r="J198"/>
      <c r="K198" s="107">
        <v>1.3279243404678942</v>
      </c>
      <c r="L198" s="107">
        <v>1.2466355140186915</v>
      </c>
      <c r="M198" s="107">
        <v>1.3279243404678942</v>
      </c>
      <c r="N198" s="107">
        <v>1.2466355140186915</v>
      </c>
    </row>
    <row r="199" spans="1:14" s="15" customFormat="1" x14ac:dyDescent="0.3">
      <c r="A199" s="17"/>
      <c r="B199"/>
      <c r="C199"/>
      <c r="D199"/>
      <c r="E199"/>
      <c r="F199" s="50">
        <v>43252</v>
      </c>
      <c r="G199" s="53">
        <v>137.44</v>
      </c>
      <c r="H199" s="53">
        <v>137.44</v>
      </c>
      <c r="I199"/>
      <c r="J199"/>
      <c r="K199" s="107">
        <v>1.3682429069188651</v>
      </c>
      <c r="L199" s="107">
        <v>1.2844859813084113</v>
      </c>
      <c r="M199" s="107">
        <v>1.3682429069188651</v>
      </c>
      <c r="N199" s="107">
        <v>1.2844859813084113</v>
      </c>
    </row>
    <row r="200" spans="1:14" s="15" customFormat="1" x14ac:dyDescent="0.3">
      <c r="A200" s="17"/>
      <c r="B200"/>
      <c r="C200"/>
      <c r="D200"/>
      <c r="E200"/>
      <c r="F200" s="50">
        <v>43282</v>
      </c>
      <c r="G200" s="53">
        <v>138.04</v>
      </c>
      <c r="H200" s="53">
        <v>138.04</v>
      </c>
      <c r="I200"/>
      <c r="J200"/>
      <c r="K200" s="107">
        <v>1.3742160278745643</v>
      </c>
      <c r="L200" s="107">
        <v>1.2900934579439252</v>
      </c>
      <c r="M200" s="107">
        <v>1.3742160278745643</v>
      </c>
      <c r="N200" s="107">
        <v>1.2900934579439252</v>
      </c>
    </row>
    <row r="201" spans="1:14" s="15" customFormat="1" x14ac:dyDescent="0.3">
      <c r="A201" s="17"/>
      <c r="B201"/>
      <c r="C201"/>
      <c r="D201"/>
      <c r="E201"/>
      <c r="F201" s="50">
        <v>43313</v>
      </c>
      <c r="G201" s="53">
        <v>139.32</v>
      </c>
      <c r="H201" s="53">
        <v>139.32</v>
      </c>
      <c r="I201"/>
      <c r="J201"/>
      <c r="K201" s="107">
        <v>1.3869586859133896</v>
      </c>
      <c r="L201" s="107">
        <v>1.302056074766355</v>
      </c>
      <c r="M201" s="107">
        <v>1.3869586859133896</v>
      </c>
      <c r="N201" s="107">
        <v>1.302056074766355</v>
      </c>
    </row>
    <row r="202" spans="1:14" s="15" customFormat="1" x14ac:dyDescent="0.3">
      <c r="A202" s="17"/>
      <c r="B202"/>
      <c r="C202"/>
      <c r="D202"/>
      <c r="E202"/>
      <c r="F202" s="50">
        <v>43344</v>
      </c>
      <c r="G202" s="53">
        <v>137.99</v>
      </c>
      <c r="H202" s="53">
        <v>137.99</v>
      </c>
      <c r="I202"/>
      <c r="J202"/>
      <c r="K202" s="107">
        <v>1.3737182677949229</v>
      </c>
      <c r="L202" s="107">
        <v>1.2896261682242991</v>
      </c>
      <c r="M202" s="107">
        <v>1.3737182677949229</v>
      </c>
      <c r="N202" s="107">
        <v>1.2896261682242991</v>
      </c>
    </row>
    <row r="203" spans="1:14" s="15" customFormat="1" x14ac:dyDescent="0.3">
      <c r="A203" s="17"/>
      <c r="B203"/>
      <c r="C203"/>
      <c r="D203"/>
      <c r="E203"/>
      <c r="F203" s="50">
        <v>43374</v>
      </c>
      <c r="G203" s="53">
        <v>138.06</v>
      </c>
      <c r="H203" s="53">
        <v>138.06</v>
      </c>
      <c r="I203"/>
      <c r="J203"/>
      <c r="K203" s="107">
        <v>1.3744151319064211</v>
      </c>
      <c r="L203" s="107">
        <v>1.2902803738317756</v>
      </c>
      <c r="M203" s="107">
        <v>1.3744151319064211</v>
      </c>
      <c r="N203" s="107">
        <v>1.2902803738317756</v>
      </c>
    </row>
    <row r="204" spans="1:14" s="15" customFormat="1" x14ac:dyDescent="0.3">
      <c r="A204" s="17"/>
      <c r="B204"/>
      <c r="C204"/>
      <c r="D204"/>
      <c r="E204"/>
      <c r="F204" s="50">
        <v>43405</v>
      </c>
      <c r="G204" s="53">
        <v>137.86000000000001</v>
      </c>
      <c r="H204" s="53">
        <v>137.86000000000001</v>
      </c>
      <c r="I204"/>
      <c r="J204"/>
      <c r="K204" s="107">
        <v>1.3724240915878547</v>
      </c>
      <c r="L204" s="107">
        <v>1.2884112149532712</v>
      </c>
      <c r="M204" s="107">
        <v>1.3724240915878547</v>
      </c>
      <c r="N204" s="107">
        <v>1.2884112149532712</v>
      </c>
    </row>
    <row r="205" spans="1:14" s="15" customFormat="1" x14ac:dyDescent="0.3">
      <c r="A205" s="17"/>
      <c r="B205"/>
      <c r="C205"/>
      <c r="D205"/>
      <c r="E205"/>
      <c r="F205" s="50">
        <v>43435</v>
      </c>
      <c r="G205" s="53">
        <v>138.53</v>
      </c>
      <c r="H205" s="53">
        <v>138.53</v>
      </c>
      <c r="I205"/>
      <c r="J205"/>
      <c r="K205" s="107">
        <v>1.3790940766550523</v>
      </c>
      <c r="L205" s="107">
        <v>1.2946728971962618</v>
      </c>
      <c r="M205" s="107">
        <v>1.3790940766550523</v>
      </c>
      <c r="N205" s="107">
        <v>1.2946728971962618</v>
      </c>
    </row>
    <row r="206" spans="1:14" s="15" customFormat="1" x14ac:dyDescent="0.3">
      <c r="A206" s="17"/>
      <c r="B206"/>
      <c r="C206"/>
      <c r="D206"/>
      <c r="E206"/>
      <c r="F206" s="50">
        <v>43466</v>
      </c>
      <c r="G206" s="53">
        <v>138.47999999999999</v>
      </c>
      <c r="H206" s="53">
        <v>138.47999999999999</v>
      </c>
      <c r="I206"/>
      <c r="J206"/>
      <c r="K206" s="107">
        <v>1.3785963165754105</v>
      </c>
      <c r="L206" s="107">
        <v>1.2942056074766355</v>
      </c>
      <c r="M206" s="107">
        <v>1.3785963165754105</v>
      </c>
      <c r="N206" s="107">
        <v>1.2942056074766355</v>
      </c>
    </row>
    <row r="207" spans="1:14" s="15" customFormat="1" x14ac:dyDescent="0.3">
      <c r="A207" s="17"/>
      <c r="B207"/>
      <c r="C207"/>
      <c r="D207"/>
      <c r="E207"/>
      <c r="F207" s="50">
        <v>43497</v>
      </c>
      <c r="G207" s="53">
        <v>137.38</v>
      </c>
      <c r="H207" s="53">
        <v>137.38</v>
      </c>
      <c r="I207"/>
      <c r="J207"/>
      <c r="K207" s="107">
        <v>1.3676455948232951</v>
      </c>
      <c r="L207" s="107">
        <v>1.2839252336448597</v>
      </c>
      <c r="M207" s="107">
        <v>1.3676455948232951</v>
      </c>
      <c r="N207" s="107">
        <v>1.2839252336448597</v>
      </c>
    </row>
    <row r="208" spans="1:14" s="15" customFormat="1" x14ac:dyDescent="0.3">
      <c r="A208" s="17"/>
      <c r="B208"/>
      <c r="C208"/>
      <c r="D208"/>
      <c r="E208"/>
      <c r="F208" s="50">
        <v>43525</v>
      </c>
      <c r="G208" s="53">
        <v>138.41999999999999</v>
      </c>
      <c r="H208" s="53">
        <v>138.41999999999999</v>
      </c>
      <c r="I208"/>
      <c r="J208"/>
      <c r="K208" s="107">
        <v>1.3779990044798405</v>
      </c>
      <c r="L208" s="107">
        <v>1.2936448598130841</v>
      </c>
      <c r="M208" s="107">
        <v>1.3779990044798405</v>
      </c>
      <c r="N208" s="107">
        <v>1.2936448598130841</v>
      </c>
    </row>
    <row r="209" spans="1:14" s="15" customFormat="1" x14ac:dyDescent="0.3">
      <c r="A209" s="17"/>
      <c r="B209"/>
      <c r="C209"/>
      <c r="D209"/>
      <c r="E209"/>
      <c r="F209" s="50">
        <v>43556</v>
      </c>
      <c r="G209" s="53">
        <v>138.09</v>
      </c>
      <c r="H209" s="53">
        <v>138.09</v>
      </c>
      <c r="I209"/>
      <c r="J209"/>
      <c r="K209" s="107">
        <v>1.374713787954206</v>
      </c>
      <c r="L209" s="107">
        <v>1.2905607476635514</v>
      </c>
      <c r="M209" s="107">
        <v>1.374713787954206</v>
      </c>
      <c r="N209" s="107">
        <v>1.2905607476635514</v>
      </c>
    </row>
    <row r="210" spans="1:14" s="15" customFormat="1" x14ac:dyDescent="0.3">
      <c r="A210" s="17"/>
      <c r="B210"/>
      <c r="C210"/>
      <c r="D210"/>
      <c r="E210"/>
      <c r="F210" s="50">
        <v>43586</v>
      </c>
      <c r="G210" s="53">
        <v>138.96</v>
      </c>
      <c r="H210" s="53">
        <v>138.96</v>
      </c>
      <c r="I210"/>
      <c r="J210"/>
      <c r="K210" s="107">
        <v>1.3833748133399701</v>
      </c>
      <c r="L210" s="107">
        <v>1.2986915887850468</v>
      </c>
      <c r="M210" s="107">
        <v>1.3833748133399701</v>
      </c>
      <c r="N210" s="107">
        <v>1.2986915887850468</v>
      </c>
    </row>
    <row r="211" spans="1:14" s="15" customFormat="1" x14ac:dyDescent="0.3">
      <c r="A211" s="17"/>
      <c r="B211"/>
      <c r="C211"/>
      <c r="D211"/>
      <c r="E211"/>
      <c r="F211" s="50">
        <v>43617</v>
      </c>
      <c r="G211" s="53">
        <v>138.99</v>
      </c>
      <c r="H211" s="53">
        <v>138.99</v>
      </c>
      <c r="I211"/>
      <c r="J211"/>
      <c r="K211" s="107">
        <v>1.3836734693877553</v>
      </c>
      <c r="L211" s="107">
        <v>1.2989719626168226</v>
      </c>
      <c r="M211" s="107">
        <v>1.3836734693877553</v>
      </c>
      <c r="N211" s="107">
        <v>1.2989719626168226</v>
      </c>
    </row>
    <row r="212" spans="1:14" s="15" customFormat="1" x14ac:dyDescent="0.3">
      <c r="A212" s="17"/>
      <c r="B212"/>
      <c r="C212"/>
      <c r="D212"/>
      <c r="E212"/>
      <c r="F212" s="50">
        <v>43647</v>
      </c>
      <c r="G212" s="53">
        <v>138.56</v>
      </c>
      <c r="H212" s="53">
        <v>138.56</v>
      </c>
      <c r="I212"/>
      <c r="J212"/>
      <c r="K212" s="107">
        <v>1.3793927327028372</v>
      </c>
      <c r="L212" s="107">
        <v>1.2949532710280374</v>
      </c>
      <c r="M212" s="107">
        <v>1.3793927327028372</v>
      </c>
      <c r="N212" s="107">
        <v>1.2949532710280374</v>
      </c>
    </row>
    <row r="213" spans="1:14" s="15" customFormat="1" x14ac:dyDescent="0.3">
      <c r="A213" s="17"/>
      <c r="B213"/>
      <c r="C213"/>
      <c r="D213"/>
      <c r="E213"/>
      <c r="F213" s="50">
        <v>43678</v>
      </c>
      <c r="G213" s="53">
        <v>138.59</v>
      </c>
      <c r="H213" s="53">
        <v>138.59</v>
      </c>
      <c r="I213"/>
      <c r="J213"/>
      <c r="K213" s="107">
        <v>1.3796913887506221</v>
      </c>
      <c r="L213" s="107">
        <v>1.2952336448598132</v>
      </c>
      <c r="M213" s="107">
        <v>1.3796913887506221</v>
      </c>
      <c r="N213" s="107">
        <v>1.2952336448598132</v>
      </c>
    </row>
    <row r="214" spans="1:14" s="15" customFormat="1" x14ac:dyDescent="0.3">
      <c r="A214" s="17"/>
      <c r="B214"/>
      <c r="C214"/>
      <c r="D214"/>
      <c r="E214"/>
      <c r="F214" s="50">
        <v>43709</v>
      </c>
      <c r="G214" s="53">
        <v>139.09</v>
      </c>
      <c r="H214" s="53">
        <v>139.09</v>
      </c>
      <c r="I214"/>
      <c r="J214"/>
      <c r="K214" s="107">
        <v>1.3846689895470383</v>
      </c>
      <c r="L214" s="107">
        <v>1.2999065420560747</v>
      </c>
      <c r="M214" s="107">
        <v>1.3846689895470383</v>
      </c>
      <c r="N214" s="107">
        <v>1.2999065420560747</v>
      </c>
    </row>
    <row r="215" spans="1:14" s="15" customFormat="1" x14ac:dyDescent="0.3">
      <c r="A215" s="17"/>
      <c r="B215"/>
      <c r="C215"/>
      <c r="D215"/>
      <c r="E215"/>
      <c r="F215" s="50">
        <v>43739</v>
      </c>
      <c r="G215" s="53">
        <v>139.96</v>
      </c>
      <c r="H215" s="53">
        <v>139.96</v>
      </c>
      <c r="I215"/>
      <c r="J215"/>
      <c r="K215" s="107">
        <v>1.3933300149328025</v>
      </c>
      <c r="L215" s="107">
        <v>1.3080373831775702</v>
      </c>
      <c r="M215" s="107">
        <v>1.3933300149328025</v>
      </c>
      <c r="N215" s="107">
        <v>1.3080373831775702</v>
      </c>
    </row>
    <row r="216" spans="1:14" s="15" customFormat="1" x14ac:dyDescent="0.3">
      <c r="A216" s="17"/>
      <c r="B216"/>
      <c r="C216"/>
      <c r="D216"/>
      <c r="E216"/>
      <c r="F216" s="50">
        <v>43770</v>
      </c>
      <c r="G216" s="53">
        <v>138.79</v>
      </c>
      <c r="H216" s="53">
        <v>138.79</v>
      </c>
      <c r="I216"/>
      <c r="J216"/>
      <c r="K216" s="107">
        <v>1.3816824290691885</v>
      </c>
      <c r="L216" s="107">
        <v>1.2971028037383177</v>
      </c>
      <c r="M216" s="107">
        <v>1.3816824290691885</v>
      </c>
      <c r="N216" s="107">
        <v>1.2971028037383177</v>
      </c>
    </row>
    <row r="217" spans="1:14" s="15" customFormat="1" x14ac:dyDescent="0.3">
      <c r="A217" s="17"/>
      <c r="B217"/>
      <c r="C217"/>
      <c r="D217"/>
      <c r="E217"/>
      <c r="F217" s="50">
        <v>43800</v>
      </c>
      <c r="G217" s="53">
        <v>138.09</v>
      </c>
      <c r="H217" s="53">
        <v>138.09</v>
      </c>
      <c r="I217"/>
      <c r="J217"/>
      <c r="K217" s="107">
        <v>1.374713787954206</v>
      </c>
      <c r="L217" s="107">
        <v>1.2905607476635514</v>
      </c>
      <c r="M217" s="107">
        <v>1.374713787954206</v>
      </c>
      <c r="N217" s="107">
        <v>1.2905607476635514</v>
      </c>
    </row>
    <row r="218" spans="1:14" s="15" customFormat="1" x14ac:dyDescent="0.3">
      <c r="A218" s="17"/>
      <c r="B218"/>
      <c r="C218"/>
      <c r="D218"/>
      <c r="E218"/>
      <c r="F218" s="50">
        <v>43831</v>
      </c>
      <c r="G218" s="53">
        <v>138.83000000000001</v>
      </c>
      <c r="H218" s="53">
        <v>138.83000000000001</v>
      </c>
      <c r="I218"/>
      <c r="J218"/>
      <c r="K218" s="107">
        <v>1.382080637132902</v>
      </c>
      <c r="L218" s="107">
        <v>1.2974766355140188</v>
      </c>
      <c r="M218" s="107">
        <v>1.382080637132902</v>
      </c>
      <c r="N218" s="107">
        <v>1.2974766355140188</v>
      </c>
    </row>
    <row r="219" spans="1:14" s="15" customFormat="1" x14ac:dyDescent="0.3">
      <c r="A219" s="17"/>
      <c r="B219"/>
      <c r="C219"/>
      <c r="D219"/>
      <c r="E219"/>
      <c r="F219" s="50">
        <v>43862</v>
      </c>
      <c r="G219" s="53">
        <v>139.36000000000001</v>
      </c>
      <c r="H219" s="53">
        <v>139.36000000000001</v>
      </c>
      <c r="I219"/>
      <c r="J219"/>
      <c r="K219" s="107">
        <v>1.387356893977103</v>
      </c>
      <c r="L219" s="107">
        <v>1.3024299065420561</v>
      </c>
      <c r="M219" s="107">
        <v>1.387356893977103</v>
      </c>
      <c r="N219" s="107">
        <v>1.3024299065420561</v>
      </c>
    </row>
    <row r="220" spans="1:14" s="15" customFormat="1" x14ac:dyDescent="0.3">
      <c r="A220" s="17"/>
      <c r="B220"/>
      <c r="C220"/>
      <c r="D220"/>
      <c r="E220"/>
      <c r="F220" s="50">
        <v>43891</v>
      </c>
      <c r="G220" s="53">
        <v>132.13</v>
      </c>
      <c r="H220" s="53">
        <v>132.13</v>
      </c>
      <c r="I220"/>
      <c r="J220"/>
      <c r="K220" s="107">
        <v>1.3153807864609257</v>
      </c>
      <c r="L220" s="107">
        <v>1.2348598130841122</v>
      </c>
      <c r="M220" s="107">
        <v>1.3153807864609257</v>
      </c>
      <c r="N220" s="107">
        <v>1.2348598130841122</v>
      </c>
    </row>
    <row r="221" spans="1:14" s="15" customFormat="1" x14ac:dyDescent="0.3">
      <c r="A221" s="17"/>
      <c r="B221"/>
      <c r="C221"/>
      <c r="D221"/>
      <c r="E221"/>
      <c r="F221" s="50">
        <v>43922</v>
      </c>
      <c r="G221" s="53">
        <v>118.98</v>
      </c>
      <c r="H221" s="53">
        <v>118.98</v>
      </c>
      <c r="I221"/>
      <c r="J221"/>
      <c r="K221" s="107">
        <v>1.1844698855151816</v>
      </c>
      <c r="L221" s="107">
        <v>1.1119626168224299</v>
      </c>
      <c r="M221" s="107">
        <v>1.1844698855151816</v>
      </c>
      <c r="N221" s="107">
        <v>1.1119626168224299</v>
      </c>
    </row>
    <row r="222" spans="1:14" s="15" customFormat="1" x14ac:dyDescent="0.3">
      <c r="A222" s="17"/>
      <c r="B222"/>
      <c r="C222"/>
      <c r="D222"/>
      <c r="E222"/>
      <c r="F222" s="50">
        <v>43952</v>
      </c>
      <c r="G222" s="53">
        <v>121.47</v>
      </c>
      <c r="H222" s="53">
        <v>121.47</v>
      </c>
      <c r="I222"/>
      <c r="J222"/>
      <c r="K222" s="107">
        <v>1.2092583374813339</v>
      </c>
      <c r="L222" s="107">
        <v>1.135233644859813</v>
      </c>
      <c r="M222" s="107">
        <v>1.2092583374813339</v>
      </c>
      <c r="N222" s="107">
        <v>1.135233644859813</v>
      </c>
    </row>
    <row r="223" spans="1:14" s="15" customFormat="1" x14ac:dyDescent="0.3">
      <c r="A223" s="17"/>
      <c r="B223"/>
      <c r="C223"/>
      <c r="D223"/>
      <c r="E223"/>
      <c r="F223" s="50">
        <v>43983</v>
      </c>
      <c r="G223" s="53">
        <v>127.62</v>
      </c>
      <c r="H223" s="53">
        <v>127.62</v>
      </c>
      <c r="I223"/>
      <c r="J223"/>
      <c r="K223" s="107">
        <v>1.2704828272772524</v>
      </c>
      <c r="L223" s="107">
        <v>1.1927102803738319</v>
      </c>
      <c r="M223" s="107">
        <v>1.2704828272772524</v>
      </c>
      <c r="N223" s="107">
        <v>1.1927102803738319</v>
      </c>
    </row>
    <row r="224" spans="1:14" s="15" customFormat="1" x14ac:dyDescent="0.3">
      <c r="A224" s="17"/>
      <c r="B224"/>
      <c r="C224"/>
      <c r="D224"/>
      <c r="E224"/>
      <c r="F224" s="50">
        <v>44013</v>
      </c>
      <c r="G224" s="53">
        <v>131.76</v>
      </c>
      <c r="H224" s="53">
        <v>131.76</v>
      </c>
      <c r="I224"/>
      <c r="J224"/>
      <c r="K224" s="107">
        <v>1.3116973618715777</v>
      </c>
      <c r="L224" s="107">
        <v>1.2314018691588784</v>
      </c>
      <c r="M224" s="107">
        <v>1.3116973618715777</v>
      </c>
      <c r="N224" s="107">
        <v>1.2314018691588784</v>
      </c>
    </row>
    <row r="225" spans="1:14" s="15" customFormat="1" x14ac:dyDescent="0.3">
      <c r="A225" s="17"/>
      <c r="B225"/>
      <c r="C225"/>
      <c r="D225"/>
      <c r="E225"/>
      <c r="F225" s="50">
        <v>44044</v>
      </c>
      <c r="G225" s="53">
        <v>134.5</v>
      </c>
      <c r="H225" s="53">
        <v>134.5</v>
      </c>
      <c r="I225"/>
      <c r="J225"/>
      <c r="K225" s="107">
        <v>1.3389746142359382</v>
      </c>
      <c r="L225" s="107">
        <v>1.2570093457943925</v>
      </c>
      <c r="M225" s="107">
        <v>1.3389746142359382</v>
      </c>
      <c r="N225" s="107">
        <v>1.2570093457943925</v>
      </c>
    </row>
    <row r="226" spans="1:14" s="15" customFormat="1" x14ac:dyDescent="0.3">
      <c r="A226" s="17"/>
      <c r="B226"/>
      <c r="C226"/>
      <c r="D226"/>
      <c r="E226"/>
      <c r="F226" s="50">
        <v>44075</v>
      </c>
      <c r="G226" s="53">
        <v>136.44</v>
      </c>
      <c r="H226" s="53">
        <v>136.44</v>
      </c>
      <c r="I226"/>
      <c r="J226"/>
      <c r="K226" s="107">
        <v>1.3582877053260327</v>
      </c>
      <c r="L226" s="107">
        <v>1.2751401869158878</v>
      </c>
      <c r="M226" s="107">
        <v>1.3582877053260327</v>
      </c>
      <c r="N226" s="107">
        <v>1.2751401869158878</v>
      </c>
    </row>
    <row r="227" spans="1:14" s="15" customFormat="1" x14ac:dyDescent="0.3">
      <c r="A227" s="17"/>
      <c r="B227"/>
      <c r="C227"/>
      <c r="D227"/>
      <c r="E227"/>
      <c r="F227" s="50">
        <v>44105</v>
      </c>
      <c r="G227" s="53">
        <v>138.36000000000001</v>
      </c>
      <c r="H227" s="53">
        <v>138.36000000000001</v>
      </c>
      <c r="I227"/>
      <c r="J227"/>
      <c r="K227" s="107">
        <v>1.3774016923842709</v>
      </c>
      <c r="L227" s="107">
        <v>1.2930841121495329</v>
      </c>
      <c r="M227" s="107">
        <v>1.3774016923842709</v>
      </c>
      <c r="N227" s="107">
        <v>1.2930841121495329</v>
      </c>
    </row>
    <row r="228" spans="1:14" s="15" customFormat="1" x14ac:dyDescent="0.3">
      <c r="A228" s="17"/>
      <c r="B228"/>
      <c r="C228"/>
      <c r="D228"/>
      <c r="E228"/>
      <c r="F228" s="50">
        <v>44136</v>
      </c>
      <c r="G228" s="53">
        <v>137.9</v>
      </c>
      <c r="H228" s="53">
        <v>137.9</v>
      </c>
      <c r="I228"/>
      <c r="J228"/>
      <c r="K228" s="107">
        <v>1.372822299651568</v>
      </c>
      <c r="L228" s="107">
        <v>1.2887850467289721</v>
      </c>
      <c r="M228" s="107">
        <v>1.372822299651568</v>
      </c>
      <c r="N228" s="107">
        <v>1.2887850467289721</v>
      </c>
    </row>
    <row r="229" spans="1:14" s="15" customFormat="1" x14ac:dyDescent="0.3">
      <c r="A229" s="17"/>
      <c r="B229"/>
      <c r="C229"/>
      <c r="D229"/>
      <c r="E229"/>
      <c r="F229" s="50">
        <v>44166</v>
      </c>
      <c r="G229" s="53">
        <v>138.19</v>
      </c>
      <c r="H229" s="53">
        <v>138.19</v>
      </c>
      <c r="I229"/>
      <c r="J229"/>
      <c r="K229" s="107">
        <v>1.3757093081134892</v>
      </c>
      <c r="L229" s="107">
        <v>1.2914953271028038</v>
      </c>
      <c r="M229" s="107">
        <v>1.3757093081134892</v>
      </c>
      <c r="N229" s="107">
        <v>1.2914953271028038</v>
      </c>
    </row>
    <row r="230" spans="1:14" s="15" customFormat="1" x14ac:dyDescent="0.3">
      <c r="A230" s="17"/>
      <c r="B230"/>
      <c r="C230"/>
      <c r="D230"/>
      <c r="E230"/>
      <c r="F230" s="50">
        <v>44197</v>
      </c>
      <c r="G230" s="53">
        <v>139.01</v>
      </c>
      <c r="H230" s="53">
        <v>139.01</v>
      </c>
      <c r="I230"/>
      <c r="J230"/>
      <c r="K230" s="107">
        <v>1.3838725734196116</v>
      </c>
      <c r="L230" s="107">
        <v>1.2991588785046728</v>
      </c>
      <c r="M230" s="107">
        <v>1.3838725734196116</v>
      </c>
      <c r="N230" s="107">
        <v>1.2991588785046728</v>
      </c>
    </row>
    <row r="231" spans="1:14" s="15" customFormat="1" x14ac:dyDescent="0.3">
      <c r="A231" s="17"/>
      <c r="B231"/>
      <c r="C231"/>
      <c r="D231"/>
      <c r="E231"/>
      <c r="F231" s="50">
        <v>44228</v>
      </c>
      <c r="G231" s="53">
        <v>141.1</v>
      </c>
      <c r="H231" s="53">
        <v>141.1</v>
      </c>
      <c r="I231"/>
      <c r="J231"/>
      <c r="K231" s="107">
        <v>1.404678944748631</v>
      </c>
      <c r="L231" s="107">
        <v>1.3186915887850468</v>
      </c>
      <c r="M231" s="107">
        <v>1.404678944748631</v>
      </c>
      <c r="N231" s="107">
        <v>1.3186915887850468</v>
      </c>
    </row>
    <row r="232" spans="1:14" s="15" customFormat="1" x14ac:dyDescent="0.3">
      <c r="A232" s="17"/>
      <c r="B232"/>
      <c r="C232"/>
      <c r="D232"/>
      <c r="E232"/>
      <c r="F232" s="50">
        <v>44256</v>
      </c>
      <c r="G232" s="53">
        <v>138.85</v>
      </c>
      <c r="H232" s="53">
        <v>138.85</v>
      </c>
      <c r="I232"/>
      <c r="J232"/>
      <c r="K232" s="107">
        <v>1.3822797411647585</v>
      </c>
      <c r="L232" s="107">
        <v>1.2976635514018691</v>
      </c>
      <c r="M232" s="107">
        <v>1.3822797411647585</v>
      </c>
      <c r="N232" s="107">
        <v>1.2976635514018691</v>
      </c>
    </row>
    <row r="233" spans="1:14" s="15" customFormat="1" x14ac:dyDescent="0.3">
      <c r="A233" s="17"/>
      <c r="B233"/>
      <c r="C233"/>
      <c r="D233"/>
      <c r="E233"/>
      <c r="F233" s="50">
        <v>44287</v>
      </c>
      <c r="G233" s="53">
        <v>139.22999999999999</v>
      </c>
      <c r="H233" s="53">
        <v>139.22999999999999</v>
      </c>
      <c r="I233"/>
      <c r="J233"/>
      <c r="K233" s="107">
        <v>1.3860627177700346</v>
      </c>
      <c r="L233" s="107">
        <v>1.301214953271028</v>
      </c>
      <c r="M233" s="107">
        <v>1.3860627177700346</v>
      </c>
      <c r="N233" s="107">
        <v>1.301214953271028</v>
      </c>
    </row>
    <row r="234" spans="1:14" s="15" customFormat="1" x14ac:dyDescent="0.3">
      <c r="A234" s="17"/>
      <c r="B234"/>
      <c r="C234"/>
      <c r="D234"/>
      <c r="E234"/>
      <c r="F234" s="50">
        <v>44317</v>
      </c>
      <c r="G234" s="53">
        <v>139.28</v>
      </c>
      <c r="H234" s="53">
        <v>139.28</v>
      </c>
      <c r="I234"/>
      <c r="J234"/>
      <c r="K234" s="107">
        <v>1.3865604778496765</v>
      </c>
      <c r="L234" s="107">
        <v>1.3016822429906543</v>
      </c>
      <c r="M234" s="107">
        <v>1.3865604778496765</v>
      </c>
      <c r="N234" s="107">
        <v>1.3016822429906543</v>
      </c>
    </row>
    <row r="235" spans="1:14" s="15" customFormat="1" x14ac:dyDescent="0.3">
      <c r="A235" s="17"/>
      <c r="B235"/>
      <c r="C235"/>
      <c r="D235"/>
      <c r="E235"/>
      <c r="F235" s="50">
        <v>44348</v>
      </c>
      <c r="G235" s="53">
        <v>139.53</v>
      </c>
      <c r="H235" s="53">
        <v>139.53</v>
      </c>
      <c r="I235"/>
      <c r="J235"/>
      <c r="K235" s="107">
        <v>1.3890492782478845</v>
      </c>
      <c r="L235" s="107">
        <v>1.304018691588785</v>
      </c>
      <c r="M235" s="107">
        <v>1.3890492782478845</v>
      </c>
      <c r="N235" s="107">
        <v>1.304018691588785</v>
      </c>
    </row>
    <row r="236" spans="1:14" s="15" customFormat="1" x14ac:dyDescent="0.3">
      <c r="A236" s="17"/>
      <c r="B236"/>
      <c r="C236"/>
      <c r="D236"/>
      <c r="E236"/>
      <c r="F236" s="50">
        <v>44378</v>
      </c>
      <c r="G236" s="53">
        <v>139.36000000000001</v>
      </c>
      <c r="H236" s="53">
        <v>139.36000000000001</v>
      </c>
      <c r="I236"/>
      <c r="J236"/>
      <c r="K236" s="107">
        <v>1.387356893977103</v>
      </c>
      <c r="L236" s="107">
        <v>1.3024299065420561</v>
      </c>
      <c r="M236" s="107">
        <v>1.387356893977103</v>
      </c>
      <c r="N236" s="107">
        <v>1.3024299065420561</v>
      </c>
    </row>
    <row r="237" spans="1:14" s="15" customFormat="1" x14ac:dyDescent="0.3">
      <c r="A237" s="17"/>
      <c r="B237"/>
      <c r="C237"/>
      <c r="D237"/>
      <c r="E237"/>
      <c r="F237" s="50">
        <v>44409</v>
      </c>
      <c r="G237" s="53">
        <v>139.5</v>
      </c>
      <c r="H237" s="53">
        <v>139.5</v>
      </c>
      <c r="I237"/>
      <c r="J237"/>
      <c r="K237" s="107">
        <v>1.3887506222000996</v>
      </c>
      <c r="L237" s="107">
        <v>1.3037383177570094</v>
      </c>
      <c r="M237" s="107">
        <v>1.3887506222000996</v>
      </c>
      <c r="N237" s="107">
        <v>1.3037383177570094</v>
      </c>
    </row>
    <row r="238" spans="1:14" s="15" customFormat="1" x14ac:dyDescent="0.3">
      <c r="A238" s="17"/>
      <c r="B238"/>
      <c r="C238"/>
      <c r="D238"/>
      <c r="E238"/>
      <c r="F238" s="50">
        <v>44440</v>
      </c>
      <c r="G238" s="53">
        <v>138.69999999999999</v>
      </c>
      <c r="H238" s="53">
        <v>138.69999999999999</v>
      </c>
      <c r="I238"/>
      <c r="J238"/>
      <c r="K238" s="107">
        <v>1.3807864609258336</v>
      </c>
      <c r="L238" s="107">
        <v>1.2962616822429907</v>
      </c>
      <c r="M238" s="107">
        <v>1.3807864609258336</v>
      </c>
      <c r="N238" s="107">
        <v>1.2962616822429907</v>
      </c>
    </row>
    <row r="239" spans="1:14" s="15" customFormat="1" x14ac:dyDescent="0.3">
      <c r="A239" s="17"/>
      <c r="B239"/>
      <c r="C239"/>
      <c r="D239"/>
      <c r="E239"/>
      <c r="F239" s="50">
        <v>44470</v>
      </c>
      <c r="G239" s="53">
        <v>138.77000000000001</v>
      </c>
      <c r="H239" s="53">
        <v>138.77000000000001</v>
      </c>
      <c r="I239"/>
      <c r="J239"/>
      <c r="K239" s="107">
        <v>1.3814833250373322</v>
      </c>
      <c r="L239" s="107">
        <v>1.2969158878504674</v>
      </c>
      <c r="M239" s="107">
        <v>1.3814833250373322</v>
      </c>
      <c r="N239" s="107">
        <v>1.2969158878504674</v>
      </c>
    </row>
    <row r="240" spans="1:14" s="15" customFormat="1" x14ac:dyDescent="0.3">
      <c r="A240" s="17"/>
      <c r="B240"/>
      <c r="C240"/>
      <c r="D240"/>
      <c r="E240"/>
      <c r="F240" s="50">
        <v>44501</v>
      </c>
      <c r="G240" s="53">
        <v>139.4</v>
      </c>
      <c r="H240" s="53">
        <v>139.4</v>
      </c>
      <c r="I240"/>
      <c r="J240"/>
      <c r="K240" s="107">
        <v>1.3877551020408163</v>
      </c>
      <c r="L240" s="107">
        <v>1.3028037383177571</v>
      </c>
      <c r="M240" s="107">
        <v>1.3877551020408163</v>
      </c>
      <c r="N240" s="107">
        <v>1.3028037383177571</v>
      </c>
    </row>
    <row r="241" spans="1:14" s="15" customFormat="1" x14ac:dyDescent="0.3">
      <c r="A241" s="17"/>
      <c r="B241"/>
      <c r="C241"/>
      <c r="D241"/>
      <c r="E241"/>
      <c r="F241" s="50">
        <v>44531</v>
      </c>
      <c r="G241" s="53">
        <v>139.85</v>
      </c>
      <c r="H241" s="53">
        <v>139.85</v>
      </c>
      <c r="I241"/>
      <c r="J241"/>
      <c r="K241" s="107">
        <v>1.3922349427575909</v>
      </c>
      <c r="L241" s="107">
        <v>1.3070093457943925</v>
      </c>
      <c r="M241" s="107">
        <v>1.3922349427575909</v>
      </c>
      <c r="N241" s="107">
        <v>1.3070093457943925</v>
      </c>
    </row>
    <row r="242" spans="1:14" s="15" customFormat="1" x14ac:dyDescent="0.3">
      <c r="A242" s="17"/>
      <c r="B242"/>
      <c r="C242"/>
      <c r="D242"/>
      <c r="E242"/>
      <c r="F242" s="50">
        <v>44562</v>
      </c>
      <c r="G242" s="53">
        <v>138.83000000000001</v>
      </c>
      <c r="H242" s="53">
        <v>138.83000000000001</v>
      </c>
      <c r="I242"/>
      <c r="J242"/>
      <c r="K242" s="107">
        <v>1.382080637132902</v>
      </c>
      <c r="L242" s="107">
        <v>1.2974766355140188</v>
      </c>
      <c r="M242" s="107">
        <v>1.382080637132902</v>
      </c>
      <c r="N242" s="107">
        <v>1.2974766355140188</v>
      </c>
    </row>
    <row r="243" spans="1:14" s="15" customFormat="1" x14ac:dyDescent="0.3">
      <c r="A243" s="17"/>
      <c r="B243"/>
      <c r="C243"/>
      <c r="D243"/>
      <c r="E243"/>
      <c r="F243" s="50">
        <v>44593</v>
      </c>
      <c r="G243" s="53">
        <v>139.30000000000001</v>
      </c>
      <c r="H243" s="53">
        <v>139.30000000000001</v>
      </c>
      <c r="I243"/>
      <c r="J243"/>
      <c r="K243" s="107">
        <v>1.3867595818815333</v>
      </c>
      <c r="L243" s="107">
        <v>1.3018691588785047</v>
      </c>
      <c r="M243" s="107">
        <v>1.3867595818815333</v>
      </c>
      <c r="N243" s="107">
        <v>1.3018691588785047</v>
      </c>
    </row>
    <row r="244" spans="1:14" s="15" customFormat="1" x14ac:dyDescent="0.3">
      <c r="A244" s="17"/>
      <c r="B244"/>
      <c r="C244"/>
      <c r="D244"/>
      <c r="E244"/>
      <c r="F244"/>
      <c r="G244"/>
      <c r="H244"/>
      <c r="I244"/>
      <c r="J244"/>
      <c r="K244" s="54"/>
      <c r="L244" s="54"/>
      <c r="M244" s="54"/>
    </row>
    <row r="245" spans="1:14" s="15" customFormat="1" x14ac:dyDescent="0.3">
      <c r="A245" s="17"/>
      <c r="B245"/>
      <c r="C245"/>
      <c r="D245"/>
      <c r="E245"/>
      <c r="F245"/>
      <c r="G245"/>
      <c r="H245"/>
      <c r="I245"/>
      <c r="J245"/>
      <c r="K245" s="54"/>
      <c r="L245" s="54"/>
      <c r="M245" s="54"/>
      <c r="N245"/>
    </row>
    <row r="246" spans="1:14" s="15" customFormat="1" x14ac:dyDescent="0.3">
      <c r="A246" s="17"/>
      <c r="B246"/>
      <c r="C246"/>
      <c r="D246"/>
      <c r="E246"/>
      <c r="F246"/>
      <c r="G246"/>
      <c r="H246"/>
      <c r="I246"/>
      <c r="J246"/>
      <c r="K246" s="54"/>
      <c r="L246" s="54"/>
      <c r="M246" s="54"/>
    </row>
    <row r="247" spans="1:14" s="15" customFormat="1" x14ac:dyDescent="0.3">
      <c r="A247" s="17"/>
      <c r="B247"/>
      <c r="C247"/>
      <c r="D247"/>
      <c r="E247"/>
      <c r="F247"/>
      <c r="G247"/>
      <c r="H247"/>
      <c r="I247"/>
      <c r="J247"/>
      <c r="K247" s="54"/>
      <c r="L247" s="54"/>
      <c r="M247" s="54"/>
    </row>
    <row r="248" spans="1:14" s="15" customFormat="1" x14ac:dyDescent="0.3">
      <c r="A248" s="17"/>
      <c r="B248"/>
      <c r="C248"/>
      <c r="D248"/>
      <c r="E248"/>
      <c r="F248"/>
      <c r="G248"/>
      <c r="H248"/>
      <c r="I248"/>
      <c r="J248"/>
      <c r="K248" s="27"/>
      <c r="L248" s="27"/>
      <c r="M248" s="27"/>
    </row>
    <row r="249" spans="1:14" s="15" customFormat="1" x14ac:dyDescent="0.3">
      <c r="A249" s="17"/>
      <c r="B249"/>
      <c r="C249"/>
      <c r="D249"/>
      <c r="E249"/>
      <c r="F249"/>
      <c r="G249"/>
      <c r="H249"/>
      <c r="I249"/>
      <c r="J249"/>
      <c r="K249" s="27"/>
      <c r="L249" s="27"/>
      <c r="M249" s="27"/>
    </row>
    <row r="250" spans="1:14" s="15" customFormat="1" x14ac:dyDescent="0.3">
      <c r="A250" s="17"/>
      <c r="B250"/>
      <c r="C250"/>
      <c r="D250"/>
      <c r="E250"/>
      <c r="F250"/>
      <c r="G250"/>
      <c r="H250"/>
      <c r="I250"/>
      <c r="J250"/>
      <c r="K250" s="27"/>
      <c r="L250" s="27"/>
      <c r="M250" s="27"/>
    </row>
    <row r="251" spans="1:14" s="15" customFormat="1" x14ac:dyDescent="0.3">
      <c r="A251" s="17"/>
      <c r="B251"/>
      <c r="C251"/>
      <c r="D251"/>
      <c r="E251"/>
      <c r="F251"/>
      <c r="G251"/>
      <c r="H251"/>
      <c r="I251"/>
      <c r="J251"/>
      <c r="K251" s="27"/>
      <c r="L251" s="27"/>
      <c r="M251" s="27"/>
    </row>
    <row r="252" spans="1:14" s="15" customFormat="1" x14ac:dyDescent="0.3">
      <c r="A252" s="17"/>
      <c r="B252"/>
      <c r="C252"/>
      <c r="D252"/>
      <c r="E252"/>
      <c r="F252"/>
      <c r="G252"/>
      <c r="H252"/>
      <c r="I252"/>
      <c r="J252"/>
      <c r="K252" s="27"/>
      <c r="L252" s="27"/>
      <c r="M252" s="27"/>
    </row>
    <row r="253" spans="1:14" s="15" customFormat="1" x14ac:dyDescent="0.3">
      <c r="A253" s="17"/>
      <c r="B253"/>
      <c r="C253"/>
      <c r="D253"/>
      <c r="E253"/>
      <c r="F253"/>
      <c r="G253"/>
      <c r="H253"/>
      <c r="I253"/>
      <c r="J253"/>
      <c r="K253" s="27"/>
      <c r="L253" s="27"/>
      <c r="M253" s="27"/>
    </row>
    <row r="254" spans="1:14" s="15" customFormat="1" x14ac:dyDescent="0.3">
      <c r="A254" s="17"/>
      <c r="B254"/>
      <c r="C254"/>
      <c r="D254"/>
      <c r="E254"/>
      <c r="F254"/>
      <c r="G254"/>
      <c r="H254"/>
      <c r="I254"/>
      <c r="J254"/>
      <c r="K254" s="27"/>
      <c r="L254" s="27"/>
      <c r="M254" s="27"/>
    </row>
    <row r="255" spans="1:14" s="15" customFormat="1" x14ac:dyDescent="0.3">
      <c r="A255" s="17"/>
      <c r="B255"/>
      <c r="C255"/>
      <c r="D255"/>
      <c r="E255"/>
      <c r="F255"/>
      <c r="G255"/>
      <c r="H255"/>
      <c r="I255"/>
      <c r="J255"/>
      <c r="K255" s="27"/>
      <c r="L255" s="27"/>
      <c r="M255" s="27"/>
    </row>
    <row r="256" spans="1:14" s="15" customFormat="1" x14ac:dyDescent="0.3">
      <c r="A256" s="17"/>
      <c r="B256"/>
      <c r="C256"/>
      <c r="D256"/>
      <c r="E256"/>
      <c r="F256"/>
      <c r="G256"/>
      <c r="H256"/>
      <c r="I256"/>
      <c r="J256"/>
      <c r="K256" s="27"/>
      <c r="L256" s="27"/>
      <c r="M256" s="27"/>
    </row>
    <row r="257" spans="1:13" s="15" customFormat="1" x14ac:dyDescent="0.3">
      <c r="A257" s="17"/>
      <c r="B257"/>
      <c r="C257"/>
      <c r="D257"/>
      <c r="E257"/>
      <c r="F257"/>
      <c r="G257"/>
      <c r="H257"/>
      <c r="I257"/>
      <c r="J257"/>
      <c r="K257" s="27"/>
      <c r="L257" s="27"/>
      <c r="M257" s="27"/>
    </row>
    <row r="258" spans="1:13" s="15" customFormat="1" x14ac:dyDescent="0.3">
      <c r="A258" s="17"/>
      <c r="B258"/>
      <c r="C258"/>
      <c r="D258"/>
      <c r="E258"/>
      <c r="F258"/>
      <c r="G258"/>
      <c r="H258"/>
      <c r="I258"/>
      <c r="J258"/>
      <c r="K258" s="27"/>
      <c r="L258" s="27"/>
      <c r="M258" s="27"/>
    </row>
    <row r="259" spans="1:13" s="15" customFormat="1" x14ac:dyDescent="0.3">
      <c r="A259" s="17"/>
      <c r="B259"/>
      <c r="C259"/>
      <c r="D259"/>
      <c r="E259"/>
      <c r="F259"/>
      <c r="G259"/>
      <c r="H259"/>
      <c r="I259"/>
      <c r="J259"/>
      <c r="K259" s="27"/>
      <c r="L259" s="27"/>
      <c r="M259" s="27"/>
    </row>
    <row r="260" spans="1:13" s="15" customFormat="1" x14ac:dyDescent="0.3">
      <c r="A260" s="17"/>
      <c r="B260"/>
      <c r="C260"/>
      <c r="D260"/>
      <c r="E260"/>
      <c r="F260"/>
      <c r="G260"/>
      <c r="H260"/>
      <c r="I260"/>
      <c r="J260"/>
      <c r="K260" s="27"/>
      <c r="L260" s="27"/>
      <c r="M260" s="27"/>
    </row>
    <row r="261" spans="1:13" s="15" customFormat="1" x14ac:dyDescent="0.3">
      <c r="A261" s="17"/>
      <c r="B261"/>
      <c r="C261"/>
      <c r="D261"/>
      <c r="E261"/>
      <c r="F261"/>
      <c r="G261"/>
      <c r="H261"/>
      <c r="I261"/>
      <c r="J261"/>
      <c r="K261" s="27"/>
      <c r="L261" s="27"/>
      <c r="M261" s="27"/>
    </row>
    <row r="262" spans="1:13" s="15" customFormat="1" x14ac:dyDescent="0.3">
      <c r="A262" s="17"/>
      <c r="B262"/>
      <c r="C262"/>
      <c r="D262"/>
      <c r="E262"/>
      <c r="F262"/>
      <c r="G262"/>
      <c r="H262"/>
      <c r="I262"/>
      <c r="J262"/>
      <c r="K262" s="27"/>
      <c r="L262" s="27"/>
      <c r="M262" s="27"/>
    </row>
    <row r="263" spans="1:13" s="15" customFormat="1" x14ac:dyDescent="0.3">
      <c r="A263" s="17"/>
      <c r="B263"/>
      <c r="C263"/>
      <c r="D263"/>
      <c r="E263"/>
      <c r="F263"/>
      <c r="G263"/>
      <c r="H263"/>
      <c r="I263"/>
      <c r="J263"/>
      <c r="K263" s="27"/>
      <c r="L263" s="27"/>
      <c r="M263" s="27"/>
    </row>
    <row r="264" spans="1:13" s="15" customFormat="1" x14ac:dyDescent="0.3">
      <c r="A264" s="17"/>
      <c r="B264"/>
      <c r="C264"/>
      <c r="D264"/>
      <c r="E264"/>
      <c r="F264"/>
      <c r="G264"/>
      <c r="H264"/>
      <c r="I264"/>
      <c r="J264"/>
      <c r="K264" s="27"/>
      <c r="L264" s="27"/>
      <c r="M264" s="27"/>
    </row>
    <row r="265" spans="1:13" s="15" customFormat="1" x14ac:dyDescent="0.3">
      <c r="A265" s="17"/>
      <c r="B265"/>
      <c r="C265"/>
      <c r="D265"/>
      <c r="E265"/>
      <c r="F265"/>
      <c r="G265"/>
      <c r="H265"/>
      <c r="I265"/>
      <c r="J265"/>
      <c r="K265" s="27"/>
      <c r="L265" s="27"/>
      <c r="M265" s="27"/>
    </row>
    <row r="266" spans="1:13" s="15" customFormat="1" x14ac:dyDescent="0.3">
      <c r="A266" s="17"/>
      <c r="B266"/>
      <c r="C266"/>
      <c r="D266"/>
      <c r="E266"/>
      <c r="F266"/>
      <c r="G266"/>
      <c r="H266"/>
      <c r="I266"/>
      <c r="J266"/>
      <c r="K266" s="27"/>
      <c r="L266" s="27"/>
      <c r="M266" s="27"/>
    </row>
    <row r="267" spans="1:13" s="15" customFormat="1" x14ac:dyDescent="0.3">
      <c r="A267" s="17"/>
      <c r="B267"/>
      <c r="C267"/>
      <c r="D267"/>
      <c r="E267"/>
      <c r="F267"/>
      <c r="G267"/>
      <c r="H267"/>
      <c r="I267"/>
      <c r="J267"/>
      <c r="K267" s="27"/>
      <c r="L267" s="27"/>
      <c r="M267" s="27"/>
    </row>
    <row r="268" spans="1:13" s="15" customFormat="1" x14ac:dyDescent="0.3">
      <c r="A268" s="17"/>
      <c r="B268"/>
      <c r="C268"/>
      <c r="D268"/>
      <c r="E268"/>
      <c r="F268"/>
      <c r="G268"/>
      <c r="H268"/>
      <c r="I268"/>
      <c r="J268"/>
      <c r="K268" s="27"/>
      <c r="L268" s="27"/>
      <c r="M268" s="27"/>
    </row>
    <row r="269" spans="1:13" s="15" customFormat="1" x14ac:dyDescent="0.3">
      <c r="A269" s="17"/>
      <c r="B269"/>
      <c r="C269"/>
      <c r="D269"/>
      <c r="E269"/>
      <c r="F269"/>
      <c r="G269"/>
      <c r="H269"/>
      <c r="I269"/>
      <c r="J269"/>
      <c r="K269" s="27"/>
      <c r="L269" s="27"/>
      <c r="M269" s="27"/>
    </row>
    <row r="270" spans="1:13" s="15" customFormat="1" x14ac:dyDescent="0.3">
      <c r="A270" s="17"/>
      <c r="B270"/>
      <c r="C270"/>
      <c r="D270"/>
      <c r="E270"/>
      <c r="F270"/>
      <c r="G270"/>
      <c r="H270"/>
      <c r="I270"/>
      <c r="J270"/>
      <c r="K270" s="27"/>
      <c r="L270" s="27"/>
      <c r="M270" s="27"/>
    </row>
    <row r="271" spans="1:13" s="15" customFormat="1" x14ac:dyDescent="0.3">
      <c r="A271" s="17"/>
      <c r="B271"/>
      <c r="C271"/>
      <c r="D271"/>
      <c r="E271"/>
      <c r="F271"/>
      <c r="G271"/>
      <c r="H271"/>
      <c r="I271"/>
      <c r="J271"/>
      <c r="K271" s="27"/>
      <c r="L271" s="27"/>
      <c r="M271" s="27"/>
    </row>
    <row r="272" spans="1:13" s="15" customFormat="1" x14ac:dyDescent="0.3">
      <c r="A272" s="17"/>
      <c r="B272"/>
      <c r="C272"/>
      <c r="D272"/>
      <c r="E272"/>
      <c r="F272"/>
      <c r="G272"/>
      <c r="H272"/>
      <c r="I272"/>
      <c r="J272"/>
      <c r="K272" s="27"/>
      <c r="L272" s="27"/>
      <c r="M272" s="27"/>
    </row>
    <row r="273" spans="1:13" s="15" customFormat="1" x14ac:dyDescent="0.3">
      <c r="A273" s="17"/>
      <c r="B273"/>
      <c r="C273"/>
      <c r="D273"/>
      <c r="E273"/>
      <c r="F273"/>
      <c r="G273"/>
      <c r="H273"/>
      <c r="I273"/>
      <c r="J273"/>
      <c r="K273" s="27"/>
      <c r="L273" s="27"/>
      <c r="M273" s="27"/>
    </row>
    <row r="274" spans="1:13" s="15" customFormat="1" x14ac:dyDescent="0.3">
      <c r="A274" s="17"/>
      <c r="B274"/>
      <c r="C274"/>
      <c r="D274"/>
      <c r="E274"/>
      <c r="F274"/>
      <c r="G274"/>
      <c r="H274"/>
      <c r="I274"/>
      <c r="J274"/>
      <c r="K274" s="27"/>
      <c r="L274" s="27"/>
      <c r="M274" s="27"/>
    </row>
    <row r="275" spans="1:13" s="15" customFormat="1" x14ac:dyDescent="0.3">
      <c r="A275" s="17"/>
      <c r="B275"/>
      <c r="C275"/>
      <c r="D275"/>
      <c r="E275"/>
      <c r="F275"/>
      <c r="G275"/>
      <c r="H275"/>
      <c r="I275"/>
      <c r="J275"/>
      <c r="K275" s="27"/>
      <c r="L275" s="27"/>
      <c r="M275" s="27"/>
    </row>
    <row r="276" spans="1:13" s="15" customFormat="1" x14ac:dyDescent="0.3">
      <c r="A276" s="17"/>
      <c r="B276"/>
      <c r="C276"/>
      <c r="D276"/>
      <c r="E276"/>
      <c r="F276"/>
      <c r="G276"/>
      <c r="H276"/>
      <c r="I276"/>
      <c r="J276"/>
      <c r="K276" s="27"/>
      <c r="L276" s="27"/>
      <c r="M276" s="27"/>
    </row>
    <row r="277" spans="1:13" s="15" customFormat="1" x14ac:dyDescent="0.3">
      <c r="A277" s="17"/>
      <c r="B277"/>
      <c r="C277"/>
      <c r="D277"/>
      <c r="E277"/>
      <c r="F277"/>
      <c r="G277"/>
      <c r="H277"/>
      <c r="I277"/>
      <c r="J277"/>
      <c r="K277" s="27"/>
      <c r="L277" s="27"/>
      <c r="M277" s="27"/>
    </row>
    <row r="278" spans="1:13" s="15" customFormat="1" x14ac:dyDescent="0.3">
      <c r="A278" s="17"/>
      <c r="B278"/>
      <c r="C278"/>
      <c r="D278"/>
      <c r="E278"/>
      <c r="F278"/>
      <c r="G278"/>
      <c r="H278"/>
      <c r="I278"/>
      <c r="J278"/>
      <c r="K278" s="27"/>
      <c r="L278" s="27"/>
      <c r="M278" s="27"/>
    </row>
    <row r="279" spans="1:13" s="15" customFormat="1" x14ac:dyDescent="0.3">
      <c r="A279" s="17"/>
      <c r="B279"/>
      <c r="C279"/>
      <c r="D279"/>
      <c r="E279"/>
      <c r="F279"/>
      <c r="G279"/>
      <c r="H279"/>
      <c r="I279"/>
      <c r="J279"/>
      <c r="K279" s="27"/>
      <c r="L279" s="27"/>
      <c r="M279" s="27"/>
    </row>
    <row r="280" spans="1:13" s="15" customFormat="1" x14ac:dyDescent="0.3">
      <c r="A280" s="17"/>
      <c r="B280"/>
      <c r="C280"/>
      <c r="D280"/>
      <c r="E280"/>
      <c r="F280"/>
      <c r="G280"/>
      <c r="H280"/>
      <c r="I280"/>
      <c r="J280"/>
      <c r="K280" s="27"/>
      <c r="L280" s="27"/>
      <c r="M280" s="27"/>
    </row>
    <row r="281" spans="1:13" s="15" customFormat="1" x14ac:dyDescent="0.3">
      <c r="A281" s="17"/>
      <c r="B281"/>
      <c r="C281"/>
      <c r="D281"/>
      <c r="E281"/>
      <c r="F281"/>
      <c r="G281"/>
      <c r="H281"/>
      <c r="I281"/>
      <c r="J281"/>
      <c r="K281" s="27"/>
      <c r="L281" s="27"/>
      <c r="M281" s="27"/>
    </row>
    <row r="282" spans="1:13" s="15" customFormat="1" x14ac:dyDescent="0.3">
      <c r="A282" s="17"/>
      <c r="B282"/>
      <c r="C282"/>
      <c r="D282"/>
      <c r="E282"/>
      <c r="F282"/>
      <c r="G282"/>
      <c r="H282"/>
      <c r="I282"/>
      <c r="J282"/>
      <c r="K282" s="27"/>
      <c r="L282" s="27"/>
      <c r="M282" s="27"/>
    </row>
    <row r="283" spans="1:13" s="15" customFormat="1" x14ac:dyDescent="0.3">
      <c r="A283" s="17"/>
      <c r="B283"/>
      <c r="C283"/>
      <c r="D283"/>
      <c r="E283"/>
      <c r="F283"/>
      <c r="G283"/>
      <c r="H283"/>
      <c r="I283"/>
      <c r="J283"/>
      <c r="K283" s="27"/>
      <c r="L283" s="27"/>
      <c r="M283" s="27"/>
    </row>
    <row r="284" spans="1:13" s="15" customFormat="1" x14ac:dyDescent="0.3">
      <c r="A284" s="17"/>
      <c r="B284"/>
      <c r="C284"/>
      <c r="D284"/>
      <c r="E284"/>
      <c r="F284"/>
      <c r="G284"/>
      <c r="H284"/>
      <c r="I284"/>
      <c r="J284"/>
      <c r="K284" s="27"/>
      <c r="L284" s="27"/>
      <c r="M284" s="27"/>
    </row>
    <row r="285" spans="1:13" s="15" customFormat="1" x14ac:dyDescent="0.3">
      <c r="A285" s="17"/>
      <c r="B285"/>
      <c r="C285"/>
      <c r="D285"/>
      <c r="E285"/>
      <c r="F285"/>
      <c r="G285"/>
      <c r="H285"/>
      <c r="I285"/>
      <c r="J285"/>
      <c r="K285" s="27"/>
      <c r="L285" s="27"/>
      <c r="M285" s="27"/>
    </row>
    <row r="286" spans="1:13" s="15" customFormat="1" x14ac:dyDescent="0.3">
      <c r="A286" s="17"/>
      <c r="B286"/>
      <c r="C286"/>
      <c r="D286"/>
      <c r="E286"/>
      <c r="F286"/>
      <c r="G286"/>
      <c r="H286"/>
      <c r="I286"/>
      <c r="J286"/>
      <c r="K286" s="27"/>
      <c r="L286" s="27"/>
      <c r="M286" s="27"/>
    </row>
    <row r="287" spans="1:13" s="15" customFormat="1" x14ac:dyDescent="0.3">
      <c r="A287" s="17"/>
      <c r="B287"/>
      <c r="C287"/>
      <c r="D287"/>
      <c r="E287"/>
      <c r="F287"/>
      <c r="G287"/>
      <c r="H287"/>
      <c r="I287"/>
      <c r="J287"/>
      <c r="K287" s="27"/>
      <c r="L287" s="27"/>
      <c r="M287" s="27"/>
    </row>
    <row r="288" spans="1:13" s="15" customFormat="1" x14ac:dyDescent="0.3">
      <c r="A288" s="17"/>
      <c r="B288"/>
      <c r="C288"/>
      <c r="D288"/>
      <c r="E288"/>
      <c r="F288"/>
      <c r="G288"/>
      <c r="H288"/>
      <c r="I288"/>
      <c r="J288"/>
      <c r="K288" s="27"/>
      <c r="L288" s="27"/>
      <c r="M288" s="27"/>
    </row>
    <row r="289" spans="1:13" s="15" customFormat="1" x14ac:dyDescent="0.3">
      <c r="A289" s="17"/>
      <c r="B289"/>
      <c r="C289"/>
      <c r="D289"/>
      <c r="E289"/>
      <c r="F289"/>
      <c r="G289"/>
      <c r="H289"/>
      <c r="I289"/>
      <c r="J289"/>
      <c r="K289" s="27"/>
      <c r="L289" s="27"/>
      <c r="M289" s="27"/>
    </row>
    <row r="290" spans="1:13" s="15" customFormat="1" x14ac:dyDescent="0.3">
      <c r="A290" s="17"/>
      <c r="B290"/>
      <c r="C290"/>
      <c r="D290"/>
      <c r="E290"/>
      <c r="F290"/>
      <c r="G290"/>
      <c r="H290"/>
      <c r="I290"/>
      <c r="J290"/>
      <c r="K290" s="27"/>
      <c r="L290" s="27"/>
      <c r="M290" s="27"/>
    </row>
  </sheetData>
  <mergeCells count="2">
    <mergeCell ref="G13:H13"/>
    <mergeCell ref="D17:D18"/>
  </mergeCells>
  <pageMargins left="0.511811024" right="0.511811024" top="0.78740157499999996" bottom="0.78740157499999996" header="0.31496062000000002" footer="0.31496062000000002"/>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269AD-FD41-46C2-B874-BFA7454EDB24}">
  <sheetPr codeName="Planilha3">
    <tabColor theme="9" tint="0.59999389629810485"/>
  </sheetPr>
  <dimension ref="A1:P18"/>
  <sheetViews>
    <sheetView showGridLines="0" workbookViewId="0">
      <selection activeCell="A2" sqref="A2"/>
    </sheetView>
  </sheetViews>
  <sheetFormatPr defaultColWidth="8.85546875" defaultRowHeight="18.75" x14ac:dyDescent="0.3"/>
  <cols>
    <col min="1" max="1" width="12.7109375" style="17" customWidth="1"/>
    <col min="2" max="2" width="24.85546875" bestFit="1" customWidth="1"/>
    <col min="8" max="16" width="9.140625" style="15"/>
  </cols>
  <sheetData>
    <row r="1" spans="1:16" x14ac:dyDescent="0.3">
      <c r="A1" s="16" t="s">
        <v>14</v>
      </c>
      <c r="H1" s="14"/>
      <c r="I1" s="14"/>
      <c r="J1" s="14"/>
      <c r="K1" s="14"/>
      <c r="L1" s="14"/>
      <c r="M1" s="14"/>
      <c r="N1" s="14"/>
      <c r="O1" s="14"/>
      <c r="P1" s="14"/>
    </row>
    <row r="2" spans="1:16" x14ac:dyDescent="0.3">
      <c r="A2" s="17" t="s">
        <v>19</v>
      </c>
      <c r="H2" s="14"/>
      <c r="I2" s="14"/>
      <c r="J2" s="14"/>
      <c r="K2" s="14"/>
      <c r="L2" s="14"/>
      <c r="M2" s="14"/>
      <c r="N2" s="14"/>
      <c r="O2" s="14"/>
      <c r="P2" s="14"/>
    </row>
    <row r="4" spans="1:16" ht="15.75" x14ac:dyDescent="0.25">
      <c r="A4" s="2" t="s">
        <v>15</v>
      </c>
      <c r="B4" s="2" t="s">
        <v>16</v>
      </c>
    </row>
    <row r="5" spans="1:16" ht="31.5" x14ac:dyDescent="0.25">
      <c r="A5" s="19" t="s">
        <v>36</v>
      </c>
      <c r="B5" s="18" t="s">
        <v>18</v>
      </c>
    </row>
    <row r="6" spans="1:16" ht="47.25" x14ac:dyDescent="0.25">
      <c r="A6" s="19" t="s">
        <v>38</v>
      </c>
      <c r="B6" s="18" t="s">
        <v>39</v>
      </c>
    </row>
    <row r="7" spans="1:16" x14ac:dyDescent="0.3">
      <c r="D7" s="1" t="s">
        <v>17</v>
      </c>
      <c r="E7" s="13" t="s">
        <v>36</v>
      </c>
      <c r="F7" s="12">
        <v>3</v>
      </c>
    </row>
    <row r="9" spans="1:16" x14ac:dyDescent="0.3">
      <c r="H9" s="15" cm="1">
        <f t="array" ref="H9:J11">_xlfn.LAMBDA(_xlpm.n,_xlop.m, _xlfn.LET(_xlpm.m, IF(_xlfn.ISOMITTED(_xlpm.m),_xlpm.n,_xlpm.m), IF(_xlpm.n=_xlpm.m,_xlfn.MUNIT(_xlpm.n),HORZCAT(_xlfn.MUNIT(_xlpm.n),ZEROS(_xlpm.n,_xlpm.m-_xlpm.n)))))($F$7)</f>
        <v>1</v>
      </c>
      <c r="I9" s="15">
        <v>0</v>
      </c>
      <c r="J9" s="15">
        <v>0</v>
      </c>
    </row>
    <row r="10" spans="1:16" x14ac:dyDescent="0.3">
      <c r="H10" s="15">
        <v>0</v>
      </c>
      <c r="I10" s="15">
        <v>1</v>
      </c>
      <c r="J10" s="15">
        <v>0</v>
      </c>
    </row>
    <row r="11" spans="1:16" x14ac:dyDescent="0.3">
      <c r="H11" s="15">
        <v>0</v>
      </c>
      <c r="I11" s="15">
        <v>0</v>
      </c>
      <c r="J11" s="15">
        <v>1</v>
      </c>
    </row>
    <row r="14" spans="1:16" x14ac:dyDescent="0.3">
      <c r="D14" s="1" t="s">
        <v>17</v>
      </c>
      <c r="E14" s="13" t="s">
        <v>36</v>
      </c>
      <c r="F14" s="12">
        <v>3</v>
      </c>
    </row>
    <row r="15" spans="1:16" x14ac:dyDescent="0.3">
      <c r="E15" s="13" t="s">
        <v>37</v>
      </c>
      <c r="F15" s="12">
        <v>5</v>
      </c>
    </row>
    <row r="16" spans="1:16" x14ac:dyDescent="0.3">
      <c r="H16" s="15" cm="1">
        <f t="array" ref="H16:L18">_xlfn.LAMBDA(_xlpm.n,_xlop.m, _xlfn.LET(_xlpm.m, IF(_xlfn.ISOMITTED(_xlpm.m),_xlpm.n,_xlpm.m), IF(_xlpm.n=_xlpm.m,_xlfn.MUNIT(_xlpm.n),HORZCAT(_xlfn.MUNIT(_xlpm.n),ZEROS(_xlpm.n,_xlpm.m-_xlpm.n)))))($F$14,$F$15)</f>
        <v>1</v>
      </c>
      <c r="I16" s="15">
        <v>0</v>
      </c>
      <c r="J16" s="15">
        <v>0</v>
      </c>
      <c r="K16" s="15">
        <v>0</v>
      </c>
      <c r="L16" s="15">
        <v>0</v>
      </c>
    </row>
    <row r="17" spans="8:12" x14ac:dyDescent="0.3">
      <c r="H17" s="15">
        <v>0</v>
      </c>
      <c r="I17" s="15">
        <v>1</v>
      </c>
      <c r="J17" s="15">
        <v>0</v>
      </c>
      <c r="K17" s="15">
        <v>0</v>
      </c>
      <c r="L17" s="15">
        <v>0</v>
      </c>
    </row>
    <row r="18" spans="8:12" x14ac:dyDescent="0.3">
      <c r="H18" s="15">
        <v>0</v>
      </c>
      <c r="I18" s="15">
        <v>0</v>
      </c>
      <c r="J18" s="15">
        <v>1</v>
      </c>
      <c r="K18" s="15">
        <v>0</v>
      </c>
      <c r="L18" s="15">
        <v>0</v>
      </c>
    </row>
  </sheetData>
  <pageMargins left="0.511811024" right="0.511811024" top="0.78740157499999996" bottom="0.78740157499999996" header="0.31496062000000002" footer="0.3149606200000000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963FC-F00F-4897-BFD5-7FEB2F924484}">
  <sheetPr codeName="Planilha4">
    <tabColor theme="9" tint="0.59999389629810485"/>
  </sheetPr>
  <dimension ref="A1:P20"/>
  <sheetViews>
    <sheetView showGridLines="0" workbookViewId="0">
      <selection activeCell="H9" sqref="H9"/>
    </sheetView>
  </sheetViews>
  <sheetFormatPr defaultColWidth="8.85546875" defaultRowHeight="18.75" x14ac:dyDescent="0.3"/>
  <cols>
    <col min="1" max="1" width="12.7109375" style="17" customWidth="1"/>
    <col min="2" max="2" width="24.85546875" bestFit="1" customWidth="1"/>
    <col min="8" max="16" width="9.140625" style="15"/>
  </cols>
  <sheetData>
    <row r="1" spans="1:16" x14ac:dyDescent="0.3">
      <c r="A1" s="16" t="s">
        <v>23</v>
      </c>
      <c r="H1" s="14"/>
      <c r="I1" s="14"/>
      <c r="J1" s="14"/>
      <c r="K1" s="14"/>
      <c r="L1" s="14"/>
      <c r="M1" s="14"/>
      <c r="N1" s="14"/>
      <c r="O1" s="14"/>
      <c r="P1" s="14"/>
    </row>
    <row r="2" spans="1:16" x14ac:dyDescent="0.3">
      <c r="A2" s="17" t="s">
        <v>24</v>
      </c>
      <c r="H2" s="14"/>
      <c r="I2" s="14"/>
      <c r="J2" s="14"/>
      <c r="K2" s="14"/>
      <c r="L2" s="14"/>
      <c r="M2" s="14"/>
      <c r="N2" s="14"/>
      <c r="O2" s="14"/>
      <c r="P2" s="14"/>
    </row>
    <row r="4" spans="1:16" ht="15.75" x14ac:dyDescent="0.25">
      <c r="A4" s="2" t="s">
        <v>15</v>
      </c>
      <c r="B4" s="2" t="s">
        <v>16</v>
      </c>
    </row>
    <row r="5" spans="1:16" ht="31.5" x14ac:dyDescent="0.25">
      <c r="A5" s="19" t="s">
        <v>36</v>
      </c>
      <c r="B5" s="18" t="s">
        <v>34</v>
      </c>
    </row>
    <row r="6" spans="1:16" ht="47.25" x14ac:dyDescent="0.25">
      <c r="A6" s="19" t="s">
        <v>38</v>
      </c>
      <c r="B6" s="18" t="s">
        <v>40</v>
      </c>
    </row>
    <row r="7" spans="1:16" x14ac:dyDescent="0.3">
      <c r="D7" s="1" t="s">
        <v>17</v>
      </c>
      <c r="E7" s="13" t="s">
        <v>36</v>
      </c>
      <c r="F7" s="12">
        <v>4</v>
      </c>
    </row>
    <row r="9" spans="1:16" x14ac:dyDescent="0.3">
      <c r="H9" s="15" cm="1">
        <f t="array" ref="H9:K12">_xlfn.LAMBDA(_xlpm.n,_xlop.m, _xlfn.LET(_xlpm.m, IF(_xlfn.ISOMITTED(_xlpm.m),_xlpm.n,IF(_xlpm.m=0,_xlpm.n,_xlpm.m)), _xlfn.MAKEARRAY(_xlpm.n, _xlpm.m,_xlfn.LAMBDA(_xlpm.lin,_xlpm.col,0))) )($F$7)</f>
        <v>0</v>
      </c>
      <c r="I9" s="15">
        <v>0</v>
      </c>
      <c r="J9" s="15">
        <v>0</v>
      </c>
      <c r="K9" s="15">
        <v>0</v>
      </c>
    </row>
    <row r="10" spans="1:16" x14ac:dyDescent="0.3">
      <c r="H10" s="15">
        <v>0</v>
      </c>
      <c r="I10" s="15">
        <v>0</v>
      </c>
      <c r="J10" s="15">
        <v>0</v>
      </c>
      <c r="K10" s="15">
        <v>0</v>
      </c>
    </row>
    <row r="11" spans="1:16" x14ac:dyDescent="0.3">
      <c r="H11" s="15">
        <v>0</v>
      </c>
      <c r="I11" s="15">
        <v>0</v>
      </c>
      <c r="J11" s="15">
        <v>0</v>
      </c>
      <c r="K11" s="15">
        <v>0</v>
      </c>
    </row>
    <row r="12" spans="1:16" x14ac:dyDescent="0.3">
      <c r="H12" s="15">
        <v>0</v>
      </c>
      <c r="I12" s="15">
        <v>0</v>
      </c>
      <c r="J12" s="15">
        <v>0</v>
      </c>
      <c r="K12" s="15">
        <v>0</v>
      </c>
    </row>
    <row r="15" spans="1:16" x14ac:dyDescent="0.3">
      <c r="D15" s="1" t="s">
        <v>17</v>
      </c>
      <c r="E15" s="13" t="s">
        <v>36</v>
      </c>
      <c r="F15" s="12">
        <v>4</v>
      </c>
    </row>
    <row r="16" spans="1:16" x14ac:dyDescent="0.3">
      <c r="E16" s="13" t="s">
        <v>37</v>
      </c>
      <c r="F16" s="12">
        <v>2</v>
      </c>
    </row>
    <row r="17" spans="8:9" x14ac:dyDescent="0.3">
      <c r="H17" s="15" cm="1">
        <f t="array" ref="H17:I20">_xlfn.LAMBDA(_xlpm.n,_xlop.m, _xlfn.LET(_xlpm.m, IF(_xlfn.ISOMITTED(_xlpm.m),_xlpm.n,IF(_xlpm.m=0,_xlpm.n,_xlpm.m)), _xlfn.MAKEARRAY(_xlpm.n, _xlpm.m,_xlfn.LAMBDA(_xlpm.lin,_xlpm.col,0))) )($F$15,$F$16)</f>
        <v>0</v>
      </c>
      <c r="I17" s="15">
        <v>0</v>
      </c>
    </row>
    <row r="18" spans="8:9" x14ac:dyDescent="0.3">
      <c r="H18" s="15">
        <v>0</v>
      </c>
      <c r="I18" s="15">
        <v>0</v>
      </c>
    </row>
    <row r="19" spans="8:9" x14ac:dyDescent="0.3">
      <c r="H19" s="15">
        <v>0</v>
      </c>
      <c r="I19" s="15">
        <v>0</v>
      </c>
    </row>
    <row r="20" spans="8:9" x14ac:dyDescent="0.3">
      <c r="H20" s="15">
        <v>0</v>
      </c>
      <c r="I20" s="15">
        <v>0</v>
      </c>
    </row>
  </sheetData>
  <pageMargins left="0.511811024" right="0.511811024" top="0.78740157499999996" bottom="0.78740157499999996" header="0.31496062000000002" footer="0.3149606200000000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A8BE3-C3AC-4575-A0E7-496C1643E2AC}">
  <sheetPr codeName="Planilha8">
    <tabColor theme="9" tint="0.59999389629810485"/>
  </sheetPr>
  <dimension ref="A1:P20"/>
  <sheetViews>
    <sheetView showGridLines="0" workbookViewId="0">
      <selection activeCell="D5" sqref="D5"/>
    </sheetView>
  </sheetViews>
  <sheetFormatPr defaultColWidth="8.85546875" defaultRowHeight="18.75" x14ac:dyDescent="0.3"/>
  <cols>
    <col min="1" max="1" width="12.7109375" style="17" customWidth="1"/>
    <col min="2" max="2" width="24.85546875" bestFit="1" customWidth="1"/>
    <col min="8" max="16" width="9.140625" style="15"/>
  </cols>
  <sheetData>
    <row r="1" spans="1:16" x14ac:dyDescent="0.3">
      <c r="A1" s="16" t="s">
        <v>32</v>
      </c>
      <c r="H1" s="14"/>
      <c r="I1" s="14"/>
      <c r="J1" s="14"/>
      <c r="K1" s="14"/>
      <c r="L1" s="14"/>
      <c r="M1" s="14"/>
      <c r="N1" s="14"/>
      <c r="O1" s="14"/>
      <c r="P1" s="14"/>
    </row>
    <row r="2" spans="1:16" x14ac:dyDescent="0.3">
      <c r="A2" s="17" t="s">
        <v>33</v>
      </c>
      <c r="H2" s="14"/>
      <c r="I2" s="14"/>
      <c r="J2" s="14"/>
      <c r="K2" s="14"/>
      <c r="L2" s="14"/>
      <c r="M2" s="14"/>
      <c r="N2" s="14"/>
      <c r="O2" s="14"/>
      <c r="P2" s="14"/>
    </row>
    <row r="4" spans="1:16" ht="15.75" x14ac:dyDescent="0.25">
      <c r="A4" s="2" t="s">
        <v>15</v>
      </c>
      <c r="B4" s="2" t="s">
        <v>16</v>
      </c>
    </row>
    <row r="5" spans="1:16" ht="31.5" x14ac:dyDescent="0.25">
      <c r="A5" s="19" t="s">
        <v>36</v>
      </c>
      <c r="B5" s="18" t="s">
        <v>35</v>
      </c>
    </row>
    <row r="6" spans="1:16" ht="47.25" x14ac:dyDescent="0.25">
      <c r="A6" s="19" t="s">
        <v>38</v>
      </c>
      <c r="B6" s="18" t="s">
        <v>40</v>
      </c>
    </row>
    <row r="7" spans="1:16" x14ac:dyDescent="0.3">
      <c r="D7" s="1" t="s">
        <v>17</v>
      </c>
      <c r="E7" s="13" t="s">
        <v>36</v>
      </c>
      <c r="F7" s="12">
        <v>4</v>
      </c>
    </row>
    <row r="9" spans="1:16" x14ac:dyDescent="0.3">
      <c r="H9" s="15" cm="1">
        <f t="array" ref="H9:K12">_xlfn.LAMBDA(_xlpm.n,_xlop.m, _xlfn.LET(_xlpm.m, IF(_xlfn.ISOMITTED(_xlpm.m),_xlpm.n,IF(_xlpm.m=0,_xlpm.n,_xlpm.m)), _xlfn.MAKEARRAY(_xlpm.n, _xlpm.m,_xlfn.LAMBDA(_xlpm.lin,_xlpm.col,1))) )($F$7)</f>
        <v>1</v>
      </c>
      <c r="I9" s="15">
        <v>1</v>
      </c>
      <c r="J9" s="15">
        <v>1</v>
      </c>
      <c r="K9" s="15">
        <v>1</v>
      </c>
    </row>
    <row r="10" spans="1:16" x14ac:dyDescent="0.3">
      <c r="H10" s="15">
        <v>1</v>
      </c>
      <c r="I10" s="15">
        <v>1</v>
      </c>
      <c r="J10" s="15">
        <v>1</v>
      </c>
      <c r="K10" s="15">
        <v>1</v>
      </c>
    </row>
    <row r="11" spans="1:16" x14ac:dyDescent="0.3">
      <c r="H11" s="15">
        <v>1</v>
      </c>
      <c r="I11" s="15">
        <v>1</v>
      </c>
      <c r="J11" s="15">
        <v>1</v>
      </c>
      <c r="K11" s="15">
        <v>1</v>
      </c>
    </row>
    <row r="12" spans="1:16" x14ac:dyDescent="0.3">
      <c r="H12" s="15">
        <v>1</v>
      </c>
      <c r="I12" s="15">
        <v>1</v>
      </c>
      <c r="J12" s="15">
        <v>1</v>
      </c>
      <c r="K12" s="15">
        <v>1</v>
      </c>
    </row>
    <row r="15" spans="1:16" x14ac:dyDescent="0.3">
      <c r="D15" s="1" t="s">
        <v>17</v>
      </c>
      <c r="E15" s="13" t="s">
        <v>36</v>
      </c>
      <c r="F15" s="12">
        <v>4</v>
      </c>
    </row>
    <row r="16" spans="1:16" x14ac:dyDescent="0.3">
      <c r="E16" s="13" t="s">
        <v>37</v>
      </c>
      <c r="F16" s="12">
        <v>2</v>
      </c>
    </row>
    <row r="17" spans="8:9" x14ac:dyDescent="0.3">
      <c r="H17" s="15" cm="1">
        <f t="array" ref="H17:I20">_xlfn.LAMBDA(_xlpm.n,_xlop.m, _xlfn.LET(_xlpm.m, IF(_xlfn.ISOMITTED(_xlpm.m),_xlpm.n,IF(_xlpm.m=0,_xlpm.n,_xlpm.m)), _xlfn.MAKEARRAY(_xlpm.n, _xlpm.m,_xlfn.LAMBDA(_xlpm.lin,_xlpm.col,1))) )($F$15,$F$16)</f>
        <v>1</v>
      </c>
      <c r="I17" s="15">
        <v>1</v>
      </c>
    </row>
    <row r="18" spans="8:9" x14ac:dyDescent="0.3">
      <c r="H18" s="15">
        <v>1</v>
      </c>
      <c r="I18" s="15">
        <v>1</v>
      </c>
    </row>
    <row r="19" spans="8:9" x14ac:dyDescent="0.3">
      <c r="H19" s="15">
        <v>1</v>
      </c>
      <c r="I19" s="15">
        <v>1</v>
      </c>
    </row>
    <row r="20" spans="8:9" x14ac:dyDescent="0.3">
      <c r="H20" s="15">
        <v>1</v>
      </c>
      <c r="I20" s="15">
        <v>1</v>
      </c>
    </row>
  </sheetData>
  <pageMargins left="0.511811024" right="0.511811024" top="0.78740157499999996" bottom="0.78740157499999996" header="0.31496062000000002" footer="0.3149606200000000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D656C5-0298-4732-A389-ECE823DAA134}">
  <sheetPr codeName="Planilha5">
    <tabColor theme="9" tint="0.59999389629810485"/>
  </sheetPr>
  <dimension ref="A1:Q41"/>
  <sheetViews>
    <sheetView showGridLines="0" workbookViewId="0">
      <selection activeCell="P5" sqref="P5"/>
    </sheetView>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1" max="16" width="9.140625" style="15"/>
    <col min="17" max="17" width="12.42578125" style="15" bestFit="1" customWidth="1"/>
    <col min="18" max="19" width="12.42578125" bestFit="1" customWidth="1"/>
  </cols>
  <sheetData>
    <row r="1" spans="1:17" x14ac:dyDescent="0.3">
      <c r="A1" s="16" t="s">
        <v>20</v>
      </c>
      <c r="K1" s="14"/>
      <c r="L1" s="14"/>
      <c r="M1" s="14"/>
      <c r="N1" s="14"/>
      <c r="O1" s="14"/>
      <c r="P1" s="14"/>
      <c r="Q1" s="14"/>
    </row>
    <row r="2" spans="1:17" x14ac:dyDescent="0.3">
      <c r="A2" s="17" t="s">
        <v>21</v>
      </c>
      <c r="K2" s="14"/>
      <c r="L2" s="14"/>
      <c r="M2" s="14"/>
      <c r="N2" s="14"/>
      <c r="O2" s="14"/>
      <c r="P2" s="14"/>
      <c r="Q2" s="14"/>
    </row>
    <row r="4" spans="1:17" ht="15.75" x14ac:dyDescent="0.25">
      <c r="A4" s="2" t="s">
        <v>15</v>
      </c>
      <c r="B4" s="2" t="s">
        <v>16</v>
      </c>
    </row>
    <row r="5" spans="1:17" ht="78.75" x14ac:dyDescent="0.25">
      <c r="A5" s="19" t="s">
        <v>22</v>
      </c>
      <c r="B5" s="20" t="s">
        <v>25</v>
      </c>
    </row>
    <row r="6" spans="1:17" ht="63" x14ac:dyDescent="0.25">
      <c r="A6" s="19" t="s">
        <v>26</v>
      </c>
      <c r="B6" s="18" t="s">
        <v>27</v>
      </c>
    </row>
    <row r="7" spans="1:17" x14ac:dyDescent="0.3">
      <c r="D7" s="1" t="s">
        <v>17</v>
      </c>
      <c r="E7" s="13" t="s">
        <v>22</v>
      </c>
      <c r="F7" s="12">
        <v>1</v>
      </c>
      <c r="G7" s="12">
        <v>2</v>
      </c>
      <c r="H7" s="12">
        <v>3</v>
      </c>
      <c r="K7" s="15" cm="1">
        <f t="array" ref="K7:K9">_xlfn.LAMBDA(_xlpm.matrix,_xlop.k,
_xlfn.LET(_xlpm.k,IF(_xlfn.ISOMITTED(_xlpm.k),0,_xlpm.k),
IF(
AND(ROWS(_xlpm.matrix)&gt;1, COLUMNS(_xlpm.matrix)&gt;1), _xlfn._xlws.FILTER(VEC(_xlpm.matrix),VEC(_xlfn.MAKEARRAY(ROWS(_xlpm.matrix),COLUMNS(_xlpm.matrix),_xlfn.LAMBDA(_xlpm.lin,_xlpm.col,_xlpm.col=(_xlpm.lin+_xlpm.k))))),
IF(ROWS(_xlpm.matrix)=1, _xlpm.matrix*_xlfn.MUNIT(COLUMNS(_xlpm.matrix)),
IF(COLUMNS(_xlpm.matrix)=1,_xlpm.matrix*_xlfn.MUNIT(ROWS(_xlpm.matrix))
))))
)($F$7:$H$9)</f>
        <v>1</v>
      </c>
    </row>
    <row r="8" spans="1:17" x14ac:dyDescent="0.3">
      <c r="F8" s="12">
        <v>4</v>
      </c>
      <c r="G8" s="12">
        <v>5</v>
      </c>
      <c r="H8" s="12">
        <v>6</v>
      </c>
      <c r="K8" s="15">
        <v>5</v>
      </c>
    </row>
    <row r="9" spans="1:17" x14ac:dyDescent="0.3">
      <c r="F9" s="12">
        <v>7</v>
      </c>
      <c r="G9" s="12">
        <v>8</v>
      </c>
      <c r="H9" s="12">
        <v>9</v>
      </c>
      <c r="K9" s="15">
        <v>9</v>
      </c>
    </row>
    <row r="13" spans="1:17" x14ac:dyDescent="0.3">
      <c r="D13" s="1" t="s">
        <v>17</v>
      </c>
      <c r="E13" s="13" t="s">
        <v>22</v>
      </c>
      <c r="F13" s="12">
        <v>1</v>
      </c>
      <c r="G13" s="12">
        <v>2</v>
      </c>
      <c r="H13" s="12">
        <v>3</v>
      </c>
      <c r="K13" s="15" cm="1">
        <f t="array" ref="K13:M15">DIAG(DIAG(F13:H15))</f>
        <v>1</v>
      </c>
      <c r="L13" s="15">
        <v>0</v>
      </c>
      <c r="M13" s="15">
        <v>0</v>
      </c>
    </row>
    <row r="14" spans="1:17" x14ac:dyDescent="0.3">
      <c r="F14" s="12">
        <v>4</v>
      </c>
      <c r="G14" s="12">
        <v>5</v>
      </c>
      <c r="H14" s="12">
        <v>6</v>
      </c>
      <c r="K14" s="15">
        <v>0</v>
      </c>
      <c r="L14" s="15">
        <v>5</v>
      </c>
      <c r="M14" s="15">
        <v>0</v>
      </c>
    </row>
    <row r="15" spans="1:17" x14ac:dyDescent="0.3">
      <c r="F15" s="12">
        <v>7</v>
      </c>
      <c r="G15" s="12">
        <v>8</v>
      </c>
      <c r="H15" s="12">
        <v>9</v>
      </c>
      <c r="K15" s="15">
        <v>0</v>
      </c>
      <c r="L15" s="15">
        <v>0</v>
      </c>
      <c r="M15" s="15">
        <v>9</v>
      </c>
    </row>
    <row r="19" spans="4:13" x14ac:dyDescent="0.3">
      <c r="D19" s="1" t="s">
        <v>17</v>
      </c>
      <c r="E19" s="13" t="s">
        <v>22</v>
      </c>
      <c r="F19" s="12">
        <v>5</v>
      </c>
      <c r="G19" s="12"/>
      <c r="H19" s="12"/>
      <c r="K19" s="15" cm="1">
        <f t="array" ref="K19:M21">DIAG($F$19:$F$21)</f>
        <v>5</v>
      </c>
      <c r="L19" s="15">
        <v>0</v>
      </c>
      <c r="M19" s="15">
        <v>0</v>
      </c>
    </row>
    <row r="20" spans="4:13" x14ac:dyDescent="0.3">
      <c r="F20" s="12">
        <v>4</v>
      </c>
      <c r="G20" s="12"/>
      <c r="H20" s="12"/>
      <c r="K20" s="15">
        <v>0</v>
      </c>
      <c r="L20" s="15">
        <v>4</v>
      </c>
      <c r="M20" s="15">
        <v>0</v>
      </c>
    </row>
    <row r="21" spans="4:13" x14ac:dyDescent="0.3">
      <c r="F21" s="12">
        <v>7</v>
      </c>
      <c r="G21" s="12"/>
      <c r="H21" s="12"/>
      <c r="K21" s="15">
        <v>0</v>
      </c>
      <c r="L21" s="15">
        <v>0</v>
      </c>
      <c r="M21" s="15">
        <v>7</v>
      </c>
    </row>
    <row r="25" spans="4:13" x14ac:dyDescent="0.3">
      <c r="D25" s="1" t="s">
        <v>17</v>
      </c>
      <c r="E25" s="13" t="s">
        <v>22</v>
      </c>
      <c r="F25" s="12">
        <v>5</v>
      </c>
      <c r="G25" s="12">
        <v>4</v>
      </c>
      <c r="H25" s="12">
        <v>7</v>
      </c>
      <c r="K25" s="15" cm="1">
        <f t="array" ref="K25:M27">DIAG($F$25:$H$25)</f>
        <v>5</v>
      </c>
      <c r="L25" s="15">
        <v>0</v>
      </c>
      <c r="M25" s="15">
        <v>0</v>
      </c>
    </row>
    <row r="26" spans="4:13" x14ac:dyDescent="0.3">
      <c r="F26" s="12"/>
      <c r="G26" s="12"/>
      <c r="H26" s="12"/>
      <c r="K26" s="15">
        <v>0</v>
      </c>
      <c r="L26" s="15">
        <v>4</v>
      </c>
      <c r="M26" s="15">
        <v>0</v>
      </c>
    </row>
    <row r="27" spans="4:13" x14ac:dyDescent="0.3">
      <c r="F27" s="12"/>
      <c r="G27" s="12"/>
      <c r="H27" s="12"/>
      <c r="K27" s="15">
        <v>0</v>
      </c>
      <c r="L27" s="15">
        <v>0</v>
      </c>
      <c r="M27" s="15">
        <v>7</v>
      </c>
    </row>
    <row r="31" spans="4:13" x14ac:dyDescent="0.3">
      <c r="D31" s="1" t="s">
        <v>17</v>
      </c>
      <c r="E31" s="13" t="s">
        <v>22</v>
      </c>
      <c r="F31" s="12">
        <v>1</v>
      </c>
      <c r="G31" s="12">
        <v>2</v>
      </c>
      <c r="H31" s="12">
        <v>3</v>
      </c>
      <c r="K31" s="15" cm="1">
        <f t="array" ref="K31:K32">DIAG($F$31:$H$33,$F$34)</f>
        <v>2</v>
      </c>
    </row>
    <row r="32" spans="4:13" x14ac:dyDescent="0.3">
      <c r="F32" s="12">
        <v>4</v>
      </c>
      <c r="G32" s="12">
        <v>5</v>
      </c>
      <c r="H32" s="12">
        <v>6</v>
      </c>
      <c r="K32" s="15">
        <v>6</v>
      </c>
    </row>
    <row r="33" spans="4:11" x14ac:dyDescent="0.3">
      <c r="F33" s="12">
        <v>7</v>
      </c>
      <c r="G33" s="12">
        <v>8</v>
      </c>
      <c r="H33" s="12">
        <v>9</v>
      </c>
    </row>
    <row r="34" spans="4:11" x14ac:dyDescent="0.3">
      <c r="E34" s="13" t="s">
        <v>26</v>
      </c>
      <c r="F34" s="12">
        <v>1</v>
      </c>
    </row>
    <row r="38" spans="4:11" x14ac:dyDescent="0.3">
      <c r="D38" s="1" t="s">
        <v>17</v>
      </c>
      <c r="E38" s="13" t="s">
        <v>22</v>
      </c>
      <c r="F38" s="12">
        <v>1</v>
      </c>
      <c r="G38" s="12">
        <v>2</v>
      </c>
      <c r="K38" s="15" cm="1">
        <f t="array" ref="K38:K39">DIAG($F$38:$G$40,$F$41)</f>
        <v>4</v>
      </c>
    </row>
    <row r="39" spans="4:11" x14ac:dyDescent="0.3">
      <c r="F39" s="12">
        <v>4</v>
      </c>
      <c r="G39" s="12">
        <v>5</v>
      </c>
      <c r="K39" s="15">
        <v>8</v>
      </c>
    </row>
    <row r="40" spans="4:11" x14ac:dyDescent="0.3">
      <c r="F40" s="12">
        <v>7</v>
      </c>
      <c r="G40" s="12">
        <v>8</v>
      </c>
    </row>
    <row r="41" spans="4:11" x14ac:dyDescent="0.3">
      <c r="E41" s="13" t="s">
        <v>26</v>
      </c>
      <c r="F41" s="12">
        <v>-1</v>
      </c>
    </row>
  </sheetData>
  <pageMargins left="0.511811024" right="0.511811024" top="0.78740157499999996" bottom="0.78740157499999996" header="0.31496062000000002" footer="0.3149606200000000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F42A2-5F1C-4A99-AEA1-29C2348D1606}">
  <sheetPr codeName="Planilha6">
    <tabColor theme="9" tint="0.59999389629810485"/>
  </sheetPr>
  <dimension ref="A1:P16"/>
  <sheetViews>
    <sheetView showGridLines="0" workbookViewId="0">
      <selection activeCell="D5" sqref="D5"/>
    </sheetView>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0" max="10" width="12.42578125" style="15" bestFit="1" customWidth="1"/>
    <col min="11" max="15" width="9.140625" style="15"/>
    <col min="16" max="16" width="12.42578125" style="15" bestFit="1" customWidth="1"/>
  </cols>
  <sheetData>
    <row r="1" spans="1:16" x14ac:dyDescent="0.3">
      <c r="A1" s="16" t="s">
        <v>30</v>
      </c>
      <c r="J1" s="14"/>
      <c r="K1" s="14"/>
      <c r="L1" s="14"/>
      <c r="M1" s="14"/>
      <c r="N1" s="14"/>
      <c r="O1" s="14"/>
      <c r="P1" s="14"/>
    </row>
    <row r="2" spans="1:16" x14ac:dyDescent="0.3">
      <c r="A2" s="17" t="s">
        <v>54</v>
      </c>
      <c r="J2" s="14"/>
      <c r="K2" s="14"/>
      <c r="L2" s="14"/>
      <c r="M2" s="14"/>
      <c r="N2" s="14"/>
      <c r="O2" s="14"/>
      <c r="P2" s="14"/>
    </row>
    <row r="4" spans="1:16" ht="15.75" x14ac:dyDescent="0.25">
      <c r="A4" s="2" t="s">
        <v>15</v>
      </c>
      <c r="B4" s="2" t="s">
        <v>16</v>
      </c>
    </row>
    <row r="5" spans="1:16" ht="47.25" x14ac:dyDescent="0.25">
      <c r="A5" s="19" t="s">
        <v>22</v>
      </c>
      <c r="B5" s="20" t="s">
        <v>28</v>
      </c>
    </row>
    <row r="6" spans="1:16" ht="47.25" x14ac:dyDescent="0.25">
      <c r="A6" s="19" t="s">
        <v>26</v>
      </c>
      <c r="B6" s="18" t="s">
        <v>29</v>
      </c>
    </row>
    <row r="7" spans="1:16" x14ac:dyDescent="0.3">
      <c r="D7" s="1" t="s">
        <v>17</v>
      </c>
      <c r="E7" s="13" t="s">
        <v>22</v>
      </c>
      <c r="F7" s="12">
        <v>1</v>
      </c>
      <c r="G7" s="12">
        <v>2</v>
      </c>
      <c r="H7" s="12">
        <v>3</v>
      </c>
      <c r="J7" s="15" cm="1">
        <f t="array" ref="J7:L9">_xlfn.LAMBDA(_xlpm.matrix,_xlop.K,_xlfn.MAKEARRAY(ROWS(_xlpm.matrix),COLUMNS(_xlpm.matrix),_xlfn.LAMBDA(_xlpm.lin,_xlpm.col,_xlpm.col&lt;=(_xlpm.lin+_xlpm.K)))*_xlpm.matrix)(F7:H9)</f>
        <v>1</v>
      </c>
      <c r="K7" s="15">
        <v>0</v>
      </c>
      <c r="L7" s="15">
        <v>0</v>
      </c>
    </row>
    <row r="8" spans="1:16" x14ac:dyDescent="0.3">
      <c r="F8" s="12">
        <v>4</v>
      </c>
      <c r="G8" s="12">
        <v>5</v>
      </c>
      <c r="H8" s="12">
        <v>6</v>
      </c>
      <c r="J8" s="15">
        <v>4</v>
      </c>
      <c r="K8" s="15">
        <v>5</v>
      </c>
      <c r="L8" s="15">
        <v>0</v>
      </c>
    </row>
    <row r="9" spans="1:16" x14ac:dyDescent="0.3">
      <c r="F9" s="12">
        <v>7</v>
      </c>
      <c r="G9" s="12">
        <v>8</v>
      </c>
      <c r="H9" s="12">
        <v>9</v>
      </c>
      <c r="J9" s="15">
        <v>7</v>
      </c>
      <c r="K9" s="15">
        <v>8</v>
      </c>
      <c r="L9" s="15">
        <v>9</v>
      </c>
    </row>
    <row r="13" spans="1:16" x14ac:dyDescent="0.3">
      <c r="D13" s="1" t="s">
        <v>17</v>
      </c>
      <c r="E13" s="13" t="s">
        <v>22</v>
      </c>
      <c r="F13" s="12">
        <v>1</v>
      </c>
      <c r="G13" s="12">
        <v>2</v>
      </c>
      <c r="H13" s="12">
        <v>3</v>
      </c>
      <c r="J13" s="15" cm="1">
        <f t="array" ref="J13:L15">TRIL(F13:H15,F16)</f>
        <v>0</v>
      </c>
      <c r="K13" s="15">
        <v>0</v>
      </c>
      <c r="L13" s="15">
        <v>0</v>
      </c>
    </row>
    <row r="14" spans="1:16" x14ac:dyDescent="0.3">
      <c r="F14" s="12">
        <v>4</v>
      </c>
      <c r="G14" s="12">
        <v>5</v>
      </c>
      <c r="H14" s="12">
        <v>6</v>
      </c>
      <c r="J14" s="15">
        <v>4</v>
      </c>
      <c r="K14" s="15">
        <v>0</v>
      </c>
      <c r="L14" s="15">
        <v>0</v>
      </c>
    </row>
    <row r="15" spans="1:16" x14ac:dyDescent="0.3">
      <c r="F15" s="12">
        <v>7</v>
      </c>
      <c r="G15" s="12">
        <v>8</v>
      </c>
      <c r="H15" s="12">
        <v>9</v>
      </c>
      <c r="J15" s="15">
        <v>7</v>
      </c>
      <c r="K15" s="15">
        <v>8</v>
      </c>
      <c r="L15" s="15">
        <v>0</v>
      </c>
    </row>
    <row r="16" spans="1:16" x14ac:dyDescent="0.3">
      <c r="E16" s="13" t="s">
        <v>44</v>
      </c>
      <c r="F16" s="12">
        <v>-1</v>
      </c>
    </row>
  </sheetData>
  <pageMargins left="0.511811024" right="0.511811024" top="0.78740157499999996" bottom="0.78740157499999996" header="0.31496062000000002" footer="0.3149606200000000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F0B1A3-0EDF-4665-9E05-96427E8C5CF2}">
  <sheetPr codeName="Planilha7">
    <tabColor theme="9" tint="0.59999389629810485"/>
  </sheetPr>
  <dimension ref="A1:P16"/>
  <sheetViews>
    <sheetView showGridLines="0" workbookViewId="0">
      <selection activeCell="D5" sqref="D5"/>
    </sheetView>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0" max="10" width="12.42578125" style="15" bestFit="1" customWidth="1"/>
    <col min="11" max="15" width="9.140625" style="15"/>
    <col min="16" max="16" width="12.42578125" style="15" bestFit="1" customWidth="1"/>
  </cols>
  <sheetData>
    <row r="1" spans="1:16" x14ac:dyDescent="0.3">
      <c r="A1" s="16" t="s">
        <v>31</v>
      </c>
      <c r="J1" s="14"/>
      <c r="K1" s="14"/>
      <c r="L1" s="14"/>
      <c r="M1" s="14"/>
      <c r="N1" s="14"/>
      <c r="O1" s="14"/>
      <c r="P1" s="14"/>
    </row>
    <row r="2" spans="1:16" x14ac:dyDescent="0.3">
      <c r="A2" s="17" t="s">
        <v>53</v>
      </c>
      <c r="J2" s="14"/>
      <c r="K2" s="14"/>
      <c r="L2" s="14"/>
      <c r="M2" s="14"/>
      <c r="N2" s="14"/>
      <c r="O2" s="14"/>
      <c r="P2" s="14"/>
    </row>
    <row r="4" spans="1:16" ht="15.75" x14ac:dyDescent="0.25">
      <c r="A4" s="2" t="s">
        <v>15</v>
      </c>
      <c r="B4" s="2" t="s">
        <v>16</v>
      </c>
    </row>
    <row r="5" spans="1:16" ht="47.25" x14ac:dyDescent="0.25">
      <c r="A5" s="19" t="s">
        <v>22</v>
      </c>
      <c r="B5" s="20" t="s">
        <v>43</v>
      </c>
    </row>
    <row r="6" spans="1:16" ht="47.25" x14ac:dyDescent="0.25">
      <c r="A6" s="19" t="s">
        <v>26</v>
      </c>
      <c r="B6" s="18" t="s">
        <v>29</v>
      </c>
    </row>
    <row r="7" spans="1:16" x14ac:dyDescent="0.3">
      <c r="D7" s="1" t="s">
        <v>17</v>
      </c>
      <c r="E7" s="13" t="s">
        <v>22</v>
      </c>
      <c r="F7" s="12">
        <v>1</v>
      </c>
      <c r="G7" s="12">
        <v>2</v>
      </c>
      <c r="H7" s="12">
        <v>3</v>
      </c>
      <c r="J7" s="15" cm="1">
        <f t="array" ref="J7:L9">_xlfn.LAMBDA(_xlpm.matrix,_xlop.K,_xlfn.MAKEARRAY(ROWS(_xlpm.matrix),COLUMNS(_xlpm.matrix),_xlfn.LAMBDA(_xlpm.lin,_xlpm.col,_xlpm.col&gt;=(_xlpm.lin+_xlpm.K)))*_xlpm.matrix)(F7:H9)</f>
        <v>1</v>
      </c>
      <c r="K7" s="15">
        <v>2</v>
      </c>
      <c r="L7" s="15">
        <v>3</v>
      </c>
    </row>
    <row r="8" spans="1:16" x14ac:dyDescent="0.3">
      <c r="F8" s="12">
        <v>4</v>
      </c>
      <c r="G8" s="12">
        <v>5</v>
      </c>
      <c r="H8" s="12">
        <v>6</v>
      </c>
      <c r="J8" s="15">
        <v>0</v>
      </c>
      <c r="K8" s="15">
        <v>5</v>
      </c>
      <c r="L8" s="15">
        <v>6</v>
      </c>
    </row>
    <row r="9" spans="1:16" x14ac:dyDescent="0.3">
      <c r="F9" s="12">
        <v>7</v>
      </c>
      <c r="G9" s="12">
        <v>8</v>
      </c>
      <c r="H9" s="12">
        <v>9</v>
      </c>
      <c r="J9" s="15">
        <v>0</v>
      </c>
      <c r="K9" s="15">
        <v>0</v>
      </c>
      <c r="L9" s="15">
        <v>9</v>
      </c>
    </row>
    <row r="13" spans="1:16" x14ac:dyDescent="0.3">
      <c r="D13" s="1" t="s">
        <v>17</v>
      </c>
      <c r="E13" s="13" t="s">
        <v>22</v>
      </c>
      <c r="F13" s="12">
        <v>1</v>
      </c>
      <c r="G13" s="12">
        <v>2</v>
      </c>
      <c r="H13" s="12">
        <v>3</v>
      </c>
      <c r="J13" s="15" cm="1">
        <f t="array" ref="J13:L15">TRIU(F13:H15,F16)</f>
        <v>0</v>
      </c>
      <c r="K13" s="15">
        <v>2</v>
      </c>
      <c r="L13" s="15">
        <v>3</v>
      </c>
    </row>
    <row r="14" spans="1:16" x14ac:dyDescent="0.3">
      <c r="F14" s="12">
        <v>4</v>
      </c>
      <c r="G14" s="12">
        <v>5</v>
      </c>
      <c r="H14" s="12">
        <v>6</v>
      </c>
      <c r="J14" s="15">
        <v>0</v>
      </c>
      <c r="K14" s="15">
        <v>0</v>
      </c>
      <c r="L14" s="15">
        <v>6</v>
      </c>
    </row>
    <row r="15" spans="1:16" x14ac:dyDescent="0.3">
      <c r="F15" s="12">
        <v>7</v>
      </c>
      <c r="G15" s="12">
        <v>8</v>
      </c>
      <c r="H15" s="12">
        <v>9</v>
      </c>
      <c r="J15" s="15">
        <v>0</v>
      </c>
      <c r="K15" s="15">
        <v>0</v>
      </c>
      <c r="L15" s="15">
        <v>0</v>
      </c>
    </row>
    <row r="16" spans="1:16" x14ac:dyDescent="0.3">
      <c r="E16" s="13" t="s">
        <v>44</v>
      </c>
      <c r="F16" s="12">
        <v>1</v>
      </c>
    </row>
  </sheetData>
  <pageMargins left="0.511811024" right="0.511811024" top="0.78740157499999996" bottom="0.78740157499999996" header="0.31496062000000002" footer="0.3149606200000000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53021-1C77-490D-A75C-6E51718CFDEE}">
  <sheetPr codeName="Planilha9">
    <tabColor theme="9" tint="0.59999389629810485"/>
  </sheetPr>
  <dimension ref="A1:Q28"/>
  <sheetViews>
    <sheetView showGridLines="0" workbookViewId="0">
      <selection activeCell="K9" sqref="K9"/>
    </sheetView>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1" max="11" width="11.28515625" style="15" bestFit="1" customWidth="1"/>
    <col min="12" max="16" width="9.140625" style="15"/>
    <col min="17" max="17" width="12.42578125" style="15" bestFit="1" customWidth="1"/>
    <col min="18" max="19" width="12.42578125" bestFit="1" customWidth="1"/>
  </cols>
  <sheetData>
    <row r="1" spans="1:17" x14ac:dyDescent="0.3">
      <c r="A1" s="16" t="s">
        <v>41</v>
      </c>
      <c r="K1" s="14"/>
      <c r="L1" s="14"/>
      <c r="M1" s="14"/>
      <c r="N1" s="14"/>
      <c r="O1" s="14"/>
      <c r="P1" s="14"/>
      <c r="Q1" s="14"/>
    </row>
    <row r="2" spans="1:17" x14ac:dyDescent="0.3">
      <c r="A2" s="17" t="s">
        <v>130</v>
      </c>
      <c r="K2" s="14"/>
      <c r="L2" s="14"/>
      <c r="M2" s="14"/>
      <c r="N2" s="14"/>
      <c r="O2" s="14"/>
      <c r="P2" s="14"/>
      <c r="Q2" s="14"/>
    </row>
    <row r="4" spans="1:17" ht="15.75" x14ac:dyDescent="0.25">
      <c r="A4" s="2" t="s">
        <v>15</v>
      </c>
      <c r="B4" s="2" t="s">
        <v>16</v>
      </c>
    </row>
    <row r="5" spans="1:17" ht="31.5" x14ac:dyDescent="0.25">
      <c r="A5" s="19" t="s">
        <v>22</v>
      </c>
      <c r="B5" s="20" t="s">
        <v>42</v>
      </c>
    </row>
    <row r="6" spans="1:17" ht="63" x14ac:dyDescent="0.25">
      <c r="A6" s="23" t="s">
        <v>127</v>
      </c>
      <c r="B6" s="24" t="s">
        <v>128</v>
      </c>
    </row>
    <row r="9" spans="1:17" x14ac:dyDescent="0.3">
      <c r="D9" s="1" t="s">
        <v>17</v>
      </c>
      <c r="E9" s="13" t="s">
        <v>22</v>
      </c>
      <c r="F9" s="12">
        <v>1</v>
      </c>
      <c r="G9" s="12">
        <v>2</v>
      </c>
      <c r="H9" s="12">
        <v>3</v>
      </c>
      <c r="K9" s="15" cm="1">
        <f t="array" ref="K9:K17">_xlfn.LAMBDA(_xlpm.matrix,_xlop.rowsToCols,
_xlfn.LET( _xlpm.rowsToCols, IF(_xlfn.ISOMITTED(_xlpm.rowsToCols),FALSE,_xlpm.rowsToCols),
_xlpm.matrix, IF(_xlpm.rowsToCols, _xlpm.matrix, TRANSPOSE(_xlpm.matrix)),
INDEX(_xlpm.matrix,
_xlfn.MAKEARRAY(ROWS(_xlpm.matrix)*COLUMNS(_xlpm.matrix),1,_xlfn.LAMBDA(_xlpm.lin,_xlpm.col,ROUNDUP(_xlpm.lin/COLUMNS(_xlpm.matrix),0))),
_xlfn.MAKEARRAY(ROWS(_xlpm.matrix)*COLUMNS(_xlpm.matrix),1,_xlfn.LAMBDA(_xlpm.lin,_xlpm.col,MOD(_xlpm.lin-1,COLUMNS(_xlpm.matrix))+1))
))
)($F$9:$H$11,$F$13)</f>
        <v>1</v>
      </c>
    </row>
    <row r="10" spans="1:17" x14ac:dyDescent="0.3">
      <c r="F10" s="12">
        <v>4</v>
      </c>
      <c r="G10" s="12">
        <v>5</v>
      </c>
      <c r="H10" s="12">
        <v>6</v>
      </c>
      <c r="K10" s="15">
        <v>4</v>
      </c>
    </row>
    <row r="11" spans="1:17" x14ac:dyDescent="0.3">
      <c r="F11" s="12">
        <v>7</v>
      </c>
      <c r="G11" s="12">
        <v>8</v>
      </c>
      <c r="H11" s="12">
        <v>9</v>
      </c>
      <c r="K11" s="15">
        <v>7</v>
      </c>
    </row>
    <row r="12" spans="1:17" x14ac:dyDescent="0.3">
      <c r="K12" s="15">
        <v>2</v>
      </c>
    </row>
    <row r="13" spans="1:17" x14ac:dyDescent="0.3">
      <c r="E13" s="13" t="s">
        <v>129</v>
      </c>
      <c r="F13" s="12" t="b">
        <v>0</v>
      </c>
      <c r="K13" s="15">
        <v>5</v>
      </c>
    </row>
    <row r="14" spans="1:17" x14ac:dyDescent="0.3">
      <c r="K14" s="15">
        <v>8</v>
      </c>
    </row>
    <row r="15" spans="1:17" x14ac:dyDescent="0.3">
      <c r="K15" s="15">
        <v>3</v>
      </c>
    </row>
    <row r="16" spans="1:17" x14ac:dyDescent="0.3">
      <c r="K16" s="15">
        <v>6</v>
      </c>
    </row>
    <row r="17" spans="4:11" x14ac:dyDescent="0.3">
      <c r="K17" s="15">
        <v>9</v>
      </c>
    </row>
    <row r="20" spans="4:11" x14ac:dyDescent="0.3">
      <c r="D20" s="1" t="s">
        <v>17</v>
      </c>
      <c r="E20" s="13" t="s">
        <v>22</v>
      </c>
      <c r="F20" s="12">
        <v>1</v>
      </c>
      <c r="G20" s="12">
        <v>2</v>
      </c>
      <c r="H20" s="12">
        <v>3</v>
      </c>
      <c r="K20" s="15" cm="1">
        <f t="array" ref="K20:K28">VEC($F$20:$H$22,$F$24)</f>
        <v>1</v>
      </c>
    </row>
    <row r="21" spans="4:11" x14ac:dyDescent="0.3">
      <c r="F21" s="12">
        <v>4</v>
      </c>
      <c r="G21" s="12">
        <v>5</v>
      </c>
      <c r="H21" s="12">
        <v>6</v>
      </c>
      <c r="K21" s="15">
        <v>2</v>
      </c>
    </row>
    <row r="22" spans="4:11" x14ac:dyDescent="0.3">
      <c r="F22" s="12">
        <v>7</v>
      </c>
      <c r="G22" s="12">
        <v>8</v>
      </c>
      <c r="H22" s="12">
        <v>9</v>
      </c>
      <c r="K22" s="15">
        <v>3</v>
      </c>
    </row>
    <row r="23" spans="4:11" x14ac:dyDescent="0.3">
      <c r="K23" s="15">
        <v>4</v>
      </c>
    </row>
    <row r="24" spans="4:11" x14ac:dyDescent="0.3">
      <c r="E24" s="13" t="s">
        <v>129</v>
      </c>
      <c r="F24" s="12" t="b">
        <v>1</v>
      </c>
      <c r="K24" s="15">
        <v>5</v>
      </c>
    </row>
    <row r="25" spans="4:11" x14ac:dyDescent="0.3">
      <c r="K25" s="15">
        <v>6</v>
      </c>
    </row>
    <row r="26" spans="4:11" x14ac:dyDescent="0.3">
      <c r="K26" s="15">
        <v>7</v>
      </c>
    </row>
    <row r="27" spans="4:11" x14ac:dyDescent="0.3">
      <c r="K27" s="15">
        <v>8</v>
      </c>
    </row>
    <row r="28" spans="4:11" x14ac:dyDescent="0.3">
      <c r="K28" s="15">
        <v>9</v>
      </c>
    </row>
  </sheetData>
  <pageMargins left="0.511811024" right="0.511811024" top="0.78740157499999996" bottom="0.78740157499999996" header="0.31496062000000002" footer="0.3149606200000000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E71AD-9CA6-480E-AF47-13505DC15D2B}">
  <sheetPr codeName="Planilha16">
    <tabColor theme="9" tint="0.59999389629810485"/>
  </sheetPr>
  <dimension ref="A1:Q34"/>
  <sheetViews>
    <sheetView showGridLines="0" workbookViewId="0">
      <selection activeCell="K19" sqref="K19"/>
    </sheetView>
  </sheetViews>
  <sheetFormatPr defaultColWidth="8.85546875" defaultRowHeight="18.75" x14ac:dyDescent="0.3"/>
  <cols>
    <col min="1" max="1" width="12.7109375" style="17" customWidth="1"/>
    <col min="2" max="2" width="30.42578125" bestFit="1" customWidth="1"/>
    <col min="5" max="5" width="12.28515625" bestFit="1" customWidth="1"/>
    <col min="6" max="6" width="12.42578125" bestFit="1" customWidth="1"/>
    <col min="11" max="11" width="11.28515625" style="15" bestFit="1" customWidth="1"/>
    <col min="12" max="16" width="8.85546875" style="15"/>
    <col min="17" max="17" width="12.42578125" style="15" bestFit="1" customWidth="1"/>
    <col min="18" max="19" width="12.42578125" bestFit="1" customWidth="1"/>
  </cols>
  <sheetData>
    <row r="1" spans="1:17" x14ac:dyDescent="0.3">
      <c r="A1" s="16" t="s">
        <v>122</v>
      </c>
      <c r="K1" s="14"/>
      <c r="L1" s="14"/>
      <c r="M1" s="14"/>
      <c r="N1" s="14"/>
      <c r="O1" s="14"/>
      <c r="P1" s="14"/>
      <c r="Q1" s="14"/>
    </row>
    <row r="2" spans="1:17" x14ac:dyDescent="0.3">
      <c r="A2" s="17" t="s">
        <v>123</v>
      </c>
      <c r="K2" s="14"/>
      <c r="L2" s="14"/>
      <c r="M2" s="14"/>
      <c r="N2" s="14"/>
      <c r="O2" s="14"/>
      <c r="P2" s="14"/>
      <c r="Q2" s="14"/>
    </row>
    <row r="4" spans="1:17" ht="15.75" x14ac:dyDescent="0.25">
      <c r="A4" s="2" t="s">
        <v>15</v>
      </c>
      <c r="B4" s="2" t="s">
        <v>16</v>
      </c>
    </row>
    <row r="5" spans="1:17" ht="31.5" x14ac:dyDescent="0.25">
      <c r="A5" s="19" t="s">
        <v>22</v>
      </c>
      <c r="B5" s="26" t="s">
        <v>126</v>
      </c>
    </row>
    <row r="6" spans="1:17" ht="15.75" x14ac:dyDescent="0.25">
      <c r="A6" s="23" t="s">
        <v>36</v>
      </c>
      <c r="B6" s="24" t="s">
        <v>124</v>
      </c>
    </row>
    <row r="7" spans="1:17" ht="15.75" x14ac:dyDescent="0.25">
      <c r="A7" s="23" t="s">
        <v>37</v>
      </c>
      <c r="B7" s="24" t="s">
        <v>125</v>
      </c>
    </row>
    <row r="8" spans="1:17" ht="63" x14ac:dyDescent="0.25">
      <c r="A8" s="23" t="s">
        <v>127</v>
      </c>
      <c r="B8" s="24" t="s">
        <v>128</v>
      </c>
    </row>
    <row r="10" spans="1:17" x14ac:dyDescent="0.3">
      <c r="D10" s="1" t="s">
        <v>17</v>
      </c>
      <c r="E10" s="13" t="s">
        <v>22</v>
      </c>
      <c r="F10" s="12">
        <v>1</v>
      </c>
      <c r="G10" s="12">
        <v>4</v>
      </c>
      <c r="H10" s="12">
        <v>7</v>
      </c>
      <c r="I10" s="12">
        <v>10</v>
      </c>
      <c r="K10" s="15" cm="1">
        <f t="array" ref="K10:M13">_xlfn.LAMBDA(_xlpm.matrix,_xlpm.n,_xlpm.m,_xlop.rowsToCols, _xlfn.LET( _xlpm.rowsToCols, IF(_xlfn.ISOMITTED(_xlpm.rowsToCols),FALSE,_xlpm.rowsToCols), _xlpm.vecMatrix, VEC( IF(_xlpm.rowsToCols, _xlpm.matrix, TRANSPOSE(_xlpm.matrix)) ), IF( _xlpm.n+1 &lt;= ROWS(_xlpm.vecMatrix), HORZCAT( SLICE( _xlpm.vecMatrix, 1, _xlpm.n ), RESHAPE( SLICE( _xlpm.vecMatrix, _xlpm.n+1, ROWS(_xlpm.vecMatrix)  ), _xlpm.n,  _xlpm.m, TRUE) ), _xlpm.vecMatrix ) ))($F$10:$I$12,$F$14,$F$15,$F$16)</f>
        <v>1</v>
      </c>
      <c r="L10" s="15">
        <v>2</v>
      </c>
      <c r="M10" s="15">
        <v>3</v>
      </c>
    </row>
    <row r="11" spans="1:17" x14ac:dyDescent="0.3">
      <c r="F11" s="12">
        <v>2</v>
      </c>
      <c r="G11" s="12">
        <v>5</v>
      </c>
      <c r="H11" s="12">
        <v>8</v>
      </c>
      <c r="I11" s="12">
        <v>11</v>
      </c>
      <c r="K11" s="15">
        <v>4</v>
      </c>
      <c r="L11" s="15">
        <v>5</v>
      </c>
      <c r="M11" s="15">
        <v>6</v>
      </c>
    </row>
    <row r="12" spans="1:17" x14ac:dyDescent="0.3">
      <c r="F12" s="12">
        <v>3</v>
      </c>
      <c r="G12" s="12">
        <v>6</v>
      </c>
      <c r="H12" s="12">
        <v>9</v>
      </c>
      <c r="I12" s="12">
        <v>12</v>
      </c>
      <c r="K12" s="15">
        <v>7</v>
      </c>
      <c r="L12" s="15">
        <v>8</v>
      </c>
      <c r="M12" s="15">
        <v>9</v>
      </c>
    </row>
    <row r="13" spans="1:17" x14ac:dyDescent="0.3">
      <c r="K13" s="15">
        <v>10</v>
      </c>
      <c r="L13" s="15">
        <v>11</v>
      </c>
      <c r="M13" s="15">
        <v>12</v>
      </c>
    </row>
    <row r="14" spans="1:17" x14ac:dyDescent="0.3">
      <c r="E14" s="13" t="s">
        <v>36</v>
      </c>
      <c r="F14" s="12">
        <v>4</v>
      </c>
    </row>
    <row r="15" spans="1:17" x14ac:dyDescent="0.3">
      <c r="E15" s="13" t="s">
        <v>37</v>
      </c>
      <c r="F15" s="12">
        <v>3</v>
      </c>
    </row>
    <row r="16" spans="1:17" x14ac:dyDescent="0.3">
      <c r="E16" s="13" t="s">
        <v>129</v>
      </c>
      <c r="F16" s="12" t="b">
        <v>0</v>
      </c>
    </row>
    <row r="19" spans="4:12" x14ac:dyDescent="0.3">
      <c r="D19" s="1" t="s">
        <v>17</v>
      </c>
      <c r="E19" s="13" t="s">
        <v>22</v>
      </c>
      <c r="F19" s="12">
        <v>1</v>
      </c>
      <c r="G19" s="12">
        <v>4</v>
      </c>
      <c r="H19" s="12">
        <v>7</v>
      </c>
      <c r="K19" s="15" cm="1">
        <f t="array" ref="K19:L23">RESHAPE($F$19:$H$21,$F$23,$F$24,$F$25)</f>
        <v>1</v>
      </c>
      <c r="L19" s="15">
        <v>8</v>
      </c>
    </row>
    <row r="20" spans="4:12" x14ac:dyDescent="0.3">
      <c r="F20" s="12">
        <v>2</v>
      </c>
      <c r="G20" s="12">
        <v>5</v>
      </c>
      <c r="H20" s="12">
        <v>8</v>
      </c>
      <c r="K20" s="15">
        <v>4</v>
      </c>
      <c r="L20" s="15">
        <v>3</v>
      </c>
    </row>
    <row r="21" spans="4:12" x14ac:dyDescent="0.3">
      <c r="F21" s="12">
        <v>3</v>
      </c>
      <c r="G21" s="12">
        <v>6</v>
      </c>
      <c r="H21" s="12">
        <v>9</v>
      </c>
      <c r="K21" s="15">
        <v>7</v>
      </c>
      <c r="L21" s="15">
        <v>6</v>
      </c>
    </row>
    <row r="22" spans="4:12" x14ac:dyDescent="0.3">
      <c r="K22" s="15">
        <v>2</v>
      </c>
      <c r="L22" s="15">
        <v>9</v>
      </c>
    </row>
    <row r="23" spans="4:12" x14ac:dyDescent="0.3">
      <c r="E23" s="13" t="s">
        <v>36</v>
      </c>
      <c r="F23" s="12">
        <v>5</v>
      </c>
      <c r="K23" s="15">
        <v>5</v>
      </c>
      <c r="L23" s="15" t="e">
        <v>#REF!</v>
      </c>
    </row>
    <row r="24" spans="4:12" x14ac:dyDescent="0.3">
      <c r="E24" s="13" t="s">
        <v>37</v>
      </c>
      <c r="F24" s="12">
        <v>2</v>
      </c>
    </row>
    <row r="25" spans="4:12" x14ac:dyDescent="0.3">
      <c r="E25" s="13" t="s">
        <v>129</v>
      </c>
      <c r="F25" s="12" t="b">
        <v>0</v>
      </c>
    </row>
    <row r="28" spans="4:12" x14ac:dyDescent="0.3">
      <c r="D28" s="1" t="s">
        <v>17</v>
      </c>
      <c r="E28" s="13" t="s">
        <v>22</v>
      </c>
      <c r="F28" s="12">
        <v>1</v>
      </c>
      <c r="G28" s="12">
        <v>4</v>
      </c>
      <c r="H28" s="12">
        <v>7</v>
      </c>
      <c r="K28" s="15" cm="1">
        <f t="array" ref="K28:L32">RESHAPE($F$28:$H$30,$F$32,$F$33,$F$34)</f>
        <v>1</v>
      </c>
      <c r="L28" s="15">
        <v>6</v>
      </c>
    </row>
    <row r="29" spans="4:12" x14ac:dyDescent="0.3">
      <c r="F29" s="12">
        <v>2</v>
      </c>
      <c r="G29" s="12">
        <v>5</v>
      </c>
      <c r="H29" s="12">
        <v>8</v>
      </c>
      <c r="K29" s="15">
        <v>2</v>
      </c>
      <c r="L29" s="15">
        <v>7</v>
      </c>
    </row>
    <row r="30" spans="4:12" x14ac:dyDescent="0.3">
      <c r="F30" s="12">
        <v>3</v>
      </c>
      <c r="G30" s="12">
        <v>6</v>
      </c>
      <c r="H30" s="12">
        <v>9</v>
      </c>
      <c r="K30" s="15">
        <v>3</v>
      </c>
      <c r="L30" s="15">
        <v>8</v>
      </c>
    </row>
    <row r="31" spans="4:12" x14ac:dyDescent="0.3">
      <c r="K31" s="15">
        <v>4</v>
      </c>
      <c r="L31" s="15">
        <v>9</v>
      </c>
    </row>
    <row r="32" spans="4:12" x14ac:dyDescent="0.3">
      <c r="E32" s="13" t="s">
        <v>36</v>
      </c>
      <c r="F32" s="12">
        <v>5</v>
      </c>
      <c r="K32" s="15">
        <v>5</v>
      </c>
      <c r="L32" s="15" t="e">
        <v>#REF!</v>
      </c>
    </row>
    <row r="33" spans="5:6" x14ac:dyDescent="0.3">
      <c r="E33" s="13" t="s">
        <v>37</v>
      </c>
      <c r="F33" s="12">
        <v>2</v>
      </c>
    </row>
    <row r="34" spans="5:6" x14ac:dyDescent="0.3">
      <c r="E34" s="13" t="s">
        <v>129</v>
      </c>
      <c r="F34" s="12" t="b">
        <v>1</v>
      </c>
    </row>
  </sheetData>
  <pageMargins left="0.511811024" right="0.511811024" top="0.78740157499999996" bottom="0.78740157499999996" header="0.31496062000000002" footer="0.3149606200000000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2DEC5-68FB-4441-9AF3-3B0CD23070AF}">
  <sheetPr codeName="Planilha17">
    <tabColor theme="9" tint="0.59999389629810485"/>
  </sheetPr>
  <dimension ref="A1:S23"/>
  <sheetViews>
    <sheetView showGridLines="0" workbookViewId="0">
      <selection activeCell="L23" sqref="L23"/>
    </sheetView>
  </sheetViews>
  <sheetFormatPr defaultColWidth="8.85546875" defaultRowHeight="18.75" x14ac:dyDescent="0.3"/>
  <cols>
    <col min="1" max="1" width="12.7109375" style="17" customWidth="1"/>
    <col min="2" max="2" width="55" customWidth="1"/>
    <col min="5" max="5" width="12.28515625" bestFit="1" customWidth="1"/>
    <col min="6" max="6" width="12.42578125" bestFit="1" customWidth="1"/>
    <col min="13" max="13" width="11.28515625" style="15" bestFit="1" customWidth="1"/>
    <col min="14" max="18" width="8.85546875" style="15"/>
    <col min="19" max="19" width="12.42578125" style="15" bestFit="1" customWidth="1"/>
    <col min="20" max="21" width="12.42578125" bestFit="1" customWidth="1"/>
  </cols>
  <sheetData>
    <row r="1" spans="1:19" x14ac:dyDescent="0.3">
      <c r="A1" s="16" t="s">
        <v>45</v>
      </c>
      <c r="M1" s="14"/>
      <c r="N1" s="14"/>
      <c r="O1" s="14"/>
      <c r="P1" s="14"/>
      <c r="Q1" s="14"/>
      <c r="R1" s="14"/>
      <c r="S1" s="14"/>
    </row>
    <row r="2" spans="1:19" x14ac:dyDescent="0.3">
      <c r="A2" s="17" t="s">
        <v>52</v>
      </c>
      <c r="M2" s="14"/>
      <c r="N2" s="14"/>
      <c r="O2" s="14"/>
      <c r="P2" s="14"/>
      <c r="Q2" s="14"/>
      <c r="R2" s="14"/>
      <c r="S2" s="14"/>
    </row>
    <row r="4" spans="1:19" ht="15.75" x14ac:dyDescent="0.25">
      <c r="A4" s="2" t="s">
        <v>15</v>
      </c>
      <c r="B4" s="2" t="s">
        <v>16</v>
      </c>
    </row>
    <row r="5" spans="1:19" ht="15.75" x14ac:dyDescent="0.25">
      <c r="A5" s="19" t="s">
        <v>22</v>
      </c>
      <c r="B5" s="20" t="s">
        <v>46</v>
      </c>
    </row>
    <row r="6" spans="1:19" ht="31.5" customHeight="1" x14ac:dyDescent="0.25">
      <c r="A6" s="23" t="s">
        <v>875</v>
      </c>
      <c r="B6" s="26" t="s">
        <v>876</v>
      </c>
    </row>
    <row r="7" spans="1:19" ht="15.75" x14ac:dyDescent="0.25">
      <c r="A7" s="19"/>
      <c r="B7" s="18"/>
    </row>
    <row r="8" spans="1:19" x14ac:dyDescent="0.3">
      <c r="D8" s="1" t="s">
        <v>17</v>
      </c>
      <c r="E8" s="13" t="s">
        <v>22</v>
      </c>
      <c r="F8" s="12">
        <v>1</v>
      </c>
      <c r="G8" s="12">
        <v>2</v>
      </c>
      <c r="H8" s="12">
        <v>3</v>
      </c>
      <c r="M8" s="15" cm="1">
        <f t="array" ref="M8:O8">_xlfn.LAMBDA(_xlpm.matrix,_xlop.nSize,_xlfn.LET(
_xlpm.nSize,IF(OR(_xlfn.ISOMITTED(_xlpm.nSize), ISBLANK(_xlpm.nSize)),1,_xlpm.nSize),
_xlpm.nLins,ROWS(_xlpm.matrix),_xlpm.nCols,COLUMNS(_xlpm.matrix),
_xlfn.CHOOSECOLS(_xlpm.matrix, _xlfn.MAKEARRAY(1,_xlpm.nCols,
_xlfn.LAMBDA(_xlpm.lin,_xlpm.col, _xlpm.nSize*ROUNDDOWN((_xlpm.nCols - _xlpm.col)/_xlpm.nSize,0) + _xlfn.SWITCH(MOD(_xlpm.col,_xlpm.nSize),0,_xlpm.nSize,MOD(_xlpm.col,_xlpm.nSize))  ))
)))($F$8:$H$8,$F$10)</f>
        <v>3</v>
      </c>
      <c r="N8" s="15">
        <v>2</v>
      </c>
      <c r="O8" s="15">
        <v>1</v>
      </c>
    </row>
    <row r="10" spans="1:19" x14ac:dyDescent="0.3">
      <c r="E10" s="13" t="s">
        <v>875</v>
      </c>
      <c r="F10" s="12"/>
    </row>
    <row r="12" spans="1:19" x14ac:dyDescent="0.3">
      <c r="D12" s="1" t="s">
        <v>17</v>
      </c>
      <c r="E12" s="13" t="s">
        <v>22</v>
      </c>
      <c r="F12" s="12">
        <v>1</v>
      </c>
      <c r="G12" s="12">
        <v>2</v>
      </c>
      <c r="H12" s="12">
        <v>3</v>
      </c>
      <c r="M12" s="15" cm="1">
        <f t="array" ref="M12:O14">FLIPLR($F$12:$H$14,$F$16)</f>
        <v>3</v>
      </c>
      <c r="N12" s="15">
        <v>2</v>
      </c>
      <c r="O12" s="15">
        <v>1</v>
      </c>
    </row>
    <row r="13" spans="1:19" x14ac:dyDescent="0.3">
      <c r="F13" s="12">
        <v>4</v>
      </c>
      <c r="G13" s="12">
        <v>5</v>
      </c>
      <c r="H13" s="12">
        <v>6</v>
      </c>
      <c r="M13" s="15">
        <v>6</v>
      </c>
      <c r="N13" s="15">
        <v>5</v>
      </c>
      <c r="O13" s="15">
        <v>4</v>
      </c>
    </row>
    <row r="14" spans="1:19" x14ac:dyDescent="0.3">
      <c r="F14" s="12">
        <v>7</v>
      </c>
      <c r="G14" s="12">
        <v>8</v>
      </c>
      <c r="H14" s="12">
        <v>9</v>
      </c>
      <c r="M14" s="15">
        <v>9</v>
      </c>
      <c r="N14" s="15">
        <v>8</v>
      </c>
      <c r="O14" s="15">
        <v>7</v>
      </c>
    </row>
    <row r="16" spans="1:19" x14ac:dyDescent="0.3">
      <c r="E16" s="13" t="s">
        <v>875</v>
      </c>
      <c r="F16" s="12"/>
    </row>
    <row r="18" spans="4:18" x14ac:dyDescent="0.3">
      <c r="D18" s="1" t="s">
        <v>17</v>
      </c>
      <c r="E18" s="13" t="s">
        <v>22</v>
      </c>
      <c r="F18" s="12">
        <v>1</v>
      </c>
      <c r="G18" s="12">
        <v>2</v>
      </c>
      <c r="H18" s="12">
        <v>3</v>
      </c>
      <c r="I18" s="12">
        <v>4</v>
      </c>
      <c r="J18" s="12">
        <v>5</v>
      </c>
      <c r="K18" s="12">
        <v>6</v>
      </c>
      <c r="M18" s="15" cm="1">
        <f t="array" ref="M18:R21">FLIPLR($F$18:$K$21,$F$23)</f>
        <v>5</v>
      </c>
      <c r="N18" s="15">
        <v>6</v>
      </c>
      <c r="O18" s="15">
        <v>3</v>
      </c>
      <c r="P18" s="15">
        <v>4</v>
      </c>
      <c r="Q18" s="15">
        <v>1</v>
      </c>
      <c r="R18" s="15">
        <v>2</v>
      </c>
    </row>
    <row r="19" spans="4:18" x14ac:dyDescent="0.3">
      <c r="F19" s="12">
        <v>7</v>
      </c>
      <c r="G19" s="12">
        <v>8</v>
      </c>
      <c r="H19" s="12">
        <v>9</v>
      </c>
      <c r="I19" s="12">
        <v>10</v>
      </c>
      <c r="J19" s="12">
        <v>11</v>
      </c>
      <c r="K19" s="12">
        <v>12</v>
      </c>
      <c r="M19" s="15">
        <v>11</v>
      </c>
      <c r="N19" s="15">
        <v>12</v>
      </c>
      <c r="O19" s="15">
        <v>9</v>
      </c>
      <c r="P19" s="15">
        <v>10</v>
      </c>
      <c r="Q19" s="15">
        <v>7</v>
      </c>
      <c r="R19" s="15">
        <v>8</v>
      </c>
    </row>
    <row r="20" spans="4:18" x14ac:dyDescent="0.3">
      <c r="F20" s="12">
        <v>13</v>
      </c>
      <c r="G20" s="12">
        <v>14</v>
      </c>
      <c r="H20" s="12">
        <v>15</v>
      </c>
      <c r="I20" s="12">
        <v>16</v>
      </c>
      <c r="J20" s="12">
        <v>17</v>
      </c>
      <c r="K20" s="12">
        <v>18</v>
      </c>
      <c r="M20" s="15">
        <v>17</v>
      </c>
      <c r="N20" s="15">
        <v>18</v>
      </c>
      <c r="O20" s="15">
        <v>15</v>
      </c>
      <c r="P20" s="15">
        <v>16</v>
      </c>
      <c r="Q20" s="15">
        <v>13</v>
      </c>
      <c r="R20" s="15">
        <v>14</v>
      </c>
    </row>
    <row r="21" spans="4:18" x14ac:dyDescent="0.3">
      <c r="F21" s="12">
        <v>19</v>
      </c>
      <c r="G21" s="12">
        <v>20</v>
      </c>
      <c r="H21" s="12">
        <v>21</v>
      </c>
      <c r="I21" s="12">
        <v>22</v>
      </c>
      <c r="J21" s="12">
        <v>23</v>
      </c>
      <c r="K21" s="12">
        <v>24</v>
      </c>
      <c r="M21" s="15">
        <v>23</v>
      </c>
      <c r="N21" s="15">
        <v>24</v>
      </c>
      <c r="O21" s="15">
        <v>21</v>
      </c>
      <c r="P21" s="15">
        <v>22</v>
      </c>
      <c r="Q21" s="15">
        <v>19</v>
      </c>
      <c r="R21" s="15">
        <v>20</v>
      </c>
    </row>
    <row r="23" spans="4:18" x14ac:dyDescent="0.3">
      <c r="E23" s="13" t="s">
        <v>875</v>
      </c>
      <c r="F23" s="12">
        <v>2</v>
      </c>
    </row>
  </sheetData>
  <pageMargins left="0.511811024" right="0.511811024" top="0.78740157499999996" bottom="0.78740157499999996" header="0.31496062000000002" footer="0.3149606200000000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C07DF-B4FB-4CE5-B471-33A0D5B27BBA}">
  <sheetPr codeName="Planilha18">
    <tabColor theme="9" tint="0.59999389629810485"/>
  </sheetPr>
  <dimension ref="A1:S28"/>
  <sheetViews>
    <sheetView showGridLines="0" workbookViewId="0">
      <selection activeCell="M21" sqref="M21:S21"/>
    </sheetView>
  </sheetViews>
  <sheetFormatPr defaultColWidth="8.85546875" defaultRowHeight="18.75" x14ac:dyDescent="0.3"/>
  <cols>
    <col min="1" max="1" width="12.7109375" style="17" customWidth="1"/>
    <col min="2" max="2" width="41.42578125" customWidth="1"/>
    <col min="5" max="5" width="12.28515625" bestFit="1" customWidth="1"/>
    <col min="6" max="6" width="12.42578125" bestFit="1" customWidth="1"/>
    <col min="13" max="13" width="11.28515625" style="15" bestFit="1" customWidth="1"/>
    <col min="14" max="18" width="8.85546875" style="15"/>
    <col min="19" max="19" width="12.42578125" style="15" bestFit="1" customWidth="1"/>
    <col min="20" max="21" width="12.42578125" bestFit="1" customWidth="1"/>
  </cols>
  <sheetData>
    <row r="1" spans="1:19" x14ac:dyDescent="0.3">
      <c r="A1" s="16" t="s">
        <v>47</v>
      </c>
      <c r="M1" s="14"/>
      <c r="N1" s="14"/>
      <c r="O1" s="14"/>
      <c r="P1" s="14"/>
      <c r="Q1" s="14"/>
      <c r="R1" s="14"/>
      <c r="S1" s="14"/>
    </row>
    <row r="2" spans="1:19" x14ac:dyDescent="0.3">
      <c r="A2" s="17" t="s">
        <v>48</v>
      </c>
      <c r="M2" s="14"/>
      <c r="N2" s="14"/>
      <c r="O2" s="14"/>
      <c r="P2" s="14"/>
      <c r="Q2" s="14"/>
      <c r="R2" s="14"/>
      <c r="S2" s="14"/>
    </row>
    <row r="4" spans="1:19" ht="15.75" x14ac:dyDescent="0.25">
      <c r="A4" s="2" t="s">
        <v>15</v>
      </c>
      <c r="B4" s="2" t="s">
        <v>16</v>
      </c>
    </row>
    <row r="5" spans="1:19" ht="16.5" customHeight="1" x14ac:dyDescent="0.25">
      <c r="A5" s="19" t="s">
        <v>22</v>
      </c>
      <c r="B5" s="20" t="s">
        <v>46</v>
      </c>
    </row>
    <row r="6" spans="1:19" ht="32.25" customHeight="1" x14ac:dyDescent="0.25">
      <c r="A6" s="23" t="s">
        <v>875</v>
      </c>
      <c r="B6" s="26" t="s">
        <v>877</v>
      </c>
    </row>
    <row r="7" spans="1:19" ht="31.5" customHeight="1" x14ac:dyDescent="0.25">
      <c r="A7" s="23"/>
      <c r="B7" s="26"/>
    </row>
    <row r="8" spans="1:19" ht="15.75" x14ac:dyDescent="0.25">
      <c r="A8" s="19"/>
      <c r="B8" s="18"/>
    </row>
    <row r="9" spans="1:19" x14ac:dyDescent="0.3">
      <c r="D9" s="1" t="s">
        <v>17</v>
      </c>
      <c r="E9" s="13" t="s">
        <v>22</v>
      </c>
      <c r="F9" s="12">
        <v>1</v>
      </c>
      <c r="M9" s="15" cm="1">
        <f t="array" ref="M9:M11">_xlfn.LAMBDA(_xlpm.matrix,_xlop.nSize,_xlfn.LET(
_xlpm.nSize,IF(OR(_xlfn.ISOMITTED(_xlpm.nSize), ISBLANK(_xlpm.nSize)),1,_xlpm.nSize),
_xlpm.nLins,ROWS(_xlpm.matrix),_xlpm.nCols,COLUMNS(_xlpm.matrix),
_xlfn.CHOOSEROWS(_xlpm.matrix, _xlfn.MAKEARRAY(_xlpm.nLins,1,
_xlfn.LAMBDA(_xlpm.lin,_xlpm.col, _xlpm.nSize*ROUNDDOWN((_xlpm.nLins - _xlpm.lin)/_xlpm.nSize,0) + _xlfn.SWITCH(MOD(_xlpm.lin,_xlpm.nSize),0,_xlpm.nSize,MOD(_xlpm.lin,_xlpm.nSize))  ))
)))($F$9:$F$11,$F$13)</f>
        <v>3</v>
      </c>
    </row>
    <row r="10" spans="1:19" x14ac:dyDescent="0.3">
      <c r="F10" s="12">
        <v>2</v>
      </c>
      <c r="M10" s="15">
        <v>2</v>
      </c>
    </row>
    <row r="11" spans="1:19" x14ac:dyDescent="0.3">
      <c r="F11" s="12">
        <v>3</v>
      </c>
      <c r="M11" s="15">
        <v>1</v>
      </c>
    </row>
    <row r="13" spans="1:19" x14ac:dyDescent="0.3">
      <c r="E13" s="13" t="s">
        <v>875</v>
      </c>
      <c r="F13" s="12"/>
    </row>
    <row r="16" spans="1:19" x14ac:dyDescent="0.3">
      <c r="D16" s="1" t="s">
        <v>17</v>
      </c>
      <c r="E16" s="13" t="s">
        <v>22</v>
      </c>
      <c r="F16" s="12">
        <v>1</v>
      </c>
      <c r="G16" s="12">
        <v>2</v>
      </c>
      <c r="H16" s="12">
        <v>3</v>
      </c>
      <c r="M16" s="15" cm="1">
        <f t="array" ref="M16:O18">FLIPUD($F$16:$H$18,$F$20)</f>
        <v>7</v>
      </c>
      <c r="N16" s="15">
        <v>8</v>
      </c>
      <c r="O16" s="15">
        <v>9</v>
      </c>
    </row>
    <row r="17" spans="1:18" x14ac:dyDescent="0.3">
      <c r="F17" s="12">
        <v>4</v>
      </c>
      <c r="G17" s="12">
        <v>5</v>
      </c>
      <c r="H17" s="12">
        <v>6</v>
      </c>
      <c r="M17" s="15">
        <v>4</v>
      </c>
      <c r="N17" s="15">
        <v>5</v>
      </c>
      <c r="O17" s="15">
        <v>6</v>
      </c>
    </row>
    <row r="18" spans="1:18" x14ac:dyDescent="0.3">
      <c r="F18" s="12">
        <v>7</v>
      </c>
      <c r="G18" s="12">
        <v>8</v>
      </c>
      <c r="H18" s="12">
        <v>9</v>
      </c>
      <c r="M18" s="15">
        <v>1</v>
      </c>
      <c r="N18" s="15">
        <v>2</v>
      </c>
      <c r="O18" s="15">
        <v>3</v>
      </c>
    </row>
    <row r="20" spans="1:18" x14ac:dyDescent="0.3">
      <c r="E20" s="13" t="s">
        <v>875</v>
      </c>
      <c r="F20" s="12"/>
    </row>
    <row r="21" spans="1:18" ht="15" x14ac:dyDescent="0.25">
      <c r="A21"/>
    </row>
    <row r="23" spans="1:18" x14ac:dyDescent="0.3">
      <c r="D23" s="1" t="s">
        <v>17</v>
      </c>
      <c r="E23" s="13" t="s">
        <v>22</v>
      </c>
      <c r="F23" s="12">
        <v>1</v>
      </c>
      <c r="G23" s="12">
        <v>2</v>
      </c>
      <c r="H23" s="12">
        <v>3</v>
      </c>
      <c r="I23" s="12">
        <v>4</v>
      </c>
      <c r="J23" s="12">
        <v>5</v>
      </c>
      <c r="K23" s="12">
        <v>6</v>
      </c>
      <c r="M23" s="15" cm="1">
        <f t="array" ref="M23:R26">FLIPUD($F$23:$K$26,$F$28)</f>
        <v>13</v>
      </c>
      <c r="N23" s="15">
        <v>14</v>
      </c>
      <c r="O23" s="15">
        <v>15</v>
      </c>
      <c r="P23" s="15">
        <v>16</v>
      </c>
      <c r="Q23" s="15">
        <v>17</v>
      </c>
      <c r="R23" s="15">
        <v>18</v>
      </c>
    </row>
    <row r="24" spans="1:18" x14ac:dyDescent="0.3">
      <c r="F24" s="12">
        <v>7</v>
      </c>
      <c r="G24" s="12">
        <v>8</v>
      </c>
      <c r="H24" s="12">
        <v>9</v>
      </c>
      <c r="I24" s="12">
        <v>10</v>
      </c>
      <c r="J24" s="12">
        <v>11</v>
      </c>
      <c r="K24" s="12">
        <v>12</v>
      </c>
      <c r="M24" s="15">
        <v>19</v>
      </c>
      <c r="N24" s="15">
        <v>20</v>
      </c>
      <c r="O24" s="15">
        <v>21</v>
      </c>
      <c r="P24" s="15">
        <v>22</v>
      </c>
      <c r="Q24" s="15">
        <v>23</v>
      </c>
      <c r="R24" s="15">
        <v>24</v>
      </c>
    </row>
    <row r="25" spans="1:18" x14ac:dyDescent="0.3">
      <c r="F25" s="12">
        <v>13</v>
      </c>
      <c r="G25" s="12">
        <v>14</v>
      </c>
      <c r="H25" s="12">
        <v>15</v>
      </c>
      <c r="I25" s="12">
        <v>16</v>
      </c>
      <c r="J25" s="12">
        <v>17</v>
      </c>
      <c r="K25" s="12">
        <v>18</v>
      </c>
      <c r="M25" s="15">
        <v>1</v>
      </c>
      <c r="N25" s="15">
        <v>2</v>
      </c>
      <c r="O25" s="15">
        <v>3</v>
      </c>
      <c r="P25" s="15">
        <v>4</v>
      </c>
      <c r="Q25" s="15">
        <v>5</v>
      </c>
      <c r="R25" s="15">
        <v>6</v>
      </c>
    </row>
    <row r="26" spans="1:18" x14ac:dyDescent="0.3">
      <c r="F26" s="12">
        <v>19</v>
      </c>
      <c r="G26" s="12">
        <v>20</v>
      </c>
      <c r="H26" s="12">
        <v>21</v>
      </c>
      <c r="I26" s="12">
        <v>22</v>
      </c>
      <c r="J26" s="12">
        <v>23</v>
      </c>
      <c r="K26" s="12">
        <v>24</v>
      </c>
      <c r="M26" s="15">
        <v>7</v>
      </c>
      <c r="N26" s="15">
        <v>8</v>
      </c>
      <c r="O26" s="15">
        <v>9</v>
      </c>
      <c r="P26" s="15">
        <v>10</v>
      </c>
      <c r="Q26" s="15">
        <v>11</v>
      </c>
      <c r="R26" s="15">
        <v>12</v>
      </c>
    </row>
    <row r="28" spans="1:18" x14ac:dyDescent="0.3">
      <c r="E28" s="13" t="s">
        <v>875</v>
      </c>
      <c r="F28" s="12">
        <v>2</v>
      </c>
    </row>
  </sheetData>
  <pageMargins left="0.511811024" right="0.511811024" top="0.78740157499999996" bottom="0.78740157499999996" header="0.31496062000000002" footer="0.3149606200000000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4D3C6-519D-4478-A329-CAF41196CC30}">
  <sheetPr codeName="Planilha19">
    <tabColor theme="9" tint="0.59999389629810485"/>
  </sheetPr>
  <dimension ref="A1:T36"/>
  <sheetViews>
    <sheetView showGridLines="0" workbookViewId="0">
      <selection activeCell="J11" sqref="J11"/>
    </sheetView>
  </sheetViews>
  <sheetFormatPr defaultColWidth="8.85546875" defaultRowHeight="18.75" x14ac:dyDescent="0.3"/>
  <cols>
    <col min="1" max="1" width="20.7109375" style="17" customWidth="1"/>
    <col min="2" max="2" width="67.140625" customWidth="1"/>
    <col min="5" max="5" width="20" bestFit="1" customWidth="1"/>
    <col min="6" max="6" width="12.42578125" bestFit="1" customWidth="1"/>
    <col min="10" max="18" width="8.85546875" style="15"/>
  </cols>
  <sheetData>
    <row r="1" spans="1:18" x14ac:dyDescent="0.3">
      <c r="A1" s="16" t="s">
        <v>50</v>
      </c>
      <c r="J1" s="14"/>
      <c r="K1" s="14"/>
      <c r="L1" s="14"/>
      <c r="M1" s="14"/>
      <c r="N1" s="14"/>
      <c r="O1" s="14"/>
      <c r="P1" s="14"/>
      <c r="Q1" s="14"/>
      <c r="R1" s="14"/>
    </row>
    <row r="2" spans="1:18" x14ac:dyDescent="0.3">
      <c r="A2" s="17" t="s">
        <v>51</v>
      </c>
      <c r="J2" s="14"/>
      <c r="K2" s="14"/>
      <c r="L2" s="14"/>
      <c r="M2" s="14"/>
      <c r="N2" s="14"/>
      <c r="O2" s="14"/>
      <c r="P2" s="14"/>
      <c r="Q2" s="14"/>
      <c r="R2" s="14"/>
    </row>
    <row r="4" spans="1:18" ht="15.75" x14ac:dyDescent="0.25">
      <c r="A4" s="2" t="s">
        <v>15</v>
      </c>
      <c r="B4" s="2" t="s">
        <v>16</v>
      </c>
    </row>
    <row r="5" spans="1:18" ht="15.75" x14ac:dyDescent="0.25">
      <c r="A5" s="19" t="s">
        <v>22</v>
      </c>
      <c r="B5" s="20" t="s">
        <v>55</v>
      </c>
    </row>
    <row r="6" spans="1:18" ht="15.75" x14ac:dyDescent="0.25">
      <c r="A6" s="19" t="s">
        <v>56</v>
      </c>
      <c r="B6" s="26" t="s">
        <v>902</v>
      </c>
    </row>
    <row r="7" spans="1:18" ht="19.5" customHeight="1" x14ac:dyDescent="0.25">
      <c r="A7" s="19" t="s">
        <v>38</v>
      </c>
      <c r="B7" s="26" t="s">
        <v>903</v>
      </c>
    </row>
    <row r="8" spans="1:18" ht="61.5" customHeight="1" x14ac:dyDescent="0.25">
      <c r="A8" s="23" t="s">
        <v>900</v>
      </c>
      <c r="B8" s="26" t="s">
        <v>901</v>
      </c>
    </row>
    <row r="9" spans="1:18" ht="15.75" x14ac:dyDescent="0.25">
      <c r="A9" s="19"/>
      <c r="B9" s="18"/>
    </row>
    <row r="11" spans="1:18" x14ac:dyDescent="0.3">
      <c r="D11" s="1" t="s">
        <v>17</v>
      </c>
      <c r="E11" s="13" t="s">
        <v>22</v>
      </c>
      <c r="F11" s="12">
        <v>1</v>
      </c>
      <c r="G11" s="12">
        <v>2</v>
      </c>
      <c r="H11" s="12">
        <v>3</v>
      </c>
      <c r="J11" s="15" cm="1">
        <f t="array" ref="J11:O16">_xlfn.LAMBDA(_xlpm.matrix,_xlop.n,_xlop.m,_xlop.expandFromWithin,
_xlfn.LET(
_xlpm.n, IF( OR( _xlfn.ISOMITTED(_xlpm.n), _xlpm.n&lt;1 ),1,_xlpm.n),
_xlpm.m, IF( OR( _xlfn.ISOMITTED(_xlpm.m), _xlpm.m&lt;1),1,_xlpm.m),
_xlpm.expandFromWithin, IF( OR( _xlfn.ISOMITTED(_xlpm.expandFromWithin), ISBLANK(_xlpm.expandFromWithin)), FALSE, _xlpm.expandFromWithin),
_xlpm.result, IF(_xlpm.expandFromWithin=FALSE,
_xlfn.LET(
_xlpm.nn,_xlpm.n*ROWS(_xlpm.matrix),
_xlpm.mm,_xlpm.m*COLUMNS(_xlpm.matrix),
_xlpm.nseq, IF(MOD(_xlfn.SEQUENCE(_xlpm.nn,1),ROWS(_xlpm.matrix))=0, ROWS(_xlpm.matrix), MOD(_xlfn.SEQUENCE(_xlpm.nn,1),ROWS(_xlpm.matrix))),
_xlpm.mseq, IF(MOD(_xlfn.SEQUENCE(1,_xlpm.mm),COLUMNS(_xlpm.matrix))=0, COLUMNS(_xlpm.matrix), MOD(_xlfn.SEQUENCE(1,_xlpm.mm),COLUMNS(_xlpm.matrix))),
_xlfn.MAKEARRAY(_xlpm.nn,_xlpm.mm,_xlfn.LAMBDA(_xlpm.row,_xlpm.col,INDEX(_xlpm.matrix,INDEX(_xlpm.nseq,_xlpm.row),INDEX(_xlpm.mseq,1,_xlpm.col))))
),
_xlfn.LET(
_xlpm.matrixV, _xlfn.REDUCE(_xlpm.matrix, _xlfn.SEQUENCE(ROWS(_xlpm.matrix)), _xlfn.LAMBDA(_xlpm.accum,_xlpm.x, _xlfn.VSTACK(_xlpm.accum, REPMAT(INDEX(_xlpm.matrix,_xlpm.x,0),_xlpm.n,1)))),
_xlpm.matrixH, _xlfn.REDUCE(_xlpm.matrixV, _xlfn.SEQUENCE(COLUMNS(_xlpm.matrix)), _xlfn.LAMBDA(_xlpm.accum,_xlpm.x, _xlfn.HSTACK(_xlpm.accum, REPMAT(INDEX(_xlpm.matrixV,0,_xlpm.x),1,_xlpm.m)))),
_xlfn.DROP(_xlpm.matrixH,ROWS(_xlpm.matrix),COLUMNS(_xlpm.matrix))
)),
_xlpm.result
))($F$11:$H$13,$F$15,$F$16,$F$17)</f>
        <v>1</v>
      </c>
      <c r="K11" s="15">
        <v>2</v>
      </c>
      <c r="L11" s="15">
        <v>3</v>
      </c>
      <c r="M11" s="15">
        <v>1</v>
      </c>
      <c r="N11" s="15">
        <v>2</v>
      </c>
      <c r="O11" s="15">
        <v>3</v>
      </c>
    </row>
    <row r="12" spans="1:18" x14ac:dyDescent="0.3">
      <c r="F12" s="12">
        <v>4</v>
      </c>
      <c r="G12" s="12">
        <v>5</v>
      </c>
      <c r="H12" s="12">
        <v>6</v>
      </c>
      <c r="J12" s="15">
        <v>4</v>
      </c>
      <c r="K12" s="15">
        <v>5</v>
      </c>
      <c r="L12" s="15">
        <v>6</v>
      </c>
      <c r="M12" s="15">
        <v>4</v>
      </c>
      <c r="N12" s="15">
        <v>5</v>
      </c>
      <c r="O12" s="15">
        <v>6</v>
      </c>
    </row>
    <row r="13" spans="1:18" x14ac:dyDescent="0.3">
      <c r="F13" s="12">
        <v>7</v>
      </c>
      <c r="G13" s="12">
        <v>8</v>
      </c>
      <c r="H13" s="12">
        <v>9</v>
      </c>
      <c r="J13" s="15">
        <v>7</v>
      </c>
      <c r="K13" s="15">
        <v>8</v>
      </c>
      <c r="L13" s="15">
        <v>9</v>
      </c>
      <c r="M13" s="15">
        <v>7</v>
      </c>
      <c r="N13" s="15">
        <v>8</v>
      </c>
      <c r="O13" s="15">
        <v>9</v>
      </c>
    </row>
    <row r="14" spans="1:18" ht="15" x14ac:dyDescent="0.25">
      <c r="A14"/>
      <c r="J14" s="15">
        <v>1</v>
      </c>
      <c r="K14" s="15">
        <v>2</v>
      </c>
      <c r="L14" s="15">
        <v>3</v>
      </c>
      <c r="M14" s="15">
        <v>1</v>
      </c>
      <c r="N14" s="15">
        <v>2</v>
      </c>
      <c r="O14" s="15">
        <v>3</v>
      </c>
    </row>
    <row r="15" spans="1:18" x14ac:dyDescent="0.3">
      <c r="E15" s="13" t="s">
        <v>56</v>
      </c>
      <c r="F15" s="12">
        <v>2</v>
      </c>
      <c r="J15" s="15">
        <v>4</v>
      </c>
      <c r="K15" s="15">
        <v>5</v>
      </c>
      <c r="L15" s="15">
        <v>6</v>
      </c>
      <c r="M15" s="15">
        <v>4</v>
      </c>
      <c r="N15" s="15">
        <v>5</v>
      </c>
      <c r="O15" s="15">
        <v>6</v>
      </c>
    </row>
    <row r="16" spans="1:18" x14ac:dyDescent="0.3">
      <c r="E16" s="13" t="s">
        <v>38</v>
      </c>
      <c r="F16" s="12">
        <v>2</v>
      </c>
      <c r="J16" s="15">
        <v>7</v>
      </c>
      <c r="K16" s="15">
        <v>8</v>
      </c>
      <c r="L16" s="15">
        <v>9</v>
      </c>
      <c r="M16" s="15">
        <v>7</v>
      </c>
      <c r="N16" s="15">
        <v>8</v>
      </c>
      <c r="O16" s="15">
        <v>9</v>
      </c>
    </row>
    <row r="17" spans="1:20" x14ac:dyDescent="0.3">
      <c r="E17" s="13" t="s">
        <v>900</v>
      </c>
      <c r="F17" s="12" t="b">
        <v>0</v>
      </c>
    </row>
    <row r="18" spans="1:20" s="21" customFormat="1" x14ac:dyDescent="0.3">
      <c r="A18" s="17"/>
      <c r="B18"/>
      <c r="C18"/>
      <c r="D18"/>
      <c r="E18"/>
      <c r="F18"/>
      <c r="G18"/>
      <c r="H18"/>
      <c r="I18"/>
      <c r="J18" s="15"/>
      <c r="K18" s="15"/>
      <c r="L18" s="15"/>
      <c r="M18" s="15"/>
      <c r="N18" s="15"/>
      <c r="O18" s="15"/>
      <c r="P18" s="15"/>
      <c r="Q18" s="15"/>
      <c r="R18" s="15"/>
      <c r="T18"/>
    </row>
    <row r="19" spans="1:20" s="21" customFormat="1" x14ac:dyDescent="0.3">
      <c r="A19" s="17"/>
      <c r="B19"/>
      <c r="C19"/>
      <c r="D19"/>
      <c r="E19"/>
      <c r="F19"/>
      <c r="G19"/>
      <c r="H19"/>
      <c r="I19"/>
      <c r="J19" s="15"/>
      <c r="K19" s="15"/>
      <c r="L19" s="15"/>
      <c r="M19" s="15"/>
      <c r="N19" s="15"/>
      <c r="O19" s="15"/>
      <c r="P19" s="15"/>
      <c r="Q19" s="15"/>
      <c r="R19" s="15"/>
      <c r="T19"/>
    </row>
    <row r="21" spans="1:20" x14ac:dyDescent="0.3">
      <c r="D21" s="1" t="s">
        <v>17</v>
      </c>
      <c r="E21" s="13" t="s">
        <v>22</v>
      </c>
      <c r="F21" s="12">
        <v>1</v>
      </c>
      <c r="G21" s="12">
        <v>2</v>
      </c>
      <c r="H21" s="12">
        <v>3</v>
      </c>
      <c r="J21" s="15" cm="1">
        <f t="array" ref="J21:L26">REPMAT($F$21:$H$23,$F$25,$F$26,$F$27)</f>
        <v>1</v>
      </c>
      <c r="K21" s="15">
        <v>2</v>
      </c>
      <c r="L21" s="15">
        <v>3</v>
      </c>
    </row>
    <row r="22" spans="1:20" x14ac:dyDescent="0.3">
      <c r="F22" s="12">
        <v>4</v>
      </c>
      <c r="G22" s="12">
        <v>5</v>
      </c>
      <c r="H22" s="12">
        <v>6</v>
      </c>
      <c r="J22" s="15">
        <v>4</v>
      </c>
      <c r="K22" s="15">
        <v>5</v>
      </c>
      <c r="L22" s="15">
        <v>6</v>
      </c>
    </row>
    <row r="23" spans="1:20" x14ac:dyDescent="0.3">
      <c r="F23" s="12">
        <v>7</v>
      </c>
      <c r="G23" s="12">
        <v>8</v>
      </c>
      <c r="H23" s="12">
        <v>9</v>
      </c>
      <c r="J23" s="15">
        <v>7</v>
      </c>
      <c r="K23" s="15">
        <v>8</v>
      </c>
      <c r="L23" s="15">
        <v>9</v>
      </c>
    </row>
    <row r="24" spans="1:20" x14ac:dyDescent="0.3">
      <c r="J24" s="15">
        <v>1</v>
      </c>
      <c r="K24" s="15">
        <v>2</v>
      </c>
      <c r="L24" s="15">
        <v>3</v>
      </c>
    </row>
    <row r="25" spans="1:20" x14ac:dyDescent="0.3">
      <c r="E25" s="13" t="s">
        <v>56</v>
      </c>
      <c r="F25" s="12">
        <v>2</v>
      </c>
      <c r="J25" s="15">
        <v>4</v>
      </c>
      <c r="K25" s="15">
        <v>5</v>
      </c>
      <c r="L25" s="15">
        <v>6</v>
      </c>
    </row>
    <row r="26" spans="1:20" x14ac:dyDescent="0.3">
      <c r="E26" s="13" t="s">
        <v>38</v>
      </c>
      <c r="F26" s="12">
        <v>1</v>
      </c>
      <c r="J26" s="15">
        <v>7</v>
      </c>
      <c r="K26" s="15">
        <v>8</v>
      </c>
      <c r="L26" s="15">
        <v>9</v>
      </c>
    </row>
    <row r="27" spans="1:20" x14ac:dyDescent="0.3">
      <c r="E27" s="13" t="s">
        <v>900</v>
      </c>
      <c r="F27" s="12" t="b">
        <v>0</v>
      </c>
    </row>
    <row r="30" spans="1:20" x14ac:dyDescent="0.3">
      <c r="D30" s="1" t="s">
        <v>17</v>
      </c>
      <c r="E30" s="13" t="s">
        <v>22</v>
      </c>
      <c r="F30" s="12">
        <v>1</v>
      </c>
      <c r="G30" s="12">
        <v>2</v>
      </c>
      <c r="H30" s="12">
        <v>3</v>
      </c>
      <c r="J30" s="15" cm="1">
        <f t="array" ref="J30:L35">REPMAT($F$30:$H$32,$F$34,$F$35,$F$36)</f>
        <v>1</v>
      </c>
      <c r="K30" s="15">
        <v>2</v>
      </c>
      <c r="L30" s="15">
        <v>3</v>
      </c>
    </row>
    <row r="31" spans="1:20" x14ac:dyDescent="0.3">
      <c r="F31" s="12">
        <v>4</v>
      </c>
      <c r="G31" s="12">
        <v>5</v>
      </c>
      <c r="H31" s="12">
        <v>6</v>
      </c>
      <c r="J31" s="15">
        <v>1</v>
      </c>
      <c r="K31" s="15">
        <v>2</v>
      </c>
      <c r="L31" s="15">
        <v>3</v>
      </c>
    </row>
    <row r="32" spans="1:20" x14ac:dyDescent="0.3">
      <c r="F32" s="12">
        <v>7</v>
      </c>
      <c r="G32" s="12">
        <v>8</v>
      </c>
      <c r="H32" s="12">
        <v>9</v>
      </c>
      <c r="J32" s="15">
        <v>4</v>
      </c>
      <c r="K32" s="15">
        <v>5</v>
      </c>
      <c r="L32" s="15">
        <v>6</v>
      </c>
    </row>
    <row r="33" spans="5:12" x14ac:dyDescent="0.3">
      <c r="J33" s="15">
        <v>4</v>
      </c>
      <c r="K33" s="15">
        <v>5</v>
      </c>
      <c r="L33" s="15">
        <v>6</v>
      </c>
    </row>
    <row r="34" spans="5:12" x14ac:dyDescent="0.3">
      <c r="E34" s="13" t="s">
        <v>56</v>
      </c>
      <c r="F34" s="12">
        <v>2</v>
      </c>
      <c r="J34" s="15">
        <v>7</v>
      </c>
      <c r="K34" s="15">
        <v>8</v>
      </c>
      <c r="L34" s="15">
        <v>9</v>
      </c>
    </row>
    <row r="35" spans="5:12" x14ac:dyDescent="0.3">
      <c r="E35" s="13" t="s">
        <v>38</v>
      </c>
      <c r="F35" s="12">
        <v>1</v>
      </c>
      <c r="J35" s="15">
        <v>7</v>
      </c>
      <c r="K35" s="15">
        <v>8</v>
      </c>
      <c r="L35" s="15">
        <v>9</v>
      </c>
    </row>
    <row r="36" spans="5:12" x14ac:dyDescent="0.3">
      <c r="E36" s="13" t="s">
        <v>900</v>
      </c>
      <c r="F36" s="12" t="b">
        <v>1</v>
      </c>
    </row>
  </sheetData>
  <pageMargins left="0.511811024" right="0.511811024" top="0.78740157499999996" bottom="0.78740157499999996" header="0.31496062000000002" footer="0.3149606200000000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5F175-79D3-4AC3-984B-C425FE780A74}">
  <sheetPr codeName="Planilha20">
    <tabColor theme="9" tint="0.59999389629810485"/>
  </sheetPr>
  <dimension ref="A1:R43"/>
  <sheetViews>
    <sheetView showGridLines="0" workbookViewId="0">
      <selection activeCell="J6" sqref="J6"/>
    </sheetView>
  </sheetViews>
  <sheetFormatPr defaultColWidth="8.85546875" defaultRowHeight="18.75" x14ac:dyDescent="0.3"/>
  <cols>
    <col min="1" max="1" width="18.5703125" style="17" customWidth="1"/>
    <col min="2" max="2" width="32.140625" customWidth="1"/>
    <col min="5" max="5" width="17" bestFit="1" customWidth="1"/>
    <col min="6" max="7" width="12.42578125" bestFit="1" customWidth="1"/>
    <col min="10" max="10" width="12.42578125" style="15" bestFit="1" customWidth="1"/>
    <col min="11" max="13" width="8.85546875" style="15"/>
    <col min="14" max="14" width="12.42578125" style="15" bestFit="1" customWidth="1"/>
    <col min="15" max="18" width="8.85546875" style="15"/>
  </cols>
  <sheetData>
    <row r="1" spans="1:18" x14ac:dyDescent="0.3">
      <c r="A1" s="16" t="s">
        <v>84</v>
      </c>
      <c r="J1" s="14"/>
      <c r="K1" s="14"/>
      <c r="L1" s="14"/>
      <c r="M1" s="14"/>
      <c r="N1" s="14"/>
      <c r="O1" s="14"/>
      <c r="P1" s="14"/>
      <c r="Q1" s="14"/>
      <c r="R1" s="14"/>
    </row>
    <row r="2" spans="1:18" x14ac:dyDescent="0.3">
      <c r="A2" s="17" t="s">
        <v>65</v>
      </c>
      <c r="J2" s="14"/>
      <c r="K2" s="14"/>
      <c r="L2" s="14"/>
      <c r="M2" s="14"/>
      <c r="N2" s="14"/>
      <c r="O2" s="14"/>
      <c r="P2" s="14"/>
      <c r="Q2" s="14"/>
      <c r="R2" s="14"/>
    </row>
    <row r="4" spans="1:18" ht="15.75" x14ac:dyDescent="0.25">
      <c r="A4" s="2" t="s">
        <v>15</v>
      </c>
      <c r="B4" s="2" t="s">
        <v>16</v>
      </c>
    </row>
    <row r="5" spans="1:18" ht="15.75" x14ac:dyDescent="0.25">
      <c r="A5" s="19" t="s">
        <v>22</v>
      </c>
      <c r="B5" s="24" t="s">
        <v>448</v>
      </c>
    </row>
    <row r="6" spans="1:18" ht="47.25" x14ac:dyDescent="0.25">
      <c r="A6" s="19" t="s">
        <v>56</v>
      </c>
      <c r="B6" s="24" t="s">
        <v>302</v>
      </c>
    </row>
    <row r="7" spans="1:18" ht="15.75" x14ac:dyDescent="0.25">
      <c r="A7" s="19" t="s">
        <v>62</v>
      </c>
      <c r="B7" s="24" t="s">
        <v>449</v>
      </c>
    </row>
    <row r="8" spans="1:18" ht="78.75" x14ac:dyDescent="0.25">
      <c r="A8" s="23" t="s">
        <v>370</v>
      </c>
      <c r="B8" s="24" t="s">
        <v>371</v>
      </c>
    </row>
    <row r="10" spans="1:18" x14ac:dyDescent="0.3">
      <c r="D10" s="1" t="s">
        <v>17</v>
      </c>
      <c r="E10" s="13" t="s">
        <v>22</v>
      </c>
      <c r="F10" s="12" t="b">
        <v>0</v>
      </c>
      <c r="J10" s="15" cm="1">
        <f t="array" ref="J10:J11">_xlfn.LAMBDA(_xlpm.matrix,_xlop.n,_xlop.direction,_xlop.returnRowAndCol,
_xlfn.LET(
_xlpm.n, IF(OR(_xlfn.ISOMITTED(_xlpm.n),_xlpm.n&lt;1), ROWS(_xlpm.matrix)*COLUMNS(_xlpm.matrix),_xlpm.n),
_xlpm.direction, IF(_xlfn.ISOMITTED(_xlpm.direction), "first", LOWER(_xlpm.direction) ),
_xlpm.returnRowAndCol, IF(_xlfn.ISOMITTED(_xlpm.returnRowAndCol), FALSE, _xlpm.returnRowAndCol),
_xlpm.vecMatrix, 1*(VEC(_xlpm.matrix)*1&lt;&gt;0),
_xlpm.nElems, SUM(_xlpm.vecMatrix),
IF(_xlpm.nElems = 0, NA(),
_xlfn.LET(
_xlpm.filtered, _xlfn._xlws.FILTER(_xlfn.SEQUENCE(ROWS(_xlpm.matrix)*COLUMNS(_xlpm.matrix)),_xlpm.vecMatrix),
_xlpm.filteredOrdered, IF(_xlpm.direction = "first", _xlpm.filtered, IF( _xlpm.direction = "last", FLIPUD(_xlpm.filtered), #VALUE!) ),
_xlfn.LET(_xlpm.idxs, INDEX( _xlpm.filteredOrdered, _xlfn.SEQUENCE( MIN(COUNTA(_xlpm.filteredOrdered),_xlpm.n) ), 0 ),
IF(_xlpm.returnRowAndCol,
HORZCAT( IF(MOD(_xlpm.idxs,ROWS(_xlpm.matrix))=0,ROWS(_xlpm.matrix),MOD(_xlpm.idxs,ROWS(_xlpm.matrix))), ROUNDUP(_xlpm.idxs/COLUMNS(_xlpm.matrix),0) ),
_xlpm.idxs)
)))))($F$10:$F$13)</f>
        <v>3</v>
      </c>
    </row>
    <row r="11" spans="1:18" x14ac:dyDescent="0.3">
      <c r="F11" s="12" t="b">
        <v>0</v>
      </c>
      <c r="J11" s="15">
        <v>4</v>
      </c>
    </row>
    <row r="12" spans="1:18" x14ac:dyDescent="0.3">
      <c r="F12" s="12" t="b">
        <v>1</v>
      </c>
    </row>
    <row r="13" spans="1:18" x14ac:dyDescent="0.3">
      <c r="F13" s="12" t="b">
        <v>1</v>
      </c>
    </row>
    <row r="14" spans="1:18" ht="15" x14ac:dyDescent="0.25">
      <c r="A14"/>
    </row>
    <row r="16" spans="1:18" x14ac:dyDescent="0.3">
      <c r="D16" s="1" t="s">
        <v>17</v>
      </c>
      <c r="E16" s="13" t="s">
        <v>22</v>
      </c>
      <c r="F16" s="12" t="b">
        <v>1</v>
      </c>
      <c r="G16" s="12" t="b">
        <v>1</v>
      </c>
      <c r="J16" s="15" cm="1">
        <f t="array" ref="J16:J19">NOZERO($F$16:$G$19)</f>
        <v>1</v>
      </c>
    </row>
    <row r="17" spans="1:12" x14ac:dyDescent="0.3">
      <c r="F17" s="12" t="b">
        <v>0</v>
      </c>
      <c r="G17" s="12" t="b">
        <v>0</v>
      </c>
      <c r="J17" s="15">
        <v>4</v>
      </c>
    </row>
    <row r="18" spans="1:12" x14ac:dyDescent="0.3">
      <c r="F18" s="12" t="b">
        <v>0</v>
      </c>
      <c r="G18" s="12" t="b">
        <v>0</v>
      </c>
      <c r="J18" s="15">
        <v>5</v>
      </c>
    </row>
    <row r="19" spans="1:12" x14ac:dyDescent="0.3">
      <c r="F19" s="12" t="b">
        <v>1</v>
      </c>
      <c r="G19" s="12" t="b">
        <v>1</v>
      </c>
      <c r="J19" s="15">
        <v>8</v>
      </c>
    </row>
    <row r="20" spans="1:12" ht="15" x14ac:dyDescent="0.25">
      <c r="A20"/>
    </row>
    <row r="22" spans="1:12" x14ac:dyDescent="0.3">
      <c r="D22" s="1" t="s">
        <v>17</v>
      </c>
      <c r="E22" s="13" t="s">
        <v>22</v>
      </c>
      <c r="F22" s="12">
        <v>1</v>
      </c>
      <c r="G22" s="12">
        <v>0</v>
      </c>
      <c r="H22" s="12">
        <v>100</v>
      </c>
      <c r="J22" s="15" cm="1">
        <f t="array" ref="J22:J24">NOZERO(F22:H24,F26)</f>
        <v>1</v>
      </c>
    </row>
    <row r="23" spans="1:12" x14ac:dyDescent="0.3">
      <c r="F23" s="12">
        <v>0</v>
      </c>
      <c r="G23" s="12">
        <v>20</v>
      </c>
      <c r="H23" s="12">
        <v>0</v>
      </c>
      <c r="J23" s="15">
        <v>3</v>
      </c>
    </row>
    <row r="24" spans="1:12" x14ac:dyDescent="0.3">
      <c r="F24" s="12">
        <v>3</v>
      </c>
      <c r="G24" s="12">
        <v>0</v>
      </c>
      <c r="H24" s="12">
        <v>300</v>
      </c>
      <c r="J24" s="15">
        <v>5</v>
      </c>
    </row>
    <row r="26" spans="1:12" x14ac:dyDescent="0.3">
      <c r="E26" s="13" t="s">
        <v>36</v>
      </c>
      <c r="F26" s="12">
        <v>3</v>
      </c>
    </row>
    <row r="28" spans="1:12" x14ac:dyDescent="0.3">
      <c r="L28" s="15" t="s">
        <v>66</v>
      </c>
    </row>
    <row r="29" spans="1:12" x14ac:dyDescent="0.3">
      <c r="D29" s="1" t="s">
        <v>17</v>
      </c>
      <c r="E29" s="13" t="s">
        <v>22</v>
      </c>
      <c r="F29" s="12">
        <v>1</v>
      </c>
      <c r="G29" s="12">
        <v>0</v>
      </c>
      <c r="H29" s="12">
        <v>100</v>
      </c>
      <c r="J29" s="15" cm="1">
        <f t="array" ref="J29:J31">NOZERO($F$22:$H$24,$F$26,$F$34)</f>
        <v>9</v>
      </c>
      <c r="L29" s="15" cm="1">
        <f t="array" ref="L29:L31">SLICE(VEC(F29:H31),_xlfn.ANCHORARRAY(J29))</f>
        <v>300</v>
      </c>
    </row>
    <row r="30" spans="1:12" x14ac:dyDescent="0.3">
      <c r="F30" s="12">
        <v>0</v>
      </c>
      <c r="G30" s="12">
        <v>20</v>
      </c>
      <c r="H30" s="12">
        <v>0</v>
      </c>
      <c r="J30" s="15">
        <v>7</v>
      </c>
      <c r="L30" s="15">
        <v>100</v>
      </c>
    </row>
    <row r="31" spans="1:12" x14ac:dyDescent="0.3">
      <c r="F31" s="12">
        <v>3</v>
      </c>
      <c r="G31" s="12">
        <v>0</v>
      </c>
      <c r="H31" s="12">
        <v>300</v>
      </c>
      <c r="J31" s="15">
        <v>5</v>
      </c>
      <c r="L31" s="15">
        <v>20</v>
      </c>
    </row>
    <row r="33" spans="4:11" x14ac:dyDescent="0.3">
      <c r="E33" s="13" t="s">
        <v>36</v>
      </c>
      <c r="F33" s="12">
        <v>3</v>
      </c>
    </row>
    <row r="34" spans="4:11" x14ac:dyDescent="0.3">
      <c r="E34" s="13" t="s">
        <v>63</v>
      </c>
      <c r="F34" s="22" t="s">
        <v>64</v>
      </c>
    </row>
    <row r="37" spans="4:11" x14ac:dyDescent="0.3">
      <c r="D37" s="1" t="s">
        <v>17</v>
      </c>
      <c r="E37" s="13" t="s">
        <v>22</v>
      </c>
      <c r="F37" s="12">
        <v>1</v>
      </c>
      <c r="G37" s="12">
        <v>0</v>
      </c>
      <c r="H37" s="12">
        <v>100</v>
      </c>
      <c r="J37" s="15" cm="1">
        <f t="array" ref="J37:K39">NOZERO(F37:H39,F41,F42,F43)</f>
        <v>1</v>
      </c>
      <c r="K37" s="15">
        <v>1</v>
      </c>
    </row>
    <row r="38" spans="4:11" x14ac:dyDescent="0.3">
      <c r="F38" s="12">
        <v>0</v>
      </c>
      <c r="G38" s="12">
        <v>20</v>
      </c>
      <c r="H38" s="12">
        <v>0</v>
      </c>
      <c r="J38" s="15">
        <v>3</v>
      </c>
      <c r="K38" s="15">
        <v>1</v>
      </c>
    </row>
    <row r="39" spans="4:11" x14ac:dyDescent="0.3">
      <c r="F39" s="12">
        <v>3</v>
      </c>
      <c r="G39" s="12">
        <v>0</v>
      </c>
      <c r="H39" s="12">
        <v>300</v>
      </c>
      <c r="J39" s="15">
        <v>2</v>
      </c>
      <c r="K39" s="15">
        <v>2</v>
      </c>
    </row>
    <row r="41" spans="4:11" x14ac:dyDescent="0.3">
      <c r="E41" s="13" t="s">
        <v>36</v>
      </c>
      <c r="F41" s="12">
        <v>3</v>
      </c>
    </row>
    <row r="42" spans="4:11" x14ac:dyDescent="0.3">
      <c r="E42" s="13" t="s">
        <v>63</v>
      </c>
      <c r="F42" s="22" t="s">
        <v>373</v>
      </c>
    </row>
    <row r="43" spans="4:11" x14ac:dyDescent="0.3">
      <c r="E43" s="13" t="s">
        <v>372</v>
      </c>
      <c r="F43" s="22" t="b">
        <v>1</v>
      </c>
    </row>
  </sheetData>
  <pageMargins left="0.511811024" right="0.511811024" top="0.78740157499999996" bottom="0.78740157499999996" header="0.31496062000000002" footer="0.3149606200000000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57A11-A268-B641-A915-3B86D73AF86F}">
  <sheetPr codeName="Planilha21">
    <tabColor theme="9" tint="0.59999389629810485"/>
  </sheetPr>
  <dimension ref="A1:T23"/>
  <sheetViews>
    <sheetView showGridLines="0" workbookViewId="0">
      <selection activeCell="R9" sqref="R9"/>
    </sheetView>
  </sheetViews>
  <sheetFormatPr defaultColWidth="8.85546875" defaultRowHeight="18.75" x14ac:dyDescent="0.3"/>
  <cols>
    <col min="1" max="1" width="12.7109375" style="17" customWidth="1"/>
    <col min="2" max="2" width="24.85546875" bestFit="1" customWidth="1"/>
    <col min="10" max="18" width="8.85546875" style="15"/>
  </cols>
  <sheetData>
    <row r="1" spans="1:20" x14ac:dyDescent="0.3">
      <c r="A1" s="16" t="s">
        <v>69</v>
      </c>
      <c r="J1" s="14"/>
      <c r="K1" s="14"/>
      <c r="L1" s="14"/>
      <c r="M1" s="14"/>
      <c r="N1" s="14"/>
      <c r="O1" s="14"/>
      <c r="P1" s="14"/>
      <c r="Q1" s="14"/>
      <c r="R1" s="14"/>
    </row>
    <row r="2" spans="1:20" x14ac:dyDescent="0.3">
      <c r="A2" s="17" t="s">
        <v>70</v>
      </c>
      <c r="J2" s="14"/>
      <c r="K2" s="14"/>
      <c r="L2" s="14"/>
      <c r="M2" s="14"/>
      <c r="N2" s="14"/>
      <c r="O2" s="14"/>
      <c r="P2" s="14"/>
      <c r="Q2" s="14"/>
      <c r="R2" s="14"/>
    </row>
    <row r="4" spans="1:20" ht="15.75" x14ac:dyDescent="0.25">
      <c r="A4" s="2" t="s">
        <v>15</v>
      </c>
      <c r="B4" s="2" t="s">
        <v>16</v>
      </c>
    </row>
    <row r="5" spans="1:20" ht="31.5" x14ac:dyDescent="0.25">
      <c r="A5" s="23" t="s">
        <v>71</v>
      </c>
      <c r="B5" s="24" t="s">
        <v>73</v>
      </c>
    </row>
    <row r="6" spans="1:20" ht="31.5" x14ac:dyDescent="0.25">
      <c r="A6" s="23" t="s">
        <v>72</v>
      </c>
      <c r="B6" s="24" t="s">
        <v>74</v>
      </c>
    </row>
    <row r="7" spans="1:20" ht="15.75" x14ac:dyDescent="0.25">
      <c r="A7" s="19"/>
      <c r="B7" s="18"/>
    </row>
    <row r="9" spans="1:20" x14ac:dyDescent="0.3">
      <c r="D9" s="1" t="s">
        <v>17</v>
      </c>
      <c r="E9" s="13" t="s">
        <v>71</v>
      </c>
      <c r="F9" s="12">
        <v>1</v>
      </c>
      <c r="G9" s="12">
        <v>2</v>
      </c>
      <c r="H9" s="12">
        <v>3</v>
      </c>
      <c r="J9" s="15" cm="1">
        <f t="array" ref="J9:O14">_xlfn.LAMBDA(_xlpm.matrixA,_xlpm.matrixB,
_xlfn.LET(
_xlpm.nn,ROWS(_xlpm.matrixA) + ROWS(_xlpm.matrixB),
_xlpm.mm,COLUMNS(_xlpm.matrixA) + COLUMNS(_xlpm.matrixB),
_xlpm.nseq, IF(MOD(_xlfn.SEQUENCE(_xlpm.nn,1),ROWS(_xlpm.matrixA))=0, ROWS(_xlpm.matrixA), MOD(_xlfn.SEQUENCE(_xlpm.nn,1),ROWS(_xlpm.matrixA))),
_xlpm.mseq, IF(MOD(_xlfn.SEQUENCE(1,_xlpm.mm),COLUMNS(_xlpm.matrixA))=0, COLUMNS(_xlpm.matrixA), MOD(_xlfn.SEQUENCE(1,_xlpm.mm),COLUMNS(_xlpm.matrixA))),
_xlfn.MAKEARRAY(_xlpm.nn,_xlpm.mm,_xlfn.LAMBDA(_xlpm.row,_xlpm.col,
IF( OR( AND(_xlpm.row &lt;= ROWS(_xlpm.matrixA), _xlpm.col &gt; COLUMNS(_xlpm.matrixA) ), AND(_xlpm.row &gt; ROWS(_xlpm.matrixA), _xlpm.col &lt;= COLUMNS(_xlpm.matrixA) )  ), 0,
IF( _xlpm.row &lt;= ROWS(_xlpm.matrixA), INDEX(_xlpm.matrixA,INDEX(_xlpm.nseq,_xlpm.row),INDEX(_xlpm.mseq,1,_xlpm.col)), INDEX(_xlpm.matrixB,INDEX(_xlpm.nseq,_xlpm.row),INDEX(_xlpm.mseq,1,_xlpm.col)) )
) ))
))($F$9:$H$11,F13:H15)</f>
        <v>1</v>
      </c>
      <c r="K9" s="15">
        <v>2</v>
      </c>
      <c r="L9" s="15">
        <v>3</v>
      </c>
      <c r="M9" s="15">
        <v>0</v>
      </c>
      <c r="N9" s="15">
        <v>0</v>
      </c>
      <c r="O9" s="15">
        <v>0</v>
      </c>
    </row>
    <row r="10" spans="1:20" x14ac:dyDescent="0.3">
      <c r="F10" s="12">
        <v>4</v>
      </c>
      <c r="G10" s="12">
        <v>5</v>
      </c>
      <c r="H10" s="12">
        <v>6</v>
      </c>
      <c r="J10" s="15">
        <v>4</v>
      </c>
      <c r="K10" s="15">
        <v>5</v>
      </c>
      <c r="L10" s="15">
        <v>6</v>
      </c>
      <c r="M10" s="15">
        <v>0</v>
      </c>
      <c r="N10" s="15">
        <v>0</v>
      </c>
      <c r="O10" s="15">
        <v>0</v>
      </c>
    </row>
    <row r="11" spans="1:20" x14ac:dyDescent="0.3">
      <c r="F11" s="12">
        <v>7</v>
      </c>
      <c r="G11" s="12">
        <v>8</v>
      </c>
      <c r="H11" s="12">
        <v>9</v>
      </c>
      <c r="J11" s="15">
        <v>7</v>
      </c>
      <c r="K11" s="15">
        <v>8</v>
      </c>
      <c r="L11" s="15">
        <v>9</v>
      </c>
      <c r="M11" s="15">
        <v>0</v>
      </c>
      <c r="N11" s="15">
        <v>0</v>
      </c>
      <c r="O11" s="15">
        <v>0</v>
      </c>
    </row>
    <row r="12" spans="1:20" ht="15" x14ac:dyDescent="0.25">
      <c r="A12"/>
      <c r="J12" s="15">
        <v>0</v>
      </c>
      <c r="K12" s="15">
        <v>0</v>
      </c>
      <c r="L12" s="15">
        <v>0</v>
      </c>
      <c r="M12" s="15">
        <v>10</v>
      </c>
      <c r="N12" s="15">
        <v>11</v>
      </c>
      <c r="O12" s="15">
        <v>12</v>
      </c>
    </row>
    <row r="13" spans="1:20" x14ac:dyDescent="0.3">
      <c r="E13" s="13" t="s">
        <v>72</v>
      </c>
      <c r="F13" s="12">
        <v>10</v>
      </c>
      <c r="G13" s="12">
        <v>11</v>
      </c>
      <c r="H13" s="12">
        <v>12</v>
      </c>
      <c r="J13" s="15">
        <v>0</v>
      </c>
      <c r="K13" s="15">
        <v>0</v>
      </c>
      <c r="L13" s="15">
        <v>0</v>
      </c>
      <c r="M13" s="15">
        <v>13</v>
      </c>
      <c r="N13" s="15">
        <v>14</v>
      </c>
      <c r="O13" s="15">
        <v>15</v>
      </c>
    </row>
    <row r="14" spans="1:20" x14ac:dyDescent="0.3">
      <c r="F14" s="12">
        <v>13</v>
      </c>
      <c r="G14" s="12">
        <v>14</v>
      </c>
      <c r="H14" s="12">
        <v>15</v>
      </c>
      <c r="J14" s="15">
        <v>0</v>
      </c>
      <c r="K14" s="15">
        <v>0</v>
      </c>
      <c r="L14" s="15">
        <v>0</v>
      </c>
      <c r="M14" s="15">
        <v>16</v>
      </c>
      <c r="N14" s="15">
        <v>17</v>
      </c>
      <c r="O14" s="15">
        <v>18</v>
      </c>
    </row>
    <row r="15" spans="1:20" x14ac:dyDescent="0.3">
      <c r="F15" s="12">
        <v>16</v>
      </c>
      <c r="G15" s="12">
        <v>17</v>
      </c>
      <c r="H15" s="12">
        <v>18</v>
      </c>
    </row>
    <row r="16" spans="1:20" s="21" customFormat="1" x14ac:dyDescent="0.3">
      <c r="A16" s="17"/>
      <c r="B16"/>
      <c r="C16"/>
      <c r="D16"/>
      <c r="E16"/>
      <c r="F16"/>
      <c r="G16"/>
      <c r="H16"/>
      <c r="I16"/>
      <c r="J16" s="15"/>
      <c r="K16" s="15"/>
      <c r="L16" s="15"/>
      <c r="M16" s="15"/>
      <c r="N16" s="15"/>
      <c r="O16" s="15"/>
      <c r="P16" s="15"/>
      <c r="Q16" s="15"/>
      <c r="R16" s="15"/>
      <c r="T16"/>
    </row>
    <row r="17" spans="1:20" s="21" customFormat="1" x14ac:dyDescent="0.3">
      <c r="A17" s="17"/>
      <c r="B17"/>
      <c r="C17"/>
      <c r="D17"/>
      <c r="E17"/>
      <c r="F17"/>
      <c r="G17"/>
      <c r="H17"/>
      <c r="I17"/>
      <c r="J17" s="15"/>
      <c r="K17" s="15"/>
      <c r="L17" s="15"/>
      <c r="M17" s="15"/>
      <c r="N17" s="15"/>
      <c r="O17" s="15"/>
      <c r="P17" s="15"/>
      <c r="Q17" s="15"/>
      <c r="R17" s="15"/>
      <c r="T17"/>
    </row>
    <row r="19" spans="1:20" x14ac:dyDescent="0.3">
      <c r="D19" s="1" t="s">
        <v>17</v>
      </c>
      <c r="E19" s="13" t="s">
        <v>71</v>
      </c>
      <c r="F19" s="12">
        <v>1</v>
      </c>
      <c r="G19" s="12">
        <v>2</v>
      </c>
      <c r="H19" s="12">
        <v>3</v>
      </c>
      <c r="J19" s="15" cm="1">
        <f t="array" ref="J19:M22">BLKDIAG($F$19:$H$21,$F$23)</f>
        <v>1</v>
      </c>
      <c r="K19" s="15">
        <v>2</v>
      </c>
      <c r="L19" s="15">
        <v>3</v>
      </c>
      <c r="M19" s="15">
        <v>0</v>
      </c>
    </row>
    <row r="20" spans="1:20" x14ac:dyDescent="0.3">
      <c r="F20" s="12">
        <v>4</v>
      </c>
      <c r="G20" s="12">
        <v>5</v>
      </c>
      <c r="H20" s="12">
        <v>6</v>
      </c>
      <c r="J20" s="15">
        <v>4</v>
      </c>
      <c r="K20" s="15">
        <v>5</v>
      </c>
      <c r="L20" s="15">
        <v>6</v>
      </c>
      <c r="M20" s="15">
        <v>0</v>
      </c>
    </row>
    <row r="21" spans="1:20" x14ac:dyDescent="0.3">
      <c r="F21" s="12">
        <v>7</v>
      </c>
      <c r="G21" s="12">
        <v>8</v>
      </c>
      <c r="H21" s="12">
        <v>9</v>
      </c>
      <c r="J21" s="15">
        <v>7</v>
      </c>
      <c r="K21" s="15">
        <v>8</v>
      </c>
      <c r="L21" s="15">
        <v>9</v>
      </c>
      <c r="M21" s="15">
        <v>0</v>
      </c>
    </row>
    <row r="22" spans="1:20" x14ac:dyDescent="0.3">
      <c r="J22" s="15">
        <v>0</v>
      </c>
      <c r="K22" s="15">
        <v>0</v>
      </c>
      <c r="L22" s="15">
        <v>0</v>
      </c>
      <c r="M22" s="15">
        <v>2</v>
      </c>
    </row>
    <row r="23" spans="1:20" x14ac:dyDescent="0.3">
      <c r="E23" s="13" t="s">
        <v>72</v>
      </c>
      <c r="F23" s="12">
        <v>2</v>
      </c>
    </row>
  </sheetData>
  <pageMargins left="0.511811024" right="0.511811024" top="0.78740157499999996" bottom="0.78740157499999996" header="0.31496062000000002" footer="0.3149606200000000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CBB7E-D8C1-4729-96F7-26831D004B81}">
  <sheetPr codeName="Planilha22">
    <tabColor theme="9" tint="0.59999389629810485"/>
  </sheetPr>
  <dimension ref="A1:R32"/>
  <sheetViews>
    <sheetView showGridLines="0" workbookViewId="0">
      <selection activeCell="J9" sqref="J9"/>
    </sheetView>
  </sheetViews>
  <sheetFormatPr defaultColWidth="8.85546875" defaultRowHeight="18.75" x14ac:dyDescent="0.3"/>
  <cols>
    <col min="1" max="1" width="12.7109375" style="17" customWidth="1"/>
    <col min="2" max="2" width="31.140625" bestFit="1" customWidth="1"/>
    <col min="6" max="8" width="12.42578125" bestFit="1" customWidth="1"/>
    <col min="10" max="18" width="13.140625" style="15" customWidth="1"/>
  </cols>
  <sheetData>
    <row r="1" spans="1:18" x14ac:dyDescent="0.3">
      <c r="A1" s="16" t="s">
        <v>85</v>
      </c>
      <c r="J1" s="14"/>
      <c r="K1" s="14"/>
      <c r="L1" s="14"/>
      <c r="M1" s="14"/>
      <c r="N1" s="14"/>
      <c r="O1" s="14"/>
      <c r="P1" s="14"/>
      <c r="Q1" s="14"/>
      <c r="R1" s="14"/>
    </row>
    <row r="2" spans="1:18" x14ac:dyDescent="0.3">
      <c r="A2" s="17" t="s">
        <v>88</v>
      </c>
      <c r="J2" s="14"/>
      <c r="K2" s="14"/>
      <c r="L2" s="14"/>
      <c r="M2" s="14"/>
      <c r="N2" s="14"/>
      <c r="O2" s="14"/>
      <c r="P2" s="14"/>
      <c r="Q2" s="14"/>
      <c r="R2" s="14"/>
    </row>
    <row r="4" spans="1:18" ht="15.75" x14ac:dyDescent="0.25">
      <c r="A4" s="2" t="s">
        <v>15</v>
      </c>
      <c r="B4" s="2" t="s">
        <v>16</v>
      </c>
    </row>
    <row r="5" spans="1:18" ht="15.75" x14ac:dyDescent="0.25">
      <c r="A5" s="19" t="s">
        <v>22</v>
      </c>
      <c r="B5" s="24" t="s">
        <v>87</v>
      </c>
    </row>
    <row r="6" spans="1:18" ht="63" x14ac:dyDescent="0.25">
      <c r="A6" s="23" t="s">
        <v>86</v>
      </c>
      <c r="B6" s="24" t="s">
        <v>89</v>
      </c>
    </row>
    <row r="7" spans="1:18" ht="15.75" x14ac:dyDescent="0.25">
      <c r="A7" s="19"/>
      <c r="B7" s="18"/>
    </row>
    <row r="9" spans="1:18" x14ac:dyDescent="0.3">
      <c r="D9" s="1" t="s">
        <v>17</v>
      </c>
      <c r="E9" s="13" t="s">
        <v>22</v>
      </c>
      <c r="F9" s="12" t="b">
        <v>1</v>
      </c>
      <c r="J9" s="15" t="b" cm="1">
        <f t="array" ref="J9">_xlfn.LAMBDA(_xlpm.matrix,_xlop.dim,
_xlfn.LET(
_xlpm.dim, IF( _xlfn.ISOMITTED(_xlpm.dim),"all", _xlpm.dim),
IF(_xlpm.dim="all",
IF( ( SUM(1*(_xlpm.matrix=FALSE)) + SUM(1*(_xlpm.matrix=0))  ) = 0, TRUE, FALSE ),
IF(_xlpm.dim=1, _xlfn.BYCOL(_xlpm.matrix, _xlfn.LAMBDA(_xlpm.col, IF( ( SUM(1*(_xlpm.col=FALSE)) + SUM(1*(_xlpm.col=0))  ) = 0, TRUE, FALSE ) )),
IF(_xlpm.dim=2, _xlfn.BYROW(_xlpm.matrix, _xlfn.LAMBDA(_xlpm.row, IF( ( SUM(1*(_xlpm.row=FALSE)) + SUM(1*(_xlpm.row=0))  ) = 0, TRUE, FALSE ) )), #VALUE!) )
)
))($F$9:$F$12)</f>
        <v>1</v>
      </c>
    </row>
    <row r="10" spans="1:18" x14ac:dyDescent="0.3">
      <c r="F10" s="12">
        <v>9</v>
      </c>
    </row>
    <row r="11" spans="1:18" x14ac:dyDescent="0.3">
      <c r="F11" s="12" t="b">
        <v>1</v>
      </c>
    </row>
    <row r="12" spans="1:18" x14ac:dyDescent="0.3">
      <c r="F12" s="12" t="b">
        <v>1</v>
      </c>
    </row>
    <row r="13" spans="1:18" ht="15" x14ac:dyDescent="0.25">
      <c r="A13"/>
    </row>
    <row r="15" spans="1:18" x14ac:dyDescent="0.3">
      <c r="D15" s="1" t="s">
        <v>17</v>
      </c>
      <c r="E15" s="13" t="s">
        <v>22</v>
      </c>
      <c r="F15" s="12" t="b">
        <v>1</v>
      </c>
      <c r="G15" s="12" t="b">
        <v>1</v>
      </c>
      <c r="J15" s="15" t="b" cm="1">
        <f t="array" ref="J15">ALL($F$15:$G$18)</f>
        <v>0</v>
      </c>
    </row>
    <row r="16" spans="1:18" x14ac:dyDescent="0.3">
      <c r="F16" s="12" t="b">
        <v>0</v>
      </c>
      <c r="G16" s="12" t="b">
        <v>0</v>
      </c>
    </row>
    <row r="17" spans="1:12" x14ac:dyDescent="0.3">
      <c r="F17" s="12" t="b">
        <v>0</v>
      </c>
      <c r="G17" s="12" t="b">
        <v>0</v>
      </c>
    </row>
    <row r="18" spans="1:12" x14ac:dyDescent="0.3">
      <c r="F18" s="12" t="b">
        <v>1</v>
      </c>
      <c r="G18" s="12" t="b">
        <v>1</v>
      </c>
    </row>
    <row r="19" spans="1:12" ht="15" x14ac:dyDescent="0.25">
      <c r="A19"/>
    </row>
    <row r="20" spans="1:12" x14ac:dyDescent="0.3">
      <c r="H20" s="25" t="s">
        <v>90</v>
      </c>
    </row>
    <row r="21" spans="1:12" x14ac:dyDescent="0.3">
      <c r="D21" s="1" t="s">
        <v>17</v>
      </c>
      <c r="E21" s="13" t="s">
        <v>22</v>
      </c>
      <c r="F21" s="12">
        <v>1</v>
      </c>
      <c r="G21" s="12">
        <v>0</v>
      </c>
      <c r="H21" s="12">
        <v>100</v>
      </c>
      <c r="J21" s="15" t="b" cm="1">
        <f t="array" ref="J21:L21">ALL(F21:H23,F25)</f>
        <v>0</v>
      </c>
      <c r="K21" s="15" t="b">
        <v>0</v>
      </c>
      <c r="L21" s="15" t="b">
        <v>1</v>
      </c>
    </row>
    <row r="22" spans="1:12" x14ac:dyDescent="0.3">
      <c r="F22" s="12">
        <v>0</v>
      </c>
      <c r="G22" s="12">
        <v>20</v>
      </c>
      <c r="H22" s="12" t="b">
        <v>1</v>
      </c>
    </row>
    <row r="23" spans="1:12" x14ac:dyDescent="0.3">
      <c r="F23" s="12">
        <v>3</v>
      </c>
      <c r="G23" s="12">
        <v>0</v>
      </c>
      <c r="H23" s="12">
        <v>300</v>
      </c>
    </row>
    <row r="25" spans="1:12" x14ac:dyDescent="0.3">
      <c r="E25" s="13" t="s">
        <v>36</v>
      </c>
      <c r="F25" s="12">
        <v>1</v>
      </c>
    </row>
    <row r="28" spans="1:12" x14ac:dyDescent="0.3">
      <c r="D28" s="1" t="s">
        <v>17</v>
      </c>
      <c r="E28" s="13" t="s">
        <v>22</v>
      </c>
      <c r="F28" s="12">
        <v>1</v>
      </c>
      <c r="G28" s="12">
        <v>0</v>
      </c>
      <c r="H28" s="12">
        <v>100</v>
      </c>
      <c r="J28" s="15" t="b" cm="1">
        <f t="array" ref="J28:J30">ALL($F$28:$H$30,$F$32)</f>
        <v>0</v>
      </c>
    </row>
    <row r="29" spans="1:12" x14ac:dyDescent="0.3">
      <c r="F29" s="12">
        <v>1</v>
      </c>
      <c r="G29" s="12">
        <v>20</v>
      </c>
      <c r="H29" s="12" t="b">
        <v>1</v>
      </c>
      <c r="J29" s="15" t="b">
        <v>1</v>
      </c>
    </row>
    <row r="30" spans="1:12" x14ac:dyDescent="0.3">
      <c r="F30" s="12">
        <v>3</v>
      </c>
      <c r="G30" s="12">
        <v>0</v>
      </c>
      <c r="H30" s="12">
        <v>300</v>
      </c>
      <c r="J30" s="15" t="b">
        <v>0</v>
      </c>
    </row>
    <row r="32" spans="1:12" x14ac:dyDescent="0.3">
      <c r="E32" s="13" t="s">
        <v>36</v>
      </c>
      <c r="F32" s="12">
        <v>2</v>
      </c>
    </row>
  </sheetData>
  <pageMargins left="0.511811024" right="0.511811024" top="0.78740157499999996" bottom="0.78740157499999996" header="0.31496062000000002" footer="0.3149606200000000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41028-17AA-40E3-A3C9-C0D0A24A48DD}">
  <sheetPr codeName="Planilha23">
    <tabColor theme="9" tint="0.59999389629810485"/>
  </sheetPr>
  <dimension ref="A1:R32"/>
  <sheetViews>
    <sheetView showGridLines="0" workbookViewId="0">
      <selection activeCell="J9" sqref="J9"/>
    </sheetView>
  </sheetViews>
  <sheetFormatPr defaultColWidth="8.85546875" defaultRowHeight="18.75" x14ac:dyDescent="0.3"/>
  <cols>
    <col min="1" max="1" width="12.7109375" style="17" customWidth="1"/>
    <col min="2" max="2" width="31.140625" bestFit="1" customWidth="1"/>
    <col min="6" max="8" width="12.42578125" bestFit="1" customWidth="1"/>
    <col min="10" max="18" width="13.140625" style="15" customWidth="1"/>
  </cols>
  <sheetData>
    <row r="1" spans="1:18" x14ac:dyDescent="0.3">
      <c r="A1" s="16" t="s">
        <v>91</v>
      </c>
      <c r="J1" s="14"/>
      <c r="K1" s="14"/>
      <c r="L1" s="14"/>
      <c r="M1" s="14"/>
      <c r="N1" s="14"/>
      <c r="O1" s="14"/>
      <c r="P1" s="14"/>
      <c r="Q1" s="14"/>
      <c r="R1" s="14"/>
    </row>
    <row r="2" spans="1:18" x14ac:dyDescent="0.3">
      <c r="A2" s="17" t="s">
        <v>92</v>
      </c>
      <c r="J2" s="14"/>
      <c r="K2" s="14"/>
      <c r="L2" s="14"/>
      <c r="M2" s="14"/>
      <c r="N2" s="14"/>
      <c r="O2" s="14"/>
      <c r="P2" s="14"/>
      <c r="Q2" s="14"/>
      <c r="R2" s="14"/>
    </row>
    <row r="4" spans="1:18" ht="15.75" x14ac:dyDescent="0.25">
      <c r="A4" s="2" t="s">
        <v>15</v>
      </c>
      <c r="B4" s="2" t="s">
        <v>16</v>
      </c>
    </row>
    <row r="5" spans="1:18" ht="15.75" x14ac:dyDescent="0.25">
      <c r="A5" s="19" t="s">
        <v>22</v>
      </c>
      <c r="B5" s="24" t="s">
        <v>87</v>
      </c>
    </row>
    <row r="6" spans="1:18" ht="63" x14ac:dyDescent="0.25">
      <c r="A6" s="23" t="s">
        <v>86</v>
      </c>
      <c r="B6" s="24" t="s">
        <v>93</v>
      </c>
    </row>
    <row r="7" spans="1:18" ht="15.75" x14ac:dyDescent="0.25">
      <c r="A7" s="19"/>
      <c r="B7" s="18"/>
    </row>
    <row r="9" spans="1:18" x14ac:dyDescent="0.3">
      <c r="D9" s="1" t="s">
        <v>17</v>
      </c>
      <c r="E9" s="13" t="s">
        <v>22</v>
      </c>
      <c r="F9" s="12" t="b">
        <v>1</v>
      </c>
      <c r="J9" s="15" t="b" cm="1">
        <f t="array" ref="J9">_xlfn.LAMBDA(_xlpm.matrix,_xlop.dim,
_xlfn.LET(
_xlpm.dim, IF( _xlfn.ISOMITTED(_xlpm.dim),"all", _xlpm.dim),
IF(_xlpm.dim="all",
IF( ( SUM(1*(_xlpm.matrix=FALSE)) + SUM(1*(_xlpm.matrix=0))  ) &lt;&gt; ROWS(_xlpm.matrix)*COLUMNS(_xlpm.matrix), TRUE, FALSE ),
IF(_xlpm.dim=1, _xlfn.BYCOL(_xlpm.matrix, _xlfn.LAMBDA(_xlpm.col, IF( ( SUM(1*(_xlpm.col=FALSE)) + SUM(1*(_xlpm.col=0))  ) &lt;&gt; ROWS(_xlpm.col), TRUE, FALSE ) )),
IF(_xlpm.dim=2, _xlfn.BYROW(_xlpm.matrix, _xlfn.LAMBDA(_xlpm.row, IF( ( SUM(1*(_xlpm.row=FALSE)) + SUM(1*(_xlpm.row=0))  ) &lt;&gt; COLUMNS(_xlpm.row), TRUE, FALSE ) )), #VALUE!) )
)
))(F9:F12)</f>
        <v>1</v>
      </c>
    </row>
    <row r="10" spans="1:18" x14ac:dyDescent="0.3">
      <c r="F10" s="12">
        <v>0</v>
      </c>
    </row>
    <row r="11" spans="1:18" x14ac:dyDescent="0.3">
      <c r="F11" s="12">
        <v>6</v>
      </c>
    </row>
    <row r="12" spans="1:18" x14ac:dyDescent="0.3">
      <c r="F12" s="12" t="b">
        <v>1</v>
      </c>
    </row>
    <row r="13" spans="1:18" ht="15" x14ac:dyDescent="0.25">
      <c r="A13"/>
    </row>
    <row r="15" spans="1:18" x14ac:dyDescent="0.3">
      <c r="D15" s="1" t="s">
        <v>17</v>
      </c>
      <c r="E15" s="13" t="s">
        <v>22</v>
      </c>
      <c r="F15" s="12" t="b">
        <v>1</v>
      </c>
      <c r="G15" s="12" t="b">
        <v>1</v>
      </c>
      <c r="J15" s="15" t="b" cm="1">
        <f t="array" ref="J15">ANY($F$15:$G$18)</f>
        <v>1</v>
      </c>
    </row>
    <row r="16" spans="1:18" x14ac:dyDescent="0.3">
      <c r="F16" s="12" t="b">
        <v>0</v>
      </c>
      <c r="G16" s="12">
        <v>0</v>
      </c>
    </row>
    <row r="17" spans="1:12" x14ac:dyDescent="0.3">
      <c r="F17" s="12">
        <v>0</v>
      </c>
      <c r="G17" s="12" t="b">
        <v>0</v>
      </c>
    </row>
    <row r="18" spans="1:12" x14ac:dyDescent="0.3">
      <c r="F18" s="12" t="b">
        <v>1</v>
      </c>
      <c r="G18" s="12" t="b">
        <v>1</v>
      </c>
    </row>
    <row r="19" spans="1:12" ht="15" x14ac:dyDescent="0.25">
      <c r="A19"/>
    </row>
    <row r="20" spans="1:12" x14ac:dyDescent="0.3">
      <c r="H20" s="25" t="s">
        <v>90</v>
      </c>
    </row>
    <row r="21" spans="1:12" x14ac:dyDescent="0.3">
      <c r="D21" s="1" t="s">
        <v>17</v>
      </c>
      <c r="E21" s="13" t="s">
        <v>22</v>
      </c>
      <c r="F21" s="12">
        <v>1</v>
      </c>
      <c r="G21" s="12">
        <v>0</v>
      </c>
      <c r="H21" s="12">
        <v>100</v>
      </c>
      <c r="J21" s="15" t="b" cm="1">
        <f t="array" ref="J21:L21">ANY(F21:H23,F25)</f>
        <v>1</v>
      </c>
      <c r="K21" s="15" t="b">
        <v>0</v>
      </c>
      <c r="L21" s="15" t="b">
        <v>1</v>
      </c>
    </row>
    <row r="22" spans="1:12" x14ac:dyDescent="0.3">
      <c r="F22" s="12">
        <v>0</v>
      </c>
      <c r="G22" s="12">
        <v>0</v>
      </c>
      <c r="H22" s="12" t="b">
        <v>1</v>
      </c>
    </row>
    <row r="23" spans="1:12" x14ac:dyDescent="0.3">
      <c r="F23" s="12">
        <v>3</v>
      </c>
      <c r="G23" s="12">
        <v>0</v>
      </c>
      <c r="H23" s="12">
        <v>300</v>
      </c>
    </row>
    <row r="25" spans="1:12" x14ac:dyDescent="0.3">
      <c r="E25" s="13" t="s">
        <v>36</v>
      </c>
      <c r="F25" s="12">
        <v>1</v>
      </c>
    </row>
    <row r="28" spans="1:12" x14ac:dyDescent="0.3">
      <c r="D28" s="1" t="s">
        <v>17</v>
      </c>
      <c r="E28" s="13" t="s">
        <v>22</v>
      </c>
      <c r="F28" s="12">
        <v>1</v>
      </c>
      <c r="G28" s="12">
        <v>0</v>
      </c>
      <c r="H28" s="12">
        <v>100</v>
      </c>
      <c r="J28" s="15" t="b" cm="1">
        <f t="array" ref="J28:J30">ANY($F$28:$H$30,$F$32)</f>
        <v>1</v>
      </c>
    </row>
    <row r="29" spans="1:12" x14ac:dyDescent="0.3">
      <c r="F29" s="12">
        <v>1</v>
      </c>
      <c r="G29" s="12">
        <v>20</v>
      </c>
      <c r="H29" s="12" t="b">
        <v>1</v>
      </c>
      <c r="J29" s="15" t="b">
        <v>1</v>
      </c>
    </row>
    <row r="30" spans="1:12" x14ac:dyDescent="0.3">
      <c r="F30" s="12">
        <v>0</v>
      </c>
      <c r="G30" s="12">
        <v>0</v>
      </c>
      <c r="H30" s="12">
        <v>0</v>
      </c>
      <c r="J30" s="15" t="b">
        <v>0</v>
      </c>
    </row>
    <row r="32" spans="1:12" x14ac:dyDescent="0.3">
      <c r="E32" s="13" t="s">
        <v>36</v>
      </c>
      <c r="F32" s="12">
        <v>2</v>
      </c>
    </row>
  </sheetData>
  <pageMargins left="0.511811024" right="0.511811024" top="0.78740157499999996" bottom="0.78740157499999996" header="0.31496062000000002" footer="0.3149606200000000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82210-A8A1-4945-9DE4-DF6C299B22F5}">
  <sheetPr codeName="Planilha24">
    <tabColor theme="9" tint="0.59999389629810485"/>
  </sheetPr>
  <dimension ref="A1:R19"/>
  <sheetViews>
    <sheetView showGridLines="0" workbookViewId="0">
      <selection activeCell="J9" sqref="J9"/>
    </sheetView>
  </sheetViews>
  <sheetFormatPr defaultColWidth="8.85546875" defaultRowHeight="18.75" x14ac:dyDescent="0.3"/>
  <cols>
    <col min="1" max="1" width="12.7109375" style="17" customWidth="1"/>
    <col min="2" max="2" width="31.140625" bestFit="1" customWidth="1"/>
    <col min="6" max="8" width="12.42578125" bestFit="1" customWidth="1"/>
    <col min="10" max="18" width="13.140625" style="15" customWidth="1"/>
  </cols>
  <sheetData>
    <row r="1" spans="1:18" x14ac:dyDescent="0.3">
      <c r="A1" s="16" t="s">
        <v>117</v>
      </c>
      <c r="J1" s="14"/>
      <c r="K1" s="14"/>
      <c r="L1" s="14"/>
      <c r="M1" s="14"/>
      <c r="N1" s="14"/>
      <c r="O1" s="14"/>
      <c r="P1" s="14"/>
      <c r="Q1" s="14"/>
      <c r="R1" s="14"/>
    </row>
    <row r="2" spans="1:18" x14ac:dyDescent="0.3">
      <c r="A2" s="17" t="s">
        <v>121</v>
      </c>
      <c r="J2" s="14"/>
      <c r="K2" s="14"/>
      <c r="L2" s="14"/>
      <c r="M2" s="14"/>
      <c r="N2" s="14"/>
      <c r="O2" s="14"/>
      <c r="P2" s="14"/>
      <c r="Q2" s="14"/>
      <c r="R2" s="14"/>
    </row>
    <row r="4" spans="1:18" ht="15.75" x14ac:dyDescent="0.25">
      <c r="A4" s="2" t="s">
        <v>15</v>
      </c>
      <c r="B4" s="2" t="s">
        <v>16</v>
      </c>
    </row>
    <row r="5" spans="1:18" ht="31.5" x14ac:dyDescent="0.25">
      <c r="A5" s="19" t="s">
        <v>22</v>
      </c>
      <c r="B5" s="24" t="s">
        <v>118</v>
      </c>
    </row>
    <row r="6" spans="1:18" ht="15.75" x14ac:dyDescent="0.25">
      <c r="A6" s="23"/>
      <c r="B6" s="24"/>
    </row>
    <row r="7" spans="1:18" ht="15.75" x14ac:dyDescent="0.25">
      <c r="A7" s="19"/>
      <c r="B7" s="18"/>
    </row>
    <row r="9" spans="1:18" x14ac:dyDescent="0.3">
      <c r="D9" s="1" t="s">
        <v>17</v>
      </c>
      <c r="E9" s="13" t="s">
        <v>22</v>
      </c>
      <c r="F9" s="12" t="b">
        <v>1</v>
      </c>
      <c r="G9" s="12">
        <v>2</v>
      </c>
      <c r="H9" s="12">
        <v>4</v>
      </c>
      <c r="J9" s="15" cm="1">
        <f t="array" ref="J9">_xlfn.LAMBDA(_xlpm.matrix, COUNTA(_xlpm.matrix) - SUM(IF(_xlpm.matrix=FALSE,1,0)) - SUM(IF(_xlpm.matrix=0,1,0)) )($F$9:$H$11)</f>
        <v>6</v>
      </c>
    </row>
    <row r="10" spans="1:18" x14ac:dyDescent="0.3">
      <c r="F10" s="12" t="b">
        <v>1</v>
      </c>
      <c r="G10" s="12">
        <v>0</v>
      </c>
      <c r="H10" s="12" t="b">
        <v>0</v>
      </c>
    </row>
    <row r="11" spans="1:18" x14ac:dyDescent="0.3">
      <c r="F11" s="12">
        <v>0</v>
      </c>
      <c r="G11" s="12" t="s">
        <v>120</v>
      </c>
      <c r="H11" s="12" t="s">
        <v>119</v>
      </c>
    </row>
    <row r="13" spans="1:18" ht="15" x14ac:dyDescent="0.25">
      <c r="A13"/>
    </row>
    <row r="16" spans="1:18" x14ac:dyDescent="0.3">
      <c r="D16" s="1" t="s">
        <v>17</v>
      </c>
      <c r="E16" s="13" t="s">
        <v>22</v>
      </c>
      <c r="F16" s="12">
        <v>10</v>
      </c>
      <c r="G16" s="12">
        <v>20</v>
      </c>
      <c r="H16" s="12">
        <v>30</v>
      </c>
      <c r="J16" s="15" cm="1">
        <f t="array" ref="J16">NNZ($F$16:$H$18 &gt; 100)</f>
        <v>5</v>
      </c>
    </row>
    <row r="17" spans="1:8" x14ac:dyDescent="0.3">
      <c r="F17" s="12">
        <v>100</v>
      </c>
      <c r="G17" s="12">
        <v>200</v>
      </c>
      <c r="H17" s="12">
        <v>300</v>
      </c>
    </row>
    <row r="18" spans="1:8" x14ac:dyDescent="0.3">
      <c r="F18" s="12">
        <v>1000</v>
      </c>
      <c r="G18" s="12">
        <v>2000</v>
      </c>
      <c r="H18" s="12">
        <v>3000</v>
      </c>
    </row>
    <row r="19" spans="1:8" ht="15" x14ac:dyDescent="0.25">
      <c r="A19"/>
    </row>
  </sheetData>
  <pageMargins left="0.511811024" right="0.511811024" top="0.78740157499999996" bottom="0.78740157499999996" header="0.31496062000000002" footer="0.3149606200000000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0854D-0362-4BA7-A3AF-194D228C3DB9}">
  <sheetPr codeName="Planilha25">
    <tabColor theme="9" tint="0.59999389629810485"/>
  </sheetPr>
  <dimension ref="A1:U110"/>
  <sheetViews>
    <sheetView showGridLines="0" workbookViewId="0">
      <selection activeCell="O11" sqref="O11"/>
    </sheetView>
  </sheetViews>
  <sheetFormatPr defaultColWidth="8.85546875" defaultRowHeight="18.75" x14ac:dyDescent="0.3"/>
  <cols>
    <col min="1" max="1" width="12.7109375" style="17" customWidth="1"/>
    <col min="2" max="2" width="26.28515625" customWidth="1"/>
    <col min="8" max="9" width="8.85546875" style="15"/>
    <col min="15" max="21" width="8.85546875" style="15"/>
  </cols>
  <sheetData>
    <row r="1" spans="1:21" x14ac:dyDescent="0.3">
      <c r="A1" s="16" t="s">
        <v>105</v>
      </c>
      <c r="H1" s="14"/>
      <c r="I1" s="14"/>
      <c r="O1" s="14"/>
      <c r="P1" s="14"/>
      <c r="Q1" s="14"/>
      <c r="R1" s="14"/>
      <c r="S1" s="14"/>
      <c r="T1" s="14"/>
      <c r="U1" s="14"/>
    </row>
    <row r="2" spans="1:21" x14ac:dyDescent="0.3">
      <c r="A2" s="17" t="s">
        <v>106</v>
      </c>
      <c r="H2" s="14"/>
      <c r="I2" s="14"/>
      <c r="O2" s="14"/>
      <c r="P2" s="14"/>
      <c r="Q2" s="14"/>
      <c r="R2" s="14"/>
      <c r="S2" s="14"/>
      <c r="T2" s="14"/>
      <c r="U2" s="14"/>
    </row>
    <row r="3" spans="1:21" x14ac:dyDescent="0.3">
      <c r="O3" s="27"/>
    </row>
    <row r="4" spans="1:21" ht="15.75" x14ac:dyDescent="0.25">
      <c r="A4" s="2" t="s">
        <v>15</v>
      </c>
      <c r="B4" s="2" t="s">
        <v>16</v>
      </c>
      <c r="O4" s="27"/>
    </row>
    <row r="5" spans="1:21" ht="15.75" x14ac:dyDescent="0.25">
      <c r="A5" s="23" t="s">
        <v>110</v>
      </c>
      <c r="B5" s="26" t="s">
        <v>107</v>
      </c>
      <c r="O5" s="27"/>
    </row>
    <row r="6" spans="1:21" ht="15.75" x14ac:dyDescent="0.25">
      <c r="A6" s="23" t="s">
        <v>111</v>
      </c>
      <c r="B6" s="26" t="s">
        <v>108</v>
      </c>
      <c r="O6" s="27"/>
    </row>
    <row r="7" spans="1:21" ht="15.75" x14ac:dyDescent="0.25">
      <c r="A7" s="23" t="s">
        <v>56</v>
      </c>
      <c r="B7" s="26" t="s">
        <v>109</v>
      </c>
      <c r="O7" s="27"/>
    </row>
    <row r="8" spans="1:21" x14ac:dyDescent="0.3">
      <c r="O8" s="27"/>
    </row>
    <row r="9" spans="1:21" x14ac:dyDescent="0.3">
      <c r="O9" s="27"/>
    </row>
    <row r="10" spans="1:21" x14ac:dyDescent="0.3">
      <c r="O10" s="27"/>
    </row>
    <row r="11" spans="1:21" x14ac:dyDescent="0.3">
      <c r="D11" s="1" t="s">
        <v>17</v>
      </c>
      <c r="E11" s="13" t="s">
        <v>110</v>
      </c>
      <c r="F11" s="12">
        <v>1</v>
      </c>
      <c r="H11" s="27" cm="1">
        <f t="array" ref="H11:H110">_xlfn.LAMBDA(_xlpm.lb,_xlpm.ub,_xlop.n, _xlfn.LET(_xlpm.n, IF(_xlfn.ISOMITTED(_xlpm.n),100,_xlpm.n), _xlfn.MAKEARRAY(_xlpm.n, 1,_xlfn.LAMBDA(_xlpm.lin,_xlpm.col, _xlpm.lb + (_xlpm.lin-1)*(_xlpm.ub - _xlpm.lb)/(_xlpm.n-1) ))) )($F$11,$F$12)</f>
        <v>1</v>
      </c>
      <c r="K11" s="1" t="s">
        <v>17</v>
      </c>
      <c r="L11" s="13" t="s">
        <v>110</v>
      </c>
      <c r="M11" s="12">
        <v>1</v>
      </c>
      <c r="O11" s="27" cm="1">
        <f t="array" ref="O11:O20">LINSPACE($M$11,$M$12,$M$13)</f>
        <v>1</v>
      </c>
    </row>
    <row r="12" spans="1:21" x14ac:dyDescent="0.3">
      <c r="E12" s="13" t="s">
        <v>111</v>
      </c>
      <c r="F12" s="12">
        <v>5</v>
      </c>
      <c r="H12" s="27">
        <v>1.0404040404040404</v>
      </c>
      <c r="L12" s="13" t="s">
        <v>111</v>
      </c>
      <c r="M12" s="12">
        <v>5</v>
      </c>
      <c r="O12" s="27">
        <v>1.4444444444444444</v>
      </c>
    </row>
    <row r="13" spans="1:21" x14ac:dyDescent="0.3">
      <c r="H13" s="27">
        <v>1.0808080808080809</v>
      </c>
      <c r="L13" s="13" t="s">
        <v>36</v>
      </c>
      <c r="M13" s="12">
        <v>10</v>
      </c>
      <c r="O13" s="27">
        <v>1.8888888888888888</v>
      </c>
    </row>
    <row r="14" spans="1:21" x14ac:dyDescent="0.3">
      <c r="H14" s="27">
        <v>1.1212121212121211</v>
      </c>
      <c r="O14" s="27">
        <v>2.333333333333333</v>
      </c>
    </row>
    <row r="15" spans="1:21" x14ac:dyDescent="0.3">
      <c r="H15" s="27">
        <v>1.1616161616161615</v>
      </c>
      <c r="O15" s="27">
        <v>2.7777777777777777</v>
      </c>
    </row>
    <row r="16" spans="1:21" x14ac:dyDescent="0.3">
      <c r="H16" s="27">
        <v>1.202020202020202</v>
      </c>
      <c r="O16" s="27">
        <v>3.2222222222222223</v>
      </c>
    </row>
    <row r="17" spans="8:15" x14ac:dyDescent="0.3">
      <c r="H17" s="27">
        <v>1.2424242424242424</v>
      </c>
      <c r="O17" s="27">
        <v>3.6666666666666665</v>
      </c>
    </row>
    <row r="18" spans="8:15" x14ac:dyDescent="0.3">
      <c r="H18" s="27">
        <v>1.2828282828282829</v>
      </c>
      <c r="O18" s="27">
        <v>4.1111111111111107</v>
      </c>
    </row>
    <row r="19" spans="8:15" x14ac:dyDescent="0.3">
      <c r="H19" s="27">
        <v>1.3232323232323233</v>
      </c>
      <c r="O19" s="27">
        <v>4.5555555555555554</v>
      </c>
    </row>
    <row r="20" spans="8:15" x14ac:dyDescent="0.3">
      <c r="H20" s="27">
        <v>1.3636363636363638</v>
      </c>
      <c r="O20" s="27">
        <v>5</v>
      </c>
    </row>
    <row r="21" spans="8:15" x14ac:dyDescent="0.3">
      <c r="H21" s="27">
        <v>1.404040404040404</v>
      </c>
      <c r="O21" s="27"/>
    </row>
    <row r="22" spans="8:15" x14ac:dyDescent="0.3">
      <c r="H22" s="27">
        <v>1.4444444444444444</v>
      </c>
      <c r="O22" s="27"/>
    </row>
    <row r="23" spans="8:15" x14ac:dyDescent="0.3">
      <c r="H23" s="27">
        <v>1.4848484848484849</v>
      </c>
      <c r="O23" s="27"/>
    </row>
    <row r="24" spans="8:15" x14ac:dyDescent="0.3">
      <c r="H24" s="27">
        <v>1.5252525252525253</v>
      </c>
      <c r="O24" s="27"/>
    </row>
    <row r="25" spans="8:15" x14ac:dyDescent="0.3">
      <c r="H25" s="27">
        <v>1.5656565656565657</v>
      </c>
      <c r="O25" s="27"/>
    </row>
    <row r="26" spans="8:15" x14ac:dyDescent="0.3">
      <c r="H26" s="27">
        <v>1.606060606060606</v>
      </c>
      <c r="O26" s="27"/>
    </row>
    <row r="27" spans="8:15" x14ac:dyDescent="0.3">
      <c r="H27" s="27">
        <v>1.6464646464646466</v>
      </c>
      <c r="O27" s="27"/>
    </row>
    <row r="28" spans="8:15" x14ac:dyDescent="0.3">
      <c r="H28" s="27">
        <v>1.6868686868686869</v>
      </c>
      <c r="O28" s="27"/>
    </row>
    <row r="29" spans="8:15" x14ac:dyDescent="0.3">
      <c r="H29" s="27">
        <v>1.7272727272727273</v>
      </c>
      <c r="O29" s="27"/>
    </row>
    <row r="30" spans="8:15" x14ac:dyDescent="0.3">
      <c r="H30" s="27">
        <v>1.7676767676767677</v>
      </c>
      <c r="O30" s="27"/>
    </row>
    <row r="31" spans="8:15" x14ac:dyDescent="0.3">
      <c r="H31" s="27">
        <v>1.808080808080808</v>
      </c>
      <c r="O31" s="27"/>
    </row>
    <row r="32" spans="8:15" x14ac:dyDescent="0.3">
      <c r="H32" s="27">
        <v>1.8484848484848486</v>
      </c>
      <c r="O32" s="27"/>
    </row>
    <row r="33" spans="8:15" x14ac:dyDescent="0.3">
      <c r="H33" s="27">
        <v>1.8888888888888888</v>
      </c>
      <c r="O33" s="27"/>
    </row>
    <row r="34" spans="8:15" x14ac:dyDescent="0.3">
      <c r="H34" s="27">
        <v>1.9292929292929293</v>
      </c>
      <c r="O34" s="27"/>
    </row>
    <row r="35" spans="8:15" x14ac:dyDescent="0.3">
      <c r="H35" s="27">
        <v>1.9696969696969697</v>
      </c>
      <c r="O35" s="27"/>
    </row>
    <row r="36" spans="8:15" x14ac:dyDescent="0.3">
      <c r="H36" s="27">
        <v>2.0101010101010104</v>
      </c>
      <c r="O36" s="27"/>
    </row>
    <row r="37" spans="8:15" x14ac:dyDescent="0.3">
      <c r="H37" s="27">
        <v>2.0505050505050506</v>
      </c>
      <c r="O37" s="27"/>
    </row>
    <row r="38" spans="8:15" x14ac:dyDescent="0.3">
      <c r="H38" s="27">
        <v>2.0909090909090908</v>
      </c>
      <c r="O38" s="27"/>
    </row>
    <row r="39" spans="8:15" x14ac:dyDescent="0.3">
      <c r="H39" s="27">
        <v>2.1313131313131315</v>
      </c>
      <c r="O39" s="27"/>
    </row>
    <row r="40" spans="8:15" x14ac:dyDescent="0.3">
      <c r="H40" s="27">
        <v>2.1717171717171717</v>
      </c>
      <c r="O40" s="27"/>
    </row>
    <row r="41" spans="8:15" x14ac:dyDescent="0.3">
      <c r="H41" s="27">
        <v>2.2121212121212119</v>
      </c>
      <c r="O41" s="27"/>
    </row>
    <row r="42" spans="8:15" x14ac:dyDescent="0.3">
      <c r="H42" s="27">
        <v>2.2525252525252526</v>
      </c>
      <c r="O42" s="27"/>
    </row>
    <row r="43" spans="8:15" x14ac:dyDescent="0.3">
      <c r="H43" s="27">
        <v>2.2929292929292933</v>
      </c>
      <c r="O43" s="27"/>
    </row>
    <row r="44" spans="8:15" x14ac:dyDescent="0.3">
      <c r="H44" s="27">
        <v>2.333333333333333</v>
      </c>
      <c r="O44" s="27"/>
    </row>
    <row r="45" spans="8:15" x14ac:dyDescent="0.3">
      <c r="H45" s="27">
        <v>2.3737373737373737</v>
      </c>
      <c r="O45" s="27"/>
    </row>
    <row r="46" spans="8:15" x14ac:dyDescent="0.3">
      <c r="H46" s="27">
        <v>2.4141414141414144</v>
      </c>
      <c r="O46" s="27"/>
    </row>
    <row r="47" spans="8:15" x14ac:dyDescent="0.3">
      <c r="H47" s="27">
        <v>2.4545454545454546</v>
      </c>
      <c r="O47" s="27"/>
    </row>
    <row r="48" spans="8:15" x14ac:dyDescent="0.3">
      <c r="H48" s="27">
        <v>2.4949494949494948</v>
      </c>
      <c r="O48" s="27"/>
    </row>
    <row r="49" spans="8:15" x14ac:dyDescent="0.3">
      <c r="H49" s="27">
        <v>2.5353535353535355</v>
      </c>
      <c r="O49" s="27"/>
    </row>
    <row r="50" spans="8:15" x14ac:dyDescent="0.3">
      <c r="H50" s="27">
        <v>2.5757575757575757</v>
      </c>
      <c r="O50" s="27"/>
    </row>
    <row r="51" spans="8:15" x14ac:dyDescent="0.3">
      <c r="H51" s="27">
        <v>2.6161616161616159</v>
      </c>
      <c r="O51" s="27"/>
    </row>
    <row r="52" spans="8:15" x14ac:dyDescent="0.3">
      <c r="H52" s="27">
        <v>2.6565656565656566</v>
      </c>
      <c r="O52" s="27"/>
    </row>
    <row r="53" spans="8:15" x14ac:dyDescent="0.3">
      <c r="H53" s="27">
        <v>2.6969696969696972</v>
      </c>
      <c r="O53" s="27"/>
    </row>
    <row r="54" spans="8:15" x14ac:dyDescent="0.3">
      <c r="H54" s="27">
        <v>2.7373737373737375</v>
      </c>
      <c r="O54" s="27"/>
    </row>
    <row r="55" spans="8:15" x14ac:dyDescent="0.3">
      <c r="H55" s="27">
        <v>2.7777777777777777</v>
      </c>
      <c r="O55" s="27"/>
    </row>
    <row r="56" spans="8:15" x14ac:dyDescent="0.3">
      <c r="H56" s="27">
        <v>2.8181818181818183</v>
      </c>
      <c r="O56" s="27"/>
    </row>
    <row r="57" spans="8:15" x14ac:dyDescent="0.3">
      <c r="H57" s="27">
        <v>2.8585858585858586</v>
      </c>
      <c r="O57" s="27"/>
    </row>
    <row r="58" spans="8:15" x14ac:dyDescent="0.3">
      <c r="H58" s="27">
        <v>2.8989898989898988</v>
      </c>
      <c r="O58" s="27"/>
    </row>
    <row r="59" spans="8:15" x14ac:dyDescent="0.3">
      <c r="H59" s="27">
        <v>2.9393939393939394</v>
      </c>
      <c r="O59" s="27"/>
    </row>
    <row r="60" spans="8:15" x14ac:dyDescent="0.3">
      <c r="H60" s="27">
        <v>2.9797979797979801</v>
      </c>
      <c r="O60" s="27"/>
    </row>
    <row r="61" spans="8:15" x14ac:dyDescent="0.3">
      <c r="H61" s="27">
        <v>3.0202020202020203</v>
      </c>
      <c r="O61" s="27"/>
    </row>
    <row r="62" spans="8:15" x14ac:dyDescent="0.3">
      <c r="H62" s="27">
        <v>3.0606060606060606</v>
      </c>
      <c r="O62" s="27"/>
    </row>
    <row r="63" spans="8:15" x14ac:dyDescent="0.3">
      <c r="H63" s="27">
        <v>3.1010101010101012</v>
      </c>
      <c r="O63" s="27"/>
    </row>
    <row r="64" spans="8:15" x14ac:dyDescent="0.3">
      <c r="H64" s="27">
        <v>3.1414141414141414</v>
      </c>
      <c r="O64" s="27"/>
    </row>
    <row r="65" spans="8:15" x14ac:dyDescent="0.3">
      <c r="H65" s="27">
        <v>3.1818181818181817</v>
      </c>
      <c r="O65" s="27"/>
    </row>
    <row r="66" spans="8:15" x14ac:dyDescent="0.3">
      <c r="H66" s="27">
        <v>3.2222222222222223</v>
      </c>
      <c r="O66" s="27"/>
    </row>
    <row r="67" spans="8:15" x14ac:dyDescent="0.3">
      <c r="H67" s="27">
        <v>3.2626262626262625</v>
      </c>
      <c r="O67" s="27"/>
    </row>
    <row r="68" spans="8:15" x14ac:dyDescent="0.3">
      <c r="H68" s="27">
        <v>3.3030303030303032</v>
      </c>
      <c r="O68" s="27"/>
    </row>
    <row r="69" spans="8:15" x14ac:dyDescent="0.3">
      <c r="H69" s="27">
        <v>3.3434343434343434</v>
      </c>
      <c r="O69" s="27"/>
    </row>
    <row r="70" spans="8:15" x14ac:dyDescent="0.3">
      <c r="H70" s="27">
        <v>3.3838383838383836</v>
      </c>
      <c r="O70" s="27"/>
    </row>
    <row r="71" spans="8:15" x14ac:dyDescent="0.3">
      <c r="H71" s="27">
        <v>3.4242424242424243</v>
      </c>
      <c r="O71" s="27"/>
    </row>
    <row r="72" spans="8:15" x14ac:dyDescent="0.3">
      <c r="H72" s="27">
        <v>3.4646464646464645</v>
      </c>
      <c r="O72" s="27"/>
    </row>
    <row r="73" spans="8:15" x14ac:dyDescent="0.3">
      <c r="H73" s="27">
        <v>3.5050505050505052</v>
      </c>
      <c r="O73" s="27"/>
    </row>
    <row r="74" spans="8:15" x14ac:dyDescent="0.3">
      <c r="H74" s="27">
        <v>3.5454545454545454</v>
      </c>
      <c r="O74" s="27"/>
    </row>
    <row r="75" spans="8:15" x14ac:dyDescent="0.3">
      <c r="H75" s="27">
        <v>3.5858585858585861</v>
      </c>
      <c r="O75" s="27"/>
    </row>
    <row r="76" spans="8:15" x14ac:dyDescent="0.3">
      <c r="H76" s="27">
        <v>3.6262626262626263</v>
      </c>
      <c r="O76" s="27"/>
    </row>
    <row r="77" spans="8:15" x14ac:dyDescent="0.3">
      <c r="H77" s="27">
        <v>3.6666666666666665</v>
      </c>
      <c r="O77" s="27"/>
    </row>
    <row r="78" spans="8:15" x14ac:dyDescent="0.3">
      <c r="H78" s="27">
        <v>3.7070707070707072</v>
      </c>
      <c r="O78" s="27"/>
    </row>
    <row r="79" spans="8:15" x14ac:dyDescent="0.3">
      <c r="H79" s="27">
        <v>3.7474747474747474</v>
      </c>
      <c r="O79" s="27"/>
    </row>
    <row r="80" spans="8:15" x14ac:dyDescent="0.3">
      <c r="H80" s="27">
        <v>3.7878787878787881</v>
      </c>
      <c r="O80" s="27"/>
    </row>
    <row r="81" spans="8:15" x14ac:dyDescent="0.3">
      <c r="H81" s="27">
        <v>3.8282828282828283</v>
      </c>
      <c r="O81" s="27"/>
    </row>
    <row r="82" spans="8:15" x14ac:dyDescent="0.3">
      <c r="H82" s="27">
        <v>3.8686868686868685</v>
      </c>
      <c r="O82" s="27"/>
    </row>
    <row r="83" spans="8:15" x14ac:dyDescent="0.3">
      <c r="H83" s="27">
        <v>3.9090909090909092</v>
      </c>
      <c r="O83" s="27"/>
    </row>
    <row r="84" spans="8:15" x14ac:dyDescent="0.3">
      <c r="H84" s="27">
        <v>3.9494949494949494</v>
      </c>
      <c r="O84" s="27"/>
    </row>
    <row r="85" spans="8:15" x14ac:dyDescent="0.3">
      <c r="H85" s="27">
        <v>3.9898989898989901</v>
      </c>
      <c r="O85" s="27"/>
    </row>
    <row r="86" spans="8:15" x14ac:dyDescent="0.3">
      <c r="H86" s="27">
        <v>4.0303030303030303</v>
      </c>
      <c r="O86" s="27"/>
    </row>
    <row r="87" spans="8:15" x14ac:dyDescent="0.3">
      <c r="H87" s="27">
        <v>4.0707070707070709</v>
      </c>
      <c r="O87" s="27"/>
    </row>
    <row r="88" spans="8:15" x14ac:dyDescent="0.3">
      <c r="H88" s="27">
        <v>4.1111111111111107</v>
      </c>
      <c r="O88" s="27"/>
    </row>
    <row r="89" spans="8:15" x14ac:dyDescent="0.3">
      <c r="H89" s="27">
        <v>4.1515151515151514</v>
      </c>
      <c r="O89" s="27"/>
    </row>
    <row r="90" spans="8:15" x14ac:dyDescent="0.3">
      <c r="H90" s="27">
        <v>4.191919191919192</v>
      </c>
      <c r="O90" s="27"/>
    </row>
    <row r="91" spans="8:15" x14ac:dyDescent="0.3">
      <c r="H91" s="27">
        <v>4.2323232323232318</v>
      </c>
      <c r="O91" s="27"/>
    </row>
    <row r="92" spans="8:15" x14ac:dyDescent="0.3">
      <c r="H92" s="27">
        <v>4.2727272727272734</v>
      </c>
      <c r="O92" s="27"/>
    </row>
    <row r="93" spans="8:15" x14ac:dyDescent="0.3">
      <c r="H93" s="27">
        <v>4.3131313131313131</v>
      </c>
      <c r="O93" s="27"/>
    </row>
    <row r="94" spans="8:15" x14ac:dyDescent="0.3">
      <c r="H94" s="27">
        <v>4.3535353535353529</v>
      </c>
      <c r="O94" s="27"/>
    </row>
    <row r="95" spans="8:15" x14ac:dyDescent="0.3">
      <c r="H95" s="27">
        <v>4.3939393939393945</v>
      </c>
      <c r="O95" s="27"/>
    </row>
    <row r="96" spans="8:15" x14ac:dyDescent="0.3">
      <c r="H96" s="27">
        <v>4.4343434343434343</v>
      </c>
      <c r="O96" s="27"/>
    </row>
    <row r="97" spans="8:15" x14ac:dyDescent="0.3">
      <c r="H97" s="27">
        <v>4.4747474747474749</v>
      </c>
      <c r="O97" s="27"/>
    </row>
    <row r="98" spans="8:15" x14ac:dyDescent="0.3">
      <c r="H98" s="27">
        <v>4.5151515151515156</v>
      </c>
      <c r="O98" s="27"/>
    </row>
    <row r="99" spans="8:15" x14ac:dyDescent="0.3">
      <c r="H99" s="27">
        <v>4.5555555555555554</v>
      </c>
      <c r="O99" s="27"/>
    </row>
    <row r="100" spans="8:15" x14ac:dyDescent="0.3">
      <c r="H100" s="27">
        <v>4.595959595959596</v>
      </c>
      <c r="O100" s="27"/>
    </row>
    <row r="101" spans="8:15" x14ac:dyDescent="0.3">
      <c r="H101" s="27">
        <v>4.6363636363636367</v>
      </c>
      <c r="O101" s="27"/>
    </row>
    <row r="102" spans="8:15" x14ac:dyDescent="0.3">
      <c r="H102" s="27">
        <v>4.6767676767676765</v>
      </c>
      <c r="O102" s="27"/>
    </row>
    <row r="103" spans="8:15" x14ac:dyDescent="0.3">
      <c r="H103" s="27">
        <v>4.7171717171717171</v>
      </c>
      <c r="O103" s="27"/>
    </row>
    <row r="104" spans="8:15" x14ac:dyDescent="0.3">
      <c r="H104" s="27">
        <v>4.7575757575757578</v>
      </c>
      <c r="O104" s="27"/>
    </row>
    <row r="105" spans="8:15" x14ac:dyDescent="0.3">
      <c r="H105" s="27">
        <v>4.7979797979797976</v>
      </c>
      <c r="O105" s="27"/>
    </row>
    <row r="106" spans="8:15" x14ac:dyDescent="0.3">
      <c r="H106" s="27">
        <v>4.8383838383838382</v>
      </c>
      <c r="O106" s="27"/>
    </row>
    <row r="107" spans="8:15" x14ac:dyDescent="0.3">
      <c r="H107" s="27">
        <v>4.8787878787878789</v>
      </c>
      <c r="O107" s="27"/>
    </row>
    <row r="108" spans="8:15" x14ac:dyDescent="0.3">
      <c r="H108" s="27">
        <v>4.9191919191919187</v>
      </c>
      <c r="O108" s="27"/>
    </row>
    <row r="109" spans="8:15" x14ac:dyDescent="0.3">
      <c r="H109" s="27">
        <v>4.9595959595959602</v>
      </c>
      <c r="O109" s="27"/>
    </row>
    <row r="110" spans="8:15" x14ac:dyDescent="0.3">
      <c r="H110" s="27">
        <v>5</v>
      </c>
      <c r="O110" s="27"/>
    </row>
  </sheetData>
  <pageMargins left="0.511811024" right="0.511811024" top="0.78740157499999996" bottom="0.78740157499999996" header="0.31496062000000002" footer="0.3149606200000000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A7AF0-AA63-440B-AA90-8E0AAD7104AE}">
  <sheetPr codeName="Planilha26">
    <tabColor theme="9" tint="0.59999389629810485"/>
  </sheetPr>
  <dimension ref="A1:Q110"/>
  <sheetViews>
    <sheetView showGridLines="0" workbookViewId="0">
      <selection activeCell="I19" sqref="I19"/>
    </sheetView>
  </sheetViews>
  <sheetFormatPr defaultColWidth="8.85546875" defaultRowHeight="18.75" x14ac:dyDescent="0.3"/>
  <cols>
    <col min="1" max="1" width="12.7109375" style="17" customWidth="1"/>
    <col min="2" max="2" width="26.28515625" customWidth="1"/>
    <col min="9" max="17" width="8.85546875" style="15"/>
  </cols>
  <sheetData>
    <row r="1" spans="1:17" x14ac:dyDescent="0.3">
      <c r="A1" s="16" t="s">
        <v>112</v>
      </c>
      <c r="I1" s="14"/>
      <c r="J1" s="14"/>
      <c r="K1" s="14"/>
      <c r="L1" s="14"/>
      <c r="M1" s="14"/>
      <c r="N1" s="14"/>
      <c r="O1" s="14"/>
      <c r="P1" s="14"/>
      <c r="Q1" s="14"/>
    </row>
    <row r="2" spans="1:17" x14ac:dyDescent="0.3">
      <c r="A2" s="17" t="s">
        <v>113</v>
      </c>
      <c r="I2" s="14"/>
      <c r="J2" s="14"/>
      <c r="K2" s="14"/>
      <c r="L2" s="14"/>
      <c r="M2" s="14"/>
      <c r="N2" s="14"/>
      <c r="O2" s="14"/>
      <c r="P2" s="14"/>
      <c r="Q2" s="14"/>
    </row>
    <row r="3" spans="1:17" x14ac:dyDescent="0.3">
      <c r="K3" s="27"/>
    </row>
    <row r="4" spans="1:17" ht="15.75" x14ac:dyDescent="0.25">
      <c r="A4" s="2" t="s">
        <v>15</v>
      </c>
      <c r="B4" s="2" t="s">
        <v>16</v>
      </c>
      <c r="K4" s="27"/>
    </row>
    <row r="5" spans="1:17" ht="15.75" x14ac:dyDescent="0.25">
      <c r="A5" s="23" t="s">
        <v>22</v>
      </c>
      <c r="B5" s="26" t="s">
        <v>114</v>
      </c>
      <c r="K5" s="27"/>
    </row>
    <row r="6" spans="1:17" ht="15.75" x14ac:dyDescent="0.25">
      <c r="A6" s="23"/>
      <c r="B6" s="26"/>
      <c r="K6" s="27"/>
    </row>
    <row r="7" spans="1:17" ht="15.75" x14ac:dyDescent="0.25">
      <c r="A7" s="23"/>
      <c r="B7" s="26"/>
      <c r="K7" s="27"/>
    </row>
    <row r="8" spans="1:17" x14ac:dyDescent="0.3">
      <c r="K8" s="27"/>
    </row>
    <row r="9" spans="1:17" x14ac:dyDescent="0.3">
      <c r="K9" s="27"/>
    </row>
    <row r="10" spans="1:17" x14ac:dyDescent="0.3">
      <c r="K10" s="27"/>
    </row>
    <row r="11" spans="1:17" x14ac:dyDescent="0.3">
      <c r="C11" s="1" t="s">
        <v>17</v>
      </c>
      <c r="D11" s="13" t="s">
        <v>22</v>
      </c>
      <c r="E11" s="12">
        <v>1</v>
      </c>
      <c r="F11" s="12">
        <v>2</v>
      </c>
      <c r="G11" s="12">
        <v>2</v>
      </c>
      <c r="I11" s="28" cm="1">
        <f t="array" ref="I11">_xlfn.LAMBDA(_xlpm.matrix, MAX(ROWS(_xlpm.matrix),COLUMNS(_xlpm.matrix)) )(E11:G15)</f>
        <v>5</v>
      </c>
      <c r="K11" s="27"/>
    </row>
    <row r="12" spans="1:17" x14ac:dyDescent="0.3">
      <c r="E12" s="12">
        <v>3</v>
      </c>
      <c r="F12" s="12">
        <v>4</v>
      </c>
      <c r="G12" s="12">
        <v>4</v>
      </c>
      <c r="I12" s="27"/>
      <c r="K12" s="27"/>
    </row>
    <row r="13" spans="1:17" x14ac:dyDescent="0.3">
      <c r="E13" s="12">
        <v>5</v>
      </c>
      <c r="F13" s="12">
        <v>6</v>
      </c>
      <c r="G13" s="12">
        <v>6</v>
      </c>
      <c r="I13" s="27"/>
      <c r="K13" s="27"/>
    </row>
    <row r="14" spans="1:17" x14ac:dyDescent="0.3">
      <c r="E14" s="12">
        <v>7</v>
      </c>
      <c r="F14" s="12">
        <v>8</v>
      </c>
      <c r="G14" s="12">
        <v>8</v>
      </c>
      <c r="I14" s="27"/>
      <c r="K14" s="27"/>
    </row>
    <row r="15" spans="1:17" x14ac:dyDescent="0.3">
      <c r="E15" s="12">
        <v>9</v>
      </c>
      <c r="F15" s="12">
        <v>10</v>
      </c>
      <c r="G15" s="12">
        <v>10</v>
      </c>
      <c r="I15" s="27"/>
      <c r="K15" s="27"/>
    </row>
    <row r="16" spans="1:17" x14ac:dyDescent="0.3">
      <c r="I16" s="27"/>
      <c r="K16" s="27"/>
    </row>
    <row r="17" spans="3:11" x14ac:dyDescent="0.3">
      <c r="I17" s="27"/>
      <c r="K17" s="27"/>
    </row>
    <row r="18" spans="3:11" x14ac:dyDescent="0.3">
      <c r="C18" s="1" t="s">
        <v>17</v>
      </c>
      <c r="D18" s="13" t="s">
        <v>22</v>
      </c>
      <c r="E18" s="12">
        <v>1</v>
      </c>
      <c r="F18" s="12">
        <v>2</v>
      </c>
      <c r="G18" s="12">
        <v>2</v>
      </c>
      <c r="I18" s="28" cm="1">
        <f t="array" ref="I18">LENGTH(E18:G19)</f>
        <v>3</v>
      </c>
      <c r="K18" s="27"/>
    </row>
    <row r="19" spans="3:11" x14ac:dyDescent="0.3">
      <c r="E19" s="12">
        <v>3</v>
      </c>
      <c r="F19" s="12">
        <v>4</v>
      </c>
      <c r="G19" s="12">
        <v>4</v>
      </c>
      <c r="I19" s="27"/>
      <c r="K19" s="27"/>
    </row>
    <row r="20" spans="3:11" x14ac:dyDescent="0.3">
      <c r="I20" s="27"/>
      <c r="K20" s="27"/>
    </row>
    <row r="21" spans="3:11" x14ac:dyDescent="0.3">
      <c r="I21" s="27"/>
      <c r="K21" s="27"/>
    </row>
    <row r="22" spans="3:11" x14ac:dyDescent="0.3">
      <c r="I22" s="27"/>
      <c r="K22" s="27"/>
    </row>
    <row r="23" spans="3:11" x14ac:dyDescent="0.3">
      <c r="I23" s="27"/>
      <c r="K23" s="27"/>
    </row>
    <row r="24" spans="3:11" x14ac:dyDescent="0.3">
      <c r="I24" s="27"/>
      <c r="K24" s="27"/>
    </row>
    <row r="25" spans="3:11" x14ac:dyDescent="0.3">
      <c r="I25" s="27"/>
      <c r="K25" s="27"/>
    </row>
    <row r="26" spans="3:11" x14ac:dyDescent="0.3">
      <c r="I26" s="27"/>
      <c r="K26" s="27"/>
    </row>
    <row r="27" spans="3:11" x14ac:dyDescent="0.3">
      <c r="I27" s="27"/>
      <c r="K27" s="27"/>
    </row>
    <row r="28" spans="3:11" x14ac:dyDescent="0.3">
      <c r="I28" s="27"/>
      <c r="K28" s="27"/>
    </row>
    <row r="29" spans="3:11" x14ac:dyDescent="0.3">
      <c r="I29" s="27"/>
      <c r="K29" s="27"/>
    </row>
    <row r="30" spans="3:11" x14ac:dyDescent="0.3">
      <c r="I30" s="27"/>
      <c r="K30" s="27"/>
    </row>
    <row r="31" spans="3:11" x14ac:dyDescent="0.3">
      <c r="I31" s="27"/>
      <c r="K31" s="27"/>
    </row>
    <row r="32" spans="3:11" x14ac:dyDescent="0.3">
      <c r="I32" s="27"/>
      <c r="K32" s="27"/>
    </row>
    <row r="33" spans="9:11" x14ac:dyDescent="0.3">
      <c r="I33" s="27"/>
      <c r="K33" s="27"/>
    </row>
    <row r="34" spans="9:11" x14ac:dyDescent="0.3">
      <c r="I34" s="27"/>
      <c r="K34" s="27"/>
    </row>
    <row r="35" spans="9:11" x14ac:dyDescent="0.3">
      <c r="I35" s="27"/>
      <c r="K35" s="27"/>
    </row>
    <row r="36" spans="9:11" x14ac:dyDescent="0.3">
      <c r="I36" s="27"/>
      <c r="K36" s="27"/>
    </row>
    <row r="37" spans="9:11" x14ac:dyDescent="0.3">
      <c r="I37" s="27"/>
      <c r="K37" s="27"/>
    </row>
    <row r="38" spans="9:11" x14ac:dyDescent="0.3">
      <c r="I38" s="27"/>
      <c r="K38" s="27"/>
    </row>
    <row r="39" spans="9:11" x14ac:dyDescent="0.3">
      <c r="I39" s="27"/>
      <c r="K39" s="27"/>
    </row>
    <row r="40" spans="9:11" x14ac:dyDescent="0.3">
      <c r="I40" s="27"/>
      <c r="K40" s="27"/>
    </row>
    <row r="41" spans="9:11" x14ac:dyDescent="0.3">
      <c r="I41" s="27"/>
      <c r="K41" s="27"/>
    </row>
    <row r="42" spans="9:11" x14ac:dyDescent="0.3">
      <c r="I42" s="27"/>
      <c r="K42" s="27"/>
    </row>
    <row r="43" spans="9:11" x14ac:dyDescent="0.3">
      <c r="I43" s="27"/>
      <c r="K43" s="27"/>
    </row>
    <row r="44" spans="9:11" x14ac:dyDescent="0.3">
      <c r="I44" s="27"/>
      <c r="K44" s="27"/>
    </row>
    <row r="45" spans="9:11" x14ac:dyDescent="0.3">
      <c r="I45" s="27"/>
      <c r="K45" s="27"/>
    </row>
    <row r="46" spans="9:11" x14ac:dyDescent="0.3">
      <c r="I46" s="27"/>
      <c r="K46" s="27"/>
    </row>
    <row r="47" spans="9:11" x14ac:dyDescent="0.3">
      <c r="I47" s="27"/>
      <c r="K47" s="27"/>
    </row>
    <row r="48" spans="9:11" x14ac:dyDescent="0.3">
      <c r="I48" s="27"/>
      <c r="K48" s="27"/>
    </row>
    <row r="49" spans="9:11" x14ac:dyDescent="0.3">
      <c r="I49" s="27"/>
      <c r="K49" s="27"/>
    </row>
    <row r="50" spans="9:11" x14ac:dyDescent="0.3">
      <c r="I50" s="27"/>
      <c r="K50" s="27"/>
    </row>
    <row r="51" spans="9:11" x14ac:dyDescent="0.3">
      <c r="I51" s="27"/>
      <c r="K51" s="27"/>
    </row>
    <row r="52" spans="9:11" x14ac:dyDescent="0.3">
      <c r="I52" s="27"/>
      <c r="K52" s="27"/>
    </row>
    <row r="53" spans="9:11" x14ac:dyDescent="0.3">
      <c r="I53" s="27"/>
      <c r="K53" s="27"/>
    </row>
    <row r="54" spans="9:11" x14ac:dyDescent="0.3">
      <c r="I54" s="27"/>
      <c r="K54" s="27"/>
    </row>
    <row r="55" spans="9:11" x14ac:dyDescent="0.3">
      <c r="I55" s="27"/>
      <c r="K55" s="27"/>
    </row>
    <row r="56" spans="9:11" x14ac:dyDescent="0.3">
      <c r="I56" s="27"/>
      <c r="K56" s="27"/>
    </row>
    <row r="57" spans="9:11" x14ac:dyDescent="0.3">
      <c r="I57" s="27"/>
      <c r="K57" s="27"/>
    </row>
    <row r="58" spans="9:11" x14ac:dyDescent="0.3">
      <c r="I58" s="27"/>
      <c r="K58" s="27"/>
    </row>
    <row r="59" spans="9:11" x14ac:dyDescent="0.3">
      <c r="I59" s="27"/>
      <c r="K59" s="27"/>
    </row>
    <row r="60" spans="9:11" x14ac:dyDescent="0.3">
      <c r="I60" s="27"/>
      <c r="K60" s="27"/>
    </row>
    <row r="61" spans="9:11" x14ac:dyDescent="0.3">
      <c r="I61" s="27"/>
      <c r="K61" s="27"/>
    </row>
    <row r="62" spans="9:11" x14ac:dyDescent="0.3">
      <c r="I62" s="27"/>
      <c r="K62" s="27"/>
    </row>
    <row r="63" spans="9:11" x14ac:dyDescent="0.3">
      <c r="I63" s="27"/>
      <c r="K63" s="27"/>
    </row>
    <row r="64" spans="9:11" x14ac:dyDescent="0.3">
      <c r="I64" s="27"/>
      <c r="K64" s="27"/>
    </row>
    <row r="65" spans="9:11" x14ac:dyDescent="0.3">
      <c r="I65" s="27"/>
      <c r="K65" s="27"/>
    </row>
    <row r="66" spans="9:11" x14ac:dyDescent="0.3">
      <c r="I66" s="27"/>
      <c r="K66" s="27"/>
    </row>
    <row r="67" spans="9:11" x14ac:dyDescent="0.3">
      <c r="I67" s="27"/>
      <c r="K67" s="27"/>
    </row>
    <row r="68" spans="9:11" x14ac:dyDescent="0.3">
      <c r="I68" s="27"/>
      <c r="K68" s="27"/>
    </row>
    <row r="69" spans="9:11" x14ac:dyDescent="0.3">
      <c r="I69" s="27"/>
      <c r="K69" s="27"/>
    </row>
    <row r="70" spans="9:11" x14ac:dyDescent="0.3">
      <c r="I70" s="27"/>
      <c r="K70" s="27"/>
    </row>
    <row r="71" spans="9:11" x14ac:dyDescent="0.3">
      <c r="I71" s="27"/>
      <c r="K71" s="27"/>
    </row>
    <row r="72" spans="9:11" x14ac:dyDescent="0.3">
      <c r="I72" s="27"/>
      <c r="K72" s="27"/>
    </row>
    <row r="73" spans="9:11" x14ac:dyDescent="0.3">
      <c r="I73" s="27"/>
      <c r="K73" s="27"/>
    </row>
    <row r="74" spans="9:11" x14ac:dyDescent="0.3">
      <c r="I74" s="27"/>
      <c r="K74" s="27"/>
    </row>
    <row r="75" spans="9:11" x14ac:dyDescent="0.3">
      <c r="I75" s="27"/>
      <c r="K75" s="27"/>
    </row>
    <row r="76" spans="9:11" x14ac:dyDescent="0.3">
      <c r="I76" s="27"/>
      <c r="K76" s="27"/>
    </row>
    <row r="77" spans="9:11" x14ac:dyDescent="0.3">
      <c r="I77" s="27"/>
      <c r="K77" s="27"/>
    </row>
    <row r="78" spans="9:11" x14ac:dyDescent="0.3">
      <c r="I78" s="27"/>
      <c r="K78" s="27"/>
    </row>
    <row r="79" spans="9:11" x14ac:dyDescent="0.3">
      <c r="I79" s="27"/>
      <c r="K79" s="27"/>
    </row>
    <row r="80" spans="9:11" x14ac:dyDescent="0.3">
      <c r="I80" s="27"/>
      <c r="K80" s="27"/>
    </row>
    <row r="81" spans="9:11" x14ac:dyDescent="0.3">
      <c r="I81" s="27"/>
      <c r="K81" s="27"/>
    </row>
    <row r="82" spans="9:11" x14ac:dyDescent="0.3">
      <c r="I82" s="27"/>
      <c r="K82" s="27"/>
    </row>
    <row r="83" spans="9:11" x14ac:dyDescent="0.3">
      <c r="I83" s="27"/>
      <c r="K83" s="27"/>
    </row>
    <row r="84" spans="9:11" x14ac:dyDescent="0.3">
      <c r="I84" s="27"/>
      <c r="K84" s="27"/>
    </row>
    <row r="85" spans="9:11" x14ac:dyDescent="0.3">
      <c r="I85" s="27"/>
      <c r="K85" s="27"/>
    </row>
    <row r="86" spans="9:11" x14ac:dyDescent="0.3">
      <c r="I86" s="27"/>
      <c r="K86" s="27"/>
    </row>
    <row r="87" spans="9:11" x14ac:dyDescent="0.3">
      <c r="I87" s="27"/>
      <c r="K87" s="27"/>
    </row>
    <row r="88" spans="9:11" x14ac:dyDescent="0.3">
      <c r="I88" s="27"/>
      <c r="K88" s="27"/>
    </row>
    <row r="89" spans="9:11" x14ac:dyDescent="0.3">
      <c r="I89" s="27"/>
      <c r="K89" s="27"/>
    </row>
    <row r="90" spans="9:11" x14ac:dyDescent="0.3">
      <c r="I90" s="27"/>
      <c r="K90" s="27"/>
    </row>
    <row r="91" spans="9:11" x14ac:dyDescent="0.3">
      <c r="I91" s="27"/>
      <c r="K91" s="27"/>
    </row>
    <row r="92" spans="9:11" x14ac:dyDescent="0.3">
      <c r="I92" s="27"/>
      <c r="K92" s="27"/>
    </row>
    <row r="93" spans="9:11" x14ac:dyDescent="0.3">
      <c r="I93" s="27"/>
      <c r="K93" s="27"/>
    </row>
    <row r="94" spans="9:11" x14ac:dyDescent="0.3">
      <c r="I94" s="27"/>
      <c r="K94" s="27"/>
    </row>
    <row r="95" spans="9:11" x14ac:dyDescent="0.3">
      <c r="I95" s="27"/>
      <c r="K95" s="27"/>
    </row>
    <row r="96" spans="9:11" x14ac:dyDescent="0.3">
      <c r="I96" s="27"/>
      <c r="K96" s="27"/>
    </row>
    <row r="97" spans="9:11" x14ac:dyDescent="0.3">
      <c r="I97" s="27"/>
      <c r="K97" s="27"/>
    </row>
    <row r="98" spans="9:11" x14ac:dyDescent="0.3">
      <c r="I98" s="27"/>
      <c r="K98" s="27"/>
    </row>
    <row r="99" spans="9:11" x14ac:dyDescent="0.3">
      <c r="I99" s="27"/>
      <c r="K99" s="27"/>
    </row>
    <row r="100" spans="9:11" x14ac:dyDescent="0.3">
      <c r="I100" s="27"/>
      <c r="K100" s="27"/>
    </row>
    <row r="101" spans="9:11" x14ac:dyDescent="0.3">
      <c r="I101" s="27"/>
      <c r="K101" s="27"/>
    </row>
    <row r="102" spans="9:11" x14ac:dyDescent="0.3">
      <c r="I102" s="27"/>
      <c r="K102" s="27"/>
    </row>
    <row r="103" spans="9:11" x14ac:dyDescent="0.3">
      <c r="I103" s="27"/>
      <c r="K103" s="27"/>
    </row>
    <row r="104" spans="9:11" x14ac:dyDescent="0.3">
      <c r="I104" s="27"/>
      <c r="K104" s="27"/>
    </row>
    <row r="105" spans="9:11" x14ac:dyDescent="0.3">
      <c r="I105" s="27"/>
      <c r="K105" s="27"/>
    </row>
    <row r="106" spans="9:11" x14ac:dyDescent="0.3">
      <c r="I106" s="27"/>
      <c r="K106" s="27"/>
    </row>
    <row r="107" spans="9:11" x14ac:dyDescent="0.3">
      <c r="I107" s="27"/>
      <c r="K107" s="27"/>
    </row>
    <row r="108" spans="9:11" x14ac:dyDescent="0.3">
      <c r="I108" s="27"/>
      <c r="K108" s="27"/>
    </row>
    <row r="109" spans="9:11" x14ac:dyDescent="0.3">
      <c r="I109" s="27"/>
      <c r="K109" s="27"/>
    </row>
    <row r="110" spans="9:11" x14ac:dyDescent="0.3">
      <c r="I110" s="27"/>
      <c r="K110" s="27"/>
    </row>
  </sheetData>
  <pageMargins left="0.511811024" right="0.511811024" top="0.78740157499999996" bottom="0.78740157499999996" header="0.31496062000000002" footer="0.3149606200000000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98CB4-64DE-42E2-8907-E78FFFFF091F}">
  <sheetPr codeName="Planilha29">
    <tabColor theme="9" tint="0.59999389629810485"/>
  </sheetPr>
  <dimension ref="A1:Q110"/>
  <sheetViews>
    <sheetView showGridLines="0" workbookViewId="0">
      <selection activeCell="A3" sqref="A3"/>
    </sheetView>
  </sheetViews>
  <sheetFormatPr defaultColWidth="8.85546875" defaultRowHeight="18.75" x14ac:dyDescent="0.3"/>
  <cols>
    <col min="1" max="1" width="12.7109375" style="17" customWidth="1"/>
    <col min="2" max="2" width="26.28515625" customWidth="1"/>
    <col min="9" max="17" width="8.85546875" style="15"/>
  </cols>
  <sheetData>
    <row r="1" spans="1:17" x14ac:dyDescent="0.3">
      <c r="A1" s="16" t="s">
        <v>465</v>
      </c>
      <c r="I1" s="14"/>
      <c r="J1" s="14"/>
      <c r="K1" s="14"/>
      <c r="L1" s="14"/>
      <c r="M1" s="14"/>
      <c r="N1" s="14"/>
      <c r="O1" s="14"/>
      <c r="P1" s="14"/>
      <c r="Q1" s="14"/>
    </row>
    <row r="2" spans="1:17" x14ac:dyDescent="0.3">
      <c r="A2" s="17" t="s">
        <v>466</v>
      </c>
      <c r="I2" s="14"/>
      <c r="J2" s="14"/>
      <c r="K2" s="14"/>
      <c r="L2" s="14"/>
      <c r="M2" s="14"/>
      <c r="N2" s="14"/>
      <c r="O2" s="14"/>
      <c r="P2" s="14"/>
      <c r="Q2" s="14"/>
    </row>
    <row r="3" spans="1:17" x14ac:dyDescent="0.3">
      <c r="K3" s="27"/>
    </row>
    <row r="4" spans="1:17" ht="15.75" x14ac:dyDescent="0.25">
      <c r="A4" s="2" t="s">
        <v>15</v>
      </c>
      <c r="B4" s="2" t="s">
        <v>16</v>
      </c>
      <c r="K4" s="27"/>
    </row>
    <row r="5" spans="1:17" ht="15.75" x14ac:dyDescent="0.25">
      <c r="A5" s="23" t="s">
        <v>22</v>
      </c>
      <c r="B5" s="26" t="s">
        <v>114</v>
      </c>
      <c r="K5" s="27"/>
    </row>
    <row r="6" spans="1:17" ht="78.75" x14ac:dyDescent="0.25">
      <c r="A6" s="23" t="s">
        <v>138</v>
      </c>
      <c r="B6" s="26" t="s">
        <v>190</v>
      </c>
      <c r="K6" s="27"/>
    </row>
    <row r="7" spans="1:17" ht="15.75" x14ac:dyDescent="0.25">
      <c r="A7" s="23"/>
      <c r="B7" s="26"/>
      <c r="K7" s="27"/>
    </row>
    <row r="8" spans="1:17" x14ac:dyDescent="0.3">
      <c r="K8" s="27"/>
    </row>
    <row r="9" spans="1:17" x14ac:dyDescent="0.3">
      <c r="K9" s="27"/>
    </row>
    <row r="10" spans="1:17" x14ac:dyDescent="0.3">
      <c r="K10" s="27"/>
    </row>
    <row r="11" spans="1:17" x14ac:dyDescent="0.3">
      <c r="C11" s="1" t="s">
        <v>17</v>
      </c>
      <c r="D11" s="13" t="s">
        <v>22</v>
      </c>
      <c r="E11" s="12">
        <v>1</v>
      </c>
      <c r="F11" s="12">
        <v>2</v>
      </c>
      <c r="G11" s="12">
        <v>2</v>
      </c>
      <c r="I11" s="28" cm="1">
        <f t="array" ref="I11:I12">_xlfn.LAMBDA(_xlpm.matrix,_xlop.dim,
_xlfn.LET(_xlpm.dim, IF(_xlfn.ISOMITTED(_xlpm.dim), 3, _xlpm.dim),
CHOOSE(_xlpm.dim,
ROWS(_xlpm.matrix),
COLUMNS(_xlpm.matrix),
VERTCAT(ROWS(_xlpm.matrix),COLUMNS(_xlpm.matrix))))
)(E11:G15)</f>
        <v>5</v>
      </c>
      <c r="K11" s="27"/>
    </row>
    <row r="12" spans="1:17" x14ac:dyDescent="0.3">
      <c r="E12" s="12">
        <v>3</v>
      </c>
      <c r="F12" s="12">
        <v>4</v>
      </c>
      <c r="G12" s="12">
        <v>4</v>
      </c>
      <c r="I12" s="28">
        <v>3</v>
      </c>
      <c r="K12" s="27"/>
    </row>
    <row r="13" spans="1:17" x14ac:dyDescent="0.3">
      <c r="E13" s="12">
        <v>5</v>
      </c>
      <c r="F13" s="12">
        <v>6</v>
      </c>
      <c r="G13" s="12">
        <v>6</v>
      </c>
      <c r="I13" s="27"/>
      <c r="K13" s="27"/>
    </row>
    <row r="14" spans="1:17" x14ac:dyDescent="0.3">
      <c r="E14" s="12">
        <v>7</v>
      </c>
      <c r="F14" s="12">
        <v>8</v>
      </c>
      <c r="G14" s="12">
        <v>8</v>
      </c>
      <c r="I14" s="27"/>
      <c r="K14" s="27"/>
    </row>
    <row r="15" spans="1:17" x14ac:dyDescent="0.3">
      <c r="E15" s="12">
        <v>9</v>
      </c>
      <c r="F15" s="12">
        <v>10</v>
      </c>
      <c r="G15" s="12">
        <v>10</v>
      </c>
      <c r="I15" s="27"/>
      <c r="K15" s="27"/>
    </row>
    <row r="16" spans="1:17" s="21" customFormat="1" x14ac:dyDescent="0.3">
      <c r="A16" s="17"/>
      <c r="B16"/>
      <c r="C16"/>
      <c r="D16"/>
      <c r="E16"/>
      <c r="F16"/>
      <c r="G16"/>
      <c r="H16"/>
      <c r="I16" s="27"/>
      <c r="J16" s="15"/>
      <c r="K16" s="27"/>
      <c r="L16" s="15"/>
      <c r="M16" s="15"/>
      <c r="N16" s="15"/>
      <c r="O16" s="15"/>
      <c r="P16" s="15"/>
      <c r="Q16" s="15"/>
    </row>
    <row r="17" spans="1:17" s="21" customFormat="1" x14ac:dyDescent="0.3">
      <c r="A17" s="17"/>
      <c r="B17"/>
      <c r="C17"/>
      <c r="D17"/>
      <c r="E17"/>
      <c r="F17"/>
      <c r="G17"/>
      <c r="H17"/>
      <c r="I17" s="27"/>
      <c r="J17" s="15"/>
      <c r="K17" s="27"/>
      <c r="L17" s="15"/>
      <c r="M17" s="15"/>
      <c r="N17" s="15"/>
      <c r="O17" s="15"/>
      <c r="P17" s="15"/>
      <c r="Q17" s="15"/>
    </row>
    <row r="18" spans="1:17" s="21" customFormat="1" x14ac:dyDescent="0.3">
      <c r="A18" s="17"/>
      <c r="B18"/>
      <c r="C18" s="1" t="s">
        <v>17</v>
      </c>
      <c r="D18" s="13" t="s">
        <v>22</v>
      </c>
      <c r="E18" s="12">
        <v>1</v>
      </c>
      <c r="F18" s="12">
        <v>2</v>
      </c>
      <c r="G18" s="12">
        <v>2</v>
      </c>
      <c r="H18"/>
      <c r="I18" s="28" cm="1">
        <f t="array" ref="I18">DIM(E18:G19,E21)</f>
        <v>3</v>
      </c>
      <c r="J18" s="15"/>
      <c r="K18" s="27"/>
      <c r="L18" s="15"/>
      <c r="M18" s="15"/>
      <c r="N18" s="15"/>
      <c r="O18" s="15"/>
      <c r="P18" s="15"/>
      <c r="Q18" s="15"/>
    </row>
    <row r="19" spans="1:17" s="21" customFormat="1" x14ac:dyDescent="0.3">
      <c r="A19" s="17"/>
      <c r="B19"/>
      <c r="C19"/>
      <c r="D19"/>
      <c r="E19" s="12">
        <v>3</v>
      </c>
      <c r="F19" s="12">
        <v>4</v>
      </c>
      <c r="G19" s="12">
        <v>4</v>
      </c>
      <c r="H19"/>
      <c r="I19" s="27"/>
      <c r="J19" s="15"/>
      <c r="K19" s="27"/>
      <c r="L19" s="15"/>
      <c r="M19" s="15"/>
      <c r="N19" s="15"/>
      <c r="O19" s="15"/>
      <c r="P19" s="15"/>
      <c r="Q19" s="15"/>
    </row>
    <row r="20" spans="1:17" s="21" customFormat="1" x14ac:dyDescent="0.3">
      <c r="A20" s="17"/>
      <c r="B20"/>
      <c r="C20"/>
      <c r="D20"/>
      <c r="E20"/>
      <c r="F20"/>
      <c r="G20"/>
      <c r="H20"/>
      <c r="I20" s="27"/>
      <c r="J20" s="15"/>
      <c r="K20" s="27"/>
      <c r="L20" s="15"/>
      <c r="M20" s="15"/>
      <c r="N20" s="15"/>
      <c r="O20" s="15"/>
      <c r="P20" s="15"/>
      <c r="Q20" s="15"/>
    </row>
    <row r="21" spans="1:17" s="21" customFormat="1" x14ac:dyDescent="0.3">
      <c r="A21" s="17"/>
      <c r="B21"/>
      <c r="C21"/>
      <c r="D21" s="13" t="s">
        <v>138</v>
      </c>
      <c r="E21" s="12">
        <v>2</v>
      </c>
      <c r="F21"/>
      <c r="G21"/>
      <c r="H21"/>
      <c r="I21" s="27"/>
      <c r="J21" s="15"/>
      <c r="K21" s="27"/>
      <c r="L21" s="15"/>
      <c r="M21" s="15"/>
      <c r="N21" s="15"/>
      <c r="O21" s="15"/>
      <c r="P21" s="15"/>
      <c r="Q21" s="15"/>
    </row>
    <row r="22" spans="1:17" s="21" customFormat="1" x14ac:dyDescent="0.3">
      <c r="A22" s="17"/>
      <c r="B22"/>
      <c r="C22"/>
      <c r="D22"/>
      <c r="E22"/>
      <c r="F22"/>
      <c r="G22"/>
      <c r="H22"/>
      <c r="I22" s="27"/>
      <c r="J22" s="15"/>
      <c r="K22" s="27"/>
      <c r="L22" s="15"/>
      <c r="M22" s="15"/>
      <c r="N22" s="15"/>
      <c r="O22" s="15"/>
      <c r="P22" s="15"/>
      <c r="Q22" s="15"/>
    </row>
    <row r="23" spans="1:17" s="21" customFormat="1" x14ac:dyDescent="0.3">
      <c r="A23" s="17"/>
      <c r="B23"/>
      <c r="C23"/>
      <c r="D23"/>
      <c r="E23"/>
      <c r="F23"/>
      <c r="G23"/>
      <c r="H23"/>
      <c r="I23" s="27"/>
      <c r="J23" s="15"/>
      <c r="K23" s="27"/>
      <c r="L23" s="15"/>
      <c r="M23" s="15"/>
      <c r="N23" s="15"/>
      <c r="O23" s="15"/>
      <c r="P23" s="15"/>
      <c r="Q23" s="15"/>
    </row>
    <row r="24" spans="1:17" s="21" customFormat="1" x14ac:dyDescent="0.3">
      <c r="A24" s="17"/>
      <c r="B24"/>
      <c r="C24"/>
      <c r="D24"/>
      <c r="E24"/>
      <c r="F24"/>
      <c r="G24"/>
      <c r="H24"/>
      <c r="I24" s="27"/>
      <c r="J24" s="15"/>
      <c r="K24" s="27"/>
      <c r="L24" s="15"/>
      <c r="M24" s="15"/>
      <c r="N24" s="15"/>
      <c r="O24" s="15"/>
      <c r="P24" s="15"/>
      <c r="Q24" s="15"/>
    </row>
    <row r="25" spans="1:17" s="21" customFormat="1" x14ac:dyDescent="0.3">
      <c r="A25" s="17"/>
      <c r="B25"/>
      <c r="C25"/>
      <c r="D25"/>
      <c r="E25"/>
      <c r="F25"/>
      <c r="G25"/>
      <c r="H25"/>
      <c r="I25" s="27"/>
      <c r="J25" s="15"/>
      <c r="K25" s="27"/>
      <c r="L25" s="15"/>
      <c r="M25" s="15"/>
      <c r="N25" s="15"/>
      <c r="O25" s="15"/>
      <c r="P25" s="15"/>
      <c r="Q25" s="15"/>
    </row>
    <row r="26" spans="1:17" s="21" customFormat="1" x14ac:dyDescent="0.3">
      <c r="A26" s="17"/>
      <c r="B26"/>
      <c r="C26"/>
      <c r="D26"/>
      <c r="E26"/>
      <c r="F26"/>
      <c r="G26"/>
      <c r="H26"/>
      <c r="I26" s="27"/>
      <c r="J26" s="15"/>
      <c r="K26" s="27"/>
      <c r="L26" s="15"/>
      <c r="M26" s="15"/>
      <c r="N26" s="15"/>
      <c r="O26" s="15"/>
      <c r="P26" s="15"/>
      <c r="Q26" s="15"/>
    </row>
    <row r="27" spans="1:17" s="21" customFormat="1" x14ac:dyDescent="0.3">
      <c r="A27" s="17"/>
      <c r="B27"/>
      <c r="C27"/>
      <c r="D27"/>
      <c r="E27"/>
      <c r="F27"/>
      <c r="G27"/>
      <c r="H27"/>
      <c r="I27" s="27"/>
      <c r="J27" s="15"/>
      <c r="K27" s="27"/>
      <c r="L27" s="15"/>
      <c r="M27" s="15"/>
      <c r="N27" s="15"/>
      <c r="O27" s="15"/>
      <c r="P27" s="15"/>
      <c r="Q27" s="15"/>
    </row>
    <row r="28" spans="1:17" s="21" customFormat="1" x14ac:dyDescent="0.3">
      <c r="A28" s="17"/>
      <c r="B28"/>
      <c r="C28"/>
      <c r="D28"/>
      <c r="E28"/>
      <c r="F28"/>
      <c r="G28"/>
      <c r="H28"/>
      <c r="I28" s="27"/>
      <c r="J28" s="15"/>
      <c r="K28" s="27"/>
      <c r="L28" s="15"/>
      <c r="M28" s="15"/>
      <c r="N28" s="15"/>
      <c r="O28" s="15"/>
      <c r="P28" s="15"/>
      <c r="Q28" s="15"/>
    </row>
    <row r="29" spans="1:17" s="21" customFormat="1" x14ac:dyDescent="0.3">
      <c r="A29" s="17"/>
      <c r="B29"/>
      <c r="C29"/>
      <c r="D29"/>
      <c r="E29"/>
      <c r="F29"/>
      <c r="G29"/>
      <c r="H29"/>
      <c r="I29" s="27"/>
      <c r="J29" s="15"/>
      <c r="K29" s="27"/>
      <c r="L29" s="15"/>
      <c r="M29" s="15"/>
      <c r="N29" s="15"/>
      <c r="O29" s="15"/>
      <c r="P29" s="15"/>
      <c r="Q29" s="15"/>
    </row>
    <row r="30" spans="1:17" s="21" customFormat="1" x14ac:dyDescent="0.3">
      <c r="A30" s="17"/>
      <c r="B30"/>
      <c r="C30"/>
      <c r="D30"/>
      <c r="E30"/>
      <c r="F30"/>
      <c r="G30"/>
      <c r="H30"/>
      <c r="I30" s="27"/>
      <c r="J30" s="15"/>
      <c r="K30" s="27"/>
      <c r="L30" s="15"/>
      <c r="M30" s="15"/>
      <c r="N30" s="15"/>
      <c r="O30" s="15"/>
      <c r="P30" s="15"/>
      <c r="Q30" s="15"/>
    </row>
    <row r="31" spans="1:17" s="21" customFormat="1" x14ac:dyDescent="0.3">
      <c r="A31" s="17"/>
      <c r="B31"/>
      <c r="C31"/>
      <c r="D31"/>
      <c r="E31"/>
      <c r="F31"/>
      <c r="G31"/>
      <c r="H31"/>
      <c r="I31" s="27"/>
      <c r="J31" s="15"/>
      <c r="K31" s="27"/>
      <c r="L31" s="15"/>
      <c r="M31" s="15"/>
      <c r="N31" s="15"/>
      <c r="O31" s="15"/>
      <c r="P31" s="15"/>
      <c r="Q31" s="15"/>
    </row>
    <row r="32" spans="1:17" s="21" customFormat="1" x14ac:dyDescent="0.3">
      <c r="A32" s="17"/>
      <c r="B32"/>
      <c r="C32"/>
      <c r="D32"/>
      <c r="E32"/>
      <c r="F32"/>
      <c r="G32"/>
      <c r="H32"/>
      <c r="I32" s="27"/>
      <c r="J32" s="15"/>
      <c r="K32" s="27"/>
      <c r="L32" s="15"/>
      <c r="M32" s="15"/>
      <c r="N32" s="15"/>
      <c r="O32" s="15"/>
      <c r="P32" s="15"/>
      <c r="Q32" s="15"/>
    </row>
    <row r="33" spans="1:17" s="21" customFormat="1" x14ac:dyDescent="0.3">
      <c r="A33" s="17"/>
      <c r="B33"/>
      <c r="C33"/>
      <c r="D33"/>
      <c r="E33"/>
      <c r="F33"/>
      <c r="G33"/>
      <c r="H33"/>
      <c r="I33" s="27"/>
      <c r="J33" s="15"/>
      <c r="K33" s="27"/>
      <c r="L33" s="15"/>
      <c r="M33" s="15"/>
      <c r="N33" s="15"/>
      <c r="O33" s="15"/>
      <c r="P33" s="15"/>
      <c r="Q33" s="15"/>
    </row>
    <row r="34" spans="1:17" s="21" customFormat="1" x14ac:dyDescent="0.3">
      <c r="A34" s="17"/>
      <c r="B34"/>
      <c r="C34"/>
      <c r="D34"/>
      <c r="E34"/>
      <c r="F34"/>
      <c r="G34"/>
      <c r="H34"/>
      <c r="I34" s="27"/>
      <c r="J34" s="15"/>
      <c r="K34" s="27"/>
      <c r="L34" s="15"/>
      <c r="M34" s="15"/>
      <c r="N34" s="15"/>
      <c r="O34" s="15"/>
      <c r="P34" s="15"/>
      <c r="Q34" s="15"/>
    </row>
    <row r="35" spans="1:17" s="21" customFormat="1" x14ac:dyDescent="0.3">
      <c r="A35" s="17"/>
      <c r="B35"/>
      <c r="C35"/>
      <c r="D35"/>
      <c r="E35"/>
      <c r="F35"/>
      <c r="G35"/>
      <c r="H35"/>
      <c r="I35" s="27"/>
      <c r="J35" s="15"/>
      <c r="K35" s="27"/>
      <c r="L35" s="15"/>
      <c r="M35" s="15"/>
      <c r="N35" s="15"/>
      <c r="O35" s="15"/>
      <c r="P35" s="15"/>
      <c r="Q35" s="15"/>
    </row>
    <row r="36" spans="1:17" s="21" customFormat="1" x14ac:dyDescent="0.3">
      <c r="A36" s="17"/>
      <c r="B36"/>
      <c r="C36"/>
      <c r="D36"/>
      <c r="E36"/>
      <c r="F36"/>
      <c r="G36"/>
      <c r="H36"/>
      <c r="I36" s="27"/>
      <c r="J36" s="15"/>
      <c r="K36" s="27"/>
      <c r="L36" s="15"/>
      <c r="M36" s="15"/>
      <c r="N36" s="15"/>
      <c r="O36" s="15"/>
      <c r="P36" s="15"/>
      <c r="Q36" s="15"/>
    </row>
    <row r="37" spans="1:17" s="21" customFormat="1" x14ac:dyDescent="0.3">
      <c r="A37" s="17"/>
      <c r="B37"/>
      <c r="C37"/>
      <c r="D37"/>
      <c r="E37"/>
      <c r="F37"/>
      <c r="G37"/>
      <c r="H37"/>
      <c r="I37" s="27"/>
      <c r="J37" s="15"/>
      <c r="K37" s="27"/>
      <c r="L37" s="15"/>
      <c r="M37" s="15"/>
      <c r="N37" s="15"/>
      <c r="O37" s="15"/>
      <c r="P37" s="15"/>
      <c r="Q37" s="15"/>
    </row>
    <row r="38" spans="1:17" s="21" customFormat="1" x14ac:dyDescent="0.3">
      <c r="A38" s="17"/>
      <c r="B38"/>
      <c r="C38"/>
      <c r="D38"/>
      <c r="E38"/>
      <c r="F38"/>
      <c r="G38"/>
      <c r="H38"/>
      <c r="I38" s="27"/>
      <c r="J38" s="15"/>
      <c r="K38" s="27"/>
      <c r="L38" s="15"/>
      <c r="M38" s="15"/>
      <c r="N38" s="15"/>
      <c r="O38" s="15"/>
      <c r="P38" s="15"/>
      <c r="Q38" s="15"/>
    </row>
    <row r="39" spans="1:17" s="21" customFormat="1" x14ac:dyDescent="0.3">
      <c r="A39" s="17"/>
      <c r="B39"/>
      <c r="C39"/>
      <c r="D39"/>
      <c r="E39"/>
      <c r="F39"/>
      <c r="G39"/>
      <c r="H39"/>
      <c r="I39" s="27"/>
      <c r="J39" s="15"/>
      <c r="K39" s="27"/>
      <c r="L39" s="15"/>
      <c r="M39" s="15"/>
      <c r="N39" s="15"/>
      <c r="O39" s="15"/>
      <c r="P39" s="15"/>
      <c r="Q39" s="15"/>
    </row>
    <row r="40" spans="1:17" s="21" customFormat="1" x14ac:dyDescent="0.3">
      <c r="A40" s="17"/>
      <c r="B40"/>
      <c r="C40"/>
      <c r="D40"/>
      <c r="E40"/>
      <c r="F40"/>
      <c r="G40"/>
      <c r="H40"/>
      <c r="I40" s="27"/>
      <c r="J40" s="15"/>
      <c r="K40" s="27"/>
      <c r="L40" s="15"/>
      <c r="M40" s="15"/>
      <c r="N40" s="15"/>
      <c r="O40" s="15"/>
      <c r="P40" s="15"/>
      <c r="Q40" s="15"/>
    </row>
    <row r="41" spans="1:17" s="21" customFormat="1" x14ac:dyDescent="0.3">
      <c r="A41" s="17"/>
      <c r="B41"/>
      <c r="C41"/>
      <c r="D41"/>
      <c r="E41"/>
      <c r="F41"/>
      <c r="G41"/>
      <c r="H41"/>
      <c r="I41" s="27"/>
      <c r="J41" s="15"/>
      <c r="K41" s="27"/>
      <c r="L41" s="15"/>
      <c r="M41" s="15"/>
      <c r="N41" s="15"/>
      <c r="O41" s="15"/>
      <c r="P41" s="15"/>
      <c r="Q41" s="15"/>
    </row>
    <row r="42" spans="1:17" s="21" customFormat="1" x14ac:dyDescent="0.3">
      <c r="A42" s="17"/>
      <c r="B42"/>
      <c r="C42"/>
      <c r="D42"/>
      <c r="E42"/>
      <c r="F42"/>
      <c r="G42"/>
      <c r="H42"/>
      <c r="I42" s="27"/>
      <c r="J42" s="15"/>
      <c r="K42" s="27"/>
      <c r="L42" s="15"/>
      <c r="M42" s="15"/>
      <c r="N42" s="15"/>
      <c r="O42" s="15"/>
      <c r="P42" s="15"/>
      <c r="Q42" s="15"/>
    </row>
    <row r="43" spans="1:17" s="21" customFormat="1" x14ac:dyDescent="0.3">
      <c r="A43" s="17"/>
      <c r="B43"/>
      <c r="C43"/>
      <c r="D43"/>
      <c r="E43"/>
      <c r="F43"/>
      <c r="G43"/>
      <c r="H43"/>
      <c r="I43" s="27"/>
      <c r="J43" s="15"/>
      <c r="K43" s="27"/>
      <c r="L43" s="15"/>
      <c r="M43" s="15"/>
      <c r="N43" s="15"/>
      <c r="O43" s="15"/>
      <c r="P43" s="15"/>
      <c r="Q43" s="15"/>
    </row>
    <row r="44" spans="1:17" s="21" customFormat="1" x14ac:dyDescent="0.3">
      <c r="A44" s="17"/>
      <c r="B44"/>
      <c r="C44"/>
      <c r="D44"/>
      <c r="E44"/>
      <c r="F44"/>
      <c r="G44"/>
      <c r="H44"/>
      <c r="I44" s="27"/>
      <c r="J44" s="15"/>
      <c r="K44" s="27"/>
      <c r="L44" s="15"/>
      <c r="M44" s="15"/>
      <c r="N44" s="15"/>
      <c r="O44" s="15"/>
      <c r="P44" s="15"/>
      <c r="Q44" s="15"/>
    </row>
    <row r="45" spans="1:17" s="21" customFormat="1" x14ac:dyDescent="0.3">
      <c r="A45" s="17"/>
      <c r="B45"/>
      <c r="C45"/>
      <c r="D45"/>
      <c r="E45"/>
      <c r="F45"/>
      <c r="G45"/>
      <c r="H45"/>
      <c r="I45" s="27"/>
      <c r="J45" s="15"/>
      <c r="K45" s="27"/>
      <c r="L45" s="15"/>
      <c r="M45" s="15"/>
      <c r="N45" s="15"/>
      <c r="O45" s="15"/>
      <c r="P45" s="15"/>
      <c r="Q45" s="15"/>
    </row>
    <row r="46" spans="1:17" s="21" customFormat="1" x14ac:dyDescent="0.3">
      <c r="A46" s="17"/>
      <c r="B46"/>
      <c r="C46"/>
      <c r="D46"/>
      <c r="E46"/>
      <c r="F46"/>
      <c r="G46"/>
      <c r="H46"/>
      <c r="I46" s="27"/>
      <c r="J46" s="15"/>
      <c r="K46" s="27"/>
      <c r="L46" s="15"/>
      <c r="M46" s="15"/>
      <c r="N46" s="15"/>
      <c r="O46" s="15"/>
      <c r="P46" s="15"/>
      <c r="Q46" s="15"/>
    </row>
    <row r="47" spans="1:17" s="21" customFormat="1" x14ac:dyDescent="0.3">
      <c r="A47" s="17"/>
      <c r="B47"/>
      <c r="C47"/>
      <c r="D47"/>
      <c r="E47"/>
      <c r="F47"/>
      <c r="G47"/>
      <c r="H47"/>
      <c r="I47" s="27"/>
      <c r="J47" s="15"/>
      <c r="K47" s="27"/>
      <c r="L47" s="15"/>
      <c r="M47" s="15"/>
      <c r="N47" s="15"/>
      <c r="O47" s="15"/>
      <c r="P47" s="15"/>
      <c r="Q47" s="15"/>
    </row>
    <row r="48" spans="1:17" s="21" customFormat="1" x14ac:dyDescent="0.3">
      <c r="A48" s="17"/>
      <c r="B48"/>
      <c r="C48"/>
      <c r="D48"/>
      <c r="E48"/>
      <c r="F48"/>
      <c r="G48"/>
      <c r="H48"/>
      <c r="I48" s="27"/>
      <c r="J48" s="15"/>
      <c r="K48" s="27"/>
      <c r="L48" s="15"/>
      <c r="M48" s="15"/>
      <c r="N48" s="15"/>
      <c r="O48" s="15"/>
      <c r="P48" s="15"/>
      <c r="Q48" s="15"/>
    </row>
    <row r="49" spans="1:17" s="21" customFormat="1" x14ac:dyDescent="0.3">
      <c r="A49" s="17"/>
      <c r="B49"/>
      <c r="C49"/>
      <c r="D49"/>
      <c r="E49"/>
      <c r="F49"/>
      <c r="G49"/>
      <c r="H49"/>
      <c r="I49" s="27"/>
      <c r="J49" s="15"/>
      <c r="K49" s="27"/>
      <c r="L49" s="15"/>
      <c r="M49" s="15"/>
      <c r="N49" s="15"/>
      <c r="O49" s="15"/>
      <c r="P49" s="15"/>
      <c r="Q49" s="15"/>
    </row>
    <row r="50" spans="1:17" s="21" customFormat="1" x14ac:dyDescent="0.3">
      <c r="A50" s="17"/>
      <c r="B50"/>
      <c r="C50"/>
      <c r="D50"/>
      <c r="E50"/>
      <c r="F50"/>
      <c r="G50"/>
      <c r="H50"/>
      <c r="I50" s="27"/>
      <c r="J50" s="15"/>
      <c r="K50" s="27"/>
      <c r="L50" s="15"/>
      <c r="M50" s="15"/>
      <c r="N50" s="15"/>
      <c r="O50" s="15"/>
      <c r="P50" s="15"/>
      <c r="Q50" s="15"/>
    </row>
    <row r="51" spans="1:17" s="21" customFormat="1" x14ac:dyDescent="0.3">
      <c r="A51" s="17"/>
      <c r="B51"/>
      <c r="C51"/>
      <c r="D51"/>
      <c r="E51"/>
      <c r="F51"/>
      <c r="G51"/>
      <c r="H51"/>
      <c r="I51" s="27"/>
      <c r="J51" s="15"/>
      <c r="K51" s="27"/>
      <c r="L51" s="15"/>
      <c r="M51" s="15"/>
      <c r="N51" s="15"/>
      <c r="O51" s="15"/>
      <c r="P51" s="15"/>
      <c r="Q51" s="15"/>
    </row>
    <row r="52" spans="1:17" s="21" customFormat="1" x14ac:dyDescent="0.3">
      <c r="A52" s="17"/>
      <c r="B52"/>
      <c r="C52"/>
      <c r="D52"/>
      <c r="E52"/>
      <c r="F52"/>
      <c r="G52"/>
      <c r="H52"/>
      <c r="I52" s="27"/>
      <c r="J52" s="15"/>
      <c r="K52" s="27"/>
      <c r="L52" s="15"/>
      <c r="M52" s="15"/>
      <c r="N52" s="15"/>
      <c r="O52" s="15"/>
      <c r="P52" s="15"/>
      <c r="Q52" s="15"/>
    </row>
    <row r="53" spans="1:17" s="21" customFormat="1" x14ac:dyDescent="0.3">
      <c r="A53" s="17"/>
      <c r="B53"/>
      <c r="C53"/>
      <c r="D53"/>
      <c r="E53"/>
      <c r="F53"/>
      <c r="G53"/>
      <c r="H53"/>
      <c r="I53" s="27"/>
      <c r="J53" s="15"/>
      <c r="K53" s="27"/>
      <c r="L53" s="15"/>
      <c r="M53" s="15"/>
      <c r="N53" s="15"/>
      <c r="O53" s="15"/>
      <c r="P53" s="15"/>
      <c r="Q53" s="15"/>
    </row>
    <row r="54" spans="1:17" s="21" customFormat="1" x14ac:dyDescent="0.3">
      <c r="A54" s="17"/>
      <c r="B54"/>
      <c r="C54"/>
      <c r="D54"/>
      <c r="E54"/>
      <c r="F54"/>
      <c r="G54"/>
      <c r="H54"/>
      <c r="I54" s="27"/>
      <c r="J54" s="15"/>
      <c r="K54" s="27"/>
      <c r="L54" s="15"/>
      <c r="M54" s="15"/>
      <c r="N54" s="15"/>
      <c r="O54" s="15"/>
      <c r="P54" s="15"/>
      <c r="Q54" s="15"/>
    </row>
    <row r="55" spans="1:17" s="21" customFormat="1" x14ac:dyDescent="0.3">
      <c r="A55" s="17"/>
      <c r="B55"/>
      <c r="C55"/>
      <c r="D55"/>
      <c r="E55"/>
      <c r="F55"/>
      <c r="G55"/>
      <c r="H55"/>
      <c r="I55" s="27"/>
      <c r="J55" s="15"/>
      <c r="K55" s="27"/>
      <c r="L55" s="15"/>
      <c r="M55" s="15"/>
      <c r="N55" s="15"/>
      <c r="O55" s="15"/>
      <c r="P55" s="15"/>
      <c r="Q55" s="15"/>
    </row>
    <row r="56" spans="1:17" s="21" customFormat="1" x14ac:dyDescent="0.3">
      <c r="A56" s="17"/>
      <c r="B56"/>
      <c r="C56"/>
      <c r="D56"/>
      <c r="E56"/>
      <c r="F56"/>
      <c r="G56"/>
      <c r="H56"/>
      <c r="I56" s="27"/>
      <c r="J56" s="15"/>
      <c r="K56" s="27"/>
      <c r="L56" s="15"/>
      <c r="M56" s="15"/>
      <c r="N56" s="15"/>
      <c r="O56" s="15"/>
      <c r="P56" s="15"/>
      <c r="Q56" s="15"/>
    </row>
    <row r="57" spans="1:17" s="21" customFormat="1" x14ac:dyDescent="0.3">
      <c r="A57" s="17"/>
      <c r="B57"/>
      <c r="C57"/>
      <c r="D57"/>
      <c r="E57"/>
      <c r="F57"/>
      <c r="G57"/>
      <c r="H57"/>
      <c r="I57" s="27"/>
      <c r="J57" s="15"/>
      <c r="K57" s="27"/>
      <c r="L57" s="15"/>
      <c r="M57" s="15"/>
      <c r="N57" s="15"/>
      <c r="O57" s="15"/>
      <c r="P57" s="15"/>
      <c r="Q57" s="15"/>
    </row>
    <row r="58" spans="1:17" s="21" customFormat="1" x14ac:dyDescent="0.3">
      <c r="A58" s="17"/>
      <c r="B58"/>
      <c r="C58"/>
      <c r="D58"/>
      <c r="E58"/>
      <c r="F58"/>
      <c r="G58"/>
      <c r="H58"/>
      <c r="I58" s="27"/>
      <c r="J58" s="15"/>
      <c r="K58" s="27"/>
      <c r="L58" s="15"/>
      <c r="M58" s="15"/>
      <c r="N58" s="15"/>
      <c r="O58" s="15"/>
      <c r="P58" s="15"/>
      <c r="Q58" s="15"/>
    </row>
    <row r="59" spans="1:17" s="21" customFormat="1" x14ac:dyDescent="0.3">
      <c r="A59" s="17"/>
      <c r="B59"/>
      <c r="C59"/>
      <c r="D59"/>
      <c r="E59"/>
      <c r="F59"/>
      <c r="G59"/>
      <c r="H59"/>
      <c r="I59" s="27"/>
      <c r="J59" s="15"/>
      <c r="K59" s="27"/>
      <c r="L59" s="15"/>
      <c r="M59" s="15"/>
      <c r="N59" s="15"/>
      <c r="O59" s="15"/>
      <c r="P59" s="15"/>
      <c r="Q59" s="15"/>
    </row>
    <row r="60" spans="1:17" s="21" customFormat="1" x14ac:dyDescent="0.3">
      <c r="A60" s="17"/>
      <c r="B60"/>
      <c r="C60"/>
      <c r="D60"/>
      <c r="E60"/>
      <c r="F60"/>
      <c r="G60"/>
      <c r="H60"/>
      <c r="I60" s="27"/>
      <c r="J60" s="15"/>
      <c r="K60" s="27"/>
      <c r="L60" s="15"/>
      <c r="M60" s="15"/>
      <c r="N60" s="15"/>
      <c r="O60" s="15"/>
      <c r="P60" s="15"/>
      <c r="Q60" s="15"/>
    </row>
    <row r="61" spans="1:17" s="21" customFormat="1" x14ac:dyDescent="0.3">
      <c r="A61" s="17"/>
      <c r="B61"/>
      <c r="C61"/>
      <c r="D61"/>
      <c r="E61"/>
      <c r="F61"/>
      <c r="G61"/>
      <c r="H61"/>
      <c r="I61" s="27"/>
      <c r="J61" s="15"/>
      <c r="K61" s="27"/>
      <c r="L61" s="15"/>
      <c r="M61" s="15"/>
      <c r="N61" s="15"/>
      <c r="O61" s="15"/>
      <c r="P61" s="15"/>
      <c r="Q61" s="15"/>
    </row>
    <row r="62" spans="1:17" s="21" customFormat="1" x14ac:dyDescent="0.3">
      <c r="A62" s="17"/>
      <c r="B62"/>
      <c r="C62"/>
      <c r="D62"/>
      <c r="E62"/>
      <c r="F62"/>
      <c r="G62"/>
      <c r="H62"/>
      <c r="I62" s="27"/>
      <c r="J62" s="15"/>
      <c r="K62" s="27"/>
      <c r="L62" s="15"/>
      <c r="M62" s="15"/>
      <c r="N62" s="15"/>
      <c r="O62" s="15"/>
      <c r="P62" s="15"/>
      <c r="Q62" s="15"/>
    </row>
    <row r="63" spans="1:17" s="21" customFormat="1" x14ac:dyDescent="0.3">
      <c r="A63" s="17"/>
      <c r="B63"/>
      <c r="C63"/>
      <c r="D63"/>
      <c r="E63"/>
      <c r="F63"/>
      <c r="G63"/>
      <c r="H63"/>
      <c r="I63" s="27"/>
      <c r="J63" s="15"/>
      <c r="K63" s="27"/>
      <c r="L63" s="15"/>
      <c r="M63" s="15"/>
      <c r="N63" s="15"/>
      <c r="O63" s="15"/>
      <c r="P63" s="15"/>
      <c r="Q63" s="15"/>
    </row>
    <row r="64" spans="1:17" s="21" customFormat="1" x14ac:dyDescent="0.3">
      <c r="A64" s="17"/>
      <c r="B64"/>
      <c r="C64"/>
      <c r="D64"/>
      <c r="E64"/>
      <c r="F64"/>
      <c r="G64"/>
      <c r="H64"/>
      <c r="I64" s="27"/>
      <c r="J64" s="15"/>
      <c r="K64" s="27"/>
      <c r="L64" s="15"/>
      <c r="M64" s="15"/>
      <c r="N64" s="15"/>
      <c r="O64" s="15"/>
      <c r="P64" s="15"/>
      <c r="Q64" s="15"/>
    </row>
    <row r="65" spans="1:17" s="21" customFormat="1" x14ac:dyDescent="0.3">
      <c r="A65" s="17"/>
      <c r="B65"/>
      <c r="C65"/>
      <c r="D65"/>
      <c r="E65"/>
      <c r="F65"/>
      <c r="G65"/>
      <c r="H65"/>
      <c r="I65" s="27"/>
      <c r="J65" s="15"/>
      <c r="K65" s="27"/>
      <c r="L65" s="15"/>
      <c r="M65" s="15"/>
      <c r="N65" s="15"/>
      <c r="O65" s="15"/>
      <c r="P65" s="15"/>
      <c r="Q65" s="15"/>
    </row>
    <row r="66" spans="1:17" s="21" customFormat="1" x14ac:dyDescent="0.3">
      <c r="A66" s="17"/>
      <c r="B66"/>
      <c r="C66"/>
      <c r="D66"/>
      <c r="E66"/>
      <c r="F66"/>
      <c r="G66"/>
      <c r="H66"/>
      <c r="I66" s="27"/>
      <c r="J66" s="15"/>
      <c r="K66" s="27"/>
      <c r="L66" s="15"/>
      <c r="M66" s="15"/>
      <c r="N66" s="15"/>
      <c r="O66" s="15"/>
      <c r="P66" s="15"/>
      <c r="Q66" s="15"/>
    </row>
    <row r="67" spans="1:17" s="21" customFormat="1" x14ac:dyDescent="0.3">
      <c r="A67" s="17"/>
      <c r="B67"/>
      <c r="C67"/>
      <c r="D67"/>
      <c r="E67"/>
      <c r="F67"/>
      <c r="G67"/>
      <c r="H67"/>
      <c r="I67" s="27"/>
      <c r="J67" s="15"/>
      <c r="K67" s="27"/>
      <c r="L67" s="15"/>
      <c r="M67" s="15"/>
      <c r="N67" s="15"/>
      <c r="O67" s="15"/>
      <c r="P67" s="15"/>
      <c r="Q67" s="15"/>
    </row>
    <row r="68" spans="1:17" s="21" customFormat="1" x14ac:dyDescent="0.3">
      <c r="A68" s="17"/>
      <c r="B68"/>
      <c r="C68"/>
      <c r="D68"/>
      <c r="E68"/>
      <c r="F68"/>
      <c r="G68"/>
      <c r="H68"/>
      <c r="I68" s="27"/>
      <c r="J68" s="15"/>
      <c r="K68" s="27"/>
      <c r="L68" s="15"/>
      <c r="M68" s="15"/>
      <c r="N68" s="15"/>
      <c r="O68" s="15"/>
      <c r="P68" s="15"/>
      <c r="Q68" s="15"/>
    </row>
    <row r="69" spans="1:17" s="21" customFormat="1" x14ac:dyDescent="0.3">
      <c r="A69" s="17"/>
      <c r="B69"/>
      <c r="C69"/>
      <c r="D69"/>
      <c r="E69"/>
      <c r="F69"/>
      <c r="G69"/>
      <c r="H69"/>
      <c r="I69" s="27"/>
      <c r="J69" s="15"/>
      <c r="K69" s="27"/>
      <c r="L69" s="15"/>
      <c r="M69" s="15"/>
      <c r="N69" s="15"/>
      <c r="O69" s="15"/>
      <c r="P69" s="15"/>
      <c r="Q69" s="15"/>
    </row>
    <row r="70" spans="1:17" s="21" customFormat="1" x14ac:dyDescent="0.3">
      <c r="A70" s="17"/>
      <c r="B70"/>
      <c r="C70"/>
      <c r="D70"/>
      <c r="E70"/>
      <c r="F70"/>
      <c r="G70"/>
      <c r="H70"/>
      <c r="I70" s="27"/>
      <c r="J70" s="15"/>
      <c r="K70" s="27"/>
      <c r="L70" s="15"/>
      <c r="M70" s="15"/>
      <c r="N70" s="15"/>
      <c r="O70" s="15"/>
      <c r="P70" s="15"/>
      <c r="Q70" s="15"/>
    </row>
    <row r="71" spans="1:17" s="21" customFormat="1" x14ac:dyDescent="0.3">
      <c r="A71" s="17"/>
      <c r="B71"/>
      <c r="C71"/>
      <c r="D71"/>
      <c r="E71"/>
      <c r="F71"/>
      <c r="G71"/>
      <c r="H71"/>
      <c r="I71" s="27"/>
      <c r="J71" s="15"/>
      <c r="K71" s="27"/>
      <c r="L71" s="15"/>
      <c r="M71" s="15"/>
      <c r="N71" s="15"/>
      <c r="O71" s="15"/>
      <c r="P71" s="15"/>
      <c r="Q71" s="15"/>
    </row>
    <row r="72" spans="1:17" s="21" customFormat="1" x14ac:dyDescent="0.3">
      <c r="A72" s="17"/>
      <c r="B72"/>
      <c r="C72"/>
      <c r="D72"/>
      <c r="E72"/>
      <c r="F72"/>
      <c r="G72"/>
      <c r="H72"/>
      <c r="I72" s="27"/>
      <c r="J72" s="15"/>
      <c r="K72" s="27"/>
      <c r="L72" s="15"/>
      <c r="M72" s="15"/>
      <c r="N72" s="15"/>
      <c r="O72" s="15"/>
      <c r="P72" s="15"/>
      <c r="Q72" s="15"/>
    </row>
    <row r="73" spans="1:17" s="21" customFormat="1" x14ac:dyDescent="0.3">
      <c r="A73" s="17"/>
      <c r="B73"/>
      <c r="C73"/>
      <c r="D73"/>
      <c r="E73"/>
      <c r="F73"/>
      <c r="G73"/>
      <c r="H73"/>
      <c r="I73" s="27"/>
      <c r="J73" s="15"/>
      <c r="K73" s="27"/>
      <c r="L73" s="15"/>
      <c r="M73" s="15"/>
      <c r="N73" s="15"/>
      <c r="O73" s="15"/>
      <c r="P73" s="15"/>
      <c r="Q73" s="15"/>
    </row>
    <row r="74" spans="1:17" s="21" customFormat="1" x14ac:dyDescent="0.3">
      <c r="A74" s="17"/>
      <c r="B74"/>
      <c r="C74"/>
      <c r="D74"/>
      <c r="E74"/>
      <c r="F74"/>
      <c r="G74"/>
      <c r="H74"/>
      <c r="I74" s="27"/>
      <c r="J74" s="15"/>
      <c r="K74" s="27"/>
      <c r="L74" s="15"/>
      <c r="M74" s="15"/>
      <c r="N74" s="15"/>
      <c r="O74" s="15"/>
      <c r="P74" s="15"/>
      <c r="Q74" s="15"/>
    </row>
    <row r="75" spans="1:17" s="21" customFormat="1" x14ac:dyDescent="0.3">
      <c r="A75" s="17"/>
      <c r="B75"/>
      <c r="C75"/>
      <c r="D75"/>
      <c r="E75"/>
      <c r="F75"/>
      <c r="G75"/>
      <c r="H75"/>
      <c r="I75" s="27"/>
      <c r="J75" s="15"/>
      <c r="K75" s="27"/>
      <c r="L75" s="15"/>
      <c r="M75" s="15"/>
      <c r="N75" s="15"/>
      <c r="O75" s="15"/>
      <c r="P75" s="15"/>
      <c r="Q75" s="15"/>
    </row>
    <row r="76" spans="1:17" s="21" customFormat="1" x14ac:dyDescent="0.3">
      <c r="A76" s="17"/>
      <c r="B76"/>
      <c r="C76"/>
      <c r="D76"/>
      <c r="E76"/>
      <c r="F76"/>
      <c r="G76"/>
      <c r="H76"/>
      <c r="I76" s="27"/>
      <c r="J76" s="15"/>
      <c r="K76" s="27"/>
      <c r="L76" s="15"/>
      <c r="M76" s="15"/>
      <c r="N76" s="15"/>
      <c r="O76" s="15"/>
      <c r="P76" s="15"/>
      <c r="Q76" s="15"/>
    </row>
    <row r="77" spans="1:17" s="21" customFormat="1" x14ac:dyDescent="0.3">
      <c r="A77" s="17"/>
      <c r="B77"/>
      <c r="C77"/>
      <c r="D77"/>
      <c r="E77"/>
      <c r="F77"/>
      <c r="G77"/>
      <c r="H77"/>
      <c r="I77" s="27"/>
      <c r="J77" s="15"/>
      <c r="K77" s="27"/>
      <c r="L77" s="15"/>
      <c r="M77" s="15"/>
      <c r="N77" s="15"/>
      <c r="O77" s="15"/>
      <c r="P77" s="15"/>
      <c r="Q77" s="15"/>
    </row>
    <row r="78" spans="1:17" s="21" customFormat="1" x14ac:dyDescent="0.3">
      <c r="A78" s="17"/>
      <c r="B78"/>
      <c r="C78"/>
      <c r="D78"/>
      <c r="E78"/>
      <c r="F78"/>
      <c r="G78"/>
      <c r="H78"/>
      <c r="I78" s="27"/>
      <c r="J78" s="15"/>
      <c r="K78" s="27"/>
      <c r="L78" s="15"/>
      <c r="M78" s="15"/>
      <c r="N78" s="15"/>
      <c r="O78" s="15"/>
      <c r="P78" s="15"/>
      <c r="Q78" s="15"/>
    </row>
    <row r="79" spans="1:17" s="21" customFormat="1" x14ac:dyDescent="0.3">
      <c r="A79" s="17"/>
      <c r="B79"/>
      <c r="C79"/>
      <c r="D79"/>
      <c r="E79"/>
      <c r="F79"/>
      <c r="G79"/>
      <c r="H79"/>
      <c r="I79" s="27"/>
      <c r="J79" s="15"/>
      <c r="K79" s="27"/>
      <c r="L79" s="15"/>
      <c r="M79" s="15"/>
      <c r="N79" s="15"/>
      <c r="O79" s="15"/>
      <c r="P79" s="15"/>
      <c r="Q79" s="15"/>
    </row>
    <row r="80" spans="1:17" s="21" customFormat="1" x14ac:dyDescent="0.3">
      <c r="A80" s="17"/>
      <c r="B80"/>
      <c r="C80"/>
      <c r="D80"/>
      <c r="E80"/>
      <c r="F80"/>
      <c r="G80"/>
      <c r="H80"/>
      <c r="I80" s="27"/>
      <c r="J80" s="15"/>
      <c r="K80" s="27"/>
      <c r="L80" s="15"/>
      <c r="M80" s="15"/>
      <c r="N80" s="15"/>
      <c r="O80" s="15"/>
      <c r="P80" s="15"/>
      <c r="Q80" s="15"/>
    </row>
    <row r="81" spans="1:17" s="21" customFormat="1" x14ac:dyDescent="0.3">
      <c r="A81" s="17"/>
      <c r="B81"/>
      <c r="C81"/>
      <c r="D81"/>
      <c r="E81"/>
      <c r="F81"/>
      <c r="G81"/>
      <c r="H81"/>
      <c r="I81" s="27"/>
      <c r="J81" s="15"/>
      <c r="K81" s="27"/>
      <c r="L81" s="15"/>
      <c r="M81" s="15"/>
      <c r="N81" s="15"/>
      <c r="O81" s="15"/>
      <c r="P81" s="15"/>
      <c r="Q81" s="15"/>
    </row>
    <row r="82" spans="1:17" s="21" customFormat="1" x14ac:dyDescent="0.3">
      <c r="A82" s="17"/>
      <c r="B82"/>
      <c r="C82"/>
      <c r="D82"/>
      <c r="E82"/>
      <c r="F82"/>
      <c r="G82"/>
      <c r="H82"/>
      <c r="I82" s="27"/>
      <c r="J82" s="15"/>
      <c r="K82" s="27"/>
      <c r="L82" s="15"/>
      <c r="M82" s="15"/>
      <c r="N82" s="15"/>
      <c r="O82" s="15"/>
      <c r="P82" s="15"/>
      <c r="Q82" s="15"/>
    </row>
    <row r="83" spans="1:17" s="21" customFormat="1" x14ac:dyDescent="0.3">
      <c r="A83" s="17"/>
      <c r="B83"/>
      <c r="C83"/>
      <c r="D83"/>
      <c r="E83"/>
      <c r="F83"/>
      <c r="G83"/>
      <c r="H83"/>
      <c r="I83" s="27"/>
      <c r="J83" s="15"/>
      <c r="K83" s="27"/>
      <c r="L83" s="15"/>
      <c r="M83" s="15"/>
      <c r="N83" s="15"/>
      <c r="O83" s="15"/>
      <c r="P83" s="15"/>
      <c r="Q83" s="15"/>
    </row>
    <row r="84" spans="1:17" s="21" customFormat="1" x14ac:dyDescent="0.3">
      <c r="A84" s="17"/>
      <c r="B84"/>
      <c r="C84"/>
      <c r="D84"/>
      <c r="E84"/>
      <c r="F84"/>
      <c r="G84"/>
      <c r="H84"/>
      <c r="I84" s="27"/>
      <c r="J84" s="15"/>
      <c r="K84" s="27"/>
      <c r="L84" s="15"/>
      <c r="M84" s="15"/>
      <c r="N84" s="15"/>
      <c r="O84" s="15"/>
      <c r="P84" s="15"/>
      <c r="Q84" s="15"/>
    </row>
    <row r="85" spans="1:17" s="21" customFormat="1" x14ac:dyDescent="0.3">
      <c r="A85" s="17"/>
      <c r="B85"/>
      <c r="C85"/>
      <c r="D85"/>
      <c r="E85"/>
      <c r="F85"/>
      <c r="G85"/>
      <c r="H85"/>
      <c r="I85" s="27"/>
      <c r="J85" s="15"/>
      <c r="K85" s="27"/>
      <c r="L85" s="15"/>
      <c r="M85" s="15"/>
      <c r="N85" s="15"/>
      <c r="O85" s="15"/>
      <c r="P85" s="15"/>
      <c r="Q85" s="15"/>
    </row>
    <row r="86" spans="1:17" s="21" customFormat="1" x14ac:dyDescent="0.3">
      <c r="A86" s="17"/>
      <c r="B86"/>
      <c r="C86"/>
      <c r="D86"/>
      <c r="E86"/>
      <c r="F86"/>
      <c r="G86"/>
      <c r="H86"/>
      <c r="I86" s="27"/>
      <c r="J86" s="15"/>
      <c r="K86" s="27"/>
      <c r="L86" s="15"/>
      <c r="M86" s="15"/>
      <c r="N86" s="15"/>
      <c r="O86" s="15"/>
      <c r="P86" s="15"/>
      <c r="Q86" s="15"/>
    </row>
    <row r="87" spans="1:17" s="21" customFormat="1" x14ac:dyDescent="0.3">
      <c r="A87" s="17"/>
      <c r="B87"/>
      <c r="C87"/>
      <c r="D87"/>
      <c r="E87"/>
      <c r="F87"/>
      <c r="G87"/>
      <c r="H87"/>
      <c r="I87" s="27"/>
      <c r="J87" s="15"/>
      <c r="K87" s="27"/>
      <c r="L87" s="15"/>
      <c r="M87" s="15"/>
      <c r="N87" s="15"/>
      <c r="O87" s="15"/>
      <c r="P87" s="15"/>
      <c r="Q87" s="15"/>
    </row>
    <row r="88" spans="1:17" s="21" customFormat="1" x14ac:dyDescent="0.3">
      <c r="A88" s="17"/>
      <c r="B88"/>
      <c r="C88"/>
      <c r="D88"/>
      <c r="E88"/>
      <c r="F88"/>
      <c r="G88"/>
      <c r="H88"/>
      <c r="I88" s="27"/>
      <c r="J88" s="15"/>
      <c r="K88" s="27"/>
      <c r="L88" s="15"/>
      <c r="M88" s="15"/>
      <c r="N88" s="15"/>
      <c r="O88" s="15"/>
      <c r="P88" s="15"/>
      <c r="Q88" s="15"/>
    </row>
    <row r="89" spans="1:17" s="21" customFormat="1" x14ac:dyDescent="0.3">
      <c r="A89" s="17"/>
      <c r="B89"/>
      <c r="C89"/>
      <c r="D89"/>
      <c r="E89"/>
      <c r="F89"/>
      <c r="G89"/>
      <c r="H89"/>
      <c r="I89" s="27"/>
      <c r="J89" s="15"/>
      <c r="K89" s="27"/>
      <c r="L89" s="15"/>
      <c r="M89" s="15"/>
      <c r="N89" s="15"/>
      <c r="O89" s="15"/>
      <c r="P89" s="15"/>
      <c r="Q89" s="15"/>
    </row>
    <row r="90" spans="1:17" s="21" customFormat="1" x14ac:dyDescent="0.3">
      <c r="A90" s="17"/>
      <c r="B90"/>
      <c r="C90"/>
      <c r="D90"/>
      <c r="E90"/>
      <c r="F90"/>
      <c r="G90"/>
      <c r="H90"/>
      <c r="I90" s="27"/>
      <c r="J90" s="15"/>
      <c r="K90" s="27"/>
      <c r="L90" s="15"/>
      <c r="M90" s="15"/>
      <c r="N90" s="15"/>
      <c r="O90" s="15"/>
      <c r="P90" s="15"/>
      <c r="Q90" s="15"/>
    </row>
    <row r="91" spans="1:17" s="21" customFormat="1" x14ac:dyDescent="0.3">
      <c r="A91" s="17"/>
      <c r="B91"/>
      <c r="C91"/>
      <c r="D91"/>
      <c r="E91"/>
      <c r="F91"/>
      <c r="G91"/>
      <c r="H91"/>
      <c r="I91" s="27"/>
      <c r="J91" s="15"/>
      <c r="K91" s="27"/>
      <c r="L91" s="15"/>
      <c r="M91" s="15"/>
      <c r="N91" s="15"/>
      <c r="O91" s="15"/>
      <c r="P91" s="15"/>
      <c r="Q91" s="15"/>
    </row>
    <row r="92" spans="1:17" s="21" customFormat="1" x14ac:dyDescent="0.3">
      <c r="A92" s="17"/>
      <c r="B92"/>
      <c r="C92"/>
      <c r="D92"/>
      <c r="E92"/>
      <c r="F92"/>
      <c r="G92"/>
      <c r="H92"/>
      <c r="I92" s="27"/>
      <c r="J92" s="15"/>
      <c r="K92" s="27"/>
      <c r="L92" s="15"/>
      <c r="M92" s="15"/>
      <c r="N92" s="15"/>
      <c r="O92" s="15"/>
      <c r="P92" s="15"/>
      <c r="Q92" s="15"/>
    </row>
    <row r="93" spans="1:17" s="21" customFormat="1" x14ac:dyDescent="0.3">
      <c r="A93" s="17"/>
      <c r="B93"/>
      <c r="C93"/>
      <c r="D93"/>
      <c r="E93"/>
      <c r="F93"/>
      <c r="G93"/>
      <c r="H93"/>
      <c r="I93" s="27"/>
      <c r="J93" s="15"/>
      <c r="K93" s="27"/>
      <c r="L93" s="15"/>
      <c r="M93" s="15"/>
      <c r="N93" s="15"/>
      <c r="O93" s="15"/>
      <c r="P93" s="15"/>
      <c r="Q93" s="15"/>
    </row>
    <row r="94" spans="1:17" s="21" customFormat="1" x14ac:dyDescent="0.3">
      <c r="A94" s="17"/>
      <c r="B94"/>
      <c r="C94"/>
      <c r="D94"/>
      <c r="E94"/>
      <c r="F94"/>
      <c r="G94"/>
      <c r="H94"/>
      <c r="I94" s="27"/>
      <c r="J94" s="15"/>
      <c r="K94" s="27"/>
      <c r="L94" s="15"/>
      <c r="M94" s="15"/>
      <c r="N94" s="15"/>
      <c r="O94" s="15"/>
      <c r="P94" s="15"/>
      <c r="Q94" s="15"/>
    </row>
    <row r="95" spans="1:17" s="21" customFormat="1" x14ac:dyDescent="0.3">
      <c r="A95" s="17"/>
      <c r="B95"/>
      <c r="C95"/>
      <c r="D95"/>
      <c r="E95"/>
      <c r="F95"/>
      <c r="G95"/>
      <c r="H95"/>
      <c r="I95" s="27"/>
      <c r="J95" s="15"/>
      <c r="K95" s="27"/>
      <c r="L95" s="15"/>
      <c r="M95" s="15"/>
      <c r="N95" s="15"/>
      <c r="O95" s="15"/>
      <c r="P95" s="15"/>
      <c r="Q95" s="15"/>
    </row>
    <row r="96" spans="1:17" s="21" customFormat="1" x14ac:dyDescent="0.3">
      <c r="A96" s="17"/>
      <c r="B96"/>
      <c r="C96"/>
      <c r="D96"/>
      <c r="E96"/>
      <c r="F96"/>
      <c r="G96"/>
      <c r="H96"/>
      <c r="I96" s="27"/>
      <c r="J96" s="15"/>
      <c r="K96" s="27"/>
      <c r="L96" s="15"/>
      <c r="M96" s="15"/>
      <c r="N96" s="15"/>
      <c r="O96" s="15"/>
      <c r="P96" s="15"/>
      <c r="Q96" s="15"/>
    </row>
    <row r="97" spans="1:17" s="21" customFormat="1" x14ac:dyDescent="0.3">
      <c r="A97" s="17"/>
      <c r="B97"/>
      <c r="C97"/>
      <c r="D97"/>
      <c r="E97"/>
      <c r="F97"/>
      <c r="G97"/>
      <c r="H97"/>
      <c r="I97" s="27"/>
      <c r="J97" s="15"/>
      <c r="K97" s="27"/>
      <c r="L97" s="15"/>
      <c r="M97" s="15"/>
      <c r="N97" s="15"/>
      <c r="O97" s="15"/>
      <c r="P97" s="15"/>
      <c r="Q97" s="15"/>
    </row>
    <row r="98" spans="1:17" s="21" customFormat="1" x14ac:dyDescent="0.3">
      <c r="A98" s="17"/>
      <c r="B98"/>
      <c r="C98"/>
      <c r="D98"/>
      <c r="E98"/>
      <c r="F98"/>
      <c r="G98"/>
      <c r="H98"/>
      <c r="I98" s="27"/>
      <c r="J98" s="15"/>
      <c r="K98" s="27"/>
      <c r="L98" s="15"/>
      <c r="M98" s="15"/>
      <c r="N98" s="15"/>
      <c r="O98" s="15"/>
      <c r="P98" s="15"/>
      <c r="Q98" s="15"/>
    </row>
    <row r="99" spans="1:17" s="21" customFormat="1" x14ac:dyDescent="0.3">
      <c r="A99" s="17"/>
      <c r="B99"/>
      <c r="C99"/>
      <c r="D99"/>
      <c r="E99"/>
      <c r="F99"/>
      <c r="G99"/>
      <c r="H99"/>
      <c r="I99" s="27"/>
      <c r="J99" s="15"/>
      <c r="K99" s="27"/>
      <c r="L99" s="15"/>
      <c r="M99" s="15"/>
      <c r="N99" s="15"/>
      <c r="O99" s="15"/>
      <c r="P99" s="15"/>
      <c r="Q99" s="15"/>
    </row>
    <row r="100" spans="1:17" s="21" customFormat="1" x14ac:dyDescent="0.3">
      <c r="A100" s="17"/>
      <c r="B100"/>
      <c r="C100"/>
      <c r="D100"/>
      <c r="E100"/>
      <c r="F100"/>
      <c r="G100"/>
      <c r="H100"/>
      <c r="I100" s="27"/>
      <c r="J100" s="15"/>
      <c r="K100" s="27"/>
      <c r="L100" s="15"/>
      <c r="M100" s="15"/>
      <c r="N100" s="15"/>
      <c r="O100" s="15"/>
      <c r="P100" s="15"/>
      <c r="Q100" s="15"/>
    </row>
    <row r="101" spans="1:17" s="21" customFormat="1" x14ac:dyDescent="0.3">
      <c r="A101" s="17"/>
      <c r="B101"/>
      <c r="C101"/>
      <c r="D101"/>
      <c r="E101"/>
      <c r="F101"/>
      <c r="G101"/>
      <c r="H101"/>
      <c r="I101" s="27"/>
      <c r="J101" s="15"/>
      <c r="K101" s="27"/>
      <c r="L101" s="15"/>
      <c r="M101" s="15"/>
      <c r="N101" s="15"/>
      <c r="O101" s="15"/>
      <c r="P101" s="15"/>
      <c r="Q101" s="15"/>
    </row>
    <row r="102" spans="1:17" s="21" customFormat="1" x14ac:dyDescent="0.3">
      <c r="A102" s="17"/>
      <c r="B102"/>
      <c r="C102"/>
      <c r="D102"/>
      <c r="E102"/>
      <c r="F102"/>
      <c r="G102"/>
      <c r="H102"/>
      <c r="I102" s="27"/>
      <c r="J102" s="15"/>
      <c r="K102" s="27"/>
      <c r="L102" s="15"/>
      <c r="M102" s="15"/>
      <c r="N102" s="15"/>
      <c r="O102" s="15"/>
      <c r="P102" s="15"/>
      <c r="Q102" s="15"/>
    </row>
    <row r="103" spans="1:17" s="21" customFormat="1" x14ac:dyDescent="0.3">
      <c r="A103" s="17"/>
      <c r="B103"/>
      <c r="C103"/>
      <c r="D103"/>
      <c r="E103"/>
      <c r="F103"/>
      <c r="G103"/>
      <c r="H103"/>
      <c r="I103" s="27"/>
      <c r="J103" s="15"/>
      <c r="K103" s="27"/>
      <c r="L103" s="15"/>
      <c r="M103" s="15"/>
      <c r="N103" s="15"/>
      <c r="O103" s="15"/>
      <c r="P103" s="15"/>
      <c r="Q103" s="15"/>
    </row>
    <row r="104" spans="1:17" s="21" customFormat="1" x14ac:dyDescent="0.3">
      <c r="A104" s="17"/>
      <c r="B104"/>
      <c r="C104"/>
      <c r="D104"/>
      <c r="E104"/>
      <c r="F104"/>
      <c r="G104"/>
      <c r="H104"/>
      <c r="I104" s="27"/>
      <c r="J104" s="15"/>
      <c r="K104" s="27"/>
      <c r="L104" s="15"/>
      <c r="M104" s="15"/>
      <c r="N104" s="15"/>
      <c r="O104" s="15"/>
      <c r="P104" s="15"/>
      <c r="Q104" s="15"/>
    </row>
    <row r="105" spans="1:17" s="21" customFormat="1" x14ac:dyDescent="0.3">
      <c r="A105" s="17"/>
      <c r="B105"/>
      <c r="C105"/>
      <c r="D105"/>
      <c r="E105"/>
      <c r="F105"/>
      <c r="G105"/>
      <c r="H105"/>
      <c r="I105" s="27"/>
      <c r="J105" s="15"/>
      <c r="K105" s="27"/>
      <c r="L105" s="15"/>
      <c r="M105" s="15"/>
      <c r="N105" s="15"/>
      <c r="O105" s="15"/>
      <c r="P105" s="15"/>
      <c r="Q105" s="15"/>
    </row>
    <row r="106" spans="1:17" s="21" customFormat="1" x14ac:dyDescent="0.3">
      <c r="A106" s="17"/>
      <c r="B106"/>
      <c r="C106"/>
      <c r="D106"/>
      <c r="E106"/>
      <c r="F106"/>
      <c r="G106"/>
      <c r="H106"/>
      <c r="I106" s="27"/>
      <c r="J106" s="15"/>
      <c r="K106" s="27"/>
      <c r="L106" s="15"/>
      <c r="M106" s="15"/>
      <c r="N106" s="15"/>
      <c r="O106" s="15"/>
      <c r="P106" s="15"/>
      <c r="Q106" s="15"/>
    </row>
    <row r="107" spans="1:17" s="21" customFormat="1" x14ac:dyDescent="0.3">
      <c r="A107" s="17"/>
      <c r="B107"/>
      <c r="C107"/>
      <c r="D107"/>
      <c r="E107"/>
      <c r="F107"/>
      <c r="G107"/>
      <c r="H107"/>
      <c r="I107" s="27"/>
      <c r="J107" s="15"/>
      <c r="K107" s="27"/>
      <c r="L107" s="15"/>
      <c r="M107" s="15"/>
      <c r="N107" s="15"/>
      <c r="O107" s="15"/>
      <c r="P107" s="15"/>
      <c r="Q107" s="15"/>
    </row>
    <row r="108" spans="1:17" s="21" customFormat="1" x14ac:dyDescent="0.3">
      <c r="A108" s="17"/>
      <c r="B108"/>
      <c r="C108"/>
      <c r="D108"/>
      <c r="E108"/>
      <c r="F108"/>
      <c r="G108"/>
      <c r="H108"/>
      <c r="I108" s="27"/>
      <c r="J108" s="15"/>
      <c r="K108" s="27"/>
      <c r="L108" s="15"/>
      <c r="M108" s="15"/>
      <c r="N108" s="15"/>
      <c r="O108" s="15"/>
      <c r="P108" s="15"/>
      <c r="Q108" s="15"/>
    </row>
    <row r="109" spans="1:17" s="21" customFormat="1" x14ac:dyDescent="0.3">
      <c r="A109" s="17"/>
      <c r="B109"/>
      <c r="C109"/>
      <c r="D109"/>
      <c r="E109"/>
      <c r="F109"/>
      <c r="G109"/>
      <c r="H109"/>
      <c r="I109" s="27"/>
      <c r="J109" s="15"/>
      <c r="K109" s="27"/>
      <c r="L109" s="15"/>
      <c r="M109" s="15"/>
      <c r="N109" s="15"/>
      <c r="O109" s="15"/>
      <c r="P109" s="15"/>
      <c r="Q109" s="15"/>
    </row>
    <row r="110" spans="1:17" s="21" customFormat="1" x14ac:dyDescent="0.3">
      <c r="A110" s="17"/>
      <c r="B110"/>
      <c r="C110"/>
      <c r="D110"/>
      <c r="E110"/>
      <c r="F110"/>
      <c r="G110"/>
      <c r="H110"/>
      <c r="I110" s="27"/>
      <c r="J110" s="15"/>
      <c r="K110" s="27"/>
      <c r="L110" s="15"/>
      <c r="M110" s="15"/>
      <c r="N110" s="15"/>
      <c r="O110" s="15"/>
      <c r="P110" s="15"/>
      <c r="Q110" s="15"/>
    </row>
  </sheetData>
  <pageMargins left="0.511811024" right="0.511811024" top="0.78740157499999996" bottom="0.78740157499999996" header="0.31496062000000002" footer="0.3149606200000000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6D411-1722-43CB-82C8-A3CB0EA4E394}">
  <sheetPr codeName="Planilha48">
    <tabColor theme="9" tint="0.59999389629810485"/>
  </sheetPr>
  <dimension ref="A1:Q110"/>
  <sheetViews>
    <sheetView showGridLines="0" workbookViewId="0">
      <selection activeCell="I19" sqref="I19"/>
    </sheetView>
  </sheetViews>
  <sheetFormatPr defaultColWidth="8.85546875" defaultRowHeight="18.75" x14ac:dyDescent="0.3"/>
  <cols>
    <col min="1" max="1" width="12.7109375" style="17" customWidth="1"/>
    <col min="2" max="2" width="26.28515625" customWidth="1"/>
    <col min="9" max="17" width="8.85546875" style="15"/>
  </cols>
  <sheetData>
    <row r="1" spans="1:17" x14ac:dyDescent="0.3">
      <c r="A1" s="16" t="s">
        <v>116</v>
      </c>
      <c r="I1" s="14"/>
      <c r="J1" s="14"/>
      <c r="K1" s="14"/>
      <c r="L1" s="14"/>
      <c r="M1" s="14"/>
      <c r="N1" s="14"/>
      <c r="O1" s="14"/>
      <c r="P1" s="14"/>
      <c r="Q1" s="14"/>
    </row>
    <row r="2" spans="1:17" x14ac:dyDescent="0.3">
      <c r="A2" s="17" t="s">
        <v>115</v>
      </c>
      <c r="I2" s="14"/>
      <c r="J2" s="14"/>
      <c r="K2" s="14"/>
      <c r="L2" s="14"/>
      <c r="M2" s="14"/>
      <c r="N2" s="14"/>
      <c r="O2" s="14"/>
      <c r="P2" s="14"/>
      <c r="Q2" s="14"/>
    </row>
    <row r="3" spans="1:17" x14ac:dyDescent="0.3">
      <c r="K3" s="27"/>
    </row>
    <row r="4" spans="1:17" ht="15.75" x14ac:dyDescent="0.25">
      <c r="A4" s="2" t="s">
        <v>15</v>
      </c>
      <c r="B4" s="2" t="s">
        <v>16</v>
      </c>
      <c r="K4" s="27"/>
    </row>
    <row r="5" spans="1:17" ht="15.75" x14ac:dyDescent="0.25">
      <c r="A5" s="23" t="s">
        <v>22</v>
      </c>
      <c r="B5" s="26" t="s">
        <v>114</v>
      </c>
      <c r="K5" s="27"/>
    </row>
    <row r="6" spans="1:17" ht="15.75" x14ac:dyDescent="0.25">
      <c r="A6" s="23"/>
      <c r="B6" s="26"/>
      <c r="K6" s="27"/>
    </row>
    <row r="7" spans="1:17" ht="15.75" x14ac:dyDescent="0.25">
      <c r="A7" s="23"/>
      <c r="B7" s="26"/>
      <c r="K7" s="27"/>
    </row>
    <row r="8" spans="1:17" x14ac:dyDescent="0.3">
      <c r="K8" s="27"/>
    </row>
    <row r="9" spans="1:17" x14ac:dyDescent="0.3">
      <c r="K9" s="27"/>
    </row>
    <row r="10" spans="1:17" x14ac:dyDescent="0.3">
      <c r="K10" s="27"/>
    </row>
    <row r="11" spans="1:17" x14ac:dyDescent="0.3">
      <c r="C11" s="1" t="s">
        <v>17</v>
      </c>
      <c r="D11" s="13" t="s">
        <v>22</v>
      </c>
      <c r="E11" s="12">
        <v>1</v>
      </c>
      <c r="F11" s="12">
        <v>2</v>
      </c>
      <c r="G11" s="12">
        <v>2</v>
      </c>
      <c r="I11" s="28" cm="1">
        <f t="array" ref="I11">_xlfn.LAMBDA(_xlpm.matrix, ROWS(_xlpm.matrix)*COLUMNS(_xlpm.matrix) )(E11:G15)</f>
        <v>15</v>
      </c>
      <c r="K11" s="27"/>
    </row>
    <row r="12" spans="1:17" x14ac:dyDescent="0.3">
      <c r="E12" s="12">
        <v>3</v>
      </c>
      <c r="F12" s="12">
        <v>4</v>
      </c>
      <c r="G12" s="12">
        <v>4</v>
      </c>
      <c r="I12" s="27"/>
      <c r="K12" s="27"/>
    </row>
    <row r="13" spans="1:17" x14ac:dyDescent="0.3">
      <c r="E13" s="12">
        <v>5</v>
      </c>
      <c r="F13" s="12">
        <v>6</v>
      </c>
      <c r="G13" s="12">
        <v>6</v>
      </c>
      <c r="I13" s="27"/>
      <c r="K13" s="27"/>
    </row>
    <row r="14" spans="1:17" x14ac:dyDescent="0.3">
      <c r="E14" s="12">
        <v>7</v>
      </c>
      <c r="F14" s="12">
        <v>8</v>
      </c>
      <c r="G14" s="12">
        <v>8</v>
      </c>
      <c r="I14" s="27"/>
      <c r="K14" s="27"/>
    </row>
    <row r="15" spans="1:17" x14ac:dyDescent="0.3">
      <c r="E15" s="12">
        <v>9</v>
      </c>
      <c r="F15" s="12">
        <v>10</v>
      </c>
      <c r="G15" s="12">
        <v>10</v>
      </c>
      <c r="I15" s="27"/>
      <c r="K15" s="27"/>
    </row>
    <row r="16" spans="1:17" x14ac:dyDescent="0.3">
      <c r="I16" s="27"/>
      <c r="K16" s="27"/>
    </row>
    <row r="17" spans="3:11" x14ac:dyDescent="0.3">
      <c r="I17" s="27"/>
      <c r="K17" s="27"/>
    </row>
    <row r="18" spans="3:11" x14ac:dyDescent="0.3">
      <c r="C18" s="1" t="s">
        <v>17</v>
      </c>
      <c r="D18" s="13" t="s">
        <v>22</v>
      </c>
      <c r="E18" s="12">
        <v>1</v>
      </c>
      <c r="F18" s="12">
        <v>2</v>
      </c>
      <c r="G18" s="12">
        <v>2</v>
      </c>
      <c r="I18" s="28" cm="1">
        <f t="array" ref="I18">NUMEL(E18:G19)</f>
        <v>6</v>
      </c>
      <c r="K18" s="27"/>
    </row>
    <row r="19" spans="3:11" x14ac:dyDescent="0.3">
      <c r="E19" s="12">
        <v>3</v>
      </c>
      <c r="F19" s="12">
        <v>4</v>
      </c>
      <c r="G19" s="12">
        <v>4</v>
      </c>
      <c r="I19" s="27"/>
      <c r="K19" s="27"/>
    </row>
    <row r="20" spans="3:11" x14ac:dyDescent="0.3">
      <c r="I20" s="27"/>
      <c r="K20" s="27"/>
    </row>
    <row r="21" spans="3:11" x14ac:dyDescent="0.3">
      <c r="I21" s="27"/>
      <c r="K21" s="27"/>
    </row>
    <row r="22" spans="3:11" x14ac:dyDescent="0.3">
      <c r="I22" s="27"/>
      <c r="K22" s="27"/>
    </row>
    <row r="23" spans="3:11" x14ac:dyDescent="0.3">
      <c r="I23" s="27"/>
      <c r="K23" s="27"/>
    </row>
    <row r="24" spans="3:11" x14ac:dyDescent="0.3">
      <c r="I24" s="27"/>
      <c r="K24" s="27"/>
    </row>
    <row r="25" spans="3:11" x14ac:dyDescent="0.3">
      <c r="I25" s="27"/>
      <c r="K25" s="27"/>
    </row>
    <row r="26" spans="3:11" x14ac:dyDescent="0.3">
      <c r="I26" s="27"/>
      <c r="K26" s="27"/>
    </row>
    <row r="27" spans="3:11" x14ac:dyDescent="0.3">
      <c r="I27" s="27"/>
      <c r="K27" s="27"/>
    </row>
    <row r="28" spans="3:11" x14ac:dyDescent="0.3">
      <c r="I28" s="27"/>
      <c r="K28" s="27"/>
    </row>
    <row r="29" spans="3:11" x14ac:dyDescent="0.3">
      <c r="I29" s="27"/>
      <c r="K29" s="27"/>
    </row>
    <row r="30" spans="3:11" x14ac:dyDescent="0.3">
      <c r="I30" s="27"/>
      <c r="K30" s="27"/>
    </row>
    <row r="31" spans="3:11" x14ac:dyDescent="0.3">
      <c r="I31" s="27"/>
      <c r="K31" s="27"/>
    </row>
    <row r="32" spans="3:11" x14ac:dyDescent="0.3">
      <c r="I32" s="27"/>
      <c r="K32" s="27"/>
    </row>
    <row r="33" spans="9:11" x14ac:dyDescent="0.3">
      <c r="I33" s="27"/>
      <c r="K33" s="27"/>
    </row>
    <row r="34" spans="9:11" x14ac:dyDescent="0.3">
      <c r="I34" s="27"/>
      <c r="K34" s="27"/>
    </row>
    <row r="35" spans="9:11" x14ac:dyDescent="0.3">
      <c r="I35" s="27"/>
      <c r="K35" s="27"/>
    </row>
    <row r="36" spans="9:11" x14ac:dyDescent="0.3">
      <c r="I36" s="27"/>
      <c r="K36" s="27"/>
    </row>
    <row r="37" spans="9:11" x14ac:dyDescent="0.3">
      <c r="I37" s="27"/>
      <c r="K37" s="27"/>
    </row>
    <row r="38" spans="9:11" x14ac:dyDescent="0.3">
      <c r="I38" s="27"/>
      <c r="K38" s="27"/>
    </row>
    <row r="39" spans="9:11" x14ac:dyDescent="0.3">
      <c r="I39" s="27"/>
      <c r="K39" s="27"/>
    </row>
    <row r="40" spans="9:11" x14ac:dyDescent="0.3">
      <c r="I40" s="27"/>
      <c r="K40" s="27"/>
    </row>
    <row r="41" spans="9:11" x14ac:dyDescent="0.3">
      <c r="I41" s="27"/>
      <c r="K41" s="27"/>
    </row>
    <row r="42" spans="9:11" x14ac:dyDescent="0.3">
      <c r="I42" s="27"/>
      <c r="K42" s="27"/>
    </row>
    <row r="43" spans="9:11" x14ac:dyDescent="0.3">
      <c r="I43" s="27"/>
      <c r="K43" s="27"/>
    </row>
    <row r="44" spans="9:11" x14ac:dyDescent="0.3">
      <c r="I44" s="27"/>
      <c r="K44" s="27"/>
    </row>
    <row r="45" spans="9:11" x14ac:dyDescent="0.3">
      <c r="I45" s="27"/>
      <c r="K45" s="27"/>
    </row>
    <row r="46" spans="9:11" x14ac:dyDescent="0.3">
      <c r="I46" s="27"/>
      <c r="K46" s="27"/>
    </row>
    <row r="47" spans="9:11" x14ac:dyDescent="0.3">
      <c r="I47" s="27"/>
      <c r="K47" s="27"/>
    </row>
    <row r="48" spans="9:11" x14ac:dyDescent="0.3">
      <c r="I48" s="27"/>
      <c r="K48" s="27"/>
    </row>
    <row r="49" spans="9:11" x14ac:dyDescent="0.3">
      <c r="I49" s="27"/>
      <c r="K49" s="27"/>
    </row>
    <row r="50" spans="9:11" x14ac:dyDescent="0.3">
      <c r="I50" s="27"/>
      <c r="K50" s="27"/>
    </row>
    <row r="51" spans="9:11" x14ac:dyDescent="0.3">
      <c r="I51" s="27"/>
      <c r="K51" s="27"/>
    </row>
    <row r="52" spans="9:11" x14ac:dyDescent="0.3">
      <c r="I52" s="27"/>
      <c r="K52" s="27"/>
    </row>
    <row r="53" spans="9:11" x14ac:dyDescent="0.3">
      <c r="I53" s="27"/>
      <c r="K53" s="27"/>
    </row>
    <row r="54" spans="9:11" x14ac:dyDescent="0.3">
      <c r="I54" s="27"/>
      <c r="K54" s="27"/>
    </row>
    <row r="55" spans="9:11" x14ac:dyDescent="0.3">
      <c r="I55" s="27"/>
      <c r="K55" s="27"/>
    </row>
    <row r="56" spans="9:11" x14ac:dyDescent="0.3">
      <c r="I56" s="27"/>
      <c r="K56" s="27"/>
    </row>
    <row r="57" spans="9:11" x14ac:dyDescent="0.3">
      <c r="I57" s="27"/>
      <c r="K57" s="27"/>
    </row>
    <row r="58" spans="9:11" x14ac:dyDescent="0.3">
      <c r="I58" s="27"/>
      <c r="K58" s="27"/>
    </row>
    <row r="59" spans="9:11" x14ac:dyDescent="0.3">
      <c r="I59" s="27"/>
      <c r="K59" s="27"/>
    </row>
    <row r="60" spans="9:11" x14ac:dyDescent="0.3">
      <c r="I60" s="27"/>
      <c r="K60" s="27"/>
    </row>
    <row r="61" spans="9:11" x14ac:dyDescent="0.3">
      <c r="I61" s="27"/>
      <c r="K61" s="27"/>
    </row>
    <row r="62" spans="9:11" x14ac:dyDescent="0.3">
      <c r="I62" s="27"/>
      <c r="K62" s="27"/>
    </row>
    <row r="63" spans="9:11" x14ac:dyDescent="0.3">
      <c r="I63" s="27"/>
      <c r="K63" s="27"/>
    </row>
    <row r="64" spans="9:11" x14ac:dyDescent="0.3">
      <c r="I64" s="27"/>
      <c r="K64" s="27"/>
    </row>
    <row r="65" spans="9:11" x14ac:dyDescent="0.3">
      <c r="I65" s="27"/>
      <c r="K65" s="27"/>
    </row>
    <row r="66" spans="9:11" x14ac:dyDescent="0.3">
      <c r="I66" s="27"/>
      <c r="K66" s="27"/>
    </row>
    <row r="67" spans="9:11" x14ac:dyDescent="0.3">
      <c r="I67" s="27"/>
      <c r="K67" s="27"/>
    </row>
    <row r="68" spans="9:11" x14ac:dyDescent="0.3">
      <c r="I68" s="27"/>
      <c r="K68" s="27"/>
    </row>
    <row r="69" spans="9:11" x14ac:dyDescent="0.3">
      <c r="I69" s="27"/>
      <c r="K69" s="27"/>
    </row>
    <row r="70" spans="9:11" x14ac:dyDescent="0.3">
      <c r="I70" s="27"/>
      <c r="K70" s="27"/>
    </row>
    <row r="71" spans="9:11" x14ac:dyDescent="0.3">
      <c r="I71" s="27"/>
      <c r="K71" s="27"/>
    </row>
    <row r="72" spans="9:11" x14ac:dyDescent="0.3">
      <c r="I72" s="27"/>
      <c r="K72" s="27"/>
    </row>
    <row r="73" spans="9:11" x14ac:dyDescent="0.3">
      <c r="I73" s="27"/>
      <c r="K73" s="27"/>
    </row>
    <row r="74" spans="9:11" x14ac:dyDescent="0.3">
      <c r="I74" s="27"/>
      <c r="K74" s="27"/>
    </row>
    <row r="75" spans="9:11" x14ac:dyDescent="0.3">
      <c r="I75" s="27"/>
      <c r="K75" s="27"/>
    </row>
    <row r="76" spans="9:11" x14ac:dyDescent="0.3">
      <c r="I76" s="27"/>
      <c r="K76" s="27"/>
    </row>
    <row r="77" spans="9:11" x14ac:dyDescent="0.3">
      <c r="I77" s="27"/>
      <c r="K77" s="27"/>
    </row>
    <row r="78" spans="9:11" x14ac:dyDescent="0.3">
      <c r="I78" s="27"/>
      <c r="K78" s="27"/>
    </row>
    <row r="79" spans="9:11" x14ac:dyDescent="0.3">
      <c r="I79" s="27"/>
      <c r="K79" s="27"/>
    </row>
    <row r="80" spans="9:11" x14ac:dyDescent="0.3">
      <c r="I80" s="27"/>
      <c r="K80" s="27"/>
    </row>
    <row r="81" spans="9:11" x14ac:dyDescent="0.3">
      <c r="I81" s="27"/>
      <c r="K81" s="27"/>
    </row>
    <row r="82" spans="9:11" x14ac:dyDescent="0.3">
      <c r="I82" s="27"/>
      <c r="K82" s="27"/>
    </row>
    <row r="83" spans="9:11" x14ac:dyDescent="0.3">
      <c r="I83" s="27"/>
      <c r="K83" s="27"/>
    </row>
    <row r="84" spans="9:11" x14ac:dyDescent="0.3">
      <c r="I84" s="27"/>
      <c r="K84" s="27"/>
    </row>
    <row r="85" spans="9:11" x14ac:dyDescent="0.3">
      <c r="I85" s="27"/>
      <c r="K85" s="27"/>
    </row>
    <row r="86" spans="9:11" x14ac:dyDescent="0.3">
      <c r="I86" s="27"/>
      <c r="K86" s="27"/>
    </row>
    <row r="87" spans="9:11" x14ac:dyDescent="0.3">
      <c r="I87" s="27"/>
      <c r="K87" s="27"/>
    </row>
    <row r="88" spans="9:11" x14ac:dyDescent="0.3">
      <c r="I88" s="27"/>
      <c r="K88" s="27"/>
    </row>
    <row r="89" spans="9:11" x14ac:dyDescent="0.3">
      <c r="I89" s="27"/>
      <c r="K89" s="27"/>
    </row>
    <row r="90" spans="9:11" x14ac:dyDescent="0.3">
      <c r="I90" s="27"/>
      <c r="K90" s="27"/>
    </row>
    <row r="91" spans="9:11" x14ac:dyDescent="0.3">
      <c r="I91" s="27"/>
      <c r="K91" s="27"/>
    </row>
    <row r="92" spans="9:11" x14ac:dyDescent="0.3">
      <c r="I92" s="27"/>
      <c r="K92" s="27"/>
    </row>
    <row r="93" spans="9:11" x14ac:dyDescent="0.3">
      <c r="I93" s="27"/>
      <c r="K93" s="27"/>
    </row>
    <row r="94" spans="9:11" x14ac:dyDescent="0.3">
      <c r="I94" s="27"/>
      <c r="K94" s="27"/>
    </row>
    <row r="95" spans="9:11" x14ac:dyDescent="0.3">
      <c r="I95" s="27"/>
      <c r="K95" s="27"/>
    </row>
    <row r="96" spans="9:11" x14ac:dyDescent="0.3">
      <c r="I96" s="27"/>
      <c r="K96" s="27"/>
    </row>
    <row r="97" spans="9:11" x14ac:dyDescent="0.3">
      <c r="I97" s="27"/>
      <c r="K97" s="27"/>
    </row>
    <row r="98" spans="9:11" x14ac:dyDescent="0.3">
      <c r="I98" s="27"/>
      <c r="K98" s="27"/>
    </row>
    <row r="99" spans="9:11" x14ac:dyDescent="0.3">
      <c r="I99" s="27"/>
      <c r="K99" s="27"/>
    </row>
    <row r="100" spans="9:11" x14ac:dyDescent="0.3">
      <c r="I100" s="27"/>
      <c r="K100" s="27"/>
    </row>
    <row r="101" spans="9:11" x14ac:dyDescent="0.3">
      <c r="I101" s="27"/>
      <c r="K101" s="27"/>
    </row>
    <row r="102" spans="9:11" x14ac:dyDescent="0.3">
      <c r="I102" s="27"/>
      <c r="K102" s="27"/>
    </row>
    <row r="103" spans="9:11" x14ac:dyDescent="0.3">
      <c r="I103" s="27"/>
      <c r="K103" s="27"/>
    </row>
    <row r="104" spans="9:11" x14ac:dyDescent="0.3">
      <c r="I104" s="27"/>
      <c r="K104" s="27"/>
    </row>
    <row r="105" spans="9:11" x14ac:dyDescent="0.3">
      <c r="I105" s="27"/>
      <c r="K105" s="27"/>
    </row>
    <row r="106" spans="9:11" x14ac:dyDescent="0.3">
      <c r="I106" s="27"/>
      <c r="K106" s="27"/>
    </row>
    <row r="107" spans="9:11" x14ac:dyDescent="0.3">
      <c r="I107" s="27"/>
      <c r="K107" s="27"/>
    </row>
    <row r="108" spans="9:11" x14ac:dyDescent="0.3">
      <c r="I108" s="27"/>
      <c r="K108" s="27"/>
    </row>
    <row r="109" spans="9:11" x14ac:dyDescent="0.3">
      <c r="I109" s="27"/>
      <c r="K109" s="27"/>
    </row>
    <row r="110" spans="9:11" x14ac:dyDescent="0.3">
      <c r="I110" s="27"/>
      <c r="K110" s="27"/>
    </row>
  </sheetData>
  <pageMargins left="0.511811024" right="0.511811024" top="0.78740157499999996" bottom="0.78740157499999996" header="0.31496062000000002" footer="0.3149606200000000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1A8714-B703-4C9F-AB5D-F70F66CA9810}">
  <sheetPr codeName="Planilha28">
    <tabColor theme="9" tint="0.59999389629810485"/>
  </sheetPr>
  <dimension ref="A1:Q24"/>
  <sheetViews>
    <sheetView showGridLines="0" workbookViewId="0">
      <selection activeCell="H4" sqref="H4"/>
    </sheetView>
  </sheetViews>
  <sheetFormatPr defaultColWidth="8.85546875" defaultRowHeight="18.75" x14ac:dyDescent="0.3"/>
  <cols>
    <col min="1" max="1" width="12.7109375" style="17" customWidth="1"/>
    <col min="2" max="2" width="36.42578125" customWidth="1"/>
    <col min="5" max="5" width="12.28515625" bestFit="1" customWidth="1"/>
    <col min="6" max="6" width="12.42578125" bestFit="1" customWidth="1"/>
    <col min="11" max="15" width="8.85546875" style="15"/>
    <col min="16" max="17" width="12.42578125" style="15" bestFit="1" customWidth="1"/>
    <col min="18" max="19" width="12.42578125" bestFit="1" customWidth="1"/>
  </cols>
  <sheetData>
    <row r="1" spans="1:17" x14ac:dyDescent="0.3">
      <c r="A1" s="16" t="s">
        <v>137</v>
      </c>
      <c r="K1" s="14"/>
      <c r="L1" s="14"/>
      <c r="M1" s="14"/>
      <c r="N1" s="14"/>
      <c r="O1" s="14"/>
      <c r="P1" s="14"/>
      <c r="Q1" s="14"/>
    </row>
    <row r="2" spans="1:17" x14ac:dyDescent="0.3">
      <c r="A2" s="17" t="s">
        <v>140</v>
      </c>
      <c r="K2" s="14"/>
      <c r="L2" s="14"/>
      <c r="M2" s="14"/>
      <c r="N2" s="14"/>
      <c r="O2" s="14"/>
      <c r="P2" s="14"/>
      <c r="Q2" s="14"/>
    </row>
    <row r="4" spans="1:17" ht="15.75" x14ac:dyDescent="0.25">
      <c r="A4" s="2" t="s">
        <v>15</v>
      </c>
      <c r="B4" s="2" t="s">
        <v>16</v>
      </c>
    </row>
    <row r="5" spans="1:17" ht="63" x14ac:dyDescent="0.25">
      <c r="A5" s="19" t="s">
        <v>22</v>
      </c>
      <c r="B5" s="26" t="s">
        <v>141</v>
      </c>
    </row>
    <row r="6" spans="1:17" ht="31.5" x14ac:dyDescent="0.25">
      <c r="A6" s="23" t="s">
        <v>138</v>
      </c>
      <c r="B6" s="24" t="s">
        <v>139</v>
      </c>
    </row>
    <row r="7" spans="1:17" x14ac:dyDescent="0.3">
      <c r="D7" s="1" t="s">
        <v>17</v>
      </c>
      <c r="E7" s="13" t="s">
        <v>22</v>
      </c>
      <c r="F7" s="12">
        <v>1</v>
      </c>
      <c r="G7" s="12">
        <v>2</v>
      </c>
      <c r="H7" s="12">
        <v>3</v>
      </c>
      <c r="K7" s="15" cm="1">
        <f t="array" ref="K7:M9">_xlfn.LAMBDA(_xlpm.matrix,_xlop.dim,
_xlfn.LET(_xlpm.dim,IF(_xlfn.ISOMITTED(_xlpm.dim),1,_xlpm.dim),
IF(_xlpm.dim = 1,
_xlfn._xlws.FILTER( _xlpm.matrix, _xlfn.BYROW(_xlpm.matrix,_xlfn.LAMBDA(_xlpm.row, SUM(1*ISERROR(_xlpm.row)) + SUM(1*ISBLANK(_xlpm.row)) ))=0 ),
_xlfn._xlws.FILTER( _xlpm.matrix, _xlfn.BYCOL(_xlpm.matrix,_xlfn.LAMBDA(_xlpm.col, SUM(1*ISERROR(_xlpm.col)) + SUM(1*ISBLANK(_xlpm.col)) ))=0 ) )
))($F$7:$H$12,$F$14)</f>
        <v>1</v>
      </c>
      <c r="L7" s="15">
        <v>2</v>
      </c>
      <c r="M7" s="15">
        <v>3</v>
      </c>
    </row>
    <row r="8" spans="1:17" x14ac:dyDescent="0.3">
      <c r="F8" s="12">
        <v>4</v>
      </c>
      <c r="G8" s="12" t="e">
        <f>NA()</f>
        <v>#N/A</v>
      </c>
      <c r="H8" s="12">
        <v>6</v>
      </c>
      <c r="K8" s="15">
        <v>7</v>
      </c>
      <c r="L8" s="15">
        <v>8</v>
      </c>
      <c r="M8" s="15">
        <v>9</v>
      </c>
    </row>
    <row r="9" spans="1:17" x14ac:dyDescent="0.3">
      <c r="F9" s="12">
        <v>7</v>
      </c>
      <c r="G9" s="12">
        <v>8</v>
      </c>
      <c r="H9" s="12">
        <v>9</v>
      </c>
      <c r="K9" s="15">
        <v>16</v>
      </c>
      <c r="L9" s="15">
        <v>17</v>
      </c>
      <c r="M9" s="15">
        <v>18</v>
      </c>
    </row>
    <row r="10" spans="1:17" ht="15" x14ac:dyDescent="0.25">
      <c r="A10"/>
      <c r="F10" s="12" t="e">
        <v>#VALUE!</v>
      </c>
      <c r="G10" s="12">
        <v>11</v>
      </c>
      <c r="H10" s="12">
        <v>12</v>
      </c>
    </row>
    <row r="11" spans="1:17" x14ac:dyDescent="0.3">
      <c r="F11" s="12">
        <v>13</v>
      </c>
      <c r="G11" s="12"/>
      <c r="H11" s="12">
        <v>15</v>
      </c>
    </row>
    <row r="12" spans="1:17" x14ac:dyDescent="0.3">
      <c r="F12" s="12">
        <v>16</v>
      </c>
      <c r="G12" s="12">
        <v>17</v>
      </c>
      <c r="H12" s="12">
        <v>18</v>
      </c>
    </row>
    <row r="14" spans="1:17" x14ac:dyDescent="0.3">
      <c r="E14" s="13" t="s">
        <v>138</v>
      </c>
      <c r="F14" s="12">
        <v>1</v>
      </c>
    </row>
    <row r="17" spans="4:11" x14ac:dyDescent="0.3">
      <c r="D17" s="1" t="s">
        <v>17</v>
      </c>
      <c r="E17" s="13" t="s">
        <v>22</v>
      </c>
      <c r="F17" s="12">
        <v>1</v>
      </c>
      <c r="G17" s="12">
        <v>2</v>
      </c>
      <c r="H17" s="12">
        <v>3</v>
      </c>
      <c r="K17" s="15" cm="1">
        <f t="array" ref="K17:K22">RMMISSING($F$17:$H$22,$F$24)</f>
        <v>3</v>
      </c>
    </row>
    <row r="18" spans="4:11" x14ac:dyDescent="0.3">
      <c r="F18" s="12">
        <v>4</v>
      </c>
      <c r="G18" s="12" t="e">
        <f>NA()</f>
        <v>#N/A</v>
      </c>
      <c r="H18" s="12">
        <v>6</v>
      </c>
      <c r="K18" s="15">
        <v>6</v>
      </c>
    </row>
    <row r="19" spans="4:11" x14ac:dyDescent="0.3">
      <c r="F19" s="12">
        <v>7</v>
      </c>
      <c r="G19" s="12">
        <v>8</v>
      </c>
      <c r="H19" s="12">
        <v>9</v>
      </c>
      <c r="K19" s="15">
        <v>9</v>
      </c>
    </row>
    <row r="20" spans="4:11" x14ac:dyDescent="0.3">
      <c r="F20" s="12" t="e">
        <v>#VALUE!</v>
      </c>
      <c r="G20" s="12">
        <v>11</v>
      </c>
      <c r="H20" s="12">
        <v>12</v>
      </c>
      <c r="K20" s="15">
        <v>12</v>
      </c>
    </row>
    <row r="21" spans="4:11" x14ac:dyDescent="0.3">
      <c r="F21" s="12">
        <v>13</v>
      </c>
      <c r="G21" s="12"/>
      <c r="H21" s="12">
        <v>15</v>
      </c>
      <c r="K21" s="15">
        <v>15</v>
      </c>
    </row>
    <row r="22" spans="4:11" x14ac:dyDescent="0.3">
      <c r="F22" s="12">
        <v>16</v>
      </c>
      <c r="G22" s="12">
        <v>17</v>
      </c>
      <c r="H22" s="12">
        <v>18</v>
      </c>
      <c r="K22" s="15">
        <v>18</v>
      </c>
    </row>
    <row r="24" spans="4:11" x14ac:dyDescent="0.3">
      <c r="E24" s="13" t="s">
        <v>138</v>
      </c>
      <c r="F24" s="12">
        <v>2</v>
      </c>
    </row>
  </sheetData>
  <pageMargins left="0.511811024" right="0.511811024" top="0.78740157499999996" bottom="0.78740157499999996" header="0.31496062000000002" footer="0.3149606200000000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B6533-05D9-4981-831F-4486DDEDFC9C}">
  <sheetPr codeName="Planilha49">
    <tabColor theme="9" tint="0.59999389629810485"/>
  </sheetPr>
  <dimension ref="A1:Q34"/>
  <sheetViews>
    <sheetView showGridLines="0" workbookViewId="0">
      <selection activeCell="F5" sqref="F5"/>
    </sheetView>
  </sheetViews>
  <sheetFormatPr defaultColWidth="8.85546875" defaultRowHeight="18.75" x14ac:dyDescent="0.3"/>
  <cols>
    <col min="1" max="1" width="12.7109375" style="17" customWidth="1"/>
    <col min="2" max="2" width="36.42578125" customWidth="1"/>
    <col min="5" max="5" width="12.28515625" bestFit="1" customWidth="1"/>
    <col min="6" max="6" width="12.42578125" bestFit="1" customWidth="1"/>
    <col min="11" max="13" width="13" style="15" customWidth="1"/>
    <col min="14" max="14" width="8.85546875" style="15"/>
    <col min="15" max="17" width="12.42578125" style="15" bestFit="1" customWidth="1"/>
    <col min="18" max="19" width="12.42578125" bestFit="1" customWidth="1"/>
  </cols>
  <sheetData>
    <row r="1" spans="1:17" x14ac:dyDescent="0.3">
      <c r="A1" s="16" t="s">
        <v>440</v>
      </c>
      <c r="K1" s="14"/>
      <c r="L1" s="14"/>
      <c r="M1" s="14"/>
      <c r="N1" s="14"/>
      <c r="O1" s="14"/>
      <c r="P1" s="14"/>
      <c r="Q1" s="14"/>
    </row>
    <row r="2" spans="1:17" x14ac:dyDescent="0.3">
      <c r="A2" s="17" t="s">
        <v>441</v>
      </c>
      <c r="K2" s="14"/>
      <c r="L2" s="14"/>
      <c r="M2" s="14"/>
      <c r="N2" s="14"/>
      <c r="O2" s="14"/>
      <c r="P2" s="14"/>
      <c r="Q2" s="14"/>
    </row>
    <row r="4" spans="1:17" ht="15.75" x14ac:dyDescent="0.25">
      <c r="A4" s="2" t="s">
        <v>15</v>
      </c>
      <c r="B4" s="2" t="s">
        <v>16</v>
      </c>
    </row>
    <row r="5" spans="1:17" ht="31.5" x14ac:dyDescent="0.25">
      <c r="A5" s="19" t="s">
        <v>22</v>
      </c>
      <c r="B5" s="26" t="s">
        <v>442</v>
      </c>
    </row>
    <row r="6" spans="1:17" ht="31.5" x14ac:dyDescent="0.25">
      <c r="A6" s="23" t="s">
        <v>138</v>
      </c>
      <c r="B6" s="24" t="s">
        <v>139</v>
      </c>
    </row>
    <row r="7" spans="1:17" ht="47.25" x14ac:dyDescent="0.25">
      <c r="A7" s="23" t="s">
        <v>434</v>
      </c>
      <c r="B7" s="24" t="s">
        <v>437</v>
      </c>
    </row>
    <row r="8" spans="1:17" ht="31.5" x14ac:dyDescent="0.25">
      <c r="A8" s="23" t="s">
        <v>110</v>
      </c>
      <c r="B8" s="24" t="s">
        <v>438</v>
      </c>
    </row>
    <row r="9" spans="1:17" ht="31.5" x14ac:dyDescent="0.25">
      <c r="A9" s="23" t="s">
        <v>111</v>
      </c>
      <c r="B9" s="24" t="s">
        <v>439</v>
      </c>
    </row>
    <row r="10" spans="1:17" ht="15.75" x14ac:dyDescent="0.25">
      <c r="A10" s="23"/>
      <c r="B10" s="24"/>
    </row>
    <row r="11" spans="1:17" x14ac:dyDescent="0.3">
      <c r="D11" s="1" t="s">
        <v>17</v>
      </c>
      <c r="E11" s="13" t="s">
        <v>22</v>
      </c>
      <c r="F11" s="12">
        <v>1</v>
      </c>
      <c r="G11" s="12">
        <v>2</v>
      </c>
      <c r="H11" s="12">
        <v>3</v>
      </c>
      <c r="K11" s="15" t="b" cm="1">
        <f t="array" ref="K11:M16">_xlfn.LAMBDA(_xlpm.matrix,_xlop.dim,_xlop.method,_xlop.lb,_xlop.ub,
_xlfn.LET(
_xlpm.dim,IF(_xlfn.ISOMITTED(_xlpm.dim),1,_xlpm.dim),
_xlpm.method,IF(_xlfn.ISOMITTED(_xlpm.method),"MAD",_xlpm.method),
_xlpm.lb,IF(_xlfn.ISOMITTED(_xlpm.lb),3,_xlpm.lb),
_xlpm.ub,IF(_xlfn.ISOMITTED(_xlpm.ub),3,_xlpm.ub),
_xlpm.identOut, IF(
_xlpm.dim=1, _xlfn.MAKEARRAY(ROWS(_xlpm.matrix),COLUMNS(_xlpm.matrix), _xlfn.LAMBDA(_xlpm.lin,_xlpm.col, _xlfn.LET(_xlpm.coll, RMMISSING(INDEX(_xlpm.matrix,0,_xlpm.col),_xlpm.dim), _xlpm.mad, MEDIAN(ABS(_xlpm.coll-MEDIAN(_xlpm.coll))), OR( (INDEX(_xlpm.matrix,_xlpm.lin,_xlpm.col) - MEDIAN(_xlpm.coll)) &gt; _xlpm.ub*_xlpm.mad, (MEDIAN(_xlpm.coll) - INDEX(_xlpm.matrix,_xlpm.lin,_xlpm.col)) &gt; _xlpm.lb*_xlpm.mad ) ))),
_xlfn.MAKEARRAY(ROWS(_xlpm.matrix),COLUMNS(_xlpm.matrix), _xlfn.LAMBDA(_xlpm.lin,_xlpm.col,  _xlfn.LET(_xlpm.linn, RMMISSING(INDEX(_xlpm.matrix,_xlpm.lin,0),_xlpm.dim), _xlpm.mad, MEDIAN(ABS(_xlpm.linn-MEDIAN(_xlpm.linn))), OR( (INDEX(_xlpm.matrix,_xlpm.lin,_xlpm.col) - MEDIAN(_xlpm.linn)) &gt; _xlpm.ub*_xlpm.mad, (MEDIAN(_xlpm.linn) - INDEX(_xlpm.matrix,_xlpm.lin,_xlpm.col)) &gt; _xlpm.lb*_xlpm.mad ) )))
),
_xlpm.identOut
))($F$11:$H$16,$F$18,$F$19,$F$20,$F$21)</f>
        <v>0</v>
      </c>
      <c r="L11" s="15" t="b">
        <v>0</v>
      </c>
      <c r="M11" s="15" t="b">
        <v>0</v>
      </c>
    </row>
    <row r="12" spans="1:17" x14ac:dyDescent="0.3">
      <c r="F12" s="12">
        <v>4</v>
      </c>
      <c r="G12" s="12">
        <v>2</v>
      </c>
      <c r="H12" s="12">
        <v>6</v>
      </c>
      <c r="K12" s="15" t="b">
        <v>0</v>
      </c>
      <c r="L12" s="15" t="b">
        <v>0</v>
      </c>
      <c r="M12" s="15" t="b">
        <v>0</v>
      </c>
    </row>
    <row r="13" spans="1:17" x14ac:dyDescent="0.3">
      <c r="F13" s="12">
        <v>7</v>
      </c>
      <c r="G13" s="12" t="e">
        <f>NA()</f>
        <v>#N/A</v>
      </c>
      <c r="H13" s="12">
        <v>9</v>
      </c>
      <c r="K13" s="15" t="b">
        <v>0</v>
      </c>
      <c r="L13" s="15" t="e">
        <v>#N/A</v>
      </c>
      <c r="M13" s="15" t="b">
        <v>0</v>
      </c>
    </row>
    <row r="14" spans="1:17" ht="15" x14ac:dyDescent="0.25">
      <c r="A14"/>
      <c r="F14" s="12">
        <v>1</v>
      </c>
      <c r="G14" s="12">
        <v>11</v>
      </c>
      <c r="H14" s="12">
        <v>2000</v>
      </c>
      <c r="K14" s="15" t="b">
        <v>0</v>
      </c>
      <c r="L14" s="15" t="b">
        <v>0</v>
      </c>
      <c r="M14" s="15" t="b">
        <v>1</v>
      </c>
    </row>
    <row r="15" spans="1:17" x14ac:dyDescent="0.3">
      <c r="F15" s="12">
        <v>900</v>
      </c>
      <c r="G15" s="12">
        <v>5</v>
      </c>
      <c r="H15" s="12">
        <v>15</v>
      </c>
      <c r="K15" s="15" t="b">
        <v>1</v>
      </c>
      <c r="L15" s="15" t="b">
        <v>0</v>
      </c>
      <c r="M15" s="15" t="b">
        <v>0</v>
      </c>
    </row>
    <row r="16" spans="1:17" x14ac:dyDescent="0.3">
      <c r="F16" s="12">
        <v>16</v>
      </c>
      <c r="G16" s="12">
        <v>17</v>
      </c>
      <c r="H16" s="12">
        <v>18</v>
      </c>
      <c r="K16" s="15" t="b">
        <v>0</v>
      </c>
      <c r="L16" s="15" t="b">
        <v>1</v>
      </c>
      <c r="M16" s="15" t="b">
        <v>0</v>
      </c>
    </row>
    <row r="18" spans="1:13" x14ac:dyDescent="0.3">
      <c r="E18" s="13" t="s">
        <v>138</v>
      </c>
      <c r="F18" s="12">
        <v>1</v>
      </c>
    </row>
    <row r="19" spans="1:13" x14ac:dyDescent="0.3">
      <c r="E19" s="13" t="s">
        <v>434</v>
      </c>
      <c r="F19" s="12" t="s">
        <v>435</v>
      </c>
    </row>
    <row r="20" spans="1:13" x14ac:dyDescent="0.3">
      <c r="E20" s="13" t="s">
        <v>110</v>
      </c>
      <c r="F20" s="12">
        <v>3</v>
      </c>
    </row>
    <row r="21" spans="1:13" x14ac:dyDescent="0.3">
      <c r="E21" s="13" t="s">
        <v>111</v>
      </c>
      <c r="F21" s="12">
        <v>3</v>
      </c>
    </row>
    <row r="24" spans="1:13" s="15" customFormat="1" x14ac:dyDescent="0.3">
      <c r="A24" s="17"/>
      <c r="B24"/>
      <c r="C24"/>
      <c r="D24" s="1" t="s">
        <v>17</v>
      </c>
      <c r="E24" s="13" t="s">
        <v>22</v>
      </c>
      <c r="F24" s="12">
        <v>1</v>
      </c>
      <c r="G24" s="12">
        <v>2</v>
      </c>
      <c r="H24" s="12">
        <v>3</v>
      </c>
      <c r="I24"/>
      <c r="J24"/>
      <c r="K24" s="15" t="b" cm="1">
        <f t="array" ref="K24:M29">ISOUTLIER($F$24:$H$29,$F$31,$F$32,$F$33,$F$34)</f>
        <v>0</v>
      </c>
      <c r="L24" s="15" t="b">
        <v>0</v>
      </c>
      <c r="M24" s="15" t="b">
        <v>0</v>
      </c>
    </row>
    <row r="25" spans="1:13" s="15" customFormat="1" x14ac:dyDescent="0.3">
      <c r="A25" s="17"/>
      <c r="B25"/>
      <c r="C25"/>
      <c r="D25"/>
      <c r="E25"/>
      <c r="F25" s="12">
        <v>4</v>
      </c>
      <c r="G25" s="12">
        <v>2</v>
      </c>
      <c r="H25" s="12">
        <v>6</v>
      </c>
      <c r="I25"/>
      <c r="J25"/>
      <c r="K25" s="15" t="b">
        <v>0</v>
      </c>
      <c r="L25" s="15" t="b">
        <v>0</v>
      </c>
      <c r="M25" s="15" t="b">
        <v>0</v>
      </c>
    </row>
    <row r="26" spans="1:13" s="15" customFormat="1" x14ac:dyDescent="0.3">
      <c r="A26" s="17"/>
      <c r="B26"/>
      <c r="C26"/>
      <c r="D26"/>
      <c r="E26"/>
      <c r="F26" s="12">
        <v>7</v>
      </c>
      <c r="G26" s="12" t="e">
        <f>NA()</f>
        <v>#N/A</v>
      </c>
      <c r="H26" s="12">
        <v>9</v>
      </c>
      <c r="I26"/>
      <c r="J26"/>
      <c r="K26" s="15" t="b">
        <v>0</v>
      </c>
      <c r="L26" s="15" t="e">
        <v>#N/A</v>
      </c>
      <c r="M26" s="15" t="b">
        <v>0</v>
      </c>
    </row>
    <row r="27" spans="1:13" s="15" customFormat="1" x14ac:dyDescent="0.3">
      <c r="A27" s="17"/>
      <c r="B27"/>
      <c r="C27"/>
      <c r="D27"/>
      <c r="E27"/>
      <c r="F27" s="12">
        <v>1</v>
      </c>
      <c r="G27" s="12">
        <v>11</v>
      </c>
      <c r="H27" s="12">
        <v>2000</v>
      </c>
      <c r="I27"/>
      <c r="J27"/>
      <c r="K27" s="15" t="b">
        <v>0</v>
      </c>
      <c r="L27" s="15" t="b">
        <v>0</v>
      </c>
      <c r="M27" s="15" t="b">
        <v>1</v>
      </c>
    </row>
    <row r="28" spans="1:13" s="15" customFormat="1" x14ac:dyDescent="0.3">
      <c r="A28" s="17"/>
      <c r="B28"/>
      <c r="C28"/>
      <c r="D28"/>
      <c r="E28"/>
      <c r="F28" s="12">
        <v>900</v>
      </c>
      <c r="G28" s="12">
        <v>5</v>
      </c>
      <c r="H28" s="12">
        <v>15</v>
      </c>
      <c r="I28"/>
      <c r="J28"/>
      <c r="K28" s="15" t="b">
        <v>1</v>
      </c>
      <c r="L28" s="15" t="b">
        <v>0</v>
      </c>
      <c r="M28" s="15" t="b">
        <v>0</v>
      </c>
    </row>
    <row r="29" spans="1:13" s="15" customFormat="1" x14ac:dyDescent="0.3">
      <c r="A29" s="17"/>
      <c r="B29"/>
      <c r="C29"/>
      <c r="D29"/>
      <c r="E29"/>
      <c r="F29" s="12">
        <v>16</v>
      </c>
      <c r="G29" s="12">
        <v>17</v>
      </c>
      <c r="H29" s="12">
        <v>18</v>
      </c>
      <c r="I29"/>
      <c r="J29"/>
      <c r="K29" s="15" t="b">
        <v>0</v>
      </c>
      <c r="L29" s="15" t="b">
        <v>0</v>
      </c>
      <c r="M29" s="15" t="b">
        <v>0</v>
      </c>
    </row>
    <row r="31" spans="1:13" s="15" customFormat="1" x14ac:dyDescent="0.3">
      <c r="A31" s="17"/>
      <c r="B31"/>
      <c r="C31"/>
      <c r="D31"/>
      <c r="E31" s="13" t="s">
        <v>138</v>
      </c>
      <c r="F31" s="12">
        <v>2</v>
      </c>
      <c r="G31"/>
      <c r="H31"/>
      <c r="I31"/>
      <c r="J31"/>
    </row>
    <row r="32" spans="1:13" x14ac:dyDescent="0.3">
      <c r="E32" s="13" t="s">
        <v>434</v>
      </c>
      <c r="F32" s="12" t="s">
        <v>435</v>
      </c>
    </row>
    <row r="33" spans="5:6" x14ac:dyDescent="0.3">
      <c r="E33" s="13" t="s">
        <v>110</v>
      </c>
      <c r="F33" s="12">
        <v>3</v>
      </c>
    </row>
    <row r="34" spans="5:6" x14ac:dyDescent="0.3">
      <c r="E34" s="13" t="s">
        <v>111</v>
      </c>
      <c r="F34" s="12">
        <v>3</v>
      </c>
    </row>
  </sheetData>
  <pageMargins left="0.511811024" right="0.511811024" top="0.78740157499999996" bottom="0.78740157499999996" header="0.31496062000000002" footer="0.3149606200000000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08392-964F-4588-9CBF-0E0A4E5B4916}">
  <sheetPr codeName="Planilha50">
    <tabColor theme="9" tint="0.59999389629810485"/>
  </sheetPr>
  <dimension ref="A1:Q34"/>
  <sheetViews>
    <sheetView showGridLines="0" workbookViewId="0">
      <selection activeCell="I6" sqref="I6"/>
    </sheetView>
  </sheetViews>
  <sheetFormatPr defaultColWidth="8.85546875" defaultRowHeight="18.75" x14ac:dyDescent="0.3"/>
  <cols>
    <col min="1" max="1" width="12.7109375" style="17" customWidth="1"/>
    <col min="2" max="2" width="36.42578125" customWidth="1"/>
    <col min="5" max="5" width="12.28515625" bestFit="1" customWidth="1"/>
    <col min="6" max="6" width="12.42578125" bestFit="1" customWidth="1"/>
    <col min="11" max="13" width="13" style="15" customWidth="1"/>
    <col min="14" max="14" width="8.85546875" style="15"/>
    <col min="15" max="17" width="12.42578125" style="15" bestFit="1" customWidth="1"/>
    <col min="18" max="19" width="12.42578125" bestFit="1" customWidth="1"/>
  </cols>
  <sheetData>
    <row r="1" spans="1:17" x14ac:dyDescent="0.3">
      <c r="A1" s="16" t="s">
        <v>433</v>
      </c>
      <c r="K1" s="14"/>
      <c r="L1" s="14"/>
      <c r="M1" s="14"/>
      <c r="N1" s="14"/>
      <c r="O1" s="14"/>
      <c r="P1" s="14"/>
      <c r="Q1" s="14"/>
    </row>
    <row r="2" spans="1:17" x14ac:dyDescent="0.3">
      <c r="A2" s="17" t="s">
        <v>432</v>
      </c>
      <c r="K2" s="14"/>
      <c r="L2" s="14"/>
      <c r="M2" s="14"/>
      <c r="N2" s="14"/>
      <c r="O2" s="14"/>
      <c r="P2" s="14"/>
      <c r="Q2" s="14"/>
    </row>
    <row r="4" spans="1:17" ht="15.75" x14ac:dyDescent="0.25">
      <c r="A4" s="2" t="s">
        <v>15</v>
      </c>
      <c r="B4" s="2" t="s">
        <v>16</v>
      </c>
    </row>
    <row r="5" spans="1:17" ht="31.5" x14ac:dyDescent="0.25">
      <c r="A5" s="19" t="s">
        <v>22</v>
      </c>
      <c r="B5" s="26" t="s">
        <v>436</v>
      </c>
    </row>
    <row r="6" spans="1:17" ht="31.5" x14ac:dyDescent="0.25">
      <c r="A6" s="23" t="s">
        <v>138</v>
      </c>
      <c r="B6" s="24" t="s">
        <v>139</v>
      </c>
    </row>
    <row r="7" spans="1:17" ht="47.25" x14ac:dyDescent="0.25">
      <c r="A7" s="23" t="s">
        <v>434</v>
      </c>
      <c r="B7" s="24" t="s">
        <v>437</v>
      </c>
    </row>
    <row r="8" spans="1:17" ht="31.5" x14ac:dyDescent="0.25">
      <c r="A8" s="23" t="s">
        <v>110</v>
      </c>
      <c r="B8" s="24" t="s">
        <v>438</v>
      </c>
    </row>
    <row r="9" spans="1:17" ht="31.5" x14ac:dyDescent="0.25">
      <c r="A9" s="23" t="s">
        <v>111</v>
      </c>
      <c r="B9" s="24" t="s">
        <v>439</v>
      </c>
    </row>
    <row r="10" spans="1:17" ht="15.75" x14ac:dyDescent="0.25">
      <c r="A10" s="23"/>
      <c r="B10" s="24"/>
    </row>
    <row r="11" spans="1:17" x14ac:dyDescent="0.3">
      <c r="D11" s="1" t="s">
        <v>17</v>
      </c>
      <c r="E11" s="13" t="s">
        <v>22</v>
      </c>
      <c r="F11" s="12">
        <v>1</v>
      </c>
      <c r="G11" s="12">
        <v>2</v>
      </c>
      <c r="H11" s="12">
        <v>3</v>
      </c>
      <c r="K11" s="15" cm="1">
        <f t="array" ref="K11:M13">_xlfn.LAMBDA(_xlpm.matrix,_xlop.dim,_xlop.method,_xlop.lb,_xlop.ub,
_xlfn.LET(
_xlpm.dim,IF(_xlfn.ISOMITTED(_xlpm.dim),1,_xlpm.dim),
_xlpm.method,IF(_xlfn.ISOMITTED(_xlpm.method),"MAD",_xlpm.method),
_xlpm.lb,IF(_xlfn.ISOMITTED(_xlpm.lb),3,_xlpm.lb),
_xlpm.ub,IF(_xlfn.ISOMITTED(_xlpm.ub),3,_xlpm.ub),
_xlpm.identOut, 1*ISOUTLIER(_xlpm.matrix,_xlpm.dim,_xlpm.method,_xlpm.lb,_xlpm.ub),
IF(_xlpm.dim = 1,
_xlfn._xlws.FILTER( _xlpm.matrix, _xlfn.BYROW(_xlpm.identOut,_xlfn.LAMBDA(_xlpm.row, SUM(IFERROR(_xlpm.row,0))))=0 ),
_xlfn._xlws.FILTER( _xlpm.matrix, _xlfn.BYCOL(_xlpm.identOut,_xlfn.LAMBDA(_xlpm.col, SUM(IFERROR(_xlpm.col,0)) ))=0 ) )
))($F$11:$H$16,$F$18,$F$19,$F$20,$F$21)</f>
        <v>1</v>
      </c>
      <c r="L11" s="15">
        <v>2</v>
      </c>
      <c r="M11" s="15">
        <v>3</v>
      </c>
    </row>
    <row r="12" spans="1:17" x14ac:dyDescent="0.3">
      <c r="F12" s="12">
        <v>4</v>
      </c>
      <c r="G12" s="12">
        <v>2</v>
      </c>
      <c r="H12" s="12">
        <v>6</v>
      </c>
      <c r="K12" s="15">
        <v>4</v>
      </c>
      <c r="L12" s="15">
        <v>2</v>
      </c>
      <c r="M12" s="15">
        <v>6</v>
      </c>
    </row>
    <row r="13" spans="1:17" x14ac:dyDescent="0.3">
      <c r="F13" s="12">
        <v>7</v>
      </c>
      <c r="G13" s="12" t="e">
        <f>NA()</f>
        <v>#N/A</v>
      </c>
      <c r="H13" s="12">
        <v>9</v>
      </c>
      <c r="K13" s="15">
        <v>7</v>
      </c>
      <c r="L13" s="15" t="e">
        <v>#N/A</v>
      </c>
      <c r="M13" s="15">
        <v>9</v>
      </c>
    </row>
    <row r="14" spans="1:17" ht="15" x14ac:dyDescent="0.25">
      <c r="A14"/>
      <c r="F14" s="12">
        <v>1</v>
      </c>
      <c r="G14" s="12">
        <v>11</v>
      </c>
      <c r="H14" s="12">
        <v>2000</v>
      </c>
    </row>
    <row r="15" spans="1:17" x14ac:dyDescent="0.3">
      <c r="F15" s="12">
        <v>900</v>
      </c>
      <c r="G15" s="12">
        <v>5</v>
      </c>
      <c r="H15" s="12">
        <v>15</v>
      </c>
    </row>
    <row r="16" spans="1:17" x14ac:dyDescent="0.3">
      <c r="F16" s="12">
        <v>16</v>
      </c>
      <c r="G16" s="12">
        <v>17</v>
      </c>
      <c r="H16" s="12">
        <v>18</v>
      </c>
    </row>
    <row r="18" spans="1:11" x14ac:dyDescent="0.3">
      <c r="E18" s="13" t="s">
        <v>138</v>
      </c>
      <c r="F18" s="12">
        <v>1</v>
      </c>
    </row>
    <row r="19" spans="1:11" x14ac:dyDescent="0.3">
      <c r="E19" s="13" t="s">
        <v>434</v>
      </c>
      <c r="F19" s="12" t="s">
        <v>435</v>
      </c>
    </row>
    <row r="20" spans="1:11" x14ac:dyDescent="0.3">
      <c r="E20" s="13" t="s">
        <v>110</v>
      </c>
      <c r="F20" s="12">
        <v>3</v>
      </c>
    </row>
    <row r="21" spans="1:11" x14ac:dyDescent="0.3">
      <c r="E21" s="13" t="s">
        <v>111</v>
      </c>
      <c r="F21" s="12">
        <v>3</v>
      </c>
    </row>
    <row r="24" spans="1:11" s="15" customFormat="1" x14ac:dyDescent="0.3">
      <c r="A24" s="17"/>
      <c r="B24"/>
      <c r="C24"/>
      <c r="D24" s="1" t="s">
        <v>17</v>
      </c>
      <c r="E24" s="13" t="s">
        <v>22</v>
      </c>
      <c r="F24" s="12">
        <v>1</v>
      </c>
      <c r="G24" s="12">
        <v>2</v>
      </c>
      <c r="H24" s="12">
        <v>3</v>
      </c>
      <c r="I24"/>
      <c r="J24"/>
      <c r="K24" s="15" cm="1">
        <f t="array" ref="K24:K29">RMOUTLIERS($F$24:$H$29,$F$31,$F$32,$F$33,$F$34)</f>
        <v>2</v>
      </c>
    </row>
    <row r="25" spans="1:11" s="15" customFormat="1" x14ac:dyDescent="0.3">
      <c r="A25" s="17"/>
      <c r="B25"/>
      <c r="C25"/>
      <c r="D25"/>
      <c r="E25"/>
      <c r="F25" s="12">
        <v>4</v>
      </c>
      <c r="G25" s="12">
        <v>2</v>
      </c>
      <c r="H25" s="12">
        <v>6</v>
      </c>
      <c r="I25"/>
      <c r="J25"/>
      <c r="K25" s="15">
        <v>2</v>
      </c>
    </row>
    <row r="26" spans="1:11" s="15" customFormat="1" x14ac:dyDescent="0.3">
      <c r="A26" s="17"/>
      <c r="B26"/>
      <c r="C26"/>
      <c r="D26"/>
      <c r="E26"/>
      <c r="F26" s="12">
        <v>7</v>
      </c>
      <c r="G26" s="12" t="e">
        <f>NA()</f>
        <v>#N/A</v>
      </c>
      <c r="H26" s="12">
        <v>9</v>
      </c>
      <c r="I26"/>
      <c r="J26"/>
      <c r="K26" s="15" t="e">
        <v>#N/A</v>
      </c>
    </row>
    <row r="27" spans="1:11" s="15" customFormat="1" x14ac:dyDescent="0.3">
      <c r="A27" s="17"/>
      <c r="B27"/>
      <c r="C27"/>
      <c r="D27"/>
      <c r="E27"/>
      <c r="F27" s="12">
        <v>1</v>
      </c>
      <c r="G27" s="12">
        <v>11</v>
      </c>
      <c r="H27" s="12">
        <v>2000</v>
      </c>
      <c r="I27"/>
      <c r="J27"/>
      <c r="K27" s="15">
        <v>11</v>
      </c>
    </row>
    <row r="28" spans="1:11" s="15" customFormat="1" x14ac:dyDescent="0.3">
      <c r="A28" s="17"/>
      <c r="B28"/>
      <c r="C28"/>
      <c r="D28"/>
      <c r="E28"/>
      <c r="F28" s="12">
        <v>900</v>
      </c>
      <c r="G28" s="12">
        <v>5</v>
      </c>
      <c r="H28" s="12">
        <v>15</v>
      </c>
      <c r="I28"/>
      <c r="J28"/>
      <c r="K28" s="15">
        <v>5</v>
      </c>
    </row>
    <row r="29" spans="1:11" s="15" customFormat="1" x14ac:dyDescent="0.3">
      <c r="A29" s="17"/>
      <c r="B29"/>
      <c r="C29"/>
      <c r="D29"/>
      <c r="E29"/>
      <c r="F29" s="12">
        <v>16</v>
      </c>
      <c r="G29" s="12">
        <v>17</v>
      </c>
      <c r="H29" s="12">
        <v>18</v>
      </c>
      <c r="I29"/>
      <c r="J29"/>
      <c r="K29" s="15">
        <v>17</v>
      </c>
    </row>
    <row r="31" spans="1:11" s="15" customFormat="1" x14ac:dyDescent="0.3">
      <c r="A31" s="17"/>
      <c r="B31"/>
      <c r="C31"/>
      <c r="D31"/>
      <c r="E31" s="13" t="s">
        <v>138</v>
      </c>
      <c r="F31" s="12">
        <v>2</v>
      </c>
      <c r="G31"/>
      <c r="H31"/>
      <c r="I31"/>
      <c r="J31"/>
    </row>
    <row r="32" spans="1:11" x14ac:dyDescent="0.3">
      <c r="E32" s="13" t="s">
        <v>434</v>
      </c>
      <c r="F32" s="12" t="s">
        <v>435</v>
      </c>
    </row>
    <row r="33" spans="5:6" x14ac:dyDescent="0.3">
      <c r="E33" s="13" t="s">
        <v>110</v>
      </c>
      <c r="F33" s="12">
        <v>3</v>
      </c>
    </row>
    <row r="34" spans="5:6" x14ac:dyDescent="0.3">
      <c r="E34" s="13" t="s">
        <v>111</v>
      </c>
      <c r="F34" s="12">
        <v>3</v>
      </c>
    </row>
  </sheetData>
  <pageMargins left="0.511811024" right="0.511811024" top="0.78740157499999996" bottom="0.78740157499999996" header="0.31496062000000002" footer="0.3149606200000000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BDEBF5-5825-44A0-AAFE-CB64D1323078}">
  <sheetPr codeName="Planilha51">
    <tabColor theme="9" tint="0.59999389629810485"/>
  </sheetPr>
  <dimension ref="A1:Q40"/>
  <sheetViews>
    <sheetView showGridLines="0" topLeftCell="A7" workbookViewId="0">
      <selection activeCell="K11" sqref="K11"/>
    </sheetView>
  </sheetViews>
  <sheetFormatPr defaultColWidth="12.42578125" defaultRowHeight="18.75" x14ac:dyDescent="0.3"/>
  <cols>
    <col min="1" max="1" width="12.7109375" style="17" customWidth="1"/>
    <col min="2" max="2" width="61.28515625" customWidth="1"/>
    <col min="3" max="4" width="8.85546875"/>
    <col min="5" max="5" width="12.28515625" bestFit="1" customWidth="1"/>
    <col min="6" max="8" width="11.28515625" customWidth="1"/>
    <col min="9" max="10" width="8.85546875"/>
    <col min="11" max="14" width="8.85546875" style="15"/>
    <col min="15" max="17" width="12.42578125" style="15" bestFit="1" customWidth="1"/>
    <col min="18" max="18" width="12.42578125" bestFit="1" customWidth="1"/>
  </cols>
  <sheetData>
    <row r="1" spans="1:17" x14ac:dyDescent="0.3">
      <c r="A1" s="84" t="s">
        <v>278</v>
      </c>
      <c r="K1" s="14"/>
      <c r="L1" s="14"/>
      <c r="M1" s="14"/>
      <c r="N1" s="14"/>
      <c r="O1" s="14"/>
      <c r="P1" s="14"/>
      <c r="Q1" s="14"/>
    </row>
    <row r="2" spans="1:17" x14ac:dyDescent="0.3">
      <c r="A2" s="17" t="s">
        <v>283</v>
      </c>
      <c r="K2" s="14"/>
      <c r="L2" s="14"/>
      <c r="M2" s="14"/>
      <c r="N2" s="14"/>
      <c r="O2" s="14"/>
      <c r="P2" s="14"/>
      <c r="Q2" s="14"/>
    </row>
    <row r="4" spans="1:17" ht="15.75" x14ac:dyDescent="0.25">
      <c r="A4" s="2" t="s">
        <v>15</v>
      </c>
      <c r="B4" s="2" t="s">
        <v>16</v>
      </c>
    </row>
    <row r="5" spans="1:17" ht="15.75" x14ac:dyDescent="0.25">
      <c r="A5" s="23" t="s">
        <v>280</v>
      </c>
      <c r="B5" s="26" t="s">
        <v>284</v>
      </c>
    </row>
    <row r="6" spans="1:17" ht="94.5" x14ac:dyDescent="0.25">
      <c r="A6" s="23" t="s">
        <v>281</v>
      </c>
      <c r="B6" s="24" t="s">
        <v>289</v>
      </c>
    </row>
    <row r="7" spans="1:17" ht="31.5" x14ac:dyDescent="0.25">
      <c r="A7" s="23" t="s">
        <v>282</v>
      </c>
      <c r="B7" s="24" t="s">
        <v>287</v>
      </c>
    </row>
    <row r="8" spans="1:17" ht="47.25" x14ac:dyDescent="0.25">
      <c r="A8" s="23" t="s">
        <v>285</v>
      </c>
      <c r="B8" s="24" t="s">
        <v>286</v>
      </c>
    </row>
    <row r="11" spans="1:17" ht="15" x14ac:dyDescent="0.25">
      <c r="A11"/>
      <c r="D11" s="1" t="s">
        <v>17</v>
      </c>
      <c r="E11" s="13" t="s">
        <v>280</v>
      </c>
      <c r="F11" s="12" t="s">
        <v>275</v>
      </c>
      <c r="G11" s="12" t="s">
        <v>276</v>
      </c>
      <c r="H11" s="12" t="s">
        <v>277</v>
      </c>
      <c r="K11" s="15" t="str" cm="1">
        <f t="array" ref="K11:M12">_xlfn.LAMBDA(_xlpm.array,_xlpm.include,_xlop.if_empty,_xlop.headers,
_xlfn.LET(
_xlpm.criteriaDelim, ";",
_xlpm.if_empty, IF(_xlfn.ISOMITTED(_xlpm.if_empty), NA(), _xlpm.if_empty),
_xlpm.headers, IF(_xlfn.ISOMITTED(_xlpm.headers), INDEX(_xlpm.array,1,0), _xlpm.headers),
_xlpm.array, IF(_xlfn.ISOMITTED(_xlpm.headers), SLICE(_xlpm.array,2,-1), _xlpm.array),
_xlpm.include, _xludf.SPLIT(_xlpm.include, _xlpm.criteriaDelim),
_xlpm.actualValue, _xlfn.LAMBDA(_xlpm.value, _xlfn.LET(_xlpm.value,TRIM(_xlpm.value), IF( AND( LEFT(_xlpm.value,1) = """", RIGHT(_xlpm.value,1) = """" ),  MID(_xlpm.value, 2, LEN(_xlpm.value) - 2), VALUE(_xlpm.value) ) ) ),
IFERROR(
_xlfn.REDUCE(_xlpm.array, _xlpm.include,
_xlfn.LAMBDA(_xlpm.accum,_xlpm.criterion,  _xlfn._xlws.FILTER(_xlpm.accum,
_xlfn.IFS(
NOT(ISERR(SEARCH("&lt;&gt;",_xlpm.criterion))), _xlfn.LET( _xlpm.crit, _xlfn.LAMBDA(_xlpm.idx, INDEX(_xludf.SPLIT(_xlpm.criterion, "&lt;&gt;"),1,_xlpm.idx)), _xlpm.colCrit, MATCH( _xlpm.crit(1), _xlpm.headers, 0 ), INDEX(_xlpm.accum,0,_xlpm.colCrit) &lt;&gt; _xlpm.actualValue(_xlpm.crit(2)) ),
NOT(ISERR(SEARCH("&gt;=",_xlpm.criterion))), _xlfn.LET( _xlpm.crit, _xlfn.LAMBDA(_xlpm.idx, INDEX(_xludf.SPLIT(_xlpm.criterion, "&gt;="),1,_xlpm.idx)), _xlpm.colCrit, MATCH( _xlpm.crit(1), _xlpm.headers, 0 ), INDEX(_xlpm.accum,0,_xlpm.colCrit) &gt;= _xlpm.actualValue(_xlpm.crit(2)) ),
NOT(ISERR(SEARCH("&lt;=",_xlpm.criterion))), _xlfn.LET( _xlpm.crit, _xlfn.LAMBDA(_xlpm.idx, INDEX(_xludf.SPLIT(_xlpm.criterion, "&lt;="),1,_xlpm.idx)), _xlpm.colCrit, MATCH( _xlpm.crit(1), _xlpm.headers, 0 ), INDEX(_xlpm.accum,0,_xlpm.colCrit) &lt;= _xlpm.actualValue(_xlpm.crit(2)) ),
NOT(ISERR(SEARCH("=",_xlpm.criterion))), _xlfn.LET( _xlpm.crit, _xlfn.LAMBDA(_xlpm.idx, INDEX(_xludf.SPLIT(_xlpm.criterion, "="),1,_xlpm.idx)), _xlpm.colCrit, MATCH( _xlpm.crit(1), _xlpm.headers, 0 ), INDEX(_xlpm.accum,0,_xlpm.colCrit) = _xlpm.actualValue(_xlpm.crit(2)) ),
NOT(ISERR(SEARCH("&gt;",_xlpm.criterion))), _xlfn.LET( _xlpm.crit, _xlfn.LAMBDA(_xlpm.idx, INDEX(_xludf.SPLIT(_xlpm.criterion, "&gt;"),1,_xlpm.idx)), _xlpm.colCrit, MATCH( _xlpm.crit(1), _xlpm.headers, 0 ), INDEX(_xlpm.accum,0,_xlpm.colCrit) &gt; _xlpm.actualValue(_xlpm.crit(2)) ),
NOT(ISERR(SEARCH("&lt;",_xlpm.criterion))), _xlfn.LET( _xlpm.crit, _xlfn.LAMBDA(_xlpm.idx, INDEX(_xludf.SPLIT(_xlpm.criterion, "&lt;"),1,_xlpm.idx)), _xlpm.colCrit, MATCH( _xlpm.crit(1), _xlpm.headers, 0 ), INDEX(_xlpm.accum,0,_xlpm.colCrit) &lt; _xlpm.actualValue(_xlpm.crit(2)) )
)
))), _xlpm.if_empty)
)
)($F$11:$H$20,F22)</f>
        <v>ab</v>
      </c>
      <c r="L11" s="15">
        <v>200</v>
      </c>
      <c r="M11" s="15">
        <v>2000</v>
      </c>
      <c r="O11" s="15" t="b" cm="1">
        <f t="array" ref="O11:O19">ISNUMBER(MATCH(H12:H20,{1000;200},0))</f>
        <v>1</v>
      </c>
    </row>
    <row r="12" spans="1:17" x14ac:dyDescent="0.3">
      <c r="F12" s="12">
        <v>10</v>
      </c>
      <c r="G12" s="12">
        <v>100</v>
      </c>
      <c r="H12" s="12">
        <v>1000</v>
      </c>
      <c r="K12" s="15" t="str">
        <v>ab</v>
      </c>
      <c r="L12" s="15">
        <v>300.5</v>
      </c>
      <c r="M12" s="15">
        <v>2000</v>
      </c>
      <c r="O12" s="15" t="b">
        <v>1</v>
      </c>
    </row>
    <row r="13" spans="1:17" x14ac:dyDescent="0.3">
      <c r="F13" s="12">
        <v>20</v>
      </c>
      <c r="G13" s="12">
        <v>100</v>
      </c>
      <c r="H13" s="12">
        <v>1000</v>
      </c>
      <c r="O13" s="15" t="b">
        <v>1</v>
      </c>
    </row>
    <row r="14" spans="1:17" x14ac:dyDescent="0.3">
      <c r="F14" s="12">
        <v>20</v>
      </c>
      <c r="G14" s="12">
        <v>200</v>
      </c>
      <c r="H14" s="12">
        <v>1000</v>
      </c>
      <c r="O14" s="15" t="b">
        <v>1</v>
      </c>
    </row>
    <row r="15" spans="1:17" x14ac:dyDescent="0.3">
      <c r="F15" s="12" t="s">
        <v>288</v>
      </c>
      <c r="G15" s="12">
        <v>100</v>
      </c>
      <c r="H15" s="12">
        <v>1000</v>
      </c>
      <c r="O15" s="15" t="b">
        <v>0</v>
      </c>
    </row>
    <row r="16" spans="1:17" x14ac:dyDescent="0.3">
      <c r="F16" s="12" t="s">
        <v>288</v>
      </c>
      <c r="G16" s="12">
        <v>200</v>
      </c>
      <c r="H16" s="12">
        <v>2000</v>
      </c>
      <c r="O16" s="15" t="b">
        <v>0</v>
      </c>
    </row>
    <row r="17" spans="1:17" x14ac:dyDescent="0.3">
      <c r="F17" s="12" t="s">
        <v>288</v>
      </c>
      <c r="G17" s="12">
        <v>300.5</v>
      </c>
      <c r="H17" s="12">
        <v>2000</v>
      </c>
      <c r="O17" s="15" t="b">
        <v>0</v>
      </c>
    </row>
    <row r="18" spans="1:17" s="21" customFormat="1" x14ac:dyDescent="0.3">
      <c r="A18" s="17"/>
      <c r="B18"/>
      <c r="C18"/>
      <c r="D18"/>
      <c r="E18"/>
      <c r="F18" s="12" t="s">
        <v>288</v>
      </c>
      <c r="G18" s="12">
        <v>300</v>
      </c>
      <c r="H18" s="12">
        <v>3000</v>
      </c>
      <c r="I18"/>
      <c r="J18"/>
      <c r="K18" s="15"/>
      <c r="L18" s="15"/>
      <c r="M18" s="15"/>
      <c r="N18" s="15"/>
      <c r="O18" s="15" t="b">
        <v>0</v>
      </c>
      <c r="P18" s="15"/>
      <c r="Q18" s="15"/>
    </row>
    <row r="19" spans="1:17" s="21" customFormat="1" x14ac:dyDescent="0.3">
      <c r="A19" s="17"/>
      <c r="B19"/>
      <c r="C19"/>
      <c r="D19"/>
      <c r="E19"/>
      <c r="F19" s="12">
        <v>50</v>
      </c>
      <c r="G19" s="12">
        <v>300</v>
      </c>
      <c r="H19" s="12">
        <v>2000</v>
      </c>
      <c r="I19"/>
      <c r="J19"/>
      <c r="K19" s="15"/>
      <c r="L19" s="15"/>
      <c r="M19" s="15"/>
      <c r="N19" s="15"/>
      <c r="O19" s="15" t="b">
        <v>0</v>
      </c>
      <c r="P19" s="15"/>
      <c r="Q19" s="15"/>
    </row>
    <row r="20" spans="1:17" x14ac:dyDescent="0.3">
      <c r="F20" s="12">
        <v>50</v>
      </c>
      <c r="G20" s="12">
        <v>400</v>
      </c>
      <c r="H20" s="12">
        <v>2000</v>
      </c>
    </row>
    <row r="21" spans="1:17" s="21" customFormat="1" x14ac:dyDescent="0.3">
      <c r="A21" s="17"/>
      <c r="B21"/>
      <c r="C21"/>
      <c r="D21"/>
      <c r="E21"/>
      <c r="F21"/>
      <c r="G21"/>
      <c r="H21"/>
      <c r="I21"/>
      <c r="J21"/>
      <c r="K21" s="15"/>
      <c r="L21" s="15"/>
      <c r="M21" s="15"/>
      <c r="N21" s="15"/>
      <c r="O21" s="15"/>
      <c r="P21" s="15"/>
      <c r="Q21" s="15"/>
    </row>
    <row r="22" spans="1:17" x14ac:dyDescent="0.3">
      <c r="E22" s="13" t="s">
        <v>281</v>
      </c>
      <c r="F22" s="136" t="s">
        <v>290</v>
      </c>
      <c r="G22" s="137"/>
      <c r="H22" s="138"/>
    </row>
    <row r="25" spans="1:17" x14ac:dyDescent="0.3">
      <c r="D25" s="1" t="s">
        <v>17</v>
      </c>
      <c r="E25" s="13" t="s">
        <v>280</v>
      </c>
      <c r="F25" s="12">
        <v>10</v>
      </c>
      <c r="G25" s="12">
        <v>100</v>
      </c>
      <c r="H25" s="12">
        <v>50</v>
      </c>
      <c r="K25" s="15" t="str" cm="1">
        <f t="array" ref="K25:M26">MULTIFILTER($F$25:$H$34,$F$36,$F$38,$F$40:$H$40)</f>
        <v>ab</v>
      </c>
      <c r="L25" s="15">
        <v>200</v>
      </c>
      <c r="M25" s="15">
        <v>2000</v>
      </c>
    </row>
    <row r="26" spans="1:17" x14ac:dyDescent="0.3">
      <c r="F26" s="12">
        <v>10</v>
      </c>
      <c r="G26" s="12">
        <v>100</v>
      </c>
      <c r="H26" s="12">
        <v>1000</v>
      </c>
      <c r="K26" s="15" t="str">
        <v>ab</v>
      </c>
      <c r="L26" s="15">
        <v>300</v>
      </c>
      <c r="M26" s="15">
        <v>2000</v>
      </c>
    </row>
    <row r="27" spans="1:17" x14ac:dyDescent="0.3">
      <c r="F27" s="12">
        <v>20</v>
      </c>
      <c r="G27" s="12">
        <v>100</v>
      </c>
      <c r="H27" s="12">
        <v>1000</v>
      </c>
    </row>
    <row r="28" spans="1:17" x14ac:dyDescent="0.3">
      <c r="F28" s="12">
        <v>20</v>
      </c>
      <c r="G28" s="12">
        <v>200</v>
      </c>
      <c r="H28" s="12">
        <v>1000</v>
      </c>
    </row>
    <row r="29" spans="1:17" x14ac:dyDescent="0.3">
      <c r="F29" s="12" t="s">
        <v>288</v>
      </c>
      <c r="G29" s="12">
        <v>100</v>
      </c>
      <c r="H29" s="12">
        <v>1000</v>
      </c>
    </row>
    <row r="30" spans="1:17" x14ac:dyDescent="0.3">
      <c r="F30" s="12" t="s">
        <v>288</v>
      </c>
      <c r="G30" s="12">
        <v>200</v>
      </c>
      <c r="H30" s="12">
        <v>2000</v>
      </c>
    </row>
    <row r="31" spans="1:17" x14ac:dyDescent="0.3">
      <c r="F31" s="12" t="s">
        <v>288</v>
      </c>
      <c r="G31" s="12">
        <v>300</v>
      </c>
      <c r="H31" s="12">
        <v>2000</v>
      </c>
    </row>
    <row r="32" spans="1:17" x14ac:dyDescent="0.3">
      <c r="F32" s="12" t="s">
        <v>288</v>
      </c>
      <c r="G32" s="12">
        <v>300</v>
      </c>
      <c r="H32" s="12">
        <v>3000</v>
      </c>
    </row>
    <row r="33" spans="5:8" x14ac:dyDescent="0.3">
      <c r="F33" s="12">
        <v>50</v>
      </c>
      <c r="G33" s="12">
        <v>300</v>
      </c>
      <c r="H33" s="12">
        <v>2000</v>
      </c>
    </row>
    <row r="34" spans="5:8" x14ac:dyDescent="0.3">
      <c r="F34" s="12">
        <v>50</v>
      </c>
      <c r="G34" s="12">
        <v>400</v>
      </c>
      <c r="H34" s="12">
        <v>2000</v>
      </c>
    </row>
    <row r="36" spans="5:8" x14ac:dyDescent="0.3">
      <c r="E36" s="13" t="s">
        <v>281</v>
      </c>
      <c r="F36" s="136" t="s">
        <v>290</v>
      </c>
      <c r="G36" s="137"/>
      <c r="H36" s="138"/>
    </row>
    <row r="38" spans="5:8" x14ac:dyDescent="0.3">
      <c r="E38" s="13" t="s">
        <v>282</v>
      </c>
      <c r="F38" s="12" t="s">
        <v>291</v>
      </c>
    </row>
    <row r="40" spans="5:8" x14ac:dyDescent="0.3">
      <c r="E40" s="13" t="s">
        <v>285</v>
      </c>
      <c r="F40" s="12" t="s">
        <v>275</v>
      </c>
      <c r="G40" s="12" t="s">
        <v>276</v>
      </c>
      <c r="H40" s="12" t="s">
        <v>277</v>
      </c>
    </row>
  </sheetData>
  <mergeCells count="2">
    <mergeCell ref="F22:H22"/>
    <mergeCell ref="F36:H36"/>
  </mergeCells>
  <pageMargins left="0.511811024" right="0.511811024" top="0.78740157499999996" bottom="0.78740157499999996" header="0.31496062000000002" footer="0.3149606200000000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32A11-D228-423E-B3B1-97D5898C74B8}">
  <sheetPr codeName="Planilha52">
    <tabColor theme="9" tint="0.59999389629810485"/>
  </sheetPr>
  <dimension ref="A1:Q22"/>
  <sheetViews>
    <sheetView showGridLines="0" workbookViewId="0">
      <selection activeCell="A3" sqref="A3"/>
    </sheetView>
  </sheetViews>
  <sheetFormatPr defaultColWidth="12.42578125" defaultRowHeight="18.75" x14ac:dyDescent="0.3"/>
  <cols>
    <col min="1" max="1" width="12.7109375" style="17" customWidth="1"/>
    <col min="2" max="2" width="61.28515625" customWidth="1"/>
    <col min="3" max="4" width="8.85546875"/>
    <col min="5" max="5" width="12.28515625" bestFit="1" customWidth="1"/>
    <col min="6" max="8" width="11.28515625" customWidth="1"/>
    <col min="9" max="10" width="8.85546875"/>
    <col min="11" max="14" width="8.85546875" style="15"/>
    <col min="15" max="17" width="12.42578125" style="15" bestFit="1" customWidth="1"/>
    <col min="18" max="18" width="12.42578125" bestFit="1" customWidth="1"/>
  </cols>
  <sheetData>
    <row r="1" spans="1:17" x14ac:dyDescent="0.3">
      <c r="A1" s="84" t="s">
        <v>292</v>
      </c>
      <c r="K1" s="14"/>
      <c r="L1" s="14"/>
      <c r="M1" s="14"/>
      <c r="N1" s="14"/>
      <c r="O1" s="14"/>
      <c r="P1" s="14"/>
      <c r="Q1" s="14"/>
    </row>
    <row r="2" spans="1:17" x14ac:dyDescent="0.3">
      <c r="A2" s="17" t="s">
        <v>328</v>
      </c>
      <c r="K2" s="14"/>
      <c r="L2" s="14"/>
      <c r="M2" s="14"/>
      <c r="N2" s="14"/>
      <c r="O2" s="14"/>
      <c r="P2" s="14"/>
      <c r="Q2" s="14"/>
    </row>
    <row r="4" spans="1:17" ht="15.75" x14ac:dyDescent="0.25">
      <c r="A4" s="2" t="s">
        <v>15</v>
      </c>
      <c r="B4" s="2" t="s">
        <v>16</v>
      </c>
    </row>
    <row r="5" spans="1:17" ht="15.75" x14ac:dyDescent="0.25">
      <c r="A5" s="23" t="s">
        <v>293</v>
      </c>
      <c r="B5" s="26" t="s">
        <v>294</v>
      </c>
    </row>
    <row r="6" spans="1:17" ht="31.5" x14ac:dyDescent="0.25">
      <c r="A6" s="23" t="s">
        <v>295</v>
      </c>
      <c r="B6" s="24" t="s">
        <v>297</v>
      </c>
    </row>
    <row r="7" spans="1:17" ht="31.5" x14ac:dyDescent="0.25">
      <c r="A7" s="23" t="s">
        <v>296</v>
      </c>
      <c r="B7" s="24" t="s">
        <v>298</v>
      </c>
    </row>
    <row r="8" spans="1:17" ht="15.75" x14ac:dyDescent="0.25">
      <c r="A8" s="23"/>
      <c r="B8" s="24"/>
    </row>
    <row r="11" spans="1:17" ht="15" x14ac:dyDescent="0.25">
      <c r="A11"/>
      <c r="E11" s="13" t="s">
        <v>22</v>
      </c>
      <c r="F11" s="13">
        <v>1</v>
      </c>
      <c r="G11" s="13">
        <v>2</v>
      </c>
      <c r="H11" s="13">
        <v>3</v>
      </c>
      <c r="K11" s="15" cm="1">
        <f t="array" ref="K11:M14">_xlfn.LAMBDA(_xlpm.matrixText,_xlop.lineChar,_xlop.colChar,
_xlfn.LET(
_xlpm.lineChar, IF(_xlfn.ISOMITTED(_xlpm.lineChar), MID( _xlfn.ARRAYTOTEXT({1;1},1), 3, 1), _xlpm.lineChar),
_xlpm.colChar, IF(_xlfn.ISOMITTED(_xlpm.colChar), MID( _xlfn.ARRAYTOTEXT({1,1},1), 3, 1), _xlpm.colChar),
_xlpm.rows, TRANSPOSE( _xludf.SPLIT( _xlfn.LET( _xlpm.matrix, _xlpm.matrixText, MID( _xlpm.matrix, 2, LEN(_xlpm.matrix) -2)), _xlpm.lineChar) ),
_xlpm.actualValue, _xlfn.LAMBDA(_xlpm.value, _xlfn.LET(_xlpm.value,TRIM(_xlpm.value), IF( AND( LEFT(_xlpm.value,1) = """", RIGHT(_xlpm.value,1) = """" ),  MID(_xlpm.value, 2, LEN(_xlpm.value) - 2), VALUE(_xlpm.value) ) ) ),
_xlfn.MAKEARRAY(LENGTH(_xlpm.rows), LENGTH( _xludf.SPLIT( INDEX(_xlpm.rows,1,1), _xlpm.colChar ) ), _xlfn.LAMBDA(_xlpm.row,_xlpm.col,  _xlpm.actualValue( INDEX( _xludf.SPLIT( INDEX(_xlpm.rows,_xlpm.row,1), _xlpm.colChar ), 1, _xlpm.col ) ) ) )
))($F$16,$F$18,$F$20)</f>
        <v>1</v>
      </c>
      <c r="L11" s="15">
        <v>2</v>
      </c>
      <c r="M11" s="15">
        <v>3</v>
      </c>
    </row>
    <row r="12" spans="1:17" x14ac:dyDescent="0.3">
      <c r="F12" s="13">
        <v>4</v>
      </c>
      <c r="G12" s="13">
        <v>3</v>
      </c>
      <c r="H12" s="13">
        <v>6</v>
      </c>
      <c r="K12" s="15">
        <v>4</v>
      </c>
      <c r="L12" s="15">
        <v>3</v>
      </c>
      <c r="M12" s="15">
        <v>6</v>
      </c>
    </row>
    <row r="13" spans="1:17" x14ac:dyDescent="0.3">
      <c r="F13" s="13">
        <v>7</v>
      </c>
      <c r="G13" s="13">
        <v>8</v>
      </c>
      <c r="H13" s="13">
        <v>9</v>
      </c>
      <c r="K13" s="15">
        <v>7</v>
      </c>
      <c r="L13" s="15">
        <v>8</v>
      </c>
      <c r="M13" s="15">
        <v>9</v>
      </c>
    </row>
    <row r="14" spans="1:17" x14ac:dyDescent="0.3">
      <c r="F14" s="13">
        <v>10</v>
      </c>
      <c r="G14" s="13">
        <v>11</v>
      </c>
      <c r="H14" s="13">
        <v>12</v>
      </c>
      <c r="K14" s="15">
        <v>10</v>
      </c>
      <c r="L14" s="15">
        <v>11</v>
      </c>
      <c r="M14" s="15">
        <v>12</v>
      </c>
    </row>
    <row r="16" spans="1:17" x14ac:dyDescent="0.3">
      <c r="D16" s="1" t="s">
        <v>17</v>
      </c>
      <c r="E16" s="13" t="s">
        <v>293</v>
      </c>
      <c r="F16" s="139" t="str">
        <f>_xlfn.ARRAYTOTEXT(F11:H14,1)</f>
        <v>{1\2\3;4\3\6;7\8\9;10\11\12}</v>
      </c>
      <c r="G16" s="139"/>
      <c r="H16" s="139"/>
    </row>
    <row r="18" spans="1:17" s="21" customFormat="1" x14ac:dyDescent="0.3">
      <c r="A18" s="17"/>
      <c r="B18"/>
      <c r="C18"/>
      <c r="D18"/>
      <c r="E18" s="13" t="s">
        <v>295</v>
      </c>
      <c r="F18" s="80" t="s">
        <v>299</v>
      </c>
      <c r="G18"/>
      <c r="H18"/>
      <c r="I18"/>
      <c r="J18"/>
      <c r="K18" s="15"/>
      <c r="L18" s="15"/>
      <c r="M18" s="15"/>
      <c r="N18" s="15"/>
      <c r="O18" s="15"/>
      <c r="P18" s="15"/>
      <c r="Q18" s="15"/>
    </row>
    <row r="19" spans="1:17" s="21" customFormat="1" x14ac:dyDescent="0.3">
      <c r="A19" s="17"/>
      <c r="B19"/>
      <c r="C19"/>
      <c r="D19"/>
      <c r="E19"/>
      <c r="F19"/>
      <c r="G19"/>
      <c r="H19"/>
      <c r="I19"/>
      <c r="J19"/>
      <c r="K19" s="15" cm="1">
        <f t="array" ref="K19:M22">TEXTTOARRAY($F$16,$F$18,$F$20)</f>
        <v>1</v>
      </c>
      <c r="L19" s="15">
        <v>2</v>
      </c>
      <c r="M19" s="15">
        <v>3</v>
      </c>
      <c r="N19" s="15"/>
      <c r="O19" s="15"/>
      <c r="P19" s="15"/>
      <c r="Q19" s="15"/>
    </row>
    <row r="20" spans="1:17" x14ac:dyDescent="0.3">
      <c r="E20" s="13" t="s">
        <v>296</v>
      </c>
      <c r="F20" s="80" t="s">
        <v>300</v>
      </c>
      <c r="K20" s="15">
        <v>4</v>
      </c>
      <c r="L20" s="15">
        <v>3</v>
      </c>
      <c r="M20" s="15">
        <v>6</v>
      </c>
    </row>
    <row r="21" spans="1:17" s="21" customFormat="1" x14ac:dyDescent="0.3">
      <c r="A21" s="17"/>
      <c r="B21"/>
      <c r="C21"/>
      <c r="D21"/>
      <c r="E21"/>
      <c r="F21"/>
      <c r="G21"/>
      <c r="H21"/>
      <c r="I21"/>
      <c r="J21"/>
      <c r="K21" s="15">
        <v>7</v>
      </c>
      <c r="L21" s="15">
        <v>8</v>
      </c>
      <c r="M21" s="15">
        <v>9</v>
      </c>
      <c r="N21" s="15"/>
      <c r="O21" s="15"/>
      <c r="P21" s="15"/>
      <c r="Q21" s="15"/>
    </row>
    <row r="22" spans="1:17" x14ac:dyDescent="0.3">
      <c r="K22" s="15">
        <v>10</v>
      </c>
      <c r="L22" s="15">
        <v>11</v>
      </c>
      <c r="M22" s="15">
        <v>12</v>
      </c>
    </row>
  </sheetData>
  <mergeCells count="1">
    <mergeCell ref="F16:H16"/>
  </mergeCells>
  <pageMargins left="0.511811024" right="0.511811024" top="0.78740157499999996" bottom="0.78740157499999996" header="0.31496062000000002" footer="0.3149606200000000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DECA6B-7F09-4F83-9E2B-8DFD2C38F909}">
  <sheetPr codeName="Planilha53">
    <tabColor theme="9" tint="0.59999389629810485"/>
  </sheetPr>
  <dimension ref="A1:L17"/>
  <sheetViews>
    <sheetView showGridLines="0" workbookViewId="0">
      <selection activeCell="J7" sqref="J7"/>
    </sheetView>
  </sheetViews>
  <sheetFormatPr defaultColWidth="12.42578125" defaultRowHeight="18.75" x14ac:dyDescent="0.3"/>
  <cols>
    <col min="1" max="1" width="17.28515625" style="17" customWidth="1"/>
    <col min="2" max="2" width="61.28515625" customWidth="1"/>
    <col min="3" max="3" width="8" customWidth="1"/>
    <col min="5" max="5" width="14" bestFit="1" customWidth="1"/>
    <col min="6" max="6" width="11.28515625" customWidth="1"/>
    <col min="7" max="7" width="5.140625" customWidth="1"/>
    <col min="8" max="11" width="12.42578125" style="15"/>
    <col min="12" max="12" width="12.42578125" style="15" bestFit="1" customWidth="1"/>
    <col min="13" max="13" width="12.42578125" bestFit="1" customWidth="1"/>
  </cols>
  <sheetData>
    <row r="1" spans="1:12" x14ac:dyDescent="0.3">
      <c r="A1" s="84" t="s">
        <v>535</v>
      </c>
      <c r="H1" s="14"/>
      <c r="I1" s="14"/>
      <c r="J1" s="14"/>
      <c r="K1" s="14"/>
      <c r="L1" s="14"/>
    </row>
    <row r="2" spans="1:12" x14ac:dyDescent="0.3">
      <c r="A2" s="17" t="s">
        <v>536</v>
      </c>
      <c r="H2" s="14"/>
      <c r="I2" s="14"/>
      <c r="J2" s="14"/>
      <c r="K2" s="14"/>
      <c r="L2" s="14"/>
    </row>
    <row r="4" spans="1:12" ht="15.75" x14ac:dyDescent="0.25">
      <c r="A4" s="2" t="s">
        <v>15</v>
      </c>
      <c r="B4" s="2" t="s">
        <v>16</v>
      </c>
    </row>
    <row r="5" spans="1:12" ht="15.75" x14ac:dyDescent="0.25">
      <c r="A5" s="23" t="s">
        <v>537</v>
      </c>
      <c r="B5" s="26" t="s">
        <v>539</v>
      </c>
    </row>
    <row r="6" spans="1:12" ht="31.5" x14ac:dyDescent="0.25">
      <c r="A6" s="23" t="s">
        <v>538</v>
      </c>
      <c r="B6" s="24" t="s">
        <v>540</v>
      </c>
    </row>
    <row r="7" spans="1:12" ht="47.25" x14ac:dyDescent="0.25">
      <c r="A7" s="23" t="s">
        <v>555</v>
      </c>
      <c r="B7" s="24" t="s">
        <v>552</v>
      </c>
    </row>
    <row r="8" spans="1:12" ht="31.5" x14ac:dyDescent="0.25">
      <c r="A8" s="23" t="s">
        <v>556</v>
      </c>
      <c r="B8" s="24" t="s">
        <v>557</v>
      </c>
    </row>
    <row r="9" spans="1:12" ht="15.75" x14ac:dyDescent="0.25">
      <c r="A9" s="23"/>
      <c r="B9" s="24"/>
    </row>
    <row r="12" spans="1:12" x14ac:dyDescent="0.3">
      <c r="D12" s="1" t="s">
        <v>17</v>
      </c>
      <c r="E12" s="13" t="s">
        <v>537</v>
      </c>
      <c r="F12" s="112" t="s">
        <v>541</v>
      </c>
      <c r="H12" s="15" t="b" cm="1">
        <f t="array" ref="H12">_xlfn.LAMBDA(_xlpm.text,_xlpm.sequence,_xlop.start_num,_xlop.case_sensitive,
_xlfn.LET(
_xlpm.start_num, IF(_xlfn.ISOMITTED(_xlpm.start_num), 1,_xlpm.start_num),
_xlpm.case_sensistive, IF(_xlfn.ISOMITTED(case_sensistive), FALSE, _xlpm.case_sensitive),
CONTAINS(LEFT(MID(_xlpm.text, _xlpm.start_num, LEN(_xlpm.text) - _xlpm.start_num + 1), LEN(_xlpm.sequence)), _xlpm.sequence, 1, _xlpm.case_sensistive)
))($F$12,$F$13,$F$14,$F$15)</f>
        <v>1</v>
      </c>
      <c r="K12" s="15" t="b" cm="1">
        <f t="array" ref="K12">STARTSWITH($F$12,$F$13,$F$14,$F$15)</f>
        <v>1</v>
      </c>
    </row>
    <row r="13" spans="1:12" x14ac:dyDescent="0.3">
      <c r="E13" s="13" t="s">
        <v>538</v>
      </c>
      <c r="F13" s="112" t="s">
        <v>542</v>
      </c>
    </row>
    <row r="14" spans="1:12" s="21" customFormat="1" x14ac:dyDescent="0.3">
      <c r="A14" s="17"/>
      <c r="B14"/>
      <c r="C14"/>
      <c r="D14"/>
      <c r="E14" s="13" t="s">
        <v>551</v>
      </c>
      <c r="F14" s="112">
        <v>1</v>
      </c>
      <c r="G14"/>
      <c r="H14" s="15"/>
      <c r="I14" s="15"/>
      <c r="J14" s="15"/>
      <c r="K14" s="15"/>
      <c r="L14" s="15"/>
    </row>
    <row r="15" spans="1:12" s="21" customFormat="1" x14ac:dyDescent="0.3">
      <c r="A15" s="17"/>
      <c r="B15"/>
      <c r="C15"/>
      <c r="D15"/>
      <c r="E15" s="13" t="s">
        <v>554</v>
      </c>
      <c r="F15" s="112" t="b">
        <v>1</v>
      </c>
      <c r="G15"/>
      <c r="H15" s="15"/>
      <c r="I15" s="15"/>
      <c r="J15" s="15"/>
      <c r="K15" s="15"/>
      <c r="L15" s="15"/>
    </row>
    <row r="17" spans="1:12" s="21" customFormat="1" x14ac:dyDescent="0.3">
      <c r="A17" s="17"/>
      <c r="B17"/>
      <c r="C17"/>
      <c r="D17"/>
      <c r="E17"/>
      <c r="F17"/>
      <c r="G17"/>
      <c r="H17" s="15"/>
      <c r="I17" s="15"/>
      <c r="J17" s="15"/>
      <c r="K17" s="15"/>
      <c r="L17" s="15"/>
    </row>
  </sheetData>
  <pageMargins left="0.511811024" right="0.511811024" top="0.78740157499999996" bottom="0.78740157499999996" header="0.31496062000000002" footer="0.3149606200000000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E0386-2E9F-4038-BABB-E086585CFB2D}">
  <sheetPr codeName="Planilha54">
    <tabColor theme="9" tint="0.59999389629810485"/>
  </sheetPr>
  <dimension ref="A1:L17"/>
  <sheetViews>
    <sheetView showGridLines="0" workbookViewId="0">
      <selection activeCell="K12" sqref="K12"/>
    </sheetView>
  </sheetViews>
  <sheetFormatPr defaultColWidth="12.42578125" defaultRowHeight="18.75" x14ac:dyDescent="0.3"/>
  <cols>
    <col min="1" max="1" width="16.85546875" style="17" customWidth="1"/>
    <col min="2" max="2" width="61.28515625" customWidth="1"/>
    <col min="3" max="3" width="8" customWidth="1"/>
    <col min="5" max="5" width="14" bestFit="1" customWidth="1"/>
    <col min="6" max="6" width="11.28515625" customWidth="1"/>
    <col min="7" max="7" width="5.140625" customWidth="1"/>
    <col min="8" max="11" width="12.42578125" style="15"/>
    <col min="12" max="12" width="12.42578125" style="15" bestFit="1" customWidth="1"/>
    <col min="13" max="13" width="12.42578125" bestFit="1" customWidth="1"/>
  </cols>
  <sheetData>
    <row r="1" spans="1:12" x14ac:dyDescent="0.3">
      <c r="A1" s="84" t="s">
        <v>543</v>
      </c>
      <c r="H1" s="14"/>
      <c r="I1" s="14"/>
      <c r="J1" s="14"/>
      <c r="K1" s="14"/>
      <c r="L1" s="14"/>
    </row>
    <row r="2" spans="1:12" x14ac:dyDescent="0.3">
      <c r="A2" s="17" t="s">
        <v>544</v>
      </c>
      <c r="H2" s="14"/>
      <c r="I2" s="14"/>
      <c r="J2" s="14"/>
      <c r="K2" s="14"/>
      <c r="L2" s="14"/>
    </row>
    <row r="4" spans="1:12" ht="15.75" x14ac:dyDescent="0.25">
      <c r="A4" s="2" t="s">
        <v>15</v>
      </c>
      <c r="B4" s="2" t="s">
        <v>16</v>
      </c>
    </row>
    <row r="5" spans="1:12" ht="15.75" x14ac:dyDescent="0.25">
      <c r="A5" s="23" t="s">
        <v>537</v>
      </c>
      <c r="B5" s="26" t="s">
        <v>539</v>
      </c>
    </row>
    <row r="6" spans="1:12" ht="31.5" x14ac:dyDescent="0.25">
      <c r="A6" s="23" t="s">
        <v>538</v>
      </c>
      <c r="B6" s="24" t="s">
        <v>545</v>
      </c>
    </row>
    <row r="7" spans="1:12" ht="47.25" x14ac:dyDescent="0.25">
      <c r="A7" s="23" t="s">
        <v>555</v>
      </c>
      <c r="B7" s="24" t="s">
        <v>558</v>
      </c>
    </row>
    <row r="8" spans="1:12" ht="31.5" x14ac:dyDescent="0.25">
      <c r="A8" s="23" t="s">
        <v>556</v>
      </c>
      <c r="B8" s="24" t="s">
        <v>557</v>
      </c>
    </row>
    <row r="9" spans="1:12" ht="15.75" x14ac:dyDescent="0.25">
      <c r="A9" s="23"/>
      <c r="B9" s="24"/>
    </row>
    <row r="12" spans="1:12" x14ac:dyDescent="0.3">
      <c r="D12" s="1" t="s">
        <v>17</v>
      </c>
      <c r="E12" s="13" t="s">
        <v>537</v>
      </c>
      <c r="F12" s="112" t="s">
        <v>541</v>
      </c>
      <c r="H12" s="15" t="b" cm="1">
        <f t="array" ref="H12">_xlfn.LAMBDA(_xlpm.text,_xlpm.sequence,_xlop.start_num,_xlop.case_sensitive,
_xlfn.LET(
_xlpm.start_num, IF(_xlfn.ISOMITTED(_xlpm.start_num), 1,_xlpm.start_num),
_xlpm.case_sensistive, IF(_xlfn.ISOMITTED(case_sensistive), FALSE, _xlpm.case_sensitive),
CONTAINS(RIGHT(MID(_xlpm.text, 1, LEN(_xlpm.text) - _xlpm.start_num + 1), LEN(_xlpm.sequence)), _xlpm.sequence, 1, _xlpm.case_sensistive)
))($F$12,$F$13,$F$14,$F$15)</f>
        <v>1</v>
      </c>
      <c r="K12" s="15" t="b" cm="1">
        <f t="array" ref="K12">ENDSWITH($F$12,$F$13,$F$14,$F$15)</f>
        <v>1</v>
      </c>
    </row>
    <row r="13" spans="1:12" x14ac:dyDescent="0.3">
      <c r="E13" s="13" t="s">
        <v>538</v>
      </c>
      <c r="F13" s="112" t="s">
        <v>546</v>
      </c>
    </row>
    <row r="14" spans="1:12" s="21" customFormat="1" x14ac:dyDescent="0.3">
      <c r="A14" s="17"/>
      <c r="B14"/>
      <c r="C14"/>
      <c r="D14"/>
      <c r="E14" s="13" t="s">
        <v>551</v>
      </c>
      <c r="F14" s="112">
        <v>1</v>
      </c>
      <c r="G14"/>
      <c r="H14" s="15"/>
      <c r="I14" s="15"/>
      <c r="J14" s="15"/>
      <c r="K14" s="15"/>
      <c r="L14" s="15"/>
    </row>
    <row r="15" spans="1:12" s="21" customFormat="1" x14ac:dyDescent="0.3">
      <c r="A15" s="17"/>
      <c r="B15"/>
      <c r="C15"/>
      <c r="D15"/>
      <c r="E15" s="13" t="s">
        <v>554</v>
      </c>
      <c r="F15" s="112" t="b">
        <v>1</v>
      </c>
      <c r="G15"/>
      <c r="H15" s="15"/>
      <c r="I15" s="15"/>
      <c r="J15" s="15"/>
      <c r="K15" s="15"/>
      <c r="L15" s="15"/>
    </row>
    <row r="17" spans="1:12" s="21" customFormat="1" x14ac:dyDescent="0.3">
      <c r="A17" s="17"/>
      <c r="B17"/>
      <c r="C17"/>
      <c r="D17"/>
      <c r="E17"/>
      <c r="F17"/>
      <c r="G17"/>
      <c r="H17" s="15"/>
      <c r="I17" s="15"/>
      <c r="J17" s="15"/>
      <c r="K17" s="15"/>
      <c r="L17" s="15"/>
    </row>
  </sheetData>
  <pageMargins left="0.511811024" right="0.511811024" top="0.78740157499999996" bottom="0.78740157499999996" header="0.31496062000000002" footer="0.3149606200000000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A3BEB-0730-4078-B407-5D3362552C62}">
  <sheetPr codeName="Planilha55">
    <tabColor theme="9" tint="0.59999389629810485"/>
  </sheetPr>
  <dimension ref="A1:L17"/>
  <sheetViews>
    <sheetView showGridLines="0" workbookViewId="0">
      <selection activeCell="H12" sqref="H12"/>
    </sheetView>
  </sheetViews>
  <sheetFormatPr defaultColWidth="12.42578125" defaultRowHeight="18.75" x14ac:dyDescent="0.3"/>
  <cols>
    <col min="1" max="1" width="17.140625" style="17" customWidth="1"/>
    <col min="2" max="2" width="61.28515625" customWidth="1"/>
    <col min="3" max="3" width="8" customWidth="1"/>
    <col min="5" max="5" width="14" bestFit="1" customWidth="1"/>
    <col min="6" max="6" width="12.42578125" bestFit="1" customWidth="1"/>
    <col min="7" max="7" width="5.140625" customWidth="1"/>
    <col min="8" max="11" width="12.42578125" style="15"/>
    <col min="12" max="12" width="12.42578125" style="15" bestFit="1" customWidth="1"/>
    <col min="13" max="13" width="12.42578125" bestFit="1" customWidth="1"/>
  </cols>
  <sheetData>
    <row r="1" spans="1:12" x14ac:dyDescent="0.3">
      <c r="A1" s="84" t="s">
        <v>547</v>
      </c>
      <c r="H1" s="14"/>
      <c r="I1" s="14"/>
      <c r="J1" s="14"/>
      <c r="K1" s="14"/>
      <c r="L1" s="14"/>
    </row>
    <row r="2" spans="1:12" x14ac:dyDescent="0.3">
      <c r="A2" s="17" t="s">
        <v>548</v>
      </c>
      <c r="H2" s="14"/>
      <c r="I2" s="14"/>
      <c r="J2" s="14"/>
      <c r="K2" s="14"/>
      <c r="L2" s="14"/>
    </row>
    <row r="4" spans="1:12" ht="15.75" x14ac:dyDescent="0.25">
      <c r="A4" s="2" t="s">
        <v>15</v>
      </c>
      <c r="B4" s="2" t="s">
        <v>16</v>
      </c>
    </row>
    <row r="5" spans="1:12" ht="15.75" x14ac:dyDescent="0.25">
      <c r="A5" s="23" t="s">
        <v>537</v>
      </c>
      <c r="B5" s="26" t="s">
        <v>549</v>
      </c>
    </row>
    <row r="6" spans="1:12" ht="15.75" x14ac:dyDescent="0.25">
      <c r="A6" s="23" t="s">
        <v>538</v>
      </c>
      <c r="B6" s="24" t="s">
        <v>550</v>
      </c>
    </row>
    <row r="7" spans="1:12" ht="47.25" x14ac:dyDescent="0.25">
      <c r="A7" s="23" t="s">
        <v>555</v>
      </c>
      <c r="B7" s="24" t="s">
        <v>552</v>
      </c>
    </row>
    <row r="8" spans="1:12" ht="31.5" x14ac:dyDescent="0.25">
      <c r="A8" s="23" t="s">
        <v>556</v>
      </c>
      <c r="B8" s="24" t="s">
        <v>557</v>
      </c>
    </row>
    <row r="9" spans="1:12" ht="15.75" x14ac:dyDescent="0.25">
      <c r="A9" s="23"/>
      <c r="B9" s="24"/>
    </row>
    <row r="12" spans="1:12" x14ac:dyDescent="0.3">
      <c r="D12" s="1" t="s">
        <v>17</v>
      </c>
      <c r="E12" s="13" t="s">
        <v>537</v>
      </c>
      <c r="F12" s="112" t="s">
        <v>541</v>
      </c>
      <c r="H12" s="15" t="b" cm="1">
        <f t="array" ref="H12">_xlfn.LAMBDA(_xlpm.text,_xlpm.sequence,_xlop.start_num,_xlop.case_sensitive,
_xlfn.LET(
_xlpm.start_num, IF(_xlfn.ISOMITTED(_xlpm.start_num), 1,_xlpm.start_num),
_xlpm.case_sensistive, IF(_xlfn.ISOMITTED(case_sensistive), FALSE, _xlpm.case_sensitive),
IF( _xlpm.case_sensistive, NOT(ISERROR(FIND(_xlpm.sequence, _xlpm.text, _xlpm.start_num))), NOT(ISERROR(SEARCH(_xlpm.sequence, _xlpm.text, _xlpm.start_num))) )
))($F$12,F$13,$F$14,$F$15)</f>
        <v>0</v>
      </c>
      <c r="K12" s="15" t="b" cm="1">
        <f t="array" ref="K12">CONTAINS($F$12,F$13,$F$14,$F$15)</f>
        <v>0</v>
      </c>
    </row>
    <row r="13" spans="1:12" x14ac:dyDescent="0.3">
      <c r="E13" s="13" t="s">
        <v>538</v>
      </c>
      <c r="F13" s="112" t="s">
        <v>553</v>
      </c>
    </row>
    <row r="14" spans="1:12" s="21" customFormat="1" x14ac:dyDescent="0.3">
      <c r="A14" s="17"/>
      <c r="B14"/>
      <c r="C14"/>
      <c r="D14"/>
      <c r="E14" s="13" t="s">
        <v>551</v>
      </c>
      <c r="F14" s="112">
        <v>1</v>
      </c>
      <c r="G14"/>
      <c r="H14" s="15"/>
      <c r="I14" s="15"/>
      <c r="J14" s="15"/>
      <c r="K14" s="15"/>
      <c r="L14" s="15"/>
    </row>
    <row r="15" spans="1:12" s="21" customFormat="1" x14ac:dyDescent="0.3">
      <c r="A15" s="17"/>
      <c r="B15"/>
      <c r="C15"/>
      <c r="D15"/>
      <c r="E15" s="13" t="s">
        <v>554</v>
      </c>
      <c r="F15" s="112" t="b">
        <v>1</v>
      </c>
      <c r="G15"/>
      <c r="H15" s="15"/>
      <c r="I15" s="15"/>
      <c r="J15" s="15"/>
      <c r="K15" s="15"/>
      <c r="L15" s="15"/>
    </row>
    <row r="17" spans="1:12" s="21" customFormat="1" x14ac:dyDescent="0.3">
      <c r="A17" s="17"/>
      <c r="B17"/>
      <c r="C17"/>
      <c r="D17"/>
      <c r="E17"/>
      <c r="F17"/>
      <c r="G17"/>
      <c r="H17" s="15"/>
      <c r="I17" s="15"/>
      <c r="J17" s="15"/>
      <c r="K17" s="15"/>
      <c r="L17" s="15"/>
    </row>
  </sheetData>
  <pageMargins left="0.511811024" right="0.511811024" top="0.78740157499999996" bottom="0.78740157499999996" header="0.31496062000000002" footer="0.3149606200000000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D818B-654E-42FA-99B0-D68464DB182B}">
  <sheetPr codeName="Planilha56">
    <tabColor theme="9" tint="0.59999389629810485"/>
  </sheetPr>
  <dimension ref="A1:L22"/>
  <sheetViews>
    <sheetView showGridLines="0" workbookViewId="0">
      <selection activeCell="K17" sqref="K17"/>
    </sheetView>
  </sheetViews>
  <sheetFormatPr defaultColWidth="12.42578125" defaultRowHeight="18.75" x14ac:dyDescent="0.3"/>
  <cols>
    <col min="1" max="1" width="17.140625" style="17" customWidth="1"/>
    <col min="2" max="2" width="61.28515625" customWidth="1"/>
    <col min="3" max="3" width="8" customWidth="1"/>
    <col min="5" max="5" width="14" bestFit="1" customWidth="1"/>
    <col min="6" max="6" width="11.28515625" customWidth="1"/>
    <col min="7" max="7" width="5.140625" customWidth="1"/>
    <col min="8" max="11" width="12.42578125" style="15"/>
    <col min="12" max="12" width="12.42578125" style="15" bestFit="1" customWidth="1"/>
    <col min="13" max="13" width="12.42578125" bestFit="1" customWidth="1"/>
  </cols>
  <sheetData>
    <row r="1" spans="1:12" x14ac:dyDescent="0.3">
      <c r="A1" s="84" t="s">
        <v>559</v>
      </c>
      <c r="H1" s="14"/>
      <c r="I1" s="14"/>
      <c r="J1" s="14"/>
      <c r="K1" s="14"/>
      <c r="L1" s="14"/>
    </row>
    <row r="2" spans="1:12" x14ac:dyDescent="0.3">
      <c r="A2" s="17" t="s">
        <v>560</v>
      </c>
      <c r="H2" s="14"/>
      <c r="I2" s="14"/>
      <c r="J2" s="14"/>
      <c r="K2" s="14"/>
      <c r="L2" s="14"/>
    </row>
    <row r="4" spans="1:12" ht="15.75" x14ac:dyDescent="0.25">
      <c r="A4" s="2" t="s">
        <v>15</v>
      </c>
      <c r="B4" s="2" t="s">
        <v>16</v>
      </c>
    </row>
    <row r="5" spans="1:12" ht="15.75" x14ac:dyDescent="0.25">
      <c r="A5" s="23" t="s">
        <v>561</v>
      </c>
      <c r="B5" s="24" t="s">
        <v>550</v>
      </c>
    </row>
    <row r="6" spans="1:12" ht="15.75" x14ac:dyDescent="0.25">
      <c r="A6" s="23" t="s">
        <v>22</v>
      </c>
      <c r="B6" s="26" t="s">
        <v>549</v>
      </c>
    </row>
    <row r="7" spans="1:12" ht="31.5" x14ac:dyDescent="0.25">
      <c r="A7" s="23" t="s">
        <v>562</v>
      </c>
      <c r="B7" s="24" t="s">
        <v>563</v>
      </c>
    </row>
    <row r="8" spans="1:12" ht="31.5" x14ac:dyDescent="0.25">
      <c r="A8" s="23" t="s">
        <v>556</v>
      </c>
      <c r="B8" s="24" t="s">
        <v>564</v>
      </c>
    </row>
    <row r="9" spans="1:12" ht="15.75" x14ac:dyDescent="0.25">
      <c r="A9" s="23"/>
      <c r="B9" s="24"/>
    </row>
    <row r="10" spans="1:12" ht="15.75" x14ac:dyDescent="0.25">
      <c r="A10" s="23"/>
      <c r="B10" s="24"/>
    </row>
    <row r="11" spans="1:12" ht="15.75" x14ac:dyDescent="0.25">
      <c r="A11" s="23"/>
      <c r="B11" s="24"/>
      <c r="D11" s="1" t="s">
        <v>17</v>
      </c>
      <c r="E11" s="13" t="s">
        <v>561</v>
      </c>
      <c r="F11" s="112" t="s">
        <v>565</v>
      </c>
    </row>
    <row r="12" spans="1:12" ht="15" x14ac:dyDescent="0.25">
      <c r="A12"/>
    </row>
    <row r="13" spans="1:12" ht="15.75" x14ac:dyDescent="0.25">
      <c r="A13" s="23"/>
      <c r="B13" s="24"/>
      <c r="E13" s="13" t="s">
        <v>22</v>
      </c>
      <c r="F13" s="112" t="s">
        <v>333</v>
      </c>
    </row>
    <row r="14" spans="1:12" ht="15.75" x14ac:dyDescent="0.25">
      <c r="A14" s="23"/>
      <c r="B14" s="24"/>
      <c r="F14" s="112" t="s">
        <v>334</v>
      </c>
    </row>
    <row r="15" spans="1:12" x14ac:dyDescent="0.3">
      <c r="F15" s="112" t="s">
        <v>201</v>
      </c>
    </row>
    <row r="16" spans="1:12" x14ac:dyDescent="0.3">
      <c r="F16" s="112" t="s">
        <v>565</v>
      </c>
    </row>
    <row r="17" spans="1:12" x14ac:dyDescent="0.3">
      <c r="F17" s="112" t="s">
        <v>566</v>
      </c>
      <c r="H17" s="15" t="b" cm="1">
        <f t="array" ref="H17">_xlfn.LAMBDA(_xlpm.element,_xlpm.matrix,_xlop.start_num,_xlop.case_sensitive,
_xlfn.LET(
_xlpm.start_num, IF(_xlfn.ISOMITTED(_xlpm.start_num), 1,_xlpm.start_num),
_xlpm.case_sensistive, IF(_xlfn.ISOMITTED(case_sensistive), FALSE, _xlpm.case_sensitive),
_xlpm.matrix, _xlfn.DROP(VEC(_xlpm.matrix), _xlpm.start_num - 1, 0),
_xlpm.elementFound, NOT(ISERROR(MATCH(_xlpm.element, _xlpm.matrix,0))),
IF(_xlpm.elementFound,
CONTAINS( _xlpm.element, INDEX(_xlpm.matrix, MATCH(_xlpm.element, _xlpm.matrix,0)), 1, _xlpm.case_sensistive ),
FALSE)
))(F$11,$F$13:$F$17,$F$19,$F$20)</f>
        <v>1</v>
      </c>
      <c r="K17" s="15" t="e">
        <v>#REF!</v>
      </c>
    </row>
    <row r="19" spans="1:12" s="21" customFormat="1" x14ac:dyDescent="0.3">
      <c r="A19" s="17"/>
      <c r="B19"/>
      <c r="C19"/>
      <c r="D19"/>
      <c r="E19" s="13" t="s">
        <v>551</v>
      </c>
      <c r="F19" s="112">
        <v>1</v>
      </c>
      <c r="G19"/>
      <c r="H19" s="15"/>
      <c r="I19" s="15"/>
      <c r="J19" s="15"/>
      <c r="K19" s="15"/>
      <c r="L19" s="15"/>
    </row>
    <row r="20" spans="1:12" s="21" customFormat="1" x14ac:dyDescent="0.3">
      <c r="A20" s="17"/>
      <c r="B20"/>
      <c r="C20"/>
      <c r="D20"/>
      <c r="E20" s="13" t="s">
        <v>554</v>
      </c>
      <c r="F20" s="112" t="b">
        <v>1</v>
      </c>
      <c r="G20"/>
      <c r="H20" s="15"/>
      <c r="I20" s="15"/>
      <c r="J20" s="15"/>
      <c r="K20" s="15"/>
      <c r="L20" s="15"/>
    </row>
    <row r="22" spans="1:12" s="21" customFormat="1" x14ac:dyDescent="0.3">
      <c r="A22" s="17"/>
      <c r="B22"/>
      <c r="C22"/>
      <c r="D22"/>
      <c r="E22"/>
      <c r="F22"/>
      <c r="G22"/>
      <c r="H22" s="15"/>
      <c r="I22" s="15"/>
      <c r="J22" s="15"/>
      <c r="K22" s="15"/>
      <c r="L22" s="15"/>
    </row>
  </sheetData>
  <pageMargins left="0.511811024" right="0.511811024" top="0.78740157499999996" bottom="0.78740157499999996" header="0.31496062000000002" footer="0.3149606200000000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7A682-3F30-4F2C-87E0-751F5AC701F0}">
  <sheetPr codeName="Planilha27">
    <tabColor theme="9" tint="0.59999389629810485"/>
  </sheetPr>
  <dimension ref="A1:R111"/>
  <sheetViews>
    <sheetView showGridLines="0" workbookViewId="0">
      <selection activeCell="J19" sqref="J19"/>
    </sheetView>
  </sheetViews>
  <sheetFormatPr defaultColWidth="8.85546875" defaultRowHeight="18.75" x14ac:dyDescent="0.3"/>
  <cols>
    <col min="1" max="1" width="12.7109375" style="17" customWidth="1"/>
    <col min="2" max="3" width="26.28515625" customWidth="1"/>
    <col min="4" max="4" width="8.85546875" customWidth="1"/>
    <col min="10" max="10" width="11.28515625" style="15" bestFit="1" customWidth="1"/>
    <col min="11" max="18" width="8.85546875" style="15"/>
  </cols>
  <sheetData>
    <row r="1" spans="1:18" x14ac:dyDescent="0.3">
      <c r="A1" s="16" t="s">
        <v>315</v>
      </c>
      <c r="J1" s="14"/>
      <c r="K1" s="14"/>
      <c r="L1" s="14"/>
      <c r="M1" s="14"/>
      <c r="N1" s="14"/>
      <c r="O1" s="14"/>
      <c r="P1" s="14"/>
      <c r="Q1" s="14"/>
      <c r="R1" s="14"/>
    </row>
    <row r="2" spans="1:18" x14ac:dyDescent="0.3">
      <c r="A2" s="17" t="s">
        <v>326</v>
      </c>
      <c r="J2" s="14"/>
      <c r="K2" s="14"/>
      <c r="L2" s="14"/>
      <c r="M2" s="14"/>
      <c r="N2" s="14"/>
      <c r="O2" s="14"/>
      <c r="P2" s="14"/>
      <c r="Q2" s="14"/>
      <c r="R2" s="14"/>
    </row>
    <row r="3" spans="1:18" x14ac:dyDescent="0.3">
      <c r="L3" s="27"/>
    </row>
    <row r="4" spans="1:18" ht="15.75" x14ac:dyDescent="0.25">
      <c r="A4" s="2" t="s">
        <v>15</v>
      </c>
      <c r="B4" s="2" t="s">
        <v>16</v>
      </c>
      <c r="C4" s="2"/>
      <c r="L4" s="27"/>
    </row>
    <row r="5" spans="1:18" ht="31.5" x14ac:dyDescent="0.25">
      <c r="A5" s="23" t="s">
        <v>22</v>
      </c>
      <c r="B5" s="26" t="s">
        <v>320</v>
      </c>
      <c r="C5" s="26"/>
      <c r="L5" s="27"/>
    </row>
    <row r="6" spans="1:18" ht="63" x14ac:dyDescent="0.25">
      <c r="A6" s="23" t="s">
        <v>316</v>
      </c>
      <c r="B6" s="26" t="s">
        <v>319</v>
      </c>
      <c r="C6" s="26"/>
      <c r="L6" s="27"/>
    </row>
    <row r="7" spans="1:18" ht="47.25" x14ac:dyDescent="0.25">
      <c r="A7" s="23" t="s">
        <v>317</v>
      </c>
      <c r="B7" s="26" t="s">
        <v>318</v>
      </c>
      <c r="C7" s="26"/>
      <c r="L7" s="27"/>
    </row>
    <row r="8" spans="1:18" ht="15.75" x14ac:dyDescent="0.25">
      <c r="A8" s="23"/>
      <c r="B8" s="26"/>
      <c r="C8" s="26"/>
      <c r="L8" s="27"/>
    </row>
    <row r="9" spans="1:18" ht="15.75" x14ac:dyDescent="0.25">
      <c r="A9" s="2" t="s">
        <v>321</v>
      </c>
      <c r="L9" s="27"/>
    </row>
    <row r="10" spans="1:18" ht="15.75" x14ac:dyDescent="0.25">
      <c r="A10" s="23" t="s">
        <v>322</v>
      </c>
      <c r="L10" s="27"/>
    </row>
    <row r="11" spans="1:18" x14ac:dyDescent="0.3">
      <c r="L11" s="27"/>
    </row>
    <row r="12" spans="1:18" x14ac:dyDescent="0.3">
      <c r="D12" s="1" t="s">
        <v>17</v>
      </c>
      <c r="E12" s="13" t="s">
        <v>22</v>
      </c>
      <c r="F12" s="12">
        <v>1</v>
      </c>
      <c r="G12" s="12">
        <v>2</v>
      </c>
      <c r="H12" s="12">
        <v>2</v>
      </c>
      <c r="J12" s="28" cm="1">
        <f t="array" ref="J12:J14">_xlfn.LAMBDA(_xlpm.matrix,_xlop.minInteger,_xlop.maxInteger,
_xlfn.LET(
_xlpm.minInteger, IF( _xlfn.ISOMITTED(_xlpm.minInteger), MIN(_xlpm.matrix), _xlpm.minInteger ),
_xlpm.maxInteger, IF( _xlfn.ISOMITTED(_xlpm.maxInteger), MAX(_xlpm.matrix), _xlpm.maxInteger ),
IFERROR( _xlfn.UNIQUE(VERTCAT(VEC(_xlpm.matrix), _xlfn.SEQUENCE(_xlpm.maxInteger-_xlpm.minInteger+1,1,_xlpm.minInteger)),FALSE,TRUE), NA())
))(F12:H16)</f>
        <v>4</v>
      </c>
      <c r="L12" s="27"/>
    </row>
    <row r="13" spans="1:18" x14ac:dyDescent="0.3">
      <c r="F13" s="12">
        <v>3</v>
      </c>
      <c r="G13" s="12">
        <v>3</v>
      </c>
      <c r="H13" s="12">
        <v>3</v>
      </c>
      <c r="J13" s="28">
        <v>8</v>
      </c>
      <c r="L13" s="27"/>
    </row>
    <row r="14" spans="1:18" x14ac:dyDescent="0.3">
      <c r="F14" s="12">
        <v>5</v>
      </c>
      <c r="G14" s="12">
        <v>6</v>
      </c>
      <c r="H14" s="12">
        <v>6</v>
      </c>
      <c r="J14" s="28">
        <v>11</v>
      </c>
      <c r="L14" s="27"/>
    </row>
    <row r="15" spans="1:18" x14ac:dyDescent="0.3">
      <c r="F15" s="12">
        <v>7</v>
      </c>
      <c r="G15" s="12">
        <v>7</v>
      </c>
      <c r="H15" s="12">
        <v>7</v>
      </c>
      <c r="J15" s="27"/>
      <c r="L15" s="27"/>
    </row>
    <row r="16" spans="1:18" x14ac:dyDescent="0.3">
      <c r="F16" s="12">
        <v>9</v>
      </c>
      <c r="G16" s="12">
        <v>10</v>
      </c>
      <c r="H16" s="12">
        <v>12</v>
      </c>
      <c r="J16" s="27"/>
      <c r="L16" s="27"/>
    </row>
    <row r="17" spans="4:12" x14ac:dyDescent="0.3">
      <c r="J17" s="27"/>
      <c r="L17" s="27"/>
    </row>
    <row r="18" spans="4:12" x14ac:dyDescent="0.3">
      <c r="J18" s="27"/>
      <c r="L18" s="27"/>
    </row>
    <row r="19" spans="4:12" x14ac:dyDescent="0.3">
      <c r="D19" s="1" t="s">
        <v>17</v>
      </c>
      <c r="E19" s="13" t="s">
        <v>22</v>
      </c>
      <c r="F19" s="12">
        <v>1</v>
      </c>
      <c r="G19" s="12">
        <v>2</v>
      </c>
      <c r="H19" s="12">
        <v>3</v>
      </c>
      <c r="J19" s="28" t="e" cm="1">
        <f t="array" ref="J19">COMPLEMENT(F19:H20)</f>
        <v>#N/A</v>
      </c>
      <c r="L19" s="27"/>
    </row>
    <row r="20" spans="4:12" x14ac:dyDescent="0.3">
      <c r="F20" s="12">
        <v>4</v>
      </c>
      <c r="G20" s="12">
        <v>5</v>
      </c>
      <c r="H20" s="12">
        <v>6</v>
      </c>
      <c r="J20" s="27"/>
      <c r="L20" s="27"/>
    </row>
    <row r="21" spans="4:12" x14ac:dyDescent="0.3">
      <c r="J21" s="27"/>
      <c r="L21" s="27"/>
    </row>
    <row r="22" spans="4:12" x14ac:dyDescent="0.3">
      <c r="J22" s="27"/>
      <c r="L22" s="27"/>
    </row>
    <row r="23" spans="4:12" x14ac:dyDescent="0.3">
      <c r="J23" s="27"/>
      <c r="L23" s="27"/>
    </row>
    <row r="24" spans="4:12" x14ac:dyDescent="0.3">
      <c r="J24" s="27"/>
      <c r="L24" s="27"/>
    </row>
    <row r="25" spans="4:12" x14ac:dyDescent="0.3">
      <c r="J25" s="27"/>
      <c r="L25" s="27"/>
    </row>
    <row r="26" spans="4:12" x14ac:dyDescent="0.3">
      <c r="J26" s="27"/>
      <c r="L26" s="27"/>
    </row>
    <row r="27" spans="4:12" x14ac:dyDescent="0.3">
      <c r="J27" s="27"/>
      <c r="L27" s="27"/>
    </row>
    <row r="28" spans="4:12" x14ac:dyDescent="0.3">
      <c r="J28" s="27"/>
      <c r="L28" s="27"/>
    </row>
    <row r="29" spans="4:12" x14ac:dyDescent="0.3">
      <c r="J29" s="27"/>
      <c r="L29" s="27"/>
    </row>
    <row r="30" spans="4:12" x14ac:dyDescent="0.3">
      <c r="J30" s="27"/>
      <c r="L30" s="27"/>
    </row>
    <row r="31" spans="4:12" x14ac:dyDescent="0.3">
      <c r="J31" s="27"/>
      <c r="L31" s="27"/>
    </row>
    <row r="32" spans="4:12" x14ac:dyDescent="0.3">
      <c r="J32" s="27"/>
      <c r="L32" s="27"/>
    </row>
    <row r="33" spans="10:12" x14ac:dyDescent="0.3">
      <c r="J33" s="27"/>
      <c r="L33" s="27"/>
    </row>
    <row r="34" spans="10:12" x14ac:dyDescent="0.3">
      <c r="J34" s="27"/>
      <c r="L34" s="27"/>
    </row>
    <row r="35" spans="10:12" x14ac:dyDescent="0.3">
      <c r="J35" s="27"/>
      <c r="L35" s="27"/>
    </row>
    <row r="36" spans="10:12" x14ac:dyDescent="0.3">
      <c r="J36" s="27"/>
      <c r="L36" s="27"/>
    </row>
    <row r="37" spans="10:12" x14ac:dyDescent="0.3">
      <c r="J37" s="27"/>
      <c r="L37" s="27"/>
    </row>
    <row r="38" spans="10:12" x14ac:dyDescent="0.3">
      <c r="J38" s="27"/>
      <c r="L38" s="27"/>
    </row>
    <row r="39" spans="10:12" x14ac:dyDescent="0.3">
      <c r="J39" s="27"/>
      <c r="L39" s="27"/>
    </row>
    <row r="40" spans="10:12" x14ac:dyDescent="0.3">
      <c r="J40" s="27"/>
      <c r="L40" s="27"/>
    </row>
    <row r="41" spans="10:12" x14ac:dyDescent="0.3">
      <c r="J41" s="27"/>
      <c r="L41" s="27"/>
    </row>
    <row r="42" spans="10:12" x14ac:dyDescent="0.3">
      <c r="J42" s="27"/>
      <c r="L42" s="27"/>
    </row>
    <row r="43" spans="10:12" x14ac:dyDescent="0.3">
      <c r="J43" s="27"/>
      <c r="L43" s="27"/>
    </row>
    <row r="44" spans="10:12" x14ac:dyDescent="0.3">
      <c r="J44" s="27"/>
      <c r="L44" s="27"/>
    </row>
    <row r="45" spans="10:12" x14ac:dyDescent="0.3">
      <c r="J45" s="27"/>
      <c r="L45" s="27"/>
    </row>
    <row r="46" spans="10:12" x14ac:dyDescent="0.3">
      <c r="J46" s="27"/>
      <c r="L46" s="27"/>
    </row>
    <row r="47" spans="10:12" x14ac:dyDescent="0.3">
      <c r="J47" s="27"/>
      <c r="L47" s="27"/>
    </row>
    <row r="48" spans="10:12" x14ac:dyDescent="0.3">
      <c r="J48" s="27"/>
      <c r="L48" s="27"/>
    </row>
    <row r="49" spans="10:12" x14ac:dyDescent="0.3">
      <c r="J49" s="27"/>
      <c r="L49" s="27"/>
    </row>
    <row r="50" spans="10:12" x14ac:dyDescent="0.3">
      <c r="J50" s="27"/>
      <c r="L50" s="27"/>
    </row>
    <row r="51" spans="10:12" x14ac:dyDescent="0.3">
      <c r="J51" s="27"/>
      <c r="L51" s="27"/>
    </row>
    <row r="52" spans="10:12" x14ac:dyDescent="0.3">
      <c r="J52" s="27"/>
      <c r="L52" s="27"/>
    </row>
    <row r="53" spans="10:12" x14ac:dyDescent="0.3">
      <c r="J53" s="27"/>
      <c r="L53" s="27"/>
    </row>
    <row r="54" spans="10:12" x14ac:dyDescent="0.3">
      <c r="J54" s="27"/>
      <c r="L54" s="27"/>
    </row>
    <row r="55" spans="10:12" x14ac:dyDescent="0.3">
      <c r="J55" s="27"/>
      <c r="L55" s="27"/>
    </row>
    <row r="56" spans="10:12" x14ac:dyDescent="0.3">
      <c r="J56" s="27"/>
      <c r="L56" s="27"/>
    </row>
    <row r="57" spans="10:12" x14ac:dyDescent="0.3">
      <c r="J57" s="27"/>
      <c r="L57" s="27"/>
    </row>
    <row r="58" spans="10:12" x14ac:dyDescent="0.3">
      <c r="J58" s="27"/>
      <c r="L58" s="27"/>
    </row>
    <row r="59" spans="10:12" x14ac:dyDescent="0.3">
      <c r="J59" s="27"/>
      <c r="L59" s="27"/>
    </row>
    <row r="60" spans="10:12" x14ac:dyDescent="0.3">
      <c r="J60" s="27"/>
      <c r="L60" s="27"/>
    </row>
    <row r="61" spans="10:12" x14ac:dyDescent="0.3">
      <c r="J61" s="27"/>
      <c r="L61" s="27"/>
    </row>
    <row r="62" spans="10:12" x14ac:dyDescent="0.3">
      <c r="J62" s="27"/>
      <c r="L62" s="27"/>
    </row>
    <row r="63" spans="10:12" x14ac:dyDescent="0.3">
      <c r="J63" s="27"/>
      <c r="L63" s="27"/>
    </row>
    <row r="64" spans="10:12" x14ac:dyDescent="0.3">
      <c r="J64" s="27"/>
      <c r="L64" s="27"/>
    </row>
    <row r="65" spans="10:12" x14ac:dyDescent="0.3">
      <c r="J65" s="27"/>
      <c r="L65" s="27"/>
    </row>
    <row r="66" spans="10:12" x14ac:dyDescent="0.3">
      <c r="J66" s="27"/>
      <c r="L66" s="27"/>
    </row>
    <row r="67" spans="10:12" x14ac:dyDescent="0.3">
      <c r="J67" s="27"/>
      <c r="L67" s="27"/>
    </row>
    <row r="68" spans="10:12" x14ac:dyDescent="0.3">
      <c r="J68" s="27"/>
      <c r="L68" s="27"/>
    </row>
    <row r="69" spans="10:12" x14ac:dyDescent="0.3">
      <c r="J69" s="27"/>
      <c r="L69" s="27"/>
    </row>
    <row r="70" spans="10:12" x14ac:dyDescent="0.3">
      <c r="J70" s="27"/>
      <c r="L70" s="27"/>
    </row>
    <row r="71" spans="10:12" x14ac:dyDescent="0.3">
      <c r="J71" s="27"/>
      <c r="L71" s="27"/>
    </row>
    <row r="72" spans="10:12" x14ac:dyDescent="0.3">
      <c r="J72" s="27"/>
      <c r="L72" s="27"/>
    </row>
    <row r="73" spans="10:12" x14ac:dyDescent="0.3">
      <c r="J73" s="27"/>
      <c r="L73" s="27"/>
    </row>
    <row r="74" spans="10:12" x14ac:dyDescent="0.3">
      <c r="J74" s="27"/>
      <c r="L74" s="27"/>
    </row>
    <row r="75" spans="10:12" x14ac:dyDescent="0.3">
      <c r="J75" s="27"/>
      <c r="L75" s="27"/>
    </row>
    <row r="76" spans="10:12" x14ac:dyDescent="0.3">
      <c r="J76" s="27"/>
      <c r="L76" s="27"/>
    </row>
    <row r="77" spans="10:12" x14ac:dyDescent="0.3">
      <c r="J77" s="27"/>
      <c r="L77" s="27"/>
    </row>
    <row r="78" spans="10:12" x14ac:dyDescent="0.3">
      <c r="J78" s="27"/>
      <c r="L78" s="27"/>
    </row>
    <row r="79" spans="10:12" x14ac:dyDescent="0.3">
      <c r="J79" s="27"/>
      <c r="L79" s="27"/>
    </row>
    <row r="80" spans="10:12" x14ac:dyDescent="0.3">
      <c r="J80" s="27"/>
      <c r="L80" s="27"/>
    </row>
    <row r="81" spans="10:12" x14ac:dyDescent="0.3">
      <c r="J81" s="27"/>
      <c r="L81" s="27"/>
    </row>
    <row r="82" spans="10:12" x14ac:dyDescent="0.3">
      <c r="J82" s="27"/>
      <c r="L82" s="27"/>
    </row>
    <row r="83" spans="10:12" x14ac:dyDescent="0.3">
      <c r="J83" s="27"/>
      <c r="L83" s="27"/>
    </row>
    <row r="84" spans="10:12" x14ac:dyDescent="0.3">
      <c r="J84" s="27"/>
      <c r="L84" s="27"/>
    </row>
    <row r="85" spans="10:12" x14ac:dyDescent="0.3">
      <c r="J85" s="27"/>
      <c r="L85" s="27"/>
    </row>
    <row r="86" spans="10:12" x14ac:dyDescent="0.3">
      <c r="J86" s="27"/>
      <c r="L86" s="27"/>
    </row>
    <row r="87" spans="10:12" x14ac:dyDescent="0.3">
      <c r="J87" s="27"/>
      <c r="L87" s="27"/>
    </row>
    <row r="88" spans="10:12" x14ac:dyDescent="0.3">
      <c r="J88" s="27"/>
      <c r="L88" s="27"/>
    </row>
    <row r="89" spans="10:12" x14ac:dyDescent="0.3">
      <c r="J89" s="27"/>
      <c r="L89" s="27"/>
    </row>
    <row r="90" spans="10:12" x14ac:dyDescent="0.3">
      <c r="J90" s="27"/>
      <c r="L90" s="27"/>
    </row>
    <row r="91" spans="10:12" x14ac:dyDescent="0.3">
      <c r="J91" s="27"/>
      <c r="L91" s="27"/>
    </row>
    <row r="92" spans="10:12" x14ac:dyDescent="0.3">
      <c r="J92" s="27"/>
      <c r="L92" s="27"/>
    </row>
    <row r="93" spans="10:12" x14ac:dyDescent="0.3">
      <c r="J93" s="27"/>
      <c r="L93" s="27"/>
    </row>
    <row r="94" spans="10:12" x14ac:dyDescent="0.3">
      <c r="J94" s="27"/>
      <c r="L94" s="27"/>
    </row>
    <row r="95" spans="10:12" x14ac:dyDescent="0.3">
      <c r="J95" s="27"/>
      <c r="L95" s="27"/>
    </row>
    <row r="96" spans="10:12" x14ac:dyDescent="0.3">
      <c r="J96" s="27"/>
      <c r="L96" s="27"/>
    </row>
    <row r="97" spans="10:12" x14ac:dyDescent="0.3">
      <c r="J97" s="27"/>
      <c r="L97" s="27"/>
    </row>
    <row r="98" spans="10:12" x14ac:dyDescent="0.3">
      <c r="J98" s="27"/>
      <c r="L98" s="27"/>
    </row>
    <row r="99" spans="10:12" x14ac:dyDescent="0.3">
      <c r="J99" s="27"/>
      <c r="L99" s="27"/>
    </row>
    <row r="100" spans="10:12" x14ac:dyDescent="0.3">
      <c r="J100" s="27"/>
      <c r="L100" s="27"/>
    </row>
    <row r="101" spans="10:12" x14ac:dyDescent="0.3">
      <c r="J101" s="27"/>
      <c r="L101" s="27"/>
    </row>
    <row r="102" spans="10:12" x14ac:dyDescent="0.3">
      <c r="J102" s="27"/>
      <c r="L102" s="27"/>
    </row>
    <row r="103" spans="10:12" x14ac:dyDescent="0.3">
      <c r="J103" s="27"/>
      <c r="L103" s="27"/>
    </row>
    <row r="104" spans="10:12" x14ac:dyDescent="0.3">
      <c r="J104" s="27"/>
      <c r="L104" s="27"/>
    </row>
    <row r="105" spans="10:12" x14ac:dyDescent="0.3">
      <c r="J105" s="27"/>
      <c r="L105" s="27"/>
    </row>
    <row r="106" spans="10:12" x14ac:dyDescent="0.3">
      <c r="J106" s="27"/>
      <c r="L106" s="27"/>
    </row>
    <row r="107" spans="10:12" x14ac:dyDescent="0.3">
      <c r="J107" s="27"/>
      <c r="L107" s="27"/>
    </row>
    <row r="108" spans="10:12" x14ac:dyDescent="0.3">
      <c r="J108" s="27"/>
      <c r="L108" s="27"/>
    </row>
    <row r="109" spans="10:12" x14ac:dyDescent="0.3">
      <c r="J109" s="27"/>
      <c r="L109" s="27"/>
    </row>
    <row r="110" spans="10:12" x14ac:dyDescent="0.3">
      <c r="J110" s="27"/>
      <c r="L110" s="27"/>
    </row>
    <row r="111" spans="10:12" x14ac:dyDescent="0.3">
      <c r="J111" s="27"/>
      <c r="L111" s="27"/>
    </row>
  </sheetData>
  <pageMargins left="0.511811024" right="0.511811024" top="0.78740157499999996" bottom="0.78740157499999996" header="0.31496062000000002" footer="0.3149606200000000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27B24-7818-435A-BA81-AEC859389AE6}">
  <sheetPr codeName="Planilha57">
    <tabColor theme="9" tint="0.59999389629810485"/>
  </sheetPr>
  <dimension ref="A1:U112"/>
  <sheetViews>
    <sheetView showGridLines="0" workbookViewId="0">
      <selection activeCell="M20" sqref="M20"/>
    </sheetView>
  </sheetViews>
  <sheetFormatPr defaultColWidth="8.85546875" defaultRowHeight="18.75" x14ac:dyDescent="0.3"/>
  <cols>
    <col min="1" max="1" width="12.7109375" style="17" customWidth="1"/>
    <col min="2" max="3" width="26.28515625" customWidth="1"/>
    <col min="4" max="4" width="8.85546875" customWidth="1"/>
    <col min="10" max="11" width="12.42578125" bestFit="1" customWidth="1"/>
    <col min="13" max="15" width="11.28515625" style="15" bestFit="1" customWidth="1"/>
    <col min="16" max="19" width="8.85546875" style="15"/>
    <col min="20" max="20" width="10.5703125" style="15" customWidth="1"/>
    <col min="21" max="21" width="8.85546875" style="15"/>
  </cols>
  <sheetData>
    <row r="1" spans="1:21" x14ac:dyDescent="0.3">
      <c r="A1" s="16" t="s">
        <v>392</v>
      </c>
      <c r="M1" s="14"/>
      <c r="N1" s="14"/>
      <c r="O1" s="14"/>
      <c r="P1" s="14"/>
      <c r="Q1" s="14"/>
      <c r="R1" s="14"/>
      <c r="S1" s="14"/>
      <c r="T1" s="14"/>
      <c r="U1" s="14"/>
    </row>
    <row r="2" spans="1:21" x14ac:dyDescent="0.3">
      <c r="A2" s="17" t="s">
        <v>401</v>
      </c>
      <c r="M2" s="14"/>
      <c r="N2" s="14"/>
      <c r="O2" s="14"/>
      <c r="P2" s="14"/>
      <c r="Q2" s="14"/>
      <c r="R2" s="14"/>
      <c r="S2" s="14"/>
      <c r="T2" s="14"/>
      <c r="U2" s="14"/>
    </row>
    <row r="3" spans="1:21" ht="15" x14ac:dyDescent="0.25">
      <c r="A3" t="s">
        <v>400</v>
      </c>
    </row>
    <row r="4" spans="1:21" ht="15" x14ac:dyDescent="0.25">
      <c r="A4" s="86"/>
    </row>
    <row r="5" spans="1:21" ht="15.75" x14ac:dyDescent="0.25">
      <c r="A5" s="2" t="s">
        <v>15</v>
      </c>
      <c r="B5" s="2" t="s">
        <v>16</v>
      </c>
      <c r="C5" s="2"/>
    </row>
    <row r="6" spans="1:21" ht="31.5" x14ac:dyDescent="0.25">
      <c r="A6" s="23" t="s">
        <v>393</v>
      </c>
      <c r="B6" s="26" t="s">
        <v>320</v>
      </c>
      <c r="C6" s="26"/>
    </row>
    <row r="7" spans="1:21" ht="63" x14ac:dyDescent="0.25">
      <c r="A7" s="23" t="s">
        <v>394</v>
      </c>
      <c r="B7" s="26" t="s">
        <v>399</v>
      </c>
      <c r="C7" s="26"/>
    </row>
    <row r="8" spans="1:21" ht="47.25" x14ac:dyDescent="0.25">
      <c r="A8" s="23" t="s">
        <v>395</v>
      </c>
      <c r="B8" s="26" t="s">
        <v>396</v>
      </c>
      <c r="C8" s="26"/>
    </row>
    <row r="9" spans="1:21" ht="15.75" x14ac:dyDescent="0.25">
      <c r="A9" s="23"/>
      <c r="B9" s="26"/>
      <c r="C9" s="26"/>
    </row>
    <row r="10" spans="1:21" ht="15.75" x14ac:dyDescent="0.25">
      <c r="A10" s="23"/>
    </row>
    <row r="11" spans="1:21" ht="15.75" x14ac:dyDescent="0.25">
      <c r="A11" s="23"/>
    </row>
    <row r="12" spans="1:21" x14ac:dyDescent="0.3">
      <c r="J12" s="49" t="s">
        <v>397</v>
      </c>
      <c r="K12" s="49" t="s">
        <v>398</v>
      </c>
    </row>
    <row r="13" spans="1:21" x14ac:dyDescent="0.3">
      <c r="D13" s="1" t="s">
        <v>17</v>
      </c>
      <c r="E13" s="13" t="s">
        <v>393</v>
      </c>
      <c r="F13" s="12">
        <v>1</v>
      </c>
      <c r="G13" s="12">
        <v>2</v>
      </c>
      <c r="H13" s="12">
        <v>2</v>
      </c>
      <c r="J13" s="12" t="b">
        <v>1</v>
      </c>
      <c r="K13" s="12" t="b">
        <v>1</v>
      </c>
      <c r="M13" s="28" cm="1">
        <f t="array" ref="M13:O17">_xlfn.LAMBDA(_xlpm.range,_xlop.sortRows,_xlop.asc,
    _xlfn.LET(
        _xlpm.asc, IF(_xlfn.ISOMITTED(_xlpm.asc),TRUE,_xlpm.asc),
        _xlpm.nRows, ROWS(_xlpm.range),
        _xlpm.mCols, COLUMNS(_xlpm.range),
        _xlfn.SWITCH(IF(_xlpm.sortRows,1), 1,
            _xlfn.MAKEARRAY(_xlpm.nRows,_xlpm.mCols,
                _xlfn.LAMBDA(_xlpm.i,_xlpm.j,
                    INDEX( _xlfn.BYROW(_xlpm.range,
                            _xlfn.LAMBDA(_xlpm.value,
                                IF( _xlpm.asc,
                                    _xlfn.LET(_xlpm.sortedValue, _xlfn._xlws.SORT(_xlpm.value,,,TRUE), SLICE(_xlpm.sortedValue,1,1,_xlpm.j,_xlpm.j)),
                                    _xlfn.LET(_xlpm.sortedValue, _xlfn._xlws.SORT(_xlpm.value,,-1,TRUE), SLICE(_xlpm.sortedValue, 1,1,_xlpm.j,_xlpm.j))
                                )
                            )
                    ), _xlpm.i, 1)
                )
            ),
            _xlfn.MAKEARRAY(_xlpm.nRows,_xlpm.mCols,
                _xlfn.LAMBDA(_xlpm.i,_xlpm.j,
                    INDEX( _xlfn.BYCOL(_xlpm.range,
                        _xlfn.LAMBDA(_xlpm.value,
                            IF( _xlpm.asc,
                                _xlfn.LET(_xlpm.sortedValue, _xlfn._xlws.SORT(_xlpm.value,,,FALSE), SLICE(_xlpm.sortedValue, _xlpm.i, _xlpm.i, 1, 1)),
                                _xlfn.LET(_xlpm.sortedValue, _xlfn._xlws.SORT(_xlpm.value,,-1,FALSE), SLICE(_xlpm.sortedValue, _xlpm.i, _xlpm.i, 1, 1))
                            )
                        )
                    ), 1, _xlpm.j)
                )
            )
        )
    )
)(F13:H17,$J$13,$K$13)</f>
        <v>1</v>
      </c>
      <c r="N13" s="28">
        <v>2</v>
      </c>
      <c r="O13" s="28">
        <v>2</v>
      </c>
    </row>
    <row r="14" spans="1:21" x14ac:dyDescent="0.3">
      <c r="F14" s="12" t="s">
        <v>334</v>
      </c>
      <c r="G14" s="12" t="s">
        <v>333</v>
      </c>
      <c r="H14" s="12">
        <v>1</v>
      </c>
      <c r="M14" s="28">
        <v>1</v>
      </c>
      <c r="N14" s="28" t="str">
        <v>a</v>
      </c>
      <c r="O14" s="28" t="str">
        <v>b</v>
      </c>
    </row>
    <row r="15" spans="1:21" x14ac:dyDescent="0.3">
      <c r="F15" s="12">
        <v>5</v>
      </c>
      <c r="G15" s="12">
        <v>6</v>
      </c>
      <c r="H15" s="12">
        <v>6</v>
      </c>
      <c r="M15" s="28">
        <v>5</v>
      </c>
      <c r="N15" s="28">
        <v>6</v>
      </c>
      <c r="O15" s="28">
        <v>6</v>
      </c>
    </row>
    <row r="16" spans="1:21" x14ac:dyDescent="0.3">
      <c r="F16" s="12">
        <v>7</v>
      </c>
      <c r="G16" s="12">
        <v>7</v>
      </c>
      <c r="H16" s="12">
        <v>5</v>
      </c>
      <c r="M16" s="28">
        <v>5</v>
      </c>
      <c r="N16" s="28">
        <v>7</v>
      </c>
      <c r="O16" s="28">
        <v>7</v>
      </c>
    </row>
    <row r="17" spans="1:15" x14ac:dyDescent="0.3">
      <c r="F17" s="12">
        <v>9</v>
      </c>
      <c r="G17" s="12">
        <v>10</v>
      </c>
      <c r="H17" s="12">
        <v>12</v>
      </c>
      <c r="M17" s="28">
        <v>9</v>
      </c>
      <c r="N17" s="28">
        <v>10</v>
      </c>
      <c r="O17" s="28">
        <v>12</v>
      </c>
    </row>
    <row r="18" spans="1:15" s="15" customFormat="1" x14ac:dyDescent="0.3">
      <c r="A18" s="17"/>
      <c r="B18"/>
      <c r="C18"/>
      <c r="D18"/>
      <c r="E18"/>
      <c r="F18"/>
      <c r="G18"/>
      <c r="H18"/>
      <c r="I18"/>
      <c r="J18"/>
      <c r="K18"/>
      <c r="L18"/>
      <c r="M18" s="27"/>
      <c r="N18" s="27"/>
      <c r="O18" s="27"/>
    </row>
    <row r="19" spans="1:15" s="15" customFormat="1" x14ac:dyDescent="0.3">
      <c r="A19" s="17"/>
      <c r="B19"/>
      <c r="C19"/>
      <c r="D19"/>
      <c r="E19"/>
      <c r="F19"/>
      <c r="G19"/>
      <c r="H19"/>
      <c r="I19"/>
      <c r="J19" s="49" t="s">
        <v>397</v>
      </c>
      <c r="K19" s="49" t="s">
        <v>398</v>
      </c>
      <c r="L19"/>
      <c r="M19" s="27"/>
      <c r="N19" s="27"/>
      <c r="O19" s="27"/>
    </row>
    <row r="20" spans="1:15" s="15" customFormat="1" x14ac:dyDescent="0.3">
      <c r="A20" s="17"/>
      <c r="B20"/>
      <c r="C20"/>
      <c r="D20" s="1" t="s">
        <v>17</v>
      </c>
      <c r="E20" s="13" t="s">
        <v>393</v>
      </c>
      <c r="F20" s="12">
        <v>10</v>
      </c>
      <c r="G20" s="12">
        <v>2</v>
      </c>
      <c r="H20" s="12">
        <v>30</v>
      </c>
      <c r="I20"/>
      <c r="J20" s="12" t="b">
        <v>0</v>
      </c>
      <c r="K20" s="12" t="b">
        <v>1</v>
      </c>
      <c r="L20"/>
      <c r="M20" s="28" cm="1">
        <f t="array" ref="M20:O21">SORTRANGE($F$20:$H$21,$J$20,$K$20)</f>
        <v>4</v>
      </c>
      <c r="N20" s="28">
        <v>2</v>
      </c>
      <c r="O20" s="28">
        <v>6</v>
      </c>
    </row>
    <row r="21" spans="1:15" s="15" customFormat="1" x14ac:dyDescent="0.3">
      <c r="A21" s="17"/>
      <c r="B21"/>
      <c r="C21"/>
      <c r="D21"/>
      <c r="E21"/>
      <c r="F21" s="12">
        <v>4</v>
      </c>
      <c r="G21" s="12">
        <v>50</v>
      </c>
      <c r="H21" s="12">
        <v>6</v>
      </c>
      <c r="I21"/>
      <c r="J21"/>
      <c r="K21"/>
      <c r="L21"/>
      <c r="M21" s="28">
        <v>10</v>
      </c>
      <c r="N21" s="28">
        <v>50</v>
      </c>
      <c r="O21" s="28">
        <v>30</v>
      </c>
    </row>
    <row r="22" spans="1:15" s="15" customFormat="1" x14ac:dyDescent="0.3">
      <c r="A22" s="17"/>
      <c r="B22"/>
      <c r="C22"/>
      <c r="D22"/>
      <c r="E22"/>
      <c r="F22"/>
      <c r="G22"/>
      <c r="H22"/>
      <c r="I22"/>
      <c r="J22"/>
      <c r="K22"/>
      <c r="L22"/>
      <c r="M22" s="27"/>
      <c r="N22" s="27"/>
      <c r="O22" s="27"/>
    </row>
    <row r="23" spans="1:15" s="15" customFormat="1" x14ac:dyDescent="0.3">
      <c r="A23" s="17"/>
      <c r="B23"/>
      <c r="C23"/>
      <c r="D23"/>
      <c r="E23"/>
      <c r="F23"/>
      <c r="G23"/>
      <c r="H23"/>
      <c r="I23"/>
      <c r="J23"/>
      <c r="K23"/>
      <c r="L23"/>
      <c r="M23" s="27"/>
      <c r="N23" s="27"/>
      <c r="O23" s="27"/>
    </row>
    <row r="24" spans="1:15" s="15" customFormat="1" x14ac:dyDescent="0.3">
      <c r="A24" s="17"/>
      <c r="B24"/>
      <c r="C24"/>
      <c r="D24"/>
      <c r="E24"/>
      <c r="F24"/>
      <c r="G24"/>
      <c r="H24"/>
      <c r="I24"/>
      <c r="J24"/>
      <c r="K24"/>
      <c r="L24"/>
      <c r="M24" s="27"/>
      <c r="N24" s="27"/>
      <c r="O24" s="27"/>
    </row>
    <row r="25" spans="1:15" s="15" customFormat="1" x14ac:dyDescent="0.3">
      <c r="A25" s="17"/>
      <c r="B25"/>
      <c r="C25"/>
      <c r="D25"/>
      <c r="E25"/>
      <c r="F25"/>
      <c r="G25"/>
      <c r="H25"/>
      <c r="I25"/>
      <c r="J25"/>
      <c r="K25"/>
      <c r="L25"/>
      <c r="M25" s="27"/>
      <c r="N25" s="27"/>
      <c r="O25" s="27"/>
    </row>
    <row r="26" spans="1:15" s="15" customFormat="1" x14ac:dyDescent="0.3">
      <c r="A26" s="17"/>
      <c r="B26"/>
      <c r="C26"/>
      <c r="D26"/>
      <c r="E26"/>
      <c r="F26"/>
      <c r="G26"/>
      <c r="H26"/>
      <c r="I26"/>
      <c r="J26"/>
      <c r="K26"/>
      <c r="L26"/>
      <c r="M26" s="27"/>
      <c r="N26" s="27"/>
      <c r="O26" s="27"/>
    </row>
    <row r="27" spans="1:15" s="15" customFormat="1" x14ac:dyDescent="0.3">
      <c r="A27" s="17"/>
      <c r="B27"/>
      <c r="C27"/>
      <c r="D27"/>
      <c r="E27"/>
      <c r="F27"/>
      <c r="G27"/>
      <c r="H27"/>
      <c r="I27"/>
      <c r="J27"/>
      <c r="K27"/>
      <c r="L27"/>
      <c r="M27" s="27"/>
      <c r="N27" s="27"/>
      <c r="O27" s="27"/>
    </row>
    <row r="28" spans="1:15" s="15" customFormat="1" x14ac:dyDescent="0.3">
      <c r="A28" s="17"/>
      <c r="B28"/>
      <c r="C28"/>
      <c r="D28"/>
      <c r="E28"/>
      <c r="F28"/>
      <c r="G28"/>
      <c r="H28"/>
      <c r="I28"/>
      <c r="J28"/>
      <c r="K28"/>
      <c r="L28"/>
      <c r="M28" s="27"/>
      <c r="N28" s="27"/>
      <c r="O28" s="27"/>
    </row>
    <row r="29" spans="1:15" s="15" customFormat="1" x14ac:dyDescent="0.3">
      <c r="A29" s="17"/>
      <c r="B29"/>
      <c r="C29"/>
      <c r="D29"/>
      <c r="E29"/>
      <c r="F29"/>
      <c r="G29"/>
      <c r="H29"/>
      <c r="I29"/>
      <c r="J29"/>
      <c r="K29"/>
      <c r="L29"/>
      <c r="M29" s="27"/>
      <c r="N29" s="27"/>
      <c r="O29" s="27"/>
    </row>
    <row r="30" spans="1:15" s="15" customFormat="1" x14ac:dyDescent="0.3">
      <c r="A30" s="17"/>
      <c r="B30"/>
      <c r="C30"/>
      <c r="D30"/>
      <c r="E30"/>
      <c r="F30"/>
      <c r="G30"/>
      <c r="H30"/>
      <c r="I30"/>
      <c r="J30"/>
      <c r="K30"/>
      <c r="L30"/>
      <c r="M30" s="27"/>
      <c r="N30" s="27"/>
      <c r="O30" s="27"/>
    </row>
    <row r="31" spans="1:15" s="15" customFormat="1" x14ac:dyDescent="0.3">
      <c r="A31" s="17"/>
      <c r="B31"/>
      <c r="C31"/>
      <c r="D31"/>
      <c r="E31"/>
      <c r="F31"/>
      <c r="G31"/>
      <c r="H31"/>
      <c r="I31"/>
      <c r="J31"/>
      <c r="K31"/>
      <c r="L31"/>
      <c r="M31" s="27"/>
      <c r="N31" s="27"/>
      <c r="O31" s="27"/>
    </row>
    <row r="32" spans="1:15" s="15" customFormat="1" x14ac:dyDescent="0.3">
      <c r="A32" s="17"/>
      <c r="B32"/>
      <c r="C32"/>
      <c r="D32"/>
      <c r="E32"/>
      <c r="F32"/>
      <c r="G32"/>
      <c r="H32"/>
      <c r="I32"/>
      <c r="J32"/>
      <c r="K32"/>
      <c r="L32"/>
      <c r="M32" s="27"/>
      <c r="N32" s="27"/>
      <c r="O32" s="27"/>
    </row>
    <row r="33" spans="1:15" s="15" customFormat="1" x14ac:dyDescent="0.3">
      <c r="A33" s="17"/>
      <c r="B33"/>
      <c r="C33"/>
      <c r="D33"/>
      <c r="E33"/>
      <c r="F33"/>
      <c r="G33"/>
      <c r="H33"/>
      <c r="I33"/>
      <c r="J33"/>
      <c r="K33"/>
      <c r="L33"/>
      <c r="M33" s="27"/>
      <c r="N33" s="27"/>
      <c r="O33" s="27"/>
    </row>
    <row r="34" spans="1:15" s="15" customFormat="1" x14ac:dyDescent="0.3">
      <c r="A34" s="17"/>
      <c r="B34"/>
      <c r="C34"/>
      <c r="D34"/>
      <c r="E34"/>
      <c r="F34"/>
      <c r="G34"/>
      <c r="H34"/>
      <c r="I34"/>
      <c r="J34"/>
      <c r="K34"/>
      <c r="L34"/>
      <c r="M34" s="27"/>
      <c r="N34" s="27"/>
      <c r="O34" s="27"/>
    </row>
    <row r="35" spans="1:15" s="15" customFormat="1" x14ac:dyDescent="0.3">
      <c r="A35" s="17"/>
      <c r="B35"/>
      <c r="C35"/>
      <c r="D35"/>
      <c r="E35"/>
      <c r="F35"/>
      <c r="G35"/>
      <c r="H35"/>
      <c r="I35"/>
      <c r="J35"/>
      <c r="K35"/>
      <c r="L35"/>
      <c r="M35" s="27"/>
      <c r="N35" s="27"/>
      <c r="O35" s="27"/>
    </row>
    <row r="36" spans="1:15" s="15" customFormat="1" x14ac:dyDescent="0.3">
      <c r="A36" s="17"/>
      <c r="B36"/>
      <c r="C36"/>
      <c r="D36"/>
      <c r="E36"/>
      <c r="F36"/>
      <c r="G36"/>
      <c r="H36"/>
      <c r="I36"/>
      <c r="J36"/>
      <c r="K36"/>
      <c r="L36"/>
      <c r="M36" s="27"/>
      <c r="N36" s="27"/>
      <c r="O36" s="27"/>
    </row>
    <row r="37" spans="1:15" s="15" customFormat="1" x14ac:dyDescent="0.3">
      <c r="A37" s="17"/>
      <c r="B37"/>
      <c r="C37"/>
      <c r="D37"/>
      <c r="E37"/>
      <c r="F37"/>
      <c r="G37"/>
      <c r="H37"/>
      <c r="I37"/>
      <c r="J37"/>
      <c r="K37"/>
      <c r="L37"/>
      <c r="M37" s="27"/>
      <c r="N37" s="27"/>
      <c r="O37" s="27"/>
    </row>
    <row r="38" spans="1:15" s="15" customFormat="1" x14ac:dyDescent="0.3">
      <c r="A38" s="17"/>
      <c r="B38"/>
      <c r="C38"/>
      <c r="D38"/>
      <c r="E38"/>
      <c r="F38"/>
      <c r="G38"/>
      <c r="H38"/>
      <c r="I38"/>
      <c r="J38"/>
      <c r="K38"/>
      <c r="L38"/>
      <c r="M38" s="27"/>
      <c r="N38" s="27"/>
      <c r="O38" s="27"/>
    </row>
    <row r="39" spans="1:15" s="15" customFormat="1" x14ac:dyDescent="0.3">
      <c r="A39" s="17"/>
      <c r="B39"/>
      <c r="C39"/>
      <c r="D39"/>
      <c r="E39"/>
      <c r="F39"/>
      <c r="G39"/>
      <c r="H39"/>
      <c r="I39"/>
      <c r="J39"/>
      <c r="K39"/>
      <c r="L39"/>
      <c r="M39" s="27"/>
      <c r="N39" s="27"/>
      <c r="O39" s="27"/>
    </row>
    <row r="40" spans="1:15" s="15" customFormat="1" x14ac:dyDescent="0.3">
      <c r="A40" s="17"/>
      <c r="B40"/>
      <c r="C40"/>
      <c r="D40"/>
      <c r="E40"/>
      <c r="F40"/>
      <c r="G40"/>
      <c r="H40"/>
      <c r="I40"/>
      <c r="J40"/>
      <c r="K40"/>
      <c r="L40"/>
      <c r="M40" s="27"/>
      <c r="N40" s="27"/>
      <c r="O40" s="27"/>
    </row>
    <row r="41" spans="1:15" s="15" customFormat="1" x14ac:dyDescent="0.3">
      <c r="A41" s="17"/>
      <c r="B41"/>
      <c r="C41"/>
      <c r="D41"/>
      <c r="E41"/>
      <c r="F41"/>
      <c r="G41"/>
      <c r="H41"/>
      <c r="I41"/>
      <c r="J41"/>
      <c r="K41"/>
      <c r="L41"/>
      <c r="M41" s="27"/>
      <c r="N41" s="27"/>
      <c r="O41" s="27"/>
    </row>
    <row r="42" spans="1:15" s="15" customFormat="1" x14ac:dyDescent="0.3">
      <c r="A42" s="17"/>
      <c r="B42"/>
      <c r="C42"/>
      <c r="D42"/>
      <c r="E42"/>
      <c r="F42"/>
      <c r="G42"/>
      <c r="H42"/>
      <c r="I42"/>
      <c r="J42"/>
      <c r="K42"/>
      <c r="L42"/>
      <c r="M42" s="27"/>
      <c r="N42" s="27"/>
      <c r="O42" s="27"/>
    </row>
    <row r="43" spans="1:15" s="15" customFormat="1" x14ac:dyDescent="0.3">
      <c r="A43" s="17"/>
      <c r="B43"/>
      <c r="C43"/>
      <c r="D43"/>
      <c r="E43"/>
      <c r="F43"/>
      <c r="G43"/>
      <c r="H43"/>
      <c r="I43"/>
      <c r="J43"/>
      <c r="K43"/>
      <c r="L43"/>
      <c r="M43" s="27"/>
      <c r="N43" s="27"/>
      <c r="O43" s="27"/>
    </row>
    <row r="44" spans="1:15" s="15" customFormat="1" x14ac:dyDescent="0.3">
      <c r="A44" s="17"/>
      <c r="B44"/>
      <c r="C44"/>
      <c r="D44"/>
      <c r="E44"/>
      <c r="F44"/>
      <c r="G44"/>
      <c r="H44"/>
      <c r="I44"/>
      <c r="J44"/>
      <c r="K44"/>
      <c r="L44"/>
      <c r="M44" s="27"/>
      <c r="N44" s="27"/>
      <c r="O44" s="27"/>
    </row>
    <row r="45" spans="1:15" s="15" customFormat="1" x14ac:dyDescent="0.3">
      <c r="A45" s="17"/>
      <c r="B45"/>
      <c r="C45"/>
      <c r="D45"/>
      <c r="E45"/>
      <c r="F45"/>
      <c r="G45"/>
      <c r="H45"/>
      <c r="I45"/>
      <c r="J45"/>
      <c r="K45"/>
      <c r="L45"/>
      <c r="M45" s="27"/>
      <c r="N45" s="27"/>
      <c r="O45" s="27"/>
    </row>
    <row r="46" spans="1:15" s="15" customFormat="1" x14ac:dyDescent="0.3">
      <c r="A46" s="17"/>
      <c r="B46"/>
      <c r="C46"/>
      <c r="D46"/>
      <c r="E46"/>
      <c r="F46"/>
      <c r="G46"/>
      <c r="H46"/>
      <c r="I46"/>
      <c r="J46"/>
      <c r="K46"/>
      <c r="L46"/>
      <c r="M46" s="27"/>
      <c r="N46" s="27"/>
      <c r="O46" s="27"/>
    </row>
    <row r="47" spans="1:15" s="15" customFormat="1" x14ac:dyDescent="0.3">
      <c r="A47" s="17"/>
      <c r="B47"/>
      <c r="C47"/>
      <c r="D47"/>
      <c r="E47"/>
      <c r="F47"/>
      <c r="G47"/>
      <c r="H47"/>
      <c r="I47"/>
      <c r="J47"/>
      <c r="K47"/>
      <c r="L47"/>
      <c r="M47" s="27"/>
      <c r="N47" s="27"/>
      <c r="O47" s="27"/>
    </row>
    <row r="48" spans="1:15" s="15" customFormat="1" x14ac:dyDescent="0.3">
      <c r="A48" s="17"/>
      <c r="B48"/>
      <c r="C48"/>
      <c r="D48"/>
      <c r="E48"/>
      <c r="F48"/>
      <c r="G48"/>
      <c r="H48"/>
      <c r="I48"/>
      <c r="J48"/>
      <c r="K48"/>
      <c r="L48"/>
      <c r="M48" s="27"/>
      <c r="N48" s="27"/>
      <c r="O48" s="27"/>
    </row>
    <row r="49" spans="1:15" s="15" customFormat="1" x14ac:dyDescent="0.3">
      <c r="A49" s="17"/>
      <c r="B49"/>
      <c r="C49"/>
      <c r="D49"/>
      <c r="E49"/>
      <c r="F49"/>
      <c r="G49"/>
      <c r="H49"/>
      <c r="I49"/>
      <c r="J49"/>
      <c r="K49"/>
      <c r="L49"/>
      <c r="M49" s="27"/>
      <c r="N49" s="27"/>
      <c r="O49" s="27"/>
    </row>
    <row r="50" spans="1:15" s="15" customFormat="1" x14ac:dyDescent="0.3">
      <c r="A50" s="17"/>
      <c r="B50"/>
      <c r="C50"/>
      <c r="D50"/>
      <c r="E50"/>
      <c r="F50"/>
      <c r="G50"/>
      <c r="H50"/>
      <c r="I50"/>
      <c r="J50"/>
      <c r="K50"/>
      <c r="L50"/>
      <c r="M50" s="27"/>
      <c r="N50" s="27"/>
      <c r="O50" s="27"/>
    </row>
    <row r="51" spans="1:15" s="15" customFormat="1" x14ac:dyDescent="0.3">
      <c r="A51" s="17"/>
      <c r="B51"/>
      <c r="C51"/>
      <c r="D51"/>
      <c r="E51"/>
      <c r="F51"/>
      <c r="G51"/>
      <c r="H51"/>
      <c r="I51"/>
      <c r="J51"/>
      <c r="K51"/>
      <c r="L51"/>
      <c r="M51" s="27"/>
      <c r="N51" s="27"/>
      <c r="O51" s="27"/>
    </row>
    <row r="52" spans="1:15" s="15" customFormat="1" x14ac:dyDescent="0.3">
      <c r="A52" s="17"/>
      <c r="B52"/>
      <c r="C52"/>
      <c r="D52"/>
      <c r="E52"/>
      <c r="F52"/>
      <c r="G52"/>
      <c r="H52"/>
      <c r="I52"/>
      <c r="J52"/>
      <c r="K52"/>
      <c r="L52"/>
      <c r="M52" s="27"/>
      <c r="N52" s="27"/>
      <c r="O52" s="27"/>
    </row>
    <row r="53" spans="1:15" s="15" customFormat="1" x14ac:dyDescent="0.3">
      <c r="A53" s="17"/>
      <c r="B53"/>
      <c r="C53"/>
      <c r="D53"/>
      <c r="E53"/>
      <c r="F53"/>
      <c r="G53"/>
      <c r="H53"/>
      <c r="I53"/>
      <c r="J53"/>
      <c r="K53"/>
      <c r="L53"/>
      <c r="M53" s="27"/>
      <c r="N53" s="27"/>
      <c r="O53" s="27"/>
    </row>
    <row r="54" spans="1:15" s="15" customFormat="1" x14ac:dyDescent="0.3">
      <c r="A54" s="17"/>
      <c r="B54"/>
      <c r="C54"/>
      <c r="D54"/>
      <c r="E54"/>
      <c r="F54"/>
      <c r="G54"/>
      <c r="H54"/>
      <c r="I54"/>
      <c r="J54"/>
      <c r="K54"/>
      <c r="L54"/>
      <c r="M54" s="27"/>
      <c r="N54" s="27"/>
      <c r="O54" s="27"/>
    </row>
    <row r="55" spans="1:15" s="15" customFormat="1" x14ac:dyDescent="0.3">
      <c r="A55" s="17"/>
      <c r="B55"/>
      <c r="C55"/>
      <c r="D55"/>
      <c r="E55"/>
      <c r="F55"/>
      <c r="G55"/>
      <c r="H55"/>
      <c r="I55"/>
      <c r="J55"/>
      <c r="K55"/>
      <c r="L55"/>
      <c r="M55" s="27"/>
      <c r="N55" s="27"/>
      <c r="O55" s="27"/>
    </row>
    <row r="56" spans="1:15" s="15" customFormat="1" x14ac:dyDescent="0.3">
      <c r="A56" s="17"/>
      <c r="B56"/>
      <c r="C56"/>
      <c r="D56"/>
      <c r="E56"/>
      <c r="F56"/>
      <c r="G56"/>
      <c r="H56"/>
      <c r="I56"/>
      <c r="J56"/>
      <c r="K56"/>
      <c r="L56"/>
      <c r="M56" s="27"/>
      <c r="N56" s="27"/>
      <c r="O56" s="27"/>
    </row>
    <row r="57" spans="1:15" s="15" customFormat="1" x14ac:dyDescent="0.3">
      <c r="A57" s="17"/>
      <c r="B57"/>
      <c r="C57"/>
      <c r="D57"/>
      <c r="E57"/>
      <c r="F57"/>
      <c r="G57"/>
      <c r="H57"/>
      <c r="I57"/>
      <c r="J57"/>
      <c r="K57"/>
      <c r="L57"/>
      <c r="M57" s="27"/>
      <c r="N57" s="27"/>
      <c r="O57" s="27"/>
    </row>
    <row r="58" spans="1:15" s="15" customFormat="1" x14ac:dyDescent="0.3">
      <c r="A58" s="17"/>
      <c r="B58"/>
      <c r="C58"/>
      <c r="D58"/>
      <c r="E58"/>
      <c r="F58"/>
      <c r="G58"/>
      <c r="H58"/>
      <c r="I58"/>
      <c r="J58"/>
      <c r="K58"/>
      <c r="L58"/>
      <c r="M58" s="27"/>
      <c r="N58" s="27"/>
      <c r="O58" s="27"/>
    </row>
    <row r="59" spans="1:15" s="15" customFormat="1" x14ac:dyDescent="0.3">
      <c r="A59" s="17"/>
      <c r="B59"/>
      <c r="C59"/>
      <c r="D59"/>
      <c r="E59"/>
      <c r="F59"/>
      <c r="G59"/>
      <c r="H59"/>
      <c r="I59"/>
      <c r="J59"/>
      <c r="K59"/>
      <c r="L59"/>
      <c r="M59" s="27"/>
      <c r="N59" s="27"/>
      <c r="O59" s="27"/>
    </row>
    <row r="60" spans="1:15" s="15" customFormat="1" x14ac:dyDescent="0.3">
      <c r="A60" s="17"/>
      <c r="B60"/>
      <c r="C60"/>
      <c r="D60"/>
      <c r="E60"/>
      <c r="F60"/>
      <c r="G60"/>
      <c r="H60"/>
      <c r="I60"/>
      <c r="J60"/>
      <c r="K60"/>
      <c r="L60"/>
      <c r="M60" s="27"/>
      <c r="N60" s="27"/>
      <c r="O60" s="27"/>
    </row>
    <row r="61" spans="1:15" s="15" customFormat="1" x14ac:dyDescent="0.3">
      <c r="A61" s="17"/>
      <c r="B61"/>
      <c r="C61"/>
      <c r="D61"/>
      <c r="E61"/>
      <c r="F61"/>
      <c r="G61"/>
      <c r="H61"/>
      <c r="I61"/>
      <c r="J61"/>
      <c r="K61"/>
      <c r="L61"/>
      <c r="M61" s="27"/>
      <c r="N61" s="27"/>
      <c r="O61" s="27"/>
    </row>
    <row r="62" spans="1:15" s="15" customFormat="1" x14ac:dyDescent="0.3">
      <c r="A62" s="17"/>
      <c r="B62"/>
      <c r="C62"/>
      <c r="D62"/>
      <c r="E62"/>
      <c r="F62"/>
      <c r="G62"/>
      <c r="H62"/>
      <c r="I62"/>
      <c r="J62"/>
      <c r="K62"/>
      <c r="L62"/>
      <c r="M62" s="27"/>
      <c r="N62" s="27"/>
      <c r="O62" s="27"/>
    </row>
    <row r="63" spans="1:15" s="15" customFormat="1" x14ac:dyDescent="0.3">
      <c r="A63" s="17"/>
      <c r="B63"/>
      <c r="C63"/>
      <c r="D63"/>
      <c r="E63"/>
      <c r="F63"/>
      <c r="G63"/>
      <c r="H63"/>
      <c r="I63"/>
      <c r="J63"/>
      <c r="K63"/>
      <c r="L63"/>
      <c r="M63" s="27"/>
      <c r="N63" s="27"/>
      <c r="O63" s="27"/>
    </row>
    <row r="64" spans="1:15" s="15" customFormat="1" x14ac:dyDescent="0.3">
      <c r="A64" s="17"/>
      <c r="B64"/>
      <c r="C64"/>
      <c r="D64"/>
      <c r="E64"/>
      <c r="F64"/>
      <c r="G64"/>
      <c r="H64"/>
      <c r="I64"/>
      <c r="J64"/>
      <c r="K64"/>
      <c r="L64"/>
      <c r="M64" s="27"/>
      <c r="N64" s="27"/>
      <c r="O64" s="27"/>
    </row>
    <row r="65" spans="1:15" s="15" customFormat="1" x14ac:dyDescent="0.3">
      <c r="A65" s="17"/>
      <c r="B65"/>
      <c r="C65"/>
      <c r="D65"/>
      <c r="E65"/>
      <c r="F65"/>
      <c r="G65"/>
      <c r="H65"/>
      <c r="I65"/>
      <c r="J65"/>
      <c r="K65"/>
      <c r="L65"/>
      <c r="M65" s="27"/>
      <c r="N65" s="27"/>
      <c r="O65" s="27"/>
    </row>
    <row r="66" spans="1:15" s="15" customFormat="1" x14ac:dyDescent="0.3">
      <c r="A66" s="17"/>
      <c r="B66"/>
      <c r="C66"/>
      <c r="D66"/>
      <c r="E66"/>
      <c r="F66"/>
      <c r="G66"/>
      <c r="H66"/>
      <c r="I66"/>
      <c r="J66"/>
      <c r="K66"/>
      <c r="L66"/>
      <c r="M66" s="27"/>
      <c r="N66" s="27"/>
      <c r="O66" s="27"/>
    </row>
    <row r="67" spans="1:15" s="15" customFormat="1" x14ac:dyDescent="0.3">
      <c r="A67" s="17"/>
      <c r="B67"/>
      <c r="C67"/>
      <c r="D67"/>
      <c r="E67"/>
      <c r="F67"/>
      <c r="G67"/>
      <c r="H67"/>
      <c r="I67"/>
      <c r="J67"/>
      <c r="K67"/>
      <c r="L67"/>
      <c r="M67" s="27"/>
      <c r="N67" s="27"/>
      <c r="O67" s="27"/>
    </row>
    <row r="68" spans="1:15" s="15" customFormat="1" x14ac:dyDescent="0.3">
      <c r="A68" s="17"/>
      <c r="B68"/>
      <c r="C68"/>
      <c r="D68"/>
      <c r="E68"/>
      <c r="F68"/>
      <c r="G68"/>
      <c r="H68"/>
      <c r="I68"/>
      <c r="J68"/>
      <c r="K68"/>
      <c r="L68"/>
      <c r="M68" s="27"/>
      <c r="N68" s="27"/>
      <c r="O68" s="27"/>
    </row>
    <row r="69" spans="1:15" s="15" customFormat="1" x14ac:dyDescent="0.3">
      <c r="A69" s="17"/>
      <c r="B69"/>
      <c r="C69"/>
      <c r="D69"/>
      <c r="E69"/>
      <c r="F69"/>
      <c r="G69"/>
      <c r="H69"/>
      <c r="I69"/>
      <c r="J69"/>
      <c r="K69"/>
      <c r="L69"/>
      <c r="M69" s="27"/>
      <c r="N69" s="27"/>
      <c r="O69" s="27"/>
    </row>
    <row r="70" spans="1:15" s="15" customFormat="1" x14ac:dyDescent="0.3">
      <c r="A70" s="17"/>
      <c r="B70"/>
      <c r="C70"/>
      <c r="D70"/>
      <c r="E70"/>
      <c r="F70"/>
      <c r="G70"/>
      <c r="H70"/>
      <c r="I70"/>
      <c r="J70"/>
      <c r="K70"/>
      <c r="L70"/>
      <c r="M70" s="27"/>
      <c r="N70" s="27"/>
      <c r="O70" s="27"/>
    </row>
    <row r="71" spans="1:15" s="15" customFormat="1" x14ac:dyDescent="0.3">
      <c r="A71" s="17"/>
      <c r="B71"/>
      <c r="C71"/>
      <c r="D71"/>
      <c r="E71"/>
      <c r="F71"/>
      <c r="G71"/>
      <c r="H71"/>
      <c r="I71"/>
      <c r="J71"/>
      <c r="K71"/>
      <c r="L71"/>
      <c r="M71" s="27"/>
      <c r="N71" s="27"/>
      <c r="O71" s="27"/>
    </row>
    <row r="72" spans="1:15" s="15" customFormat="1" x14ac:dyDescent="0.3">
      <c r="A72" s="17"/>
      <c r="B72"/>
      <c r="C72"/>
      <c r="D72"/>
      <c r="E72"/>
      <c r="F72"/>
      <c r="G72"/>
      <c r="H72"/>
      <c r="I72"/>
      <c r="J72"/>
      <c r="K72"/>
      <c r="L72"/>
      <c r="M72" s="27"/>
      <c r="N72" s="27"/>
      <c r="O72" s="27"/>
    </row>
    <row r="73" spans="1:15" s="15" customFormat="1" x14ac:dyDescent="0.3">
      <c r="A73" s="17"/>
      <c r="B73"/>
      <c r="C73"/>
      <c r="D73"/>
      <c r="E73"/>
      <c r="F73"/>
      <c r="G73"/>
      <c r="H73"/>
      <c r="I73"/>
      <c r="J73"/>
      <c r="K73"/>
      <c r="L73"/>
      <c r="M73" s="27"/>
      <c r="N73" s="27"/>
      <c r="O73" s="27"/>
    </row>
    <row r="74" spans="1:15" s="15" customFormat="1" x14ac:dyDescent="0.3">
      <c r="A74" s="17"/>
      <c r="B74"/>
      <c r="C74"/>
      <c r="D74"/>
      <c r="E74"/>
      <c r="F74"/>
      <c r="G74"/>
      <c r="H74"/>
      <c r="I74"/>
      <c r="J74"/>
      <c r="K74"/>
      <c r="L74"/>
      <c r="M74" s="27"/>
      <c r="N74" s="27"/>
      <c r="O74" s="27"/>
    </row>
    <row r="75" spans="1:15" s="15" customFormat="1" x14ac:dyDescent="0.3">
      <c r="A75" s="17"/>
      <c r="B75"/>
      <c r="C75"/>
      <c r="D75"/>
      <c r="E75"/>
      <c r="F75"/>
      <c r="G75"/>
      <c r="H75"/>
      <c r="I75"/>
      <c r="J75"/>
      <c r="K75"/>
      <c r="L75"/>
      <c r="M75" s="27"/>
      <c r="N75" s="27"/>
      <c r="O75" s="27"/>
    </row>
    <row r="76" spans="1:15" s="15" customFormat="1" x14ac:dyDescent="0.3">
      <c r="A76" s="17"/>
      <c r="B76"/>
      <c r="C76"/>
      <c r="D76"/>
      <c r="E76"/>
      <c r="F76"/>
      <c r="G76"/>
      <c r="H76"/>
      <c r="I76"/>
      <c r="J76"/>
      <c r="K76"/>
      <c r="L76"/>
      <c r="M76" s="27"/>
      <c r="N76" s="27"/>
      <c r="O76" s="27"/>
    </row>
    <row r="77" spans="1:15" s="15" customFormat="1" x14ac:dyDescent="0.3">
      <c r="A77" s="17"/>
      <c r="B77"/>
      <c r="C77"/>
      <c r="D77"/>
      <c r="E77"/>
      <c r="F77"/>
      <c r="G77"/>
      <c r="H77"/>
      <c r="I77"/>
      <c r="J77"/>
      <c r="K77"/>
      <c r="L77"/>
      <c r="M77" s="27"/>
      <c r="N77" s="27"/>
      <c r="O77" s="27"/>
    </row>
    <row r="78" spans="1:15" s="15" customFormat="1" x14ac:dyDescent="0.3">
      <c r="A78" s="17"/>
      <c r="B78"/>
      <c r="C78"/>
      <c r="D78"/>
      <c r="E78"/>
      <c r="F78"/>
      <c r="G78"/>
      <c r="H78"/>
      <c r="I78"/>
      <c r="J78"/>
      <c r="K78"/>
      <c r="L78"/>
      <c r="M78" s="27"/>
      <c r="N78" s="27"/>
      <c r="O78" s="27"/>
    </row>
    <row r="79" spans="1:15" s="15" customFormat="1" x14ac:dyDescent="0.3">
      <c r="A79" s="17"/>
      <c r="B79"/>
      <c r="C79"/>
      <c r="D79"/>
      <c r="E79"/>
      <c r="F79"/>
      <c r="G79"/>
      <c r="H79"/>
      <c r="I79"/>
      <c r="J79"/>
      <c r="K79"/>
      <c r="L79"/>
      <c r="M79" s="27"/>
      <c r="N79" s="27"/>
      <c r="O79" s="27"/>
    </row>
    <row r="80" spans="1:15" s="15" customFormat="1" x14ac:dyDescent="0.3">
      <c r="A80" s="17"/>
      <c r="B80"/>
      <c r="C80"/>
      <c r="D80"/>
      <c r="E80"/>
      <c r="F80"/>
      <c r="G80"/>
      <c r="H80"/>
      <c r="I80"/>
      <c r="J80"/>
      <c r="K80"/>
      <c r="L80"/>
      <c r="M80" s="27"/>
      <c r="N80" s="27"/>
      <c r="O80" s="27"/>
    </row>
    <row r="81" spans="1:15" s="15" customFormat="1" x14ac:dyDescent="0.3">
      <c r="A81" s="17"/>
      <c r="B81"/>
      <c r="C81"/>
      <c r="D81"/>
      <c r="E81"/>
      <c r="F81"/>
      <c r="G81"/>
      <c r="H81"/>
      <c r="I81"/>
      <c r="J81"/>
      <c r="K81"/>
      <c r="L81"/>
      <c r="M81" s="27"/>
      <c r="N81" s="27"/>
      <c r="O81" s="27"/>
    </row>
    <row r="82" spans="1:15" s="15" customFormat="1" x14ac:dyDescent="0.3">
      <c r="A82" s="17"/>
      <c r="B82"/>
      <c r="C82"/>
      <c r="D82"/>
      <c r="E82"/>
      <c r="F82"/>
      <c r="G82"/>
      <c r="H82"/>
      <c r="I82"/>
      <c r="J82"/>
      <c r="K82"/>
      <c r="L82"/>
      <c r="M82" s="27"/>
      <c r="N82" s="27"/>
      <c r="O82" s="27"/>
    </row>
    <row r="83" spans="1:15" s="15" customFormat="1" x14ac:dyDescent="0.3">
      <c r="A83" s="17"/>
      <c r="B83"/>
      <c r="C83"/>
      <c r="D83"/>
      <c r="E83"/>
      <c r="F83"/>
      <c r="G83"/>
      <c r="H83"/>
      <c r="I83"/>
      <c r="J83"/>
      <c r="K83"/>
      <c r="L83"/>
      <c r="M83" s="27"/>
      <c r="N83" s="27"/>
      <c r="O83" s="27"/>
    </row>
    <row r="84" spans="1:15" s="15" customFormat="1" x14ac:dyDescent="0.3">
      <c r="A84" s="17"/>
      <c r="B84"/>
      <c r="C84"/>
      <c r="D84"/>
      <c r="E84"/>
      <c r="F84"/>
      <c r="G84"/>
      <c r="H84"/>
      <c r="I84"/>
      <c r="J84"/>
      <c r="K84"/>
      <c r="L84"/>
      <c r="M84" s="27"/>
      <c r="N84" s="27"/>
      <c r="O84" s="27"/>
    </row>
    <row r="85" spans="1:15" s="15" customFormat="1" x14ac:dyDescent="0.3">
      <c r="A85" s="17"/>
      <c r="B85"/>
      <c r="C85"/>
      <c r="D85"/>
      <c r="E85"/>
      <c r="F85"/>
      <c r="G85"/>
      <c r="H85"/>
      <c r="I85"/>
      <c r="J85"/>
      <c r="K85"/>
      <c r="L85"/>
      <c r="M85" s="27"/>
      <c r="N85" s="27"/>
      <c r="O85" s="27"/>
    </row>
    <row r="86" spans="1:15" s="15" customFormat="1" x14ac:dyDescent="0.3">
      <c r="A86" s="17"/>
      <c r="B86"/>
      <c r="C86"/>
      <c r="D86"/>
      <c r="E86"/>
      <c r="F86"/>
      <c r="G86"/>
      <c r="H86"/>
      <c r="I86"/>
      <c r="J86"/>
      <c r="K86"/>
      <c r="L86"/>
      <c r="M86" s="27"/>
      <c r="N86" s="27"/>
      <c r="O86" s="27"/>
    </row>
    <row r="87" spans="1:15" s="15" customFormat="1" x14ac:dyDescent="0.3">
      <c r="A87" s="17"/>
      <c r="B87"/>
      <c r="C87"/>
      <c r="D87"/>
      <c r="E87"/>
      <c r="F87"/>
      <c r="G87"/>
      <c r="H87"/>
      <c r="I87"/>
      <c r="J87"/>
      <c r="K87"/>
      <c r="L87"/>
      <c r="M87" s="27"/>
      <c r="N87" s="27"/>
      <c r="O87" s="27"/>
    </row>
    <row r="88" spans="1:15" s="15" customFormat="1" x14ac:dyDescent="0.3">
      <c r="A88" s="17"/>
      <c r="B88"/>
      <c r="C88"/>
      <c r="D88"/>
      <c r="E88"/>
      <c r="F88"/>
      <c r="G88"/>
      <c r="H88"/>
      <c r="I88"/>
      <c r="J88"/>
      <c r="K88"/>
      <c r="L88"/>
      <c r="M88" s="27"/>
      <c r="N88" s="27"/>
      <c r="O88" s="27"/>
    </row>
    <row r="89" spans="1:15" s="15" customFormat="1" x14ac:dyDescent="0.3">
      <c r="A89" s="17"/>
      <c r="B89"/>
      <c r="C89"/>
      <c r="D89"/>
      <c r="E89"/>
      <c r="F89"/>
      <c r="G89"/>
      <c r="H89"/>
      <c r="I89"/>
      <c r="J89"/>
      <c r="K89"/>
      <c r="L89"/>
      <c r="M89" s="27"/>
      <c r="N89" s="27"/>
      <c r="O89" s="27"/>
    </row>
    <row r="90" spans="1:15" s="15" customFormat="1" x14ac:dyDescent="0.3">
      <c r="A90" s="17"/>
      <c r="B90"/>
      <c r="C90"/>
      <c r="D90"/>
      <c r="E90"/>
      <c r="F90"/>
      <c r="G90"/>
      <c r="H90"/>
      <c r="I90"/>
      <c r="J90"/>
      <c r="K90"/>
      <c r="L90"/>
      <c r="M90" s="27"/>
      <c r="N90" s="27"/>
      <c r="O90" s="27"/>
    </row>
    <row r="91" spans="1:15" s="15" customFormat="1" x14ac:dyDescent="0.3">
      <c r="A91" s="17"/>
      <c r="B91"/>
      <c r="C91"/>
      <c r="D91"/>
      <c r="E91"/>
      <c r="F91"/>
      <c r="G91"/>
      <c r="H91"/>
      <c r="I91"/>
      <c r="J91"/>
      <c r="K91"/>
      <c r="L91"/>
      <c r="M91" s="27"/>
      <c r="N91" s="27"/>
      <c r="O91" s="27"/>
    </row>
    <row r="92" spans="1:15" s="15" customFormat="1" x14ac:dyDescent="0.3">
      <c r="A92" s="17"/>
      <c r="B92"/>
      <c r="C92"/>
      <c r="D92"/>
      <c r="E92"/>
      <c r="F92"/>
      <c r="G92"/>
      <c r="H92"/>
      <c r="I92"/>
      <c r="J92"/>
      <c r="K92"/>
      <c r="L92"/>
      <c r="M92" s="27"/>
      <c r="N92" s="27"/>
      <c r="O92" s="27"/>
    </row>
    <row r="93" spans="1:15" s="15" customFormat="1" x14ac:dyDescent="0.3">
      <c r="A93" s="17"/>
      <c r="B93"/>
      <c r="C93"/>
      <c r="D93"/>
      <c r="E93"/>
      <c r="F93"/>
      <c r="G93"/>
      <c r="H93"/>
      <c r="I93"/>
      <c r="J93"/>
      <c r="K93"/>
      <c r="L93"/>
      <c r="M93" s="27"/>
      <c r="N93" s="27"/>
      <c r="O93" s="27"/>
    </row>
    <row r="94" spans="1:15" s="15" customFormat="1" x14ac:dyDescent="0.3">
      <c r="A94" s="17"/>
      <c r="B94"/>
      <c r="C94"/>
      <c r="D94"/>
      <c r="E94"/>
      <c r="F94"/>
      <c r="G94"/>
      <c r="H94"/>
      <c r="I94"/>
      <c r="J94"/>
      <c r="K94"/>
      <c r="L94"/>
      <c r="M94" s="27"/>
      <c r="N94" s="27"/>
      <c r="O94" s="27"/>
    </row>
    <row r="95" spans="1:15" s="15" customFormat="1" x14ac:dyDescent="0.3">
      <c r="A95" s="17"/>
      <c r="B95"/>
      <c r="C95"/>
      <c r="D95"/>
      <c r="E95"/>
      <c r="F95"/>
      <c r="G95"/>
      <c r="H95"/>
      <c r="I95"/>
      <c r="J95"/>
      <c r="K95"/>
      <c r="L95"/>
      <c r="M95" s="27"/>
      <c r="N95" s="27"/>
      <c r="O95" s="27"/>
    </row>
    <row r="96" spans="1:15" s="15" customFormat="1" x14ac:dyDescent="0.3">
      <c r="A96" s="17"/>
      <c r="B96"/>
      <c r="C96"/>
      <c r="D96"/>
      <c r="E96"/>
      <c r="F96"/>
      <c r="G96"/>
      <c r="H96"/>
      <c r="I96"/>
      <c r="J96"/>
      <c r="K96"/>
      <c r="L96"/>
      <c r="M96" s="27"/>
      <c r="N96" s="27"/>
      <c r="O96" s="27"/>
    </row>
    <row r="97" spans="1:15" s="15" customFormat="1" x14ac:dyDescent="0.3">
      <c r="A97" s="17"/>
      <c r="B97"/>
      <c r="C97"/>
      <c r="D97"/>
      <c r="E97"/>
      <c r="F97"/>
      <c r="G97"/>
      <c r="H97"/>
      <c r="I97"/>
      <c r="J97"/>
      <c r="K97"/>
      <c r="L97"/>
      <c r="M97" s="27"/>
      <c r="N97" s="27"/>
      <c r="O97" s="27"/>
    </row>
    <row r="98" spans="1:15" s="15" customFormat="1" x14ac:dyDescent="0.3">
      <c r="A98" s="17"/>
      <c r="B98"/>
      <c r="C98"/>
      <c r="D98"/>
      <c r="E98"/>
      <c r="F98"/>
      <c r="G98"/>
      <c r="H98"/>
      <c r="I98"/>
      <c r="J98"/>
      <c r="K98"/>
      <c r="L98"/>
      <c r="M98" s="27"/>
      <c r="N98" s="27"/>
      <c r="O98" s="27"/>
    </row>
    <row r="99" spans="1:15" s="15" customFormat="1" x14ac:dyDescent="0.3">
      <c r="A99" s="17"/>
      <c r="B99"/>
      <c r="C99"/>
      <c r="D99"/>
      <c r="E99"/>
      <c r="F99"/>
      <c r="G99"/>
      <c r="H99"/>
      <c r="I99"/>
      <c r="J99"/>
      <c r="K99"/>
      <c r="L99"/>
      <c r="M99" s="27"/>
      <c r="N99" s="27"/>
      <c r="O99" s="27"/>
    </row>
    <row r="100" spans="1:15" s="15" customFormat="1" x14ac:dyDescent="0.3">
      <c r="A100" s="17"/>
      <c r="B100"/>
      <c r="C100"/>
      <c r="D100"/>
      <c r="E100"/>
      <c r="F100"/>
      <c r="G100"/>
      <c r="H100"/>
      <c r="I100"/>
      <c r="J100"/>
      <c r="K100"/>
      <c r="L100"/>
      <c r="M100" s="27"/>
      <c r="N100" s="27"/>
      <c r="O100" s="27"/>
    </row>
    <row r="101" spans="1:15" s="15" customFormat="1" x14ac:dyDescent="0.3">
      <c r="A101" s="17"/>
      <c r="B101"/>
      <c r="C101"/>
      <c r="D101"/>
      <c r="E101"/>
      <c r="F101"/>
      <c r="G101"/>
      <c r="H101"/>
      <c r="I101"/>
      <c r="J101"/>
      <c r="K101"/>
      <c r="L101"/>
      <c r="M101" s="27"/>
      <c r="N101" s="27"/>
      <c r="O101" s="27"/>
    </row>
    <row r="102" spans="1:15" s="15" customFormat="1" x14ac:dyDescent="0.3">
      <c r="A102" s="17"/>
      <c r="B102"/>
      <c r="C102"/>
      <c r="D102"/>
      <c r="E102"/>
      <c r="F102"/>
      <c r="G102"/>
      <c r="H102"/>
      <c r="I102"/>
      <c r="J102"/>
      <c r="K102"/>
      <c r="L102"/>
      <c r="M102" s="27"/>
      <c r="N102" s="27"/>
      <c r="O102" s="27"/>
    </row>
    <row r="103" spans="1:15" s="15" customFormat="1" x14ac:dyDescent="0.3">
      <c r="A103" s="17"/>
      <c r="B103"/>
      <c r="C103"/>
      <c r="D103"/>
      <c r="E103"/>
      <c r="F103"/>
      <c r="G103"/>
      <c r="H103"/>
      <c r="I103"/>
      <c r="J103"/>
      <c r="K103"/>
      <c r="L103"/>
      <c r="M103" s="27"/>
      <c r="N103" s="27"/>
      <c r="O103" s="27"/>
    </row>
    <row r="104" spans="1:15" s="15" customFormat="1" x14ac:dyDescent="0.3">
      <c r="A104" s="17"/>
      <c r="B104"/>
      <c r="C104"/>
      <c r="D104"/>
      <c r="E104"/>
      <c r="F104"/>
      <c r="G104"/>
      <c r="H104"/>
      <c r="I104"/>
      <c r="J104"/>
      <c r="K104"/>
      <c r="L104"/>
      <c r="M104" s="27"/>
      <c r="N104" s="27"/>
      <c r="O104" s="27"/>
    </row>
    <row r="105" spans="1:15" s="15" customFormat="1" x14ac:dyDescent="0.3">
      <c r="A105" s="17"/>
      <c r="B105"/>
      <c r="C105"/>
      <c r="D105"/>
      <c r="E105"/>
      <c r="F105"/>
      <c r="G105"/>
      <c r="H105"/>
      <c r="I105"/>
      <c r="J105"/>
      <c r="K105"/>
      <c r="L105"/>
      <c r="M105" s="27"/>
      <c r="N105" s="27"/>
      <c r="O105" s="27"/>
    </row>
    <row r="106" spans="1:15" s="15" customFormat="1" x14ac:dyDescent="0.3">
      <c r="A106" s="17"/>
      <c r="B106"/>
      <c r="C106"/>
      <c r="D106"/>
      <c r="E106"/>
      <c r="F106"/>
      <c r="G106"/>
      <c r="H106"/>
      <c r="I106"/>
      <c r="J106"/>
      <c r="K106"/>
      <c r="L106"/>
      <c r="M106" s="27"/>
      <c r="N106" s="27"/>
      <c r="O106" s="27"/>
    </row>
    <row r="107" spans="1:15" s="15" customFormat="1" x14ac:dyDescent="0.3">
      <c r="A107" s="17"/>
      <c r="B107"/>
      <c r="C107"/>
      <c r="D107"/>
      <c r="E107"/>
      <c r="F107"/>
      <c r="G107"/>
      <c r="H107"/>
      <c r="I107"/>
      <c r="J107"/>
      <c r="K107"/>
      <c r="L107"/>
      <c r="M107" s="27"/>
      <c r="N107" s="27"/>
      <c r="O107" s="27"/>
    </row>
    <row r="108" spans="1:15" s="15" customFormat="1" x14ac:dyDescent="0.3">
      <c r="A108" s="17"/>
      <c r="B108"/>
      <c r="C108"/>
      <c r="D108"/>
      <c r="E108"/>
      <c r="F108"/>
      <c r="G108"/>
      <c r="H108"/>
      <c r="I108"/>
      <c r="J108"/>
      <c r="K108"/>
      <c r="L108"/>
      <c r="M108" s="27"/>
      <c r="N108" s="27"/>
      <c r="O108" s="27"/>
    </row>
    <row r="109" spans="1:15" s="15" customFormat="1" x14ac:dyDescent="0.3">
      <c r="A109" s="17"/>
      <c r="B109"/>
      <c r="C109"/>
      <c r="D109"/>
      <c r="E109"/>
      <c r="F109"/>
      <c r="G109"/>
      <c r="H109"/>
      <c r="I109"/>
      <c r="J109"/>
      <c r="K109"/>
      <c r="L109"/>
      <c r="M109" s="27"/>
      <c r="N109" s="27"/>
      <c r="O109" s="27"/>
    </row>
    <row r="110" spans="1:15" s="15" customFormat="1" x14ac:dyDescent="0.3">
      <c r="A110" s="17"/>
      <c r="B110"/>
      <c r="C110"/>
      <c r="D110"/>
      <c r="E110"/>
      <c r="F110"/>
      <c r="G110"/>
      <c r="H110"/>
      <c r="I110"/>
      <c r="J110"/>
      <c r="K110"/>
      <c r="L110"/>
      <c r="M110" s="27"/>
      <c r="N110" s="27"/>
      <c r="O110" s="27"/>
    </row>
    <row r="111" spans="1:15" s="15" customFormat="1" x14ac:dyDescent="0.3">
      <c r="A111" s="17"/>
      <c r="B111"/>
      <c r="C111"/>
      <c r="D111"/>
      <c r="E111"/>
      <c r="F111"/>
      <c r="G111"/>
      <c r="H111"/>
      <c r="I111"/>
      <c r="J111"/>
      <c r="K111"/>
      <c r="L111"/>
      <c r="M111" s="27"/>
      <c r="N111" s="27"/>
      <c r="O111" s="27"/>
    </row>
    <row r="112" spans="1:15" s="15" customFormat="1" x14ac:dyDescent="0.3">
      <c r="A112" s="17"/>
      <c r="B112"/>
      <c r="C112"/>
      <c r="D112"/>
      <c r="E112"/>
      <c r="F112"/>
      <c r="G112"/>
      <c r="H112"/>
      <c r="I112"/>
      <c r="J112"/>
      <c r="K112"/>
      <c r="L112"/>
      <c r="M112" s="27"/>
      <c r="N112" s="27"/>
      <c r="O112" s="27"/>
    </row>
  </sheetData>
  <pageMargins left="0.511811024" right="0.511811024" top="0.78740157499999996" bottom="0.78740157499999996" header="0.31496062000000002" footer="0.3149606200000000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01F62-951E-4AA6-89B0-C766D18A6EF8}">
  <sheetPr>
    <tabColor theme="9" tint="0.59999389629810485"/>
  </sheetPr>
  <dimension ref="A1:V112"/>
  <sheetViews>
    <sheetView showGridLines="0" workbookViewId="0">
      <selection activeCell="N20" sqref="N20"/>
    </sheetView>
  </sheetViews>
  <sheetFormatPr defaultColWidth="8.85546875" defaultRowHeight="18.75" x14ac:dyDescent="0.3"/>
  <cols>
    <col min="1" max="1" width="19.42578125" style="17" customWidth="1"/>
    <col min="2" max="2" width="65.42578125" customWidth="1"/>
    <col min="3" max="3" width="7.85546875" customWidth="1"/>
    <col min="4" max="4" width="8.85546875" customWidth="1"/>
    <col min="10" max="11" width="12.42578125" bestFit="1" customWidth="1"/>
    <col min="12" max="12" width="17.7109375" customWidth="1"/>
    <col min="14" max="16" width="11.28515625" style="15" bestFit="1" customWidth="1"/>
    <col min="17" max="20" width="8.85546875" style="15"/>
    <col min="21" max="21" width="10.5703125" style="15" customWidth="1"/>
    <col min="22" max="22" width="8.85546875" style="15"/>
  </cols>
  <sheetData>
    <row r="1" spans="1:22" x14ac:dyDescent="0.3">
      <c r="A1" s="16" t="s">
        <v>942</v>
      </c>
      <c r="N1" s="14"/>
      <c r="O1" s="14"/>
      <c r="P1" s="14"/>
      <c r="Q1" s="14"/>
      <c r="R1" s="14"/>
      <c r="S1" s="14"/>
      <c r="T1" s="14"/>
      <c r="U1" s="14"/>
      <c r="V1" s="14"/>
    </row>
    <row r="2" spans="1:22" x14ac:dyDescent="0.3">
      <c r="A2" s="17" t="s">
        <v>943</v>
      </c>
      <c r="N2" s="14"/>
      <c r="O2" s="14"/>
      <c r="P2" s="14"/>
      <c r="Q2" s="14"/>
      <c r="R2" s="14"/>
      <c r="S2" s="14"/>
      <c r="T2" s="14"/>
      <c r="U2" s="14"/>
      <c r="V2" s="14"/>
    </row>
    <row r="3" spans="1:22" ht="15" x14ac:dyDescent="0.25">
      <c r="A3" s="86"/>
    </row>
    <row r="4" spans="1:22" ht="15.75" x14ac:dyDescent="0.25">
      <c r="A4" s="2" t="s">
        <v>15</v>
      </c>
      <c r="B4" s="2" t="s">
        <v>16</v>
      </c>
      <c r="C4" s="2"/>
    </row>
    <row r="5" spans="1:22" ht="15.75" x14ac:dyDescent="0.25">
      <c r="A5" s="23" t="s">
        <v>393</v>
      </c>
      <c r="B5" s="26" t="s">
        <v>320</v>
      </c>
      <c r="C5" s="26"/>
    </row>
    <row r="6" spans="1:22" ht="31.5" x14ac:dyDescent="0.25">
      <c r="A6" s="23" t="s">
        <v>944</v>
      </c>
      <c r="B6" s="26" t="s">
        <v>945</v>
      </c>
      <c r="C6" s="26"/>
    </row>
    <row r="7" spans="1:22" ht="31.5" x14ac:dyDescent="0.25">
      <c r="A7" s="23" t="s">
        <v>395</v>
      </c>
      <c r="B7" s="26" t="s">
        <v>946</v>
      </c>
      <c r="C7" s="26"/>
    </row>
    <row r="8" spans="1:22" ht="48.75" customHeight="1" x14ac:dyDescent="0.25">
      <c r="A8" s="23" t="s">
        <v>948</v>
      </c>
      <c r="B8" s="26" t="s">
        <v>950</v>
      </c>
      <c r="C8" s="26"/>
    </row>
    <row r="9" spans="1:22" ht="15.75" x14ac:dyDescent="0.25">
      <c r="A9" s="23"/>
      <c r="B9" s="26"/>
      <c r="C9" s="26"/>
    </row>
    <row r="10" spans="1:22" ht="15.75" x14ac:dyDescent="0.25">
      <c r="A10" s="23"/>
    </row>
    <row r="11" spans="1:22" ht="15.75" x14ac:dyDescent="0.25">
      <c r="A11" s="23"/>
    </row>
    <row r="13" spans="1:22" x14ac:dyDescent="0.3">
      <c r="D13" s="1" t="s">
        <v>17</v>
      </c>
      <c r="E13" s="13" t="s">
        <v>393</v>
      </c>
      <c r="F13" s="12">
        <v>1</v>
      </c>
      <c r="G13" s="12">
        <v>2</v>
      </c>
      <c r="H13" s="12">
        <v>2</v>
      </c>
      <c r="J13" s="49" t="s">
        <v>947</v>
      </c>
      <c r="K13" s="49" t="s">
        <v>398</v>
      </c>
      <c r="L13" s="49" t="s">
        <v>949</v>
      </c>
      <c r="N13" s="28" cm="1">
        <f t="array" ref="N13:P17">_xlfn.LAMBDA(_xlpm.range,_xlop.rankRows,_xlop.asc,_xlop.uniqueRanksOnly,
    _xlfn.LET(
        _xlpm.asc, IF(OR(_xlfn.ISOMITTED(_xlpm.asc),ISBLANK(_xlpm.asc)),TRUE,_xlpm.asc),
        _xlpm.uniqueRanksOnly, IF(OR(_xlfn.ISOMITTED(_xlpm.uniqueRanksOnly),ISBLANK(_xlpm.uniqueRanksOnly)),FALSE,_xlpm.uniqueRanksOnly),
        _xlpm.nRows, ROWS(_xlpm.range),
        _xlpm.mCols, COLUMNS(_xlpm.range),
        _xlfn.SWITCH(IF(_xlpm.rankRows,1), 1,
            _xlfn.LET(_xlpm.nonExclusive, _xlfn.MAKEARRAY(ROWS(_xlpm.range), COLUMNS(_xlpm.range), _xlfn.LAMBDA(_xlpm.row,_xlpm.col,
            IF(_xlpm.asc, SUM(--(INDEX(_xlpm.range,_xlpm.row,0) &lt; INDEX(_xlpm.range,_xlpm.row,_xlpm.col)))+1, SUM(--(INDEX(_xlpm.range,_xlpm.row,0) &gt; INDEX(_xlpm.range,_xlpm.row,_xlpm.col)))+1)
            )),
            IF(_xlpm.uniqueRanksOnly=FALSE, _xlpm.nonExclusive,
            _xlfn.MAKEARRAY(ROWS(_xlpm.range), COLUMNS(_xlpm.range), _xlfn.LAMBDA(_xlpm.row,_xlpm.col,
            INDEX(_xlpm.nonExclusive, _xlpm.row, _xlpm.col) + SUM(1*(INDEX(_xlpm.nonExclusive, _xlpm.row, _xlpm.col)=SLICE(_xlpm.nonExclusive,_xlpm.row,_xlpm.row,1,_xlpm.col))) - 1
            ))
            )),
            _xlfn.LET(_xlpm.nonExclusive, _xlfn.MAKEARRAY(ROWS(_xlpm.range), COLUMNS(_xlpm.range), _xlfn.LAMBDA(_xlpm.row,_xlpm.col,
            IF(_xlpm.asc, SUM(--(INDEX(_xlpm.range,0,_xlpm.col) &lt; INDEX(_xlpm.range,_xlpm.row,_xlpm.col)))+1, SUM(--(INDEX(_xlpm.range,0,_xlpm.col) &gt; INDEX(_xlpm.range,_xlpm.row,_xlpm.col)))+1)
            )),
            IF(_xlpm.uniqueRanksOnly=FALSE, _xlpm.nonExclusive,
            _xlfn.MAKEARRAY(ROWS(_xlpm.range), COLUMNS(_xlpm.range), _xlfn.LAMBDA(_xlpm.row,_xlpm.col,
            INDEX(_xlpm.nonExclusive, _xlpm.row, _xlpm.col) + SUM(1*(INDEX(_xlpm.nonExclusive, _xlpm.row, _xlpm.col)=SLICE(_xlpm.nonExclusive,1,_xlpm.row,_xlpm.col,_xlpm.col))) - 1
            ))
            ))
        )
    )
)(F13:H17,$J$14,$K$14,$L$14)</f>
        <v>1</v>
      </c>
      <c r="O13" s="28">
        <v>2</v>
      </c>
      <c r="P13" s="28">
        <v>2</v>
      </c>
    </row>
    <row r="14" spans="1:22" x14ac:dyDescent="0.3">
      <c r="F14" s="12" t="s">
        <v>334</v>
      </c>
      <c r="G14" s="12" t="s">
        <v>333</v>
      </c>
      <c r="H14" s="12">
        <v>1</v>
      </c>
      <c r="J14" s="12" t="b">
        <v>1</v>
      </c>
      <c r="K14" s="12" t="b">
        <v>1</v>
      </c>
      <c r="L14" s="12" t="b">
        <v>0</v>
      </c>
      <c r="N14" s="28">
        <v>3</v>
      </c>
      <c r="O14" s="28">
        <v>2</v>
      </c>
      <c r="P14" s="28">
        <v>1</v>
      </c>
    </row>
    <row r="15" spans="1:22" x14ac:dyDescent="0.3">
      <c r="F15" s="12">
        <v>5</v>
      </c>
      <c r="G15" s="12">
        <v>6</v>
      </c>
      <c r="H15" s="12">
        <v>6</v>
      </c>
      <c r="N15" s="28">
        <v>1</v>
      </c>
      <c r="O15" s="28">
        <v>2</v>
      </c>
      <c r="P15" s="28">
        <v>2</v>
      </c>
    </row>
    <row r="16" spans="1:22" x14ac:dyDescent="0.3">
      <c r="F16" s="12">
        <v>7</v>
      </c>
      <c r="G16" s="12">
        <v>7</v>
      </c>
      <c r="H16" s="12">
        <v>5</v>
      </c>
      <c r="N16" s="28">
        <v>2</v>
      </c>
      <c r="O16" s="28">
        <v>2</v>
      </c>
      <c r="P16" s="28">
        <v>1</v>
      </c>
    </row>
    <row r="17" spans="1:16" s="15" customFormat="1" x14ac:dyDescent="0.3">
      <c r="A17" s="17"/>
      <c r="B17"/>
      <c r="C17"/>
      <c r="D17"/>
      <c r="E17"/>
      <c r="F17" s="12">
        <v>9</v>
      </c>
      <c r="G17" s="12">
        <v>10</v>
      </c>
      <c r="H17" s="12">
        <v>12</v>
      </c>
      <c r="I17"/>
      <c r="J17"/>
      <c r="K17"/>
      <c r="L17"/>
      <c r="M17"/>
      <c r="N17" s="28">
        <v>1</v>
      </c>
      <c r="O17" s="28">
        <v>2</v>
      </c>
      <c r="P17" s="28">
        <v>3</v>
      </c>
    </row>
    <row r="18" spans="1:16" s="15" customFormat="1" x14ac:dyDescent="0.3">
      <c r="A18" s="17"/>
      <c r="B18"/>
      <c r="C18"/>
      <c r="D18"/>
      <c r="E18"/>
      <c r="F18"/>
      <c r="G18"/>
      <c r="H18"/>
      <c r="I18"/>
      <c r="J18"/>
      <c r="K18"/>
      <c r="L18"/>
      <c r="M18"/>
      <c r="N18" s="27"/>
      <c r="O18" s="27"/>
      <c r="P18" s="27"/>
    </row>
    <row r="19" spans="1:16" s="15" customFormat="1" x14ac:dyDescent="0.3">
      <c r="A19" s="17"/>
      <c r="B19"/>
      <c r="C19"/>
      <c r="D19"/>
      <c r="E19"/>
      <c r="F19"/>
      <c r="G19"/>
      <c r="H19"/>
      <c r="I19"/>
      <c r="J19"/>
      <c r="K19"/>
      <c r="L19"/>
      <c r="M19"/>
      <c r="N19" s="27"/>
      <c r="O19" s="27"/>
      <c r="P19" s="27"/>
    </row>
    <row r="20" spans="1:16" s="15" customFormat="1" x14ac:dyDescent="0.3">
      <c r="A20" s="17"/>
      <c r="B20"/>
      <c r="C20"/>
      <c r="D20" s="1" t="s">
        <v>17</v>
      </c>
      <c r="E20" s="13" t="s">
        <v>393</v>
      </c>
      <c r="F20" s="12">
        <v>10</v>
      </c>
      <c r="G20" s="12">
        <v>2</v>
      </c>
      <c r="H20" s="12">
        <v>30</v>
      </c>
      <c r="I20"/>
      <c r="J20" s="49" t="s">
        <v>947</v>
      </c>
      <c r="K20" s="49" t="s">
        <v>398</v>
      </c>
      <c r="L20" s="49" t="s">
        <v>949</v>
      </c>
      <c r="M20"/>
      <c r="N20" s="28" cm="1">
        <f t="array" ref="N20:P21">RANKRANGE($F$20:$H$21,$J$21,$K$21,$L$21)</f>
        <v>2</v>
      </c>
      <c r="O20" s="28">
        <v>1</v>
      </c>
      <c r="P20" s="28">
        <v>2</v>
      </c>
    </row>
    <row r="21" spans="1:16" s="15" customFormat="1" x14ac:dyDescent="0.3">
      <c r="A21" s="17"/>
      <c r="B21"/>
      <c r="C21"/>
      <c r="D21"/>
      <c r="E21"/>
      <c r="F21" s="12">
        <v>4</v>
      </c>
      <c r="G21" s="12">
        <v>50</v>
      </c>
      <c r="H21" s="12">
        <v>6</v>
      </c>
      <c r="I21"/>
      <c r="J21" s="12" t="b">
        <v>0</v>
      </c>
      <c r="K21" s="12" t="b">
        <v>1</v>
      </c>
      <c r="L21" s="12" t="b">
        <v>0</v>
      </c>
      <c r="M21"/>
      <c r="N21" s="28">
        <v>1</v>
      </c>
      <c r="O21" s="28">
        <v>2</v>
      </c>
      <c r="P21" s="28">
        <v>1</v>
      </c>
    </row>
    <row r="22" spans="1:16" s="15" customFormat="1" x14ac:dyDescent="0.3">
      <c r="A22" s="17"/>
      <c r="B22"/>
      <c r="C22"/>
      <c r="D22"/>
      <c r="E22"/>
      <c r="F22"/>
      <c r="G22"/>
      <c r="H22"/>
      <c r="I22"/>
      <c r="J22"/>
      <c r="K22"/>
      <c r="L22"/>
      <c r="M22"/>
      <c r="N22" s="27"/>
      <c r="O22" s="27"/>
      <c r="P22" s="27"/>
    </row>
    <row r="23" spans="1:16" s="15" customFormat="1" x14ac:dyDescent="0.3">
      <c r="A23" s="17"/>
      <c r="B23"/>
      <c r="C23"/>
      <c r="D23"/>
      <c r="E23"/>
      <c r="F23"/>
      <c r="G23"/>
      <c r="H23"/>
      <c r="I23"/>
      <c r="J23"/>
      <c r="K23"/>
      <c r="L23"/>
      <c r="M23"/>
      <c r="N23" s="27"/>
      <c r="O23" s="27"/>
      <c r="P23" s="27"/>
    </row>
    <row r="24" spans="1:16" s="15" customFormat="1" x14ac:dyDescent="0.3">
      <c r="A24" s="17"/>
      <c r="B24"/>
      <c r="C24"/>
      <c r="D24"/>
      <c r="E24"/>
      <c r="F24"/>
      <c r="G24"/>
      <c r="H24"/>
      <c r="I24"/>
      <c r="J24"/>
      <c r="K24"/>
      <c r="L24"/>
      <c r="M24"/>
      <c r="N24" s="27"/>
      <c r="O24" s="27"/>
      <c r="P24" s="27"/>
    </row>
    <row r="25" spans="1:16" s="15" customFormat="1" x14ac:dyDescent="0.3">
      <c r="A25" s="17"/>
      <c r="B25"/>
      <c r="C25"/>
      <c r="D25"/>
      <c r="E25"/>
      <c r="F25"/>
      <c r="G25"/>
      <c r="H25"/>
      <c r="I25"/>
      <c r="J25"/>
      <c r="K25"/>
      <c r="L25"/>
      <c r="M25"/>
      <c r="N25" s="27"/>
      <c r="O25" s="27"/>
      <c r="P25" s="27"/>
    </row>
    <row r="26" spans="1:16" s="15" customFormat="1" x14ac:dyDescent="0.3">
      <c r="A26" s="17"/>
      <c r="B26"/>
      <c r="C26"/>
      <c r="D26"/>
      <c r="E26"/>
      <c r="F26"/>
      <c r="G26"/>
      <c r="H26"/>
      <c r="I26"/>
      <c r="J26"/>
      <c r="K26"/>
      <c r="L26"/>
      <c r="M26"/>
      <c r="N26" s="27"/>
      <c r="O26" s="27"/>
      <c r="P26" s="27"/>
    </row>
    <row r="27" spans="1:16" s="15" customFormat="1" x14ac:dyDescent="0.3">
      <c r="A27" s="17"/>
      <c r="B27"/>
      <c r="C27"/>
      <c r="D27"/>
      <c r="E27"/>
      <c r="F27"/>
      <c r="G27"/>
      <c r="H27"/>
      <c r="I27"/>
      <c r="J27"/>
      <c r="K27"/>
      <c r="L27"/>
      <c r="M27"/>
      <c r="N27" s="27"/>
      <c r="O27" s="27"/>
      <c r="P27" s="27"/>
    </row>
    <row r="28" spans="1:16" s="15" customFormat="1" x14ac:dyDescent="0.3">
      <c r="A28" s="17"/>
      <c r="B28"/>
      <c r="C28"/>
      <c r="D28"/>
      <c r="E28"/>
      <c r="F28"/>
      <c r="G28"/>
      <c r="H28"/>
      <c r="I28"/>
      <c r="J28"/>
      <c r="K28"/>
      <c r="L28"/>
      <c r="M28"/>
      <c r="N28" s="27"/>
      <c r="O28" s="27"/>
      <c r="P28" s="27"/>
    </row>
    <row r="29" spans="1:16" s="15" customFormat="1" x14ac:dyDescent="0.3">
      <c r="A29" s="17"/>
      <c r="B29"/>
      <c r="C29"/>
      <c r="D29"/>
      <c r="E29"/>
      <c r="F29"/>
      <c r="G29"/>
      <c r="H29"/>
      <c r="I29"/>
      <c r="J29"/>
      <c r="K29"/>
      <c r="L29"/>
      <c r="M29"/>
      <c r="N29" s="27"/>
      <c r="O29" s="27"/>
      <c r="P29" s="27"/>
    </row>
    <row r="30" spans="1:16" s="15" customFormat="1" x14ac:dyDescent="0.3">
      <c r="A30" s="17"/>
      <c r="B30"/>
      <c r="C30"/>
      <c r="D30"/>
      <c r="E30"/>
      <c r="F30"/>
      <c r="G30"/>
      <c r="H30"/>
      <c r="I30"/>
      <c r="J30"/>
      <c r="K30"/>
      <c r="L30"/>
      <c r="M30"/>
      <c r="N30" s="27"/>
      <c r="O30" s="27"/>
      <c r="P30" s="27"/>
    </row>
    <row r="31" spans="1:16" s="15" customFormat="1" x14ac:dyDescent="0.3">
      <c r="A31" s="17"/>
      <c r="B31"/>
      <c r="C31"/>
      <c r="D31"/>
      <c r="E31"/>
      <c r="F31"/>
      <c r="G31"/>
      <c r="H31"/>
      <c r="I31"/>
      <c r="J31"/>
      <c r="K31"/>
      <c r="L31"/>
      <c r="M31"/>
      <c r="N31" s="27"/>
      <c r="O31" s="27"/>
      <c r="P31" s="27"/>
    </row>
    <row r="32" spans="1:16" s="15" customFormat="1" x14ac:dyDescent="0.3">
      <c r="A32" s="17"/>
      <c r="B32"/>
      <c r="C32"/>
      <c r="D32"/>
      <c r="E32"/>
      <c r="F32"/>
      <c r="G32"/>
      <c r="H32"/>
      <c r="I32"/>
      <c r="J32"/>
      <c r="K32"/>
      <c r="L32"/>
      <c r="M32"/>
      <c r="N32" s="27"/>
      <c r="O32" s="27"/>
      <c r="P32" s="27"/>
    </row>
    <row r="33" spans="1:16" s="15" customFormat="1" x14ac:dyDescent="0.3">
      <c r="A33" s="17"/>
      <c r="B33"/>
      <c r="C33"/>
      <c r="D33"/>
      <c r="E33"/>
      <c r="F33"/>
      <c r="G33"/>
      <c r="H33"/>
      <c r="I33"/>
      <c r="J33"/>
      <c r="K33"/>
      <c r="L33"/>
      <c r="M33"/>
      <c r="N33" s="27"/>
      <c r="O33" s="27"/>
      <c r="P33" s="27"/>
    </row>
    <row r="34" spans="1:16" s="15" customFormat="1" x14ac:dyDescent="0.3">
      <c r="A34" s="17"/>
      <c r="B34"/>
      <c r="C34"/>
      <c r="D34"/>
      <c r="E34"/>
      <c r="F34"/>
      <c r="G34"/>
      <c r="H34"/>
      <c r="I34"/>
      <c r="J34"/>
      <c r="K34"/>
      <c r="L34"/>
      <c r="M34"/>
      <c r="N34" s="27"/>
      <c r="O34" s="27"/>
      <c r="P34" s="27"/>
    </row>
    <row r="35" spans="1:16" s="15" customFormat="1" x14ac:dyDescent="0.3">
      <c r="A35" s="17"/>
      <c r="B35"/>
      <c r="C35"/>
      <c r="D35"/>
      <c r="E35"/>
      <c r="F35"/>
      <c r="G35"/>
      <c r="H35"/>
      <c r="I35"/>
      <c r="J35"/>
      <c r="K35"/>
      <c r="L35"/>
      <c r="M35"/>
      <c r="N35" s="27"/>
      <c r="O35" s="27"/>
      <c r="P35" s="27"/>
    </row>
    <row r="36" spans="1:16" s="15" customFormat="1" x14ac:dyDescent="0.3">
      <c r="A36" s="17"/>
      <c r="B36"/>
      <c r="C36"/>
      <c r="D36"/>
      <c r="E36"/>
      <c r="F36"/>
      <c r="G36"/>
      <c r="H36"/>
      <c r="I36"/>
      <c r="J36"/>
      <c r="K36"/>
      <c r="L36"/>
      <c r="M36"/>
      <c r="N36" s="27"/>
      <c r="O36" s="27"/>
      <c r="P36" s="27"/>
    </row>
    <row r="37" spans="1:16" s="15" customFormat="1" x14ac:dyDescent="0.3">
      <c r="A37" s="17"/>
      <c r="B37"/>
      <c r="C37"/>
      <c r="D37"/>
      <c r="E37"/>
      <c r="F37"/>
      <c r="G37"/>
      <c r="H37"/>
      <c r="I37"/>
      <c r="J37"/>
      <c r="K37"/>
      <c r="L37"/>
      <c r="M37"/>
      <c r="N37" s="27"/>
      <c r="O37" s="27"/>
      <c r="P37" s="27"/>
    </row>
    <row r="38" spans="1:16" s="15" customFormat="1" x14ac:dyDescent="0.3">
      <c r="A38" s="17"/>
      <c r="B38"/>
      <c r="C38"/>
      <c r="D38"/>
      <c r="E38"/>
      <c r="F38"/>
      <c r="G38"/>
      <c r="H38"/>
      <c r="I38"/>
      <c r="J38"/>
      <c r="K38"/>
      <c r="L38"/>
      <c r="M38"/>
      <c r="N38" s="27"/>
      <c r="O38" s="27"/>
      <c r="P38" s="27"/>
    </row>
    <row r="39" spans="1:16" s="15" customFormat="1" x14ac:dyDescent="0.3">
      <c r="A39" s="17"/>
      <c r="B39"/>
      <c r="C39"/>
      <c r="D39"/>
      <c r="E39"/>
      <c r="F39"/>
      <c r="G39"/>
      <c r="H39"/>
      <c r="I39"/>
      <c r="J39"/>
      <c r="K39"/>
      <c r="L39"/>
      <c r="M39"/>
      <c r="N39" s="27"/>
      <c r="O39" s="27"/>
      <c r="P39" s="27"/>
    </row>
    <row r="40" spans="1:16" s="15" customFormat="1" x14ac:dyDescent="0.3">
      <c r="A40" s="17"/>
      <c r="B40"/>
      <c r="C40"/>
      <c r="D40"/>
      <c r="E40"/>
      <c r="F40"/>
      <c r="G40"/>
      <c r="H40"/>
      <c r="I40"/>
      <c r="J40"/>
      <c r="K40"/>
      <c r="L40"/>
      <c r="M40"/>
      <c r="N40" s="27"/>
      <c r="O40" s="27"/>
      <c r="P40" s="27"/>
    </row>
    <row r="41" spans="1:16" s="15" customFormat="1" x14ac:dyDescent="0.3">
      <c r="A41" s="17"/>
      <c r="B41"/>
      <c r="C41"/>
      <c r="D41"/>
      <c r="E41"/>
      <c r="F41"/>
      <c r="G41"/>
      <c r="H41"/>
      <c r="I41"/>
      <c r="J41"/>
      <c r="K41"/>
      <c r="L41"/>
      <c r="M41"/>
      <c r="N41" s="27"/>
      <c r="O41" s="27"/>
      <c r="P41" s="27"/>
    </row>
    <row r="42" spans="1:16" s="15" customFormat="1" x14ac:dyDescent="0.3">
      <c r="A42" s="17"/>
      <c r="B42"/>
      <c r="C42"/>
      <c r="D42"/>
      <c r="E42"/>
      <c r="F42"/>
      <c r="G42"/>
      <c r="H42"/>
      <c r="I42"/>
      <c r="J42"/>
      <c r="K42"/>
      <c r="L42"/>
      <c r="M42"/>
      <c r="N42" s="27"/>
      <c r="O42" s="27"/>
      <c r="P42" s="27"/>
    </row>
    <row r="43" spans="1:16" s="15" customFormat="1" x14ac:dyDescent="0.3">
      <c r="A43" s="17"/>
      <c r="B43"/>
      <c r="C43"/>
      <c r="D43"/>
      <c r="E43"/>
      <c r="F43"/>
      <c r="G43"/>
      <c r="H43"/>
      <c r="I43"/>
      <c r="J43"/>
      <c r="K43"/>
      <c r="L43"/>
      <c r="M43"/>
      <c r="N43" s="27"/>
      <c r="O43" s="27"/>
      <c r="P43" s="27"/>
    </row>
    <row r="44" spans="1:16" s="15" customFormat="1" x14ac:dyDescent="0.3">
      <c r="A44" s="17"/>
      <c r="B44"/>
      <c r="C44"/>
      <c r="D44"/>
      <c r="E44"/>
      <c r="F44"/>
      <c r="G44"/>
      <c r="H44"/>
      <c r="I44"/>
      <c r="J44"/>
      <c r="K44"/>
      <c r="L44"/>
      <c r="M44"/>
      <c r="N44" s="27"/>
      <c r="O44" s="27"/>
      <c r="P44" s="27"/>
    </row>
    <row r="45" spans="1:16" s="15" customFormat="1" x14ac:dyDescent="0.3">
      <c r="A45" s="17"/>
      <c r="B45"/>
      <c r="C45"/>
      <c r="D45"/>
      <c r="E45"/>
      <c r="F45"/>
      <c r="G45"/>
      <c r="H45"/>
      <c r="I45"/>
      <c r="J45"/>
      <c r="K45"/>
      <c r="L45"/>
      <c r="M45"/>
      <c r="N45" s="27"/>
      <c r="O45" s="27"/>
      <c r="P45" s="27"/>
    </row>
    <row r="46" spans="1:16" s="15" customFormat="1" x14ac:dyDescent="0.3">
      <c r="A46" s="17"/>
      <c r="B46"/>
      <c r="C46"/>
      <c r="D46"/>
      <c r="E46"/>
      <c r="F46"/>
      <c r="G46"/>
      <c r="H46"/>
      <c r="I46"/>
      <c r="J46"/>
      <c r="K46"/>
      <c r="L46"/>
      <c r="M46"/>
      <c r="N46" s="27"/>
      <c r="O46" s="27"/>
      <c r="P46" s="27"/>
    </row>
    <row r="47" spans="1:16" s="15" customFormat="1" x14ac:dyDescent="0.3">
      <c r="A47" s="17"/>
      <c r="B47"/>
      <c r="C47"/>
      <c r="D47"/>
      <c r="E47"/>
      <c r="F47"/>
      <c r="G47"/>
      <c r="H47"/>
      <c r="I47"/>
      <c r="J47"/>
      <c r="K47"/>
      <c r="L47"/>
      <c r="M47"/>
      <c r="N47" s="27"/>
      <c r="O47" s="27"/>
      <c r="P47" s="27"/>
    </row>
    <row r="48" spans="1:16" s="15" customFormat="1" x14ac:dyDescent="0.3">
      <c r="A48" s="17"/>
      <c r="B48"/>
      <c r="C48"/>
      <c r="D48"/>
      <c r="E48"/>
      <c r="F48"/>
      <c r="G48"/>
      <c r="H48"/>
      <c r="I48"/>
      <c r="J48"/>
      <c r="K48"/>
      <c r="L48"/>
      <c r="M48"/>
      <c r="N48" s="27"/>
      <c r="O48" s="27"/>
      <c r="P48" s="27"/>
    </row>
    <row r="49" spans="1:16" s="15" customFormat="1" x14ac:dyDescent="0.3">
      <c r="A49" s="17"/>
      <c r="B49"/>
      <c r="C49"/>
      <c r="D49"/>
      <c r="E49"/>
      <c r="F49"/>
      <c r="G49"/>
      <c r="H49"/>
      <c r="I49"/>
      <c r="J49"/>
      <c r="K49"/>
      <c r="L49"/>
      <c r="M49"/>
      <c r="N49" s="27"/>
      <c r="O49" s="27"/>
      <c r="P49" s="27"/>
    </row>
    <row r="50" spans="1:16" s="15" customFormat="1" x14ac:dyDescent="0.3">
      <c r="A50" s="17"/>
      <c r="B50"/>
      <c r="C50"/>
      <c r="D50"/>
      <c r="E50"/>
      <c r="F50"/>
      <c r="G50"/>
      <c r="H50"/>
      <c r="I50"/>
      <c r="J50"/>
      <c r="K50"/>
      <c r="L50"/>
      <c r="M50"/>
      <c r="N50" s="27"/>
      <c r="O50" s="27"/>
      <c r="P50" s="27"/>
    </row>
    <row r="51" spans="1:16" s="15" customFormat="1" x14ac:dyDescent="0.3">
      <c r="A51" s="17"/>
      <c r="B51"/>
      <c r="C51"/>
      <c r="D51"/>
      <c r="E51"/>
      <c r="F51"/>
      <c r="G51"/>
      <c r="H51"/>
      <c r="I51"/>
      <c r="J51"/>
      <c r="K51"/>
      <c r="L51"/>
      <c r="M51"/>
      <c r="N51" s="27"/>
      <c r="O51" s="27"/>
      <c r="P51" s="27"/>
    </row>
    <row r="52" spans="1:16" s="15" customFormat="1" x14ac:dyDescent="0.3">
      <c r="A52" s="17"/>
      <c r="B52"/>
      <c r="C52"/>
      <c r="D52"/>
      <c r="E52"/>
      <c r="F52"/>
      <c r="G52"/>
      <c r="H52"/>
      <c r="I52"/>
      <c r="J52"/>
      <c r="K52"/>
      <c r="L52"/>
      <c r="M52"/>
      <c r="N52" s="27"/>
      <c r="O52" s="27"/>
      <c r="P52" s="27"/>
    </row>
    <row r="53" spans="1:16" s="15" customFormat="1" x14ac:dyDescent="0.3">
      <c r="A53" s="17"/>
      <c r="B53"/>
      <c r="C53"/>
      <c r="D53"/>
      <c r="E53"/>
      <c r="F53"/>
      <c r="G53"/>
      <c r="H53"/>
      <c r="I53"/>
      <c r="J53"/>
      <c r="K53"/>
      <c r="L53"/>
      <c r="M53"/>
      <c r="N53" s="27"/>
      <c r="O53" s="27"/>
      <c r="P53" s="27"/>
    </row>
    <row r="54" spans="1:16" s="15" customFormat="1" x14ac:dyDescent="0.3">
      <c r="A54" s="17"/>
      <c r="B54"/>
      <c r="C54"/>
      <c r="D54"/>
      <c r="E54"/>
      <c r="F54"/>
      <c r="G54"/>
      <c r="H54"/>
      <c r="I54"/>
      <c r="J54"/>
      <c r="K54"/>
      <c r="L54"/>
      <c r="M54"/>
      <c r="N54" s="27"/>
      <c r="O54" s="27"/>
      <c r="P54" s="27"/>
    </row>
    <row r="55" spans="1:16" s="15" customFormat="1" x14ac:dyDescent="0.3">
      <c r="A55" s="17"/>
      <c r="B55"/>
      <c r="C55"/>
      <c r="D55"/>
      <c r="E55"/>
      <c r="F55"/>
      <c r="G55"/>
      <c r="H55"/>
      <c r="I55"/>
      <c r="J55"/>
      <c r="K55"/>
      <c r="L55"/>
      <c r="M55"/>
      <c r="N55" s="27"/>
      <c r="O55" s="27"/>
      <c r="P55" s="27"/>
    </row>
    <row r="56" spans="1:16" s="15" customFormat="1" x14ac:dyDescent="0.3">
      <c r="A56" s="17"/>
      <c r="B56"/>
      <c r="C56"/>
      <c r="D56"/>
      <c r="E56"/>
      <c r="F56"/>
      <c r="G56"/>
      <c r="H56"/>
      <c r="I56"/>
      <c r="J56"/>
      <c r="K56"/>
      <c r="L56"/>
      <c r="M56"/>
      <c r="N56" s="27"/>
      <c r="O56" s="27"/>
      <c r="P56" s="27"/>
    </row>
    <row r="57" spans="1:16" s="15" customFormat="1" x14ac:dyDescent="0.3">
      <c r="A57" s="17"/>
      <c r="B57"/>
      <c r="C57"/>
      <c r="D57"/>
      <c r="E57"/>
      <c r="F57"/>
      <c r="G57"/>
      <c r="H57"/>
      <c r="I57"/>
      <c r="J57"/>
      <c r="K57"/>
      <c r="L57"/>
      <c r="M57"/>
      <c r="N57" s="27"/>
      <c r="O57" s="27"/>
      <c r="P57" s="27"/>
    </row>
    <row r="58" spans="1:16" s="15" customFormat="1" x14ac:dyDescent="0.3">
      <c r="A58" s="17"/>
      <c r="B58"/>
      <c r="C58"/>
      <c r="D58"/>
      <c r="E58"/>
      <c r="F58"/>
      <c r="G58"/>
      <c r="H58"/>
      <c r="I58"/>
      <c r="J58"/>
      <c r="K58"/>
      <c r="L58"/>
      <c r="M58"/>
      <c r="N58" s="27"/>
      <c r="O58" s="27"/>
      <c r="P58" s="27"/>
    </row>
    <row r="59" spans="1:16" s="15" customFormat="1" x14ac:dyDescent="0.3">
      <c r="A59" s="17"/>
      <c r="B59"/>
      <c r="C59"/>
      <c r="D59"/>
      <c r="E59"/>
      <c r="F59"/>
      <c r="G59"/>
      <c r="H59"/>
      <c r="I59"/>
      <c r="J59"/>
      <c r="K59"/>
      <c r="L59"/>
      <c r="M59"/>
      <c r="N59" s="27"/>
      <c r="O59" s="27"/>
      <c r="P59" s="27"/>
    </row>
    <row r="60" spans="1:16" s="15" customFormat="1" x14ac:dyDescent="0.3">
      <c r="A60" s="17"/>
      <c r="B60"/>
      <c r="C60"/>
      <c r="D60"/>
      <c r="E60"/>
      <c r="F60"/>
      <c r="G60"/>
      <c r="H60"/>
      <c r="I60"/>
      <c r="J60"/>
      <c r="K60"/>
      <c r="L60"/>
      <c r="M60"/>
      <c r="N60" s="27"/>
      <c r="O60" s="27"/>
      <c r="P60" s="27"/>
    </row>
    <row r="61" spans="1:16" s="15" customFormat="1" x14ac:dyDescent="0.3">
      <c r="A61" s="17"/>
      <c r="B61"/>
      <c r="C61"/>
      <c r="D61"/>
      <c r="E61"/>
      <c r="F61"/>
      <c r="G61"/>
      <c r="H61"/>
      <c r="I61"/>
      <c r="J61"/>
      <c r="K61"/>
      <c r="L61"/>
      <c r="M61"/>
      <c r="N61" s="27"/>
      <c r="O61" s="27"/>
      <c r="P61" s="27"/>
    </row>
    <row r="62" spans="1:16" s="15" customFormat="1" x14ac:dyDescent="0.3">
      <c r="A62" s="17"/>
      <c r="B62"/>
      <c r="C62"/>
      <c r="D62"/>
      <c r="E62"/>
      <c r="F62"/>
      <c r="G62"/>
      <c r="H62"/>
      <c r="I62"/>
      <c r="J62"/>
      <c r="K62"/>
      <c r="L62"/>
      <c r="M62"/>
      <c r="N62" s="27"/>
      <c r="O62" s="27"/>
      <c r="P62" s="27"/>
    </row>
    <row r="63" spans="1:16" s="15" customFormat="1" x14ac:dyDescent="0.3">
      <c r="A63" s="17"/>
      <c r="B63"/>
      <c r="C63"/>
      <c r="D63"/>
      <c r="E63"/>
      <c r="F63"/>
      <c r="G63"/>
      <c r="H63"/>
      <c r="I63"/>
      <c r="J63"/>
      <c r="K63"/>
      <c r="L63"/>
      <c r="M63"/>
      <c r="N63" s="27"/>
      <c r="O63" s="27"/>
      <c r="P63" s="27"/>
    </row>
    <row r="64" spans="1:16" s="15" customFormat="1" x14ac:dyDescent="0.3">
      <c r="A64" s="17"/>
      <c r="B64"/>
      <c r="C64"/>
      <c r="D64"/>
      <c r="E64"/>
      <c r="F64"/>
      <c r="G64"/>
      <c r="H64"/>
      <c r="I64"/>
      <c r="J64"/>
      <c r="K64"/>
      <c r="L64"/>
      <c r="M64"/>
      <c r="N64" s="27"/>
      <c r="O64" s="27"/>
      <c r="P64" s="27"/>
    </row>
    <row r="65" spans="1:16" s="15" customFormat="1" x14ac:dyDescent="0.3">
      <c r="A65" s="17"/>
      <c r="B65"/>
      <c r="C65"/>
      <c r="D65"/>
      <c r="E65"/>
      <c r="F65"/>
      <c r="G65"/>
      <c r="H65"/>
      <c r="I65"/>
      <c r="J65"/>
      <c r="K65"/>
      <c r="L65"/>
      <c r="M65"/>
      <c r="N65" s="27"/>
      <c r="O65" s="27"/>
      <c r="P65" s="27"/>
    </row>
    <row r="66" spans="1:16" s="15" customFormat="1" x14ac:dyDescent="0.3">
      <c r="A66" s="17"/>
      <c r="B66"/>
      <c r="C66"/>
      <c r="D66"/>
      <c r="E66"/>
      <c r="F66"/>
      <c r="G66"/>
      <c r="H66"/>
      <c r="I66"/>
      <c r="J66"/>
      <c r="K66"/>
      <c r="L66"/>
      <c r="M66"/>
      <c r="N66" s="27"/>
      <c r="O66" s="27"/>
      <c r="P66" s="27"/>
    </row>
    <row r="67" spans="1:16" s="15" customFormat="1" x14ac:dyDescent="0.3">
      <c r="A67" s="17"/>
      <c r="B67"/>
      <c r="C67"/>
      <c r="D67"/>
      <c r="E67"/>
      <c r="F67"/>
      <c r="G67"/>
      <c r="H67"/>
      <c r="I67"/>
      <c r="J67"/>
      <c r="K67"/>
      <c r="L67"/>
      <c r="M67"/>
      <c r="N67" s="27"/>
      <c r="O67" s="27"/>
      <c r="P67" s="27"/>
    </row>
    <row r="68" spans="1:16" s="15" customFormat="1" x14ac:dyDescent="0.3">
      <c r="A68" s="17"/>
      <c r="B68"/>
      <c r="C68"/>
      <c r="D68"/>
      <c r="E68"/>
      <c r="F68"/>
      <c r="G68"/>
      <c r="H68"/>
      <c r="I68"/>
      <c r="J68"/>
      <c r="K68"/>
      <c r="L68"/>
      <c r="M68"/>
      <c r="N68" s="27"/>
      <c r="O68" s="27"/>
      <c r="P68" s="27"/>
    </row>
    <row r="69" spans="1:16" s="15" customFormat="1" x14ac:dyDescent="0.3">
      <c r="A69" s="17"/>
      <c r="B69"/>
      <c r="C69"/>
      <c r="D69"/>
      <c r="E69"/>
      <c r="F69"/>
      <c r="G69"/>
      <c r="H69"/>
      <c r="I69"/>
      <c r="J69"/>
      <c r="K69"/>
      <c r="L69"/>
      <c r="M69"/>
      <c r="N69" s="27"/>
      <c r="O69" s="27"/>
      <c r="P69" s="27"/>
    </row>
    <row r="70" spans="1:16" s="15" customFormat="1" x14ac:dyDescent="0.3">
      <c r="A70" s="17"/>
      <c r="B70"/>
      <c r="C70"/>
      <c r="D70"/>
      <c r="E70"/>
      <c r="F70"/>
      <c r="G70"/>
      <c r="H70"/>
      <c r="I70"/>
      <c r="J70"/>
      <c r="K70"/>
      <c r="L70"/>
      <c r="M70"/>
      <c r="N70" s="27"/>
      <c r="O70" s="27"/>
      <c r="P70" s="27"/>
    </row>
    <row r="71" spans="1:16" s="15" customFormat="1" x14ac:dyDescent="0.3">
      <c r="A71" s="17"/>
      <c r="B71"/>
      <c r="C71"/>
      <c r="D71"/>
      <c r="E71"/>
      <c r="F71"/>
      <c r="G71"/>
      <c r="H71"/>
      <c r="I71"/>
      <c r="J71"/>
      <c r="K71"/>
      <c r="L71"/>
      <c r="M71"/>
      <c r="N71" s="27"/>
      <c r="O71" s="27"/>
      <c r="P71" s="27"/>
    </row>
    <row r="72" spans="1:16" s="15" customFormat="1" x14ac:dyDescent="0.3">
      <c r="A72" s="17"/>
      <c r="B72"/>
      <c r="C72"/>
      <c r="D72"/>
      <c r="E72"/>
      <c r="F72"/>
      <c r="G72"/>
      <c r="H72"/>
      <c r="I72"/>
      <c r="J72"/>
      <c r="K72"/>
      <c r="L72"/>
      <c r="M72"/>
      <c r="N72" s="27"/>
      <c r="O72" s="27"/>
      <c r="P72" s="27"/>
    </row>
    <row r="73" spans="1:16" s="15" customFormat="1" x14ac:dyDescent="0.3">
      <c r="A73" s="17"/>
      <c r="B73"/>
      <c r="C73"/>
      <c r="D73"/>
      <c r="E73"/>
      <c r="F73"/>
      <c r="G73"/>
      <c r="H73"/>
      <c r="I73"/>
      <c r="J73"/>
      <c r="K73"/>
      <c r="L73"/>
      <c r="M73"/>
      <c r="N73" s="27"/>
      <c r="O73" s="27"/>
      <c r="P73" s="27"/>
    </row>
    <row r="74" spans="1:16" s="15" customFormat="1" x14ac:dyDescent="0.3">
      <c r="A74" s="17"/>
      <c r="B74"/>
      <c r="C74"/>
      <c r="D74"/>
      <c r="E74"/>
      <c r="F74"/>
      <c r="G74"/>
      <c r="H74"/>
      <c r="I74"/>
      <c r="J74"/>
      <c r="K74"/>
      <c r="L74"/>
      <c r="M74"/>
      <c r="N74" s="27"/>
      <c r="O74" s="27"/>
      <c r="P74" s="27"/>
    </row>
    <row r="75" spans="1:16" s="15" customFormat="1" x14ac:dyDescent="0.3">
      <c r="A75" s="17"/>
      <c r="B75"/>
      <c r="C75"/>
      <c r="D75"/>
      <c r="E75"/>
      <c r="F75"/>
      <c r="G75"/>
      <c r="H75"/>
      <c r="I75"/>
      <c r="J75"/>
      <c r="K75"/>
      <c r="L75"/>
      <c r="M75"/>
      <c r="N75" s="27"/>
      <c r="O75" s="27"/>
      <c r="P75" s="27"/>
    </row>
    <row r="76" spans="1:16" s="15" customFormat="1" x14ac:dyDescent="0.3">
      <c r="A76" s="17"/>
      <c r="B76"/>
      <c r="C76"/>
      <c r="D76"/>
      <c r="E76"/>
      <c r="F76"/>
      <c r="G76"/>
      <c r="H76"/>
      <c r="I76"/>
      <c r="J76"/>
      <c r="K76"/>
      <c r="L76"/>
      <c r="M76"/>
      <c r="N76" s="27"/>
      <c r="O76" s="27"/>
      <c r="P76" s="27"/>
    </row>
    <row r="77" spans="1:16" s="15" customFormat="1" x14ac:dyDescent="0.3">
      <c r="A77" s="17"/>
      <c r="B77"/>
      <c r="C77"/>
      <c r="D77"/>
      <c r="E77"/>
      <c r="F77"/>
      <c r="G77"/>
      <c r="H77"/>
      <c r="I77"/>
      <c r="J77"/>
      <c r="K77"/>
      <c r="L77"/>
      <c r="M77"/>
      <c r="N77" s="27"/>
      <c r="O77" s="27"/>
      <c r="P77" s="27"/>
    </row>
    <row r="78" spans="1:16" s="15" customFormat="1" x14ac:dyDescent="0.3">
      <c r="A78" s="17"/>
      <c r="B78"/>
      <c r="C78"/>
      <c r="D78"/>
      <c r="E78"/>
      <c r="F78"/>
      <c r="G78"/>
      <c r="H78"/>
      <c r="I78"/>
      <c r="J78"/>
      <c r="K78"/>
      <c r="L78"/>
      <c r="M78"/>
      <c r="N78" s="27"/>
      <c r="O78" s="27"/>
      <c r="P78" s="27"/>
    </row>
    <row r="79" spans="1:16" s="15" customFormat="1" x14ac:dyDescent="0.3">
      <c r="A79" s="17"/>
      <c r="B79"/>
      <c r="C79"/>
      <c r="D79"/>
      <c r="E79"/>
      <c r="F79"/>
      <c r="G79"/>
      <c r="H79"/>
      <c r="I79"/>
      <c r="J79"/>
      <c r="K79"/>
      <c r="L79"/>
      <c r="M79"/>
      <c r="N79" s="27"/>
      <c r="O79" s="27"/>
      <c r="P79" s="27"/>
    </row>
    <row r="80" spans="1:16" s="15" customFormat="1" x14ac:dyDescent="0.3">
      <c r="A80" s="17"/>
      <c r="B80"/>
      <c r="C80"/>
      <c r="D80"/>
      <c r="E80"/>
      <c r="F80"/>
      <c r="G80"/>
      <c r="H80"/>
      <c r="I80"/>
      <c r="J80"/>
      <c r="K80"/>
      <c r="L80"/>
      <c r="M80"/>
      <c r="N80" s="27"/>
      <c r="O80" s="27"/>
      <c r="P80" s="27"/>
    </row>
    <row r="81" spans="1:16" s="15" customFormat="1" x14ac:dyDescent="0.3">
      <c r="A81" s="17"/>
      <c r="B81"/>
      <c r="C81"/>
      <c r="D81"/>
      <c r="E81"/>
      <c r="F81"/>
      <c r="G81"/>
      <c r="H81"/>
      <c r="I81"/>
      <c r="J81"/>
      <c r="K81"/>
      <c r="L81"/>
      <c r="M81"/>
      <c r="N81" s="27"/>
      <c r="O81" s="27"/>
      <c r="P81" s="27"/>
    </row>
    <row r="82" spans="1:16" s="15" customFormat="1" x14ac:dyDescent="0.3">
      <c r="A82" s="17"/>
      <c r="B82"/>
      <c r="C82"/>
      <c r="D82"/>
      <c r="E82"/>
      <c r="F82"/>
      <c r="G82"/>
      <c r="H82"/>
      <c r="I82"/>
      <c r="J82"/>
      <c r="K82"/>
      <c r="L82"/>
      <c r="M82"/>
      <c r="N82" s="27"/>
      <c r="O82" s="27"/>
      <c r="P82" s="27"/>
    </row>
    <row r="83" spans="1:16" s="15" customFormat="1" x14ac:dyDescent="0.3">
      <c r="A83" s="17"/>
      <c r="B83"/>
      <c r="C83"/>
      <c r="D83"/>
      <c r="E83"/>
      <c r="F83"/>
      <c r="G83"/>
      <c r="H83"/>
      <c r="I83"/>
      <c r="J83"/>
      <c r="K83"/>
      <c r="L83"/>
      <c r="M83"/>
      <c r="N83" s="27"/>
      <c r="O83" s="27"/>
      <c r="P83" s="27"/>
    </row>
    <row r="84" spans="1:16" s="15" customFormat="1" x14ac:dyDescent="0.3">
      <c r="A84" s="17"/>
      <c r="B84"/>
      <c r="C84"/>
      <c r="D84"/>
      <c r="E84"/>
      <c r="F84"/>
      <c r="G84"/>
      <c r="H84"/>
      <c r="I84"/>
      <c r="J84"/>
      <c r="K84"/>
      <c r="L84"/>
      <c r="M84"/>
      <c r="N84" s="27"/>
      <c r="O84" s="27"/>
      <c r="P84" s="27"/>
    </row>
    <row r="85" spans="1:16" s="15" customFormat="1" x14ac:dyDescent="0.3">
      <c r="A85" s="17"/>
      <c r="B85"/>
      <c r="C85"/>
      <c r="D85"/>
      <c r="E85"/>
      <c r="F85"/>
      <c r="G85"/>
      <c r="H85"/>
      <c r="I85"/>
      <c r="J85"/>
      <c r="K85"/>
      <c r="L85"/>
      <c r="M85"/>
      <c r="N85" s="27"/>
      <c r="O85" s="27"/>
      <c r="P85" s="27"/>
    </row>
    <row r="86" spans="1:16" s="15" customFormat="1" x14ac:dyDescent="0.3">
      <c r="A86" s="17"/>
      <c r="B86"/>
      <c r="C86"/>
      <c r="D86"/>
      <c r="E86"/>
      <c r="F86"/>
      <c r="G86"/>
      <c r="H86"/>
      <c r="I86"/>
      <c r="J86"/>
      <c r="K86"/>
      <c r="L86"/>
      <c r="M86"/>
      <c r="N86" s="27"/>
      <c r="O86" s="27"/>
      <c r="P86" s="27"/>
    </row>
    <row r="87" spans="1:16" s="15" customFormat="1" x14ac:dyDescent="0.3">
      <c r="A87" s="17"/>
      <c r="B87"/>
      <c r="C87"/>
      <c r="D87"/>
      <c r="E87"/>
      <c r="F87"/>
      <c r="G87"/>
      <c r="H87"/>
      <c r="I87"/>
      <c r="J87"/>
      <c r="K87"/>
      <c r="L87"/>
      <c r="M87"/>
      <c r="N87" s="27"/>
      <c r="O87" s="27"/>
      <c r="P87" s="27"/>
    </row>
    <row r="88" spans="1:16" s="15" customFormat="1" x14ac:dyDescent="0.3">
      <c r="A88" s="17"/>
      <c r="B88"/>
      <c r="C88"/>
      <c r="D88"/>
      <c r="E88"/>
      <c r="F88"/>
      <c r="G88"/>
      <c r="H88"/>
      <c r="I88"/>
      <c r="J88"/>
      <c r="K88"/>
      <c r="L88"/>
      <c r="M88"/>
      <c r="N88" s="27"/>
      <c r="O88" s="27"/>
      <c r="P88" s="27"/>
    </row>
    <row r="89" spans="1:16" s="15" customFormat="1" x14ac:dyDescent="0.3">
      <c r="A89" s="17"/>
      <c r="B89"/>
      <c r="C89"/>
      <c r="D89"/>
      <c r="E89"/>
      <c r="F89"/>
      <c r="G89"/>
      <c r="H89"/>
      <c r="I89"/>
      <c r="J89"/>
      <c r="K89"/>
      <c r="L89"/>
      <c r="M89"/>
      <c r="N89" s="27"/>
      <c r="O89" s="27"/>
      <c r="P89" s="27"/>
    </row>
    <row r="90" spans="1:16" s="15" customFormat="1" x14ac:dyDescent="0.3">
      <c r="A90" s="17"/>
      <c r="B90"/>
      <c r="C90"/>
      <c r="D90"/>
      <c r="E90"/>
      <c r="F90"/>
      <c r="G90"/>
      <c r="H90"/>
      <c r="I90"/>
      <c r="J90"/>
      <c r="K90"/>
      <c r="L90"/>
      <c r="M90"/>
      <c r="N90" s="27"/>
      <c r="O90" s="27"/>
      <c r="P90" s="27"/>
    </row>
    <row r="91" spans="1:16" s="15" customFormat="1" x14ac:dyDescent="0.3">
      <c r="A91" s="17"/>
      <c r="B91"/>
      <c r="C91"/>
      <c r="D91"/>
      <c r="E91"/>
      <c r="F91"/>
      <c r="G91"/>
      <c r="H91"/>
      <c r="I91"/>
      <c r="J91"/>
      <c r="K91"/>
      <c r="L91"/>
      <c r="M91"/>
      <c r="N91" s="27"/>
      <c r="O91" s="27"/>
      <c r="P91" s="27"/>
    </row>
    <row r="92" spans="1:16" s="15" customFormat="1" x14ac:dyDescent="0.3">
      <c r="A92" s="17"/>
      <c r="B92"/>
      <c r="C92"/>
      <c r="D92"/>
      <c r="E92"/>
      <c r="F92"/>
      <c r="G92"/>
      <c r="H92"/>
      <c r="I92"/>
      <c r="J92"/>
      <c r="K92"/>
      <c r="L92"/>
      <c r="M92"/>
      <c r="N92" s="27"/>
      <c r="O92" s="27"/>
      <c r="P92" s="27"/>
    </row>
    <row r="93" spans="1:16" s="15" customFormat="1" x14ac:dyDescent="0.3">
      <c r="A93" s="17"/>
      <c r="B93"/>
      <c r="C93"/>
      <c r="D93"/>
      <c r="E93"/>
      <c r="F93"/>
      <c r="G93"/>
      <c r="H93"/>
      <c r="I93"/>
      <c r="J93"/>
      <c r="K93"/>
      <c r="L93"/>
      <c r="M93"/>
      <c r="N93" s="27"/>
      <c r="O93" s="27"/>
      <c r="P93" s="27"/>
    </row>
    <row r="94" spans="1:16" s="15" customFormat="1" x14ac:dyDescent="0.3">
      <c r="A94" s="17"/>
      <c r="B94"/>
      <c r="C94"/>
      <c r="D94"/>
      <c r="E94"/>
      <c r="F94"/>
      <c r="G94"/>
      <c r="H94"/>
      <c r="I94"/>
      <c r="J94"/>
      <c r="K94"/>
      <c r="L94"/>
      <c r="M94"/>
      <c r="N94" s="27"/>
      <c r="O94" s="27"/>
      <c r="P94" s="27"/>
    </row>
    <row r="95" spans="1:16" s="15" customFormat="1" x14ac:dyDescent="0.3">
      <c r="A95" s="17"/>
      <c r="B95"/>
      <c r="C95"/>
      <c r="D95"/>
      <c r="E95"/>
      <c r="F95"/>
      <c r="G95"/>
      <c r="H95"/>
      <c r="I95"/>
      <c r="J95"/>
      <c r="K95"/>
      <c r="L95"/>
      <c r="M95"/>
      <c r="N95" s="27"/>
      <c r="O95" s="27"/>
      <c r="P95" s="27"/>
    </row>
    <row r="96" spans="1:16" s="15" customFormat="1" x14ac:dyDescent="0.3">
      <c r="A96" s="17"/>
      <c r="B96"/>
      <c r="C96"/>
      <c r="D96"/>
      <c r="E96"/>
      <c r="F96"/>
      <c r="G96"/>
      <c r="H96"/>
      <c r="I96"/>
      <c r="J96"/>
      <c r="K96"/>
      <c r="L96"/>
      <c r="M96"/>
      <c r="N96" s="27"/>
      <c r="O96" s="27"/>
      <c r="P96" s="27"/>
    </row>
    <row r="97" spans="1:16" s="15" customFormat="1" x14ac:dyDescent="0.3">
      <c r="A97" s="17"/>
      <c r="B97"/>
      <c r="C97"/>
      <c r="D97"/>
      <c r="E97"/>
      <c r="F97"/>
      <c r="G97"/>
      <c r="H97"/>
      <c r="I97"/>
      <c r="J97"/>
      <c r="K97"/>
      <c r="L97"/>
      <c r="M97"/>
      <c r="N97" s="27"/>
      <c r="O97" s="27"/>
      <c r="P97" s="27"/>
    </row>
    <row r="98" spans="1:16" s="15" customFormat="1" x14ac:dyDescent="0.3">
      <c r="A98" s="17"/>
      <c r="B98"/>
      <c r="C98"/>
      <c r="D98"/>
      <c r="E98"/>
      <c r="F98"/>
      <c r="G98"/>
      <c r="H98"/>
      <c r="I98"/>
      <c r="J98"/>
      <c r="K98"/>
      <c r="L98"/>
      <c r="M98"/>
      <c r="N98" s="27"/>
      <c r="O98" s="27"/>
      <c r="P98" s="27"/>
    </row>
    <row r="99" spans="1:16" s="15" customFormat="1" x14ac:dyDescent="0.3">
      <c r="A99" s="17"/>
      <c r="B99"/>
      <c r="C99"/>
      <c r="D99"/>
      <c r="E99"/>
      <c r="F99"/>
      <c r="G99"/>
      <c r="H99"/>
      <c r="I99"/>
      <c r="J99"/>
      <c r="K99"/>
      <c r="L99"/>
      <c r="M99"/>
      <c r="N99" s="27"/>
      <c r="O99" s="27"/>
      <c r="P99" s="27"/>
    </row>
    <row r="100" spans="1:16" s="15" customFormat="1" x14ac:dyDescent="0.3">
      <c r="A100" s="17"/>
      <c r="B100"/>
      <c r="C100"/>
      <c r="D100"/>
      <c r="E100"/>
      <c r="F100"/>
      <c r="G100"/>
      <c r="H100"/>
      <c r="I100"/>
      <c r="J100"/>
      <c r="K100"/>
      <c r="L100"/>
      <c r="M100"/>
      <c r="N100" s="27"/>
      <c r="O100" s="27"/>
      <c r="P100" s="27"/>
    </row>
    <row r="101" spans="1:16" s="15" customFormat="1" x14ac:dyDescent="0.3">
      <c r="A101" s="17"/>
      <c r="B101"/>
      <c r="C101"/>
      <c r="D101"/>
      <c r="E101"/>
      <c r="F101"/>
      <c r="G101"/>
      <c r="H101"/>
      <c r="I101"/>
      <c r="J101"/>
      <c r="K101"/>
      <c r="L101"/>
      <c r="M101"/>
      <c r="N101" s="27"/>
      <c r="O101" s="27"/>
      <c r="P101" s="27"/>
    </row>
    <row r="102" spans="1:16" s="15" customFormat="1" x14ac:dyDescent="0.3">
      <c r="A102" s="17"/>
      <c r="B102"/>
      <c r="C102"/>
      <c r="D102"/>
      <c r="E102"/>
      <c r="F102"/>
      <c r="G102"/>
      <c r="H102"/>
      <c r="I102"/>
      <c r="J102"/>
      <c r="K102"/>
      <c r="L102"/>
      <c r="M102"/>
      <c r="N102" s="27"/>
      <c r="O102" s="27"/>
      <c r="P102" s="27"/>
    </row>
    <row r="103" spans="1:16" s="15" customFormat="1" x14ac:dyDescent="0.3">
      <c r="A103" s="17"/>
      <c r="B103"/>
      <c r="C103"/>
      <c r="D103"/>
      <c r="E103"/>
      <c r="F103"/>
      <c r="G103"/>
      <c r="H103"/>
      <c r="I103"/>
      <c r="J103"/>
      <c r="K103"/>
      <c r="L103"/>
      <c r="M103"/>
      <c r="N103" s="27"/>
      <c r="O103" s="27"/>
      <c r="P103" s="27"/>
    </row>
    <row r="104" spans="1:16" s="15" customFormat="1" x14ac:dyDescent="0.3">
      <c r="A104" s="17"/>
      <c r="B104"/>
      <c r="C104"/>
      <c r="D104"/>
      <c r="E104"/>
      <c r="F104"/>
      <c r="G104"/>
      <c r="H104"/>
      <c r="I104"/>
      <c r="J104"/>
      <c r="K104"/>
      <c r="L104"/>
      <c r="M104"/>
      <c r="N104" s="27"/>
      <c r="O104" s="27"/>
      <c r="P104" s="27"/>
    </row>
    <row r="105" spans="1:16" s="15" customFormat="1" x14ac:dyDescent="0.3">
      <c r="A105" s="17"/>
      <c r="B105"/>
      <c r="C105"/>
      <c r="D105"/>
      <c r="E105"/>
      <c r="F105"/>
      <c r="G105"/>
      <c r="H105"/>
      <c r="I105"/>
      <c r="J105"/>
      <c r="K105"/>
      <c r="L105"/>
      <c r="M105"/>
      <c r="N105" s="27"/>
      <c r="O105" s="27"/>
      <c r="P105" s="27"/>
    </row>
    <row r="106" spans="1:16" s="15" customFormat="1" x14ac:dyDescent="0.3">
      <c r="A106" s="17"/>
      <c r="B106"/>
      <c r="C106"/>
      <c r="D106"/>
      <c r="E106"/>
      <c r="F106"/>
      <c r="G106"/>
      <c r="H106"/>
      <c r="I106"/>
      <c r="J106"/>
      <c r="K106"/>
      <c r="L106"/>
      <c r="M106"/>
      <c r="N106" s="27"/>
      <c r="O106" s="27"/>
      <c r="P106" s="27"/>
    </row>
    <row r="107" spans="1:16" s="15" customFormat="1" x14ac:dyDescent="0.3">
      <c r="A107" s="17"/>
      <c r="B107"/>
      <c r="C107"/>
      <c r="D107"/>
      <c r="E107"/>
      <c r="F107"/>
      <c r="G107"/>
      <c r="H107"/>
      <c r="I107"/>
      <c r="J107"/>
      <c r="K107"/>
      <c r="L107"/>
      <c r="M107"/>
      <c r="N107" s="27"/>
      <c r="O107" s="27"/>
      <c r="P107" s="27"/>
    </row>
    <row r="108" spans="1:16" s="15" customFormat="1" x14ac:dyDescent="0.3">
      <c r="A108" s="17"/>
      <c r="B108"/>
      <c r="C108"/>
      <c r="D108"/>
      <c r="E108"/>
      <c r="F108"/>
      <c r="G108"/>
      <c r="H108"/>
      <c r="I108"/>
      <c r="J108"/>
      <c r="K108"/>
      <c r="L108"/>
      <c r="M108"/>
      <c r="N108" s="27"/>
      <c r="O108" s="27"/>
      <c r="P108" s="27"/>
    </row>
    <row r="109" spans="1:16" s="15" customFormat="1" x14ac:dyDescent="0.3">
      <c r="A109" s="17"/>
      <c r="B109"/>
      <c r="C109"/>
      <c r="D109"/>
      <c r="E109"/>
      <c r="F109"/>
      <c r="G109"/>
      <c r="H109"/>
      <c r="I109"/>
      <c r="J109"/>
      <c r="K109"/>
      <c r="L109"/>
      <c r="M109"/>
      <c r="N109" s="27"/>
      <c r="O109" s="27"/>
      <c r="P109" s="27"/>
    </row>
    <row r="110" spans="1:16" s="15" customFormat="1" x14ac:dyDescent="0.3">
      <c r="A110" s="17"/>
      <c r="B110"/>
      <c r="C110"/>
      <c r="D110"/>
      <c r="E110"/>
      <c r="F110"/>
      <c r="G110"/>
      <c r="H110"/>
      <c r="I110"/>
      <c r="J110"/>
      <c r="K110"/>
      <c r="L110"/>
      <c r="M110"/>
      <c r="N110" s="27"/>
      <c r="O110" s="27"/>
      <c r="P110" s="27"/>
    </row>
    <row r="111" spans="1:16" s="15" customFormat="1" x14ac:dyDescent="0.3">
      <c r="A111" s="17"/>
      <c r="B111"/>
      <c r="C111"/>
      <c r="D111"/>
      <c r="E111"/>
      <c r="F111"/>
      <c r="G111"/>
      <c r="H111"/>
      <c r="I111"/>
      <c r="J111"/>
      <c r="K111"/>
      <c r="L111"/>
      <c r="M111"/>
      <c r="N111" s="27"/>
      <c r="O111" s="27"/>
      <c r="P111" s="27"/>
    </row>
    <row r="112" spans="1:16" s="15" customFormat="1" x14ac:dyDescent="0.3">
      <c r="A112" s="17"/>
      <c r="B112"/>
      <c r="C112"/>
      <c r="D112"/>
      <c r="E112"/>
      <c r="F112"/>
      <c r="G112"/>
      <c r="H112"/>
      <c r="I112"/>
      <c r="J112"/>
      <c r="K112"/>
      <c r="L112"/>
      <c r="M112"/>
      <c r="N112" s="27"/>
      <c r="O112" s="27"/>
      <c r="P112" s="27"/>
    </row>
  </sheetData>
  <pageMargins left="0.511811024" right="0.511811024" top="0.78740157499999996" bottom="0.78740157499999996" header="0.31496062000000002" footer="0.3149606200000000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3BA59-CF44-426C-B632-C67E752CC748}">
  <sheetPr codeName="Planilha58">
    <tabColor theme="9" tint="0.59999389629810485"/>
  </sheetPr>
  <dimension ref="A1:U110"/>
  <sheetViews>
    <sheetView showGridLines="0" workbookViewId="0">
      <selection activeCell="L6" sqref="L6"/>
    </sheetView>
  </sheetViews>
  <sheetFormatPr defaultColWidth="8.85546875" defaultRowHeight="18.75" x14ac:dyDescent="0.3"/>
  <cols>
    <col min="1" max="1" width="12.7109375" style="17" customWidth="1"/>
    <col min="2" max="3" width="26.28515625" customWidth="1"/>
    <col min="4" max="4" width="8.85546875" customWidth="1"/>
    <col min="13" max="13" width="12.42578125" style="15" bestFit="1" customWidth="1"/>
    <col min="14" max="21" width="8.85546875" style="15"/>
  </cols>
  <sheetData>
    <row r="1" spans="1:21" x14ac:dyDescent="0.3">
      <c r="A1" s="16" t="s">
        <v>402</v>
      </c>
      <c r="M1" s="14"/>
      <c r="N1" s="14"/>
      <c r="O1" s="14"/>
      <c r="P1" s="14"/>
      <c r="Q1" s="14"/>
      <c r="R1" s="14"/>
      <c r="S1" s="14"/>
      <c r="T1" s="14"/>
      <c r="U1" s="14"/>
    </row>
    <row r="2" spans="1:21" x14ac:dyDescent="0.3">
      <c r="A2" s="17" t="s">
        <v>403</v>
      </c>
      <c r="M2" s="14"/>
      <c r="N2" s="14"/>
      <c r="O2" s="14"/>
      <c r="P2" s="14"/>
      <c r="Q2" s="14"/>
      <c r="R2" s="14"/>
      <c r="S2" s="14"/>
      <c r="T2" s="14"/>
      <c r="U2" s="14"/>
    </row>
    <row r="3" spans="1:21" x14ac:dyDescent="0.3">
      <c r="O3" s="27"/>
    </row>
    <row r="4" spans="1:21" ht="15.75" x14ac:dyDescent="0.25">
      <c r="A4" s="2" t="s">
        <v>15</v>
      </c>
      <c r="B4" s="2" t="s">
        <v>16</v>
      </c>
      <c r="C4" s="2"/>
      <c r="O4" s="27"/>
    </row>
    <row r="5" spans="1:21" ht="31.5" x14ac:dyDescent="0.25">
      <c r="A5" s="23" t="s">
        <v>404</v>
      </c>
      <c r="B5" s="26" t="s">
        <v>407</v>
      </c>
      <c r="C5" s="26"/>
      <c r="O5" s="27"/>
    </row>
    <row r="6" spans="1:21" ht="31.5" x14ac:dyDescent="0.25">
      <c r="A6" s="23" t="s">
        <v>22</v>
      </c>
      <c r="B6" s="26" t="s">
        <v>320</v>
      </c>
      <c r="C6" s="26"/>
      <c r="O6" s="27"/>
    </row>
    <row r="7" spans="1:21" ht="15.75" x14ac:dyDescent="0.25">
      <c r="A7" s="23"/>
      <c r="B7" s="26"/>
      <c r="C7" s="26"/>
      <c r="O7" s="27"/>
    </row>
    <row r="8" spans="1:21" ht="15.75" x14ac:dyDescent="0.25">
      <c r="A8" s="2" t="s">
        <v>321</v>
      </c>
      <c r="O8" s="27"/>
    </row>
    <row r="9" spans="1:21" ht="15.75" x14ac:dyDescent="0.25">
      <c r="A9" s="23" t="s">
        <v>408</v>
      </c>
      <c r="O9" s="27"/>
    </row>
    <row r="10" spans="1:21" x14ac:dyDescent="0.3">
      <c r="O10" s="27"/>
    </row>
    <row r="11" spans="1:21" x14ac:dyDescent="0.3">
      <c r="D11" s="1" t="s">
        <v>17</v>
      </c>
      <c r="E11" s="13" t="s">
        <v>404</v>
      </c>
      <c r="F11" s="12">
        <v>6</v>
      </c>
      <c r="H11" s="13" t="s">
        <v>22</v>
      </c>
      <c r="I11" s="12">
        <v>1</v>
      </c>
      <c r="J11" s="12">
        <v>2</v>
      </c>
      <c r="K11" s="12">
        <v>2</v>
      </c>
      <c r="M11" s="28" t="b" cm="1">
        <f t="array" ref="M11">_xlfn.LAMBDA(_xlpm.value,_xlpm.matrix,
SUM(1*(_xlpm.matrix=_xlpm.value)) = 1
)($F$11,$I$11:$K$15)</f>
        <v>1</v>
      </c>
      <c r="O11" s="27"/>
    </row>
    <row r="12" spans="1:21" x14ac:dyDescent="0.3">
      <c r="I12" s="12">
        <v>3</v>
      </c>
      <c r="J12" s="12">
        <v>3</v>
      </c>
      <c r="K12" s="12">
        <v>3</v>
      </c>
      <c r="M12" s="28"/>
      <c r="O12" s="27"/>
    </row>
    <row r="13" spans="1:21" x14ac:dyDescent="0.3">
      <c r="I13" s="12">
        <v>5</v>
      </c>
      <c r="J13" s="12">
        <v>6</v>
      </c>
      <c r="K13" s="12">
        <v>7</v>
      </c>
      <c r="M13" s="28"/>
      <c r="O13" s="27"/>
    </row>
    <row r="14" spans="1:21" x14ac:dyDescent="0.3">
      <c r="I14" s="12">
        <v>7</v>
      </c>
      <c r="J14" s="12">
        <v>7</v>
      </c>
      <c r="K14" s="12">
        <v>7</v>
      </c>
      <c r="M14" s="27"/>
      <c r="O14" s="27"/>
    </row>
    <row r="15" spans="1:21" x14ac:dyDescent="0.3">
      <c r="I15" s="12">
        <v>9</v>
      </c>
      <c r="J15" s="12">
        <v>10</v>
      </c>
      <c r="K15" s="12">
        <v>12</v>
      </c>
      <c r="M15" s="27"/>
      <c r="O15" s="27"/>
    </row>
    <row r="16" spans="1:21" s="15" customFormat="1" x14ac:dyDescent="0.3">
      <c r="A16" s="17"/>
      <c r="B16"/>
      <c r="C16"/>
      <c r="D16"/>
      <c r="E16"/>
      <c r="F16"/>
      <c r="G16"/>
      <c r="H16"/>
      <c r="I16"/>
      <c r="J16"/>
      <c r="K16"/>
      <c r="L16"/>
      <c r="M16" s="27"/>
      <c r="O16" s="27"/>
    </row>
    <row r="17" spans="1:15" s="15" customFormat="1" x14ac:dyDescent="0.3">
      <c r="A17" s="17"/>
      <c r="B17"/>
      <c r="C17"/>
      <c r="D17"/>
      <c r="E17"/>
      <c r="F17"/>
      <c r="G17"/>
      <c r="H17"/>
      <c r="I17"/>
      <c r="J17"/>
      <c r="K17"/>
      <c r="L17"/>
      <c r="M17" s="27"/>
      <c r="O17" s="27"/>
    </row>
    <row r="18" spans="1:15" s="15" customFormat="1" x14ac:dyDescent="0.3">
      <c r="A18" s="17"/>
      <c r="B18"/>
      <c r="C18"/>
      <c r="D18" s="1" t="s">
        <v>17</v>
      </c>
      <c r="E18" s="13" t="s">
        <v>404</v>
      </c>
      <c r="F18" s="12" t="s">
        <v>405</v>
      </c>
      <c r="G18"/>
      <c r="H18" s="13" t="s">
        <v>22</v>
      </c>
      <c r="I18" s="12">
        <v>1</v>
      </c>
      <c r="J18" s="12" t="s">
        <v>406</v>
      </c>
      <c r="K18" s="12" t="s">
        <v>405</v>
      </c>
      <c r="L18"/>
      <c r="M18" s="28" t="b" cm="1">
        <f t="array" ref="M18">ISUNIQUE($F$18,$I$18:$K$19)</f>
        <v>0</v>
      </c>
      <c r="O18" s="27"/>
    </row>
    <row r="19" spans="1:15" s="15" customFormat="1" x14ac:dyDescent="0.3">
      <c r="A19" s="17"/>
      <c r="B19"/>
      <c r="C19"/>
      <c r="D19"/>
      <c r="E19"/>
      <c r="F19"/>
      <c r="G19"/>
      <c r="H19"/>
      <c r="I19" s="12">
        <v>4</v>
      </c>
      <c r="J19" s="12" t="s">
        <v>405</v>
      </c>
      <c r="K19" s="12">
        <v>6</v>
      </c>
      <c r="L19"/>
      <c r="M19" s="27"/>
      <c r="O19" s="27"/>
    </row>
    <row r="20" spans="1:15" s="15" customFormat="1" x14ac:dyDescent="0.3">
      <c r="A20" s="17"/>
      <c r="B20"/>
      <c r="C20"/>
      <c r="D20"/>
      <c r="E20"/>
      <c r="F20"/>
      <c r="G20"/>
      <c r="H20"/>
      <c r="I20"/>
      <c r="J20"/>
      <c r="K20"/>
      <c r="L20"/>
      <c r="M20" s="27"/>
      <c r="O20" s="27"/>
    </row>
    <row r="21" spans="1:15" s="15" customFormat="1" x14ac:dyDescent="0.3">
      <c r="A21" s="17"/>
      <c r="B21"/>
      <c r="C21"/>
      <c r="D21"/>
      <c r="E21"/>
      <c r="F21"/>
      <c r="G21"/>
      <c r="H21"/>
      <c r="I21"/>
      <c r="J21"/>
      <c r="K21"/>
      <c r="L21"/>
      <c r="M21" s="27"/>
      <c r="O21" s="27"/>
    </row>
    <row r="22" spans="1:15" s="15" customFormat="1" x14ac:dyDescent="0.3">
      <c r="A22" s="17"/>
      <c r="B22"/>
      <c r="C22"/>
      <c r="D22"/>
      <c r="E22"/>
      <c r="F22"/>
      <c r="G22"/>
      <c r="H22"/>
      <c r="I22"/>
      <c r="J22"/>
      <c r="K22"/>
      <c r="L22"/>
      <c r="M22" s="27"/>
      <c r="O22" s="27"/>
    </row>
    <row r="23" spans="1:15" s="15" customFormat="1" x14ac:dyDescent="0.3">
      <c r="A23" s="17"/>
      <c r="B23"/>
      <c r="C23"/>
      <c r="D23"/>
      <c r="E23"/>
      <c r="F23"/>
      <c r="G23"/>
      <c r="H23"/>
      <c r="I23"/>
      <c r="J23"/>
      <c r="K23"/>
      <c r="L23"/>
      <c r="M23" s="27"/>
      <c r="O23" s="27"/>
    </row>
    <row r="24" spans="1:15" s="15" customFormat="1" x14ac:dyDescent="0.3">
      <c r="A24" s="17"/>
      <c r="B24"/>
      <c r="C24"/>
      <c r="D24"/>
      <c r="E24"/>
      <c r="F24"/>
      <c r="G24"/>
      <c r="H24"/>
      <c r="I24"/>
      <c r="J24"/>
      <c r="K24"/>
      <c r="L24"/>
      <c r="M24" s="27"/>
      <c r="O24" s="27"/>
    </row>
    <row r="25" spans="1:15" s="15" customFormat="1" x14ac:dyDescent="0.3">
      <c r="A25" s="17"/>
      <c r="B25"/>
      <c r="C25"/>
      <c r="D25"/>
      <c r="E25"/>
      <c r="F25"/>
      <c r="G25"/>
      <c r="H25"/>
      <c r="I25"/>
      <c r="J25"/>
      <c r="K25"/>
      <c r="L25"/>
      <c r="M25" s="27"/>
      <c r="O25" s="27"/>
    </row>
    <row r="26" spans="1:15" s="15" customFormat="1" x14ac:dyDescent="0.3">
      <c r="A26" s="17"/>
      <c r="B26"/>
      <c r="C26"/>
      <c r="D26"/>
      <c r="E26"/>
      <c r="F26"/>
      <c r="G26"/>
      <c r="H26"/>
      <c r="I26"/>
      <c r="J26"/>
      <c r="K26"/>
      <c r="L26"/>
      <c r="M26" s="27"/>
      <c r="O26" s="27"/>
    </row>
    <row r="27" spans="1:15" s="15" customFormat="1" x14ac:dyDescent="0.3">
      <c r="A27" s="17"/>
      <c r="B27"/>
      <c r="C27"/>
      <c r="D27"/>
      <c r="E27"/>
      <c r="F27"/>
      <c r="G27"/>
      <c r="H27"/>
      <c r="I27"/>
      <c r="J27"/>
      <c r="K27"/>
      <c r="L27"/>
      <c r="M27" s="27"/>
      <c r="O27" s="27"/>
    </row>
    <row r="28" spans="1:15" s="15" customFormat="1" x14ac:dyDescent="0.3">
      <c r="A28" s="17"/>
      <c r="B28"/>
      <c r="C28"/>
      <c r="D28"/>
      <c r="E28"/>
      <c r="F28"/>
      <c r="G28"/>
      <c r="H28"/>
      <c r="I28"/>
      <c r="J28"/>
      <c r="K28"/>
      <c r="L28"/>
      <c r="M28" s="27"/>
      <c r="O28" s="27"/>
    </row>
    <row r="29" spans="1:15" s="15" customFormat="1" x14ac:dyDescent="0.3">
      <c r="A29" s="17"/>
      <c r="B29"/>
      <c r="C29"/>
      <c r="D29"/>
      <c r="E29"/>
      <c r="F29"/>
      <c r="G29"/>
      <c r="H29"/>
      <c r="I29"/>
      <c r="J29"/>
      <c r="K29"/>
      <c r="L29"/>
      <c r="M29" s="27"/>
      <c r="O29" s="27"/>
    </row>
    <row r="30" spans="1:15" s="15" customFormat="1" x14ac:dyDescent="0.3">
      <c r="A30" s="17"/>
      <c r="B30"/>
      <c r="C30"/>
      <c r="D30"/>
      <c r="E30"/>
      <c r="F30"/>
      <c r="G30"/>
      <c r="H30"/>
      <c r="I30"/>
      <c r="J30"/>
      <c r="K30"/>
      <c r="L30"/>
      <c r="M30" s="27"/>
      <c r="O30" s="27"/>
    </row>
    <row r="31" spans="1:15" s="15" customFormat="1" x14ac:dyDescent="0.3">
      <c r="A31" s="17"/>
      <c r="B31"/>
      <c r="C31"/>
      <c r="D31"/>
      <c r="E31"/>
      <c r="F31"/>
      <c r="G31"/>
      <c r="H31"/>
      <c r="I31"/>
      <c r="J31"/>
      <c r="K31"/>
      <c r="L31"/>
      <c r="M31" s="27"/>
      <c r="O31" s="27"/>
    </row>
    <row r="32" spans="1:15" s="15" customFormat="1" x14ac:dyDescent="0.3">
      <c r="A32" s="17"/>
      <c r="B32"/>
      <c r="C32"/>
      <c r="D32"/>
      <c r="E32"/>
      <c r="F32"/>
      <c r="G32"/>
      <c r="H32"/>
      <c r="I32"/>
      <c r="J32"/>
      <c r="K32"/>
      <c r="L32"/>
      <c r="M32" s="27"/>
      <c r="O32" s="27"/>
    </row>
    <row r="33" spans="1:15" s="15" customFormat="1" x14ac:dyDescent="0.3">
      <c r="A33" s="17"/>
      <c r="B33"/>
      <c r="C33"/>
      <c r="D33"/>
      <c r="E33"/>
      <c r="F33"/>
      <c r="G33"/>
      <c r="H33"/>
      <c r="I33"/>
      <c r="J33"/>
      <c r="K33"/>
      <c r="L33"/>
      <c r="M33" s="27"/>
      <c r="O33" s="27"/>
    </row>
    <row r="34" spans="1:15" s="15" customFormat="1" x14ac:dyDescent="0.3">
      <c r="A34" s="17"/>
      <c r="B34"/>
      <c r="C34"/>
      <c r="D34"/>
      <c r="E34"/>
      <c r="F34"/>
      <c r="G34"/>
      <c r="H34"/>
      <c r="I34"/>
      <c r="J34"/>
      <c r="K34"/>
      <c r="L34"/>
      <c r="M34" s="27"/>
      <c r="O34" s="27"/>
    </row>
    <row r="35" spans="1:15" s="15" customFormat="1" x14ac:dyDescent="0.3">
      <c r="A35" s="17"/>
      <c r="B35"/>
      <c r="C35"/>
      <c r="D35"/>
      <c r="E35"/>
      <c r="F35"/>
      <c r="G35"/>
      <c r="H35"/>
      <c r="I35"/>
      <c r="J35"/>
      <c r="K35"/>
      <c r="L35"/>
      <c r="M35" s="27"/>
      <c r="O35" s="27"/>
    </row>
    <row r="36" spans="1:15" s="15" customFormat="1" x14ac:dyDescent="0.3">
      <c r="A36" s="17"/>
      <c r="B36"/>
      <c r="C36"/>
      <c r="D36"/>
      <c r="E36"/>
      <c r="F36"/>
      <c r="G36"/>
      <c r="H36"/>
      <c r="I36"/>
      <c r="J36"/>
      <c r="K36"/>
      <c r="L36"/>
      <c r="M36" s="27"/>
      <c r="O36" s="27"/>
    </row>
    <row r="37" spans="1:15" s="15" customFormat="1" x14ac:dyDescent="0.3">
      <c r="A37" s="17"/>
      <c r="B37"/>
      <c r="C37"/>
      <c r="D37"/>
      <c r="E37"/>
      <c r="F37"/>
      <c r="G37"/>
      <c r="H37"/>
      <c r="I37"/>
      <c r="J37"/>
      <c r="K37"/>
      <c r="L37"/>
      <c r="M37" s="27"/>
      <c r="O37" s="27"/>
    </row>
    <row r="38" spans="1:15" s="15" customFormat="1" x14ac:dyDescent="0.3">
      <c r="A38" s="17"/>
      <c r="B38"/>
      <c r="C38"/>
      <c r="D38"/>
      <c r="E38"/>
      <c r="F38"/>
      <c r="G38"/>
      <c r="H38"/>
      <c r="I38"/>
      <c r="J38"/>
      <c r="K38"/>
      <c r="L38"/>
      <c r="M38" s="27"/>
      <c r="O38" s="27"/>
    </row>
    <row r="39" spans="1:15" s="15" customFormat="1" x14ac:dyDescent="0.3">
      <c r="A39" s="17"/>
      <c r="B39"/>
      <c r="C39"/>
      <c r="D39"/>
      <c r="E39"/>
      <c r="F39"/>
      <c r="G39"/>
      <c r="H39"/>
      <c r="I39"/>
      <c r="J39"/>
      <c r="K39"/>
      <c r="L39"/>
      <c r="M39" s="27"/>
      <c r="O39" s="27"/>
    </row>
    <row r="40" spans="1:15" s="15" customFormat="1" x14ac:dyDescent="0.3">
      <c r="A40" s="17"/>
      <c r="B40"/>
      <c r="C40"/>
      <c r="D40"/>
      <c r="E40"/>
      <c r="F40"/>
      <c r="G40"/>
      <c r="H40"/>
      <c r="I40"/>
      <c r="J40"/>
      <c r="K40"/>
      <c r="L40"/>
      <c r="M40" s="27"/>
      <c r="O40" s="27"/>
    </row>
    <row r="41" spans="1:15" s="15" customFormat="1" x14ac:dyDescent="0.3">
      <c r="A41" s="17"/>
      <c r="B41"/>
      <c r="C41"/>
      <c r="D41"/>
      <c r="E41"/>
      <c r="F41"/>
      <c r="G41"/>
      <c r="H41"/>
      <c r="I41"/>
      <c r="J41"/>
      <c r="K41"/>
      <c r="L41"/>
      <c r="M41" s="27"/>
      <c r="O41" s="27"/>
    </row>
    <row r="42" spans="1:15" s="15" customFormat="1" x14ac:dyDescent="0.3">
      <c r="A42" s="17"/>
      <c r="B42"/>
      <c r="C42"/>
      <c r="D42"/>
      <c r="E42"/>
      <c r="F42"/>
      <c r="G42"/>
      <c r="H42"/>
      <c r="I42"/>
      <c r="J42"/>
      <c r="K42"/>
      <c r="L42"/>
      <c r="M42" s="27"/>
      <c r="O42" s="27"/>
    </row>
    <row r="43" spans="1:15" s="15" customFormat="1" x14ac:dyDescent="0.3">
      <c r="A43" s="17"/>
      <c r="B43"/>
      <c r="C43"/>
      <c r="D43"/>
      <c r="E43"/>
      <c r="F43"/>
      <c r="G43"/>
      <c r="H43"/>
      <c r="I43"/>
      <c r="J43"/>
      <c r="K43"/>
      <c r="L43"/>
      <c r="M43" s="27"/>
      <c r="O43" s="27"/>
    </row>
    <row r="44" spans="1:15" s="15" customFormat="1" x14ac:dyDescent="0.3">
      <c r="A44" s="17"/>
      <c r="B44"/>
      <c r="C44"/>
      <c r="D44"/>
      <c r="E44"/>
      <c r="F44"/>
      <c r="G44"/>
      <c r="H44"/>
      <c r="I44"/>
      <c r="J44"/>
      <c r="K44"/>
      <c r="L44"/>
      <c r="M44" s="27"/>
      <c r="O44" s="27"/>
    </row>
    <row r="45" spans="1:15" s="15" customFormat="1" x14ac:dyDescent="0.3">
      <c r="A45" s="17"/>
      <c r="B45"/>
      <c r="C45"/>
      <c r="D45"/>
      <c r="E45"/>
      <c r="F45"/>
      <c r="G45"/>
      <c r="H45"/>
      <c r="I45"/>
      <c r="J45"/>
      <c r="K45"/>
      <c r="L45"/>
      <c r="M45" s="27"/>
      <c r="O45" s="27"/>
    </row>
    <row r="46" spans="1:15" s="15" customFormat="1" x14ac:dyDescent="0.3">
      <c r="A46" s="17"/>
      <c r="B46"/>
      <c r="C46"/>
      <c r="D46"/>
      <c r="E46"/>
      <c r="F46"/>
      <c r="G46"/>
      <c r="H46"/>
      <c r="I46"/>
      <c r="J46"/>
      <c r="K46"/>
      <c r="L46"/>
      <c r="M46" s="27"/>
      <c r="O46" s="27"/>
    </row>
    <row r="47" spans="1:15" s="15" customFormat="1" x14ac:dyDescent="0.3">
      <c r="A47" s="17"/>
      <c r="B47"/>
      <c r="C47"/>
      <c r="D47"/>
      <c r="E47"/>
      <c r="F47"/>
      <c r="G47"/>
      <c r="H47"/>
      <c r="I47"/>
      <c r="J47"/>
      <c r="K47"/>
      <c r="L47"/>
      <c r="M47" s="27"/>
      <c r="O47" s="27"/>
    </row>
    <row r="48" spans="1:15" s="15" customFormat="1" x14ac:dyDescent="0.3">
      <c r="A48" s="17"/>
      <c r="B48"/>
      <c r="C48"/>
      <c r="D48"/>
      <c r="E48"/>
      <c r="F48"/>
      <c r="G48"/>
      <c r="H48"/>
      <c r="I48"/>
      <c r="J48"/>
      <c r="K48"/>
      <c r="L48"/>
      <c r="M48" s="27"/>
      <c r="O48" s="27"/>
    </row>
    <row r="49" spans="1:15" s="15" customFormat="1" x14ac:dyDescent="0.3">
      <c r="A49" s="17"/>
      <c r="B49"/>
      <c r="C49"/>
      <c r="D49"/>
      <c r="E49"/>
      <c r="F49"/>
      <c r="G49"/>
      <c r="H49"/>
      <c r="I49"/>
      <c r="J49"/>
      <c r="K49"/>
      <c r="L49"/>
      <c r="M49" s="27"/>
      <c r="O49" s="27"/>
    </row>
    <row r="50" spans="1:15" s="15" customFormat="1" x14ac:dyDescent="0.3">
      <c r="A50" s="17"/>
      <c r="B50"/>
      <c r="C50"/>
      <c r="D50"/>
      <c r="E50"/>
      <c r="F50"/>
      <c r="G50"/>
      <c r="H50"/>
      <c r="I50"/>
      <c r="J50"/>
      <c r="K50"/>
      <c r="L50"/>
      <c r="M50" s="27"/>
      <c r="O50" s="27"/>
    </row>
    <row r="51" spans="1:15" s="15" customFormat="1" x14ac:dyDescent="0.3">
      <c r="A51" s="17"/>
      <c r="B51"/>
      <c r="C51"/>
      <c r="D51"/>
      <c r="E51"/>
      <c r="F51"/>
      <c r="G51"/>
      <c r="H51"/>
      <c r="I51"/>
      <c r="J51"/>
      <c r="K51"/>
      <c r="L51"/>
      <c r="M51" s="27"/>
      <c r="O51" s="27"/>
    </row>
    <row r="52" spans="1:15" s="15" customFormat="1" x14ac:dyDescent="0.3">
      <c r="A52" s="17"/>
      <c r="B52"/>
      <c r="C52"/>
      <c r="D52"/>
      <c r="E52"/>
      <c r="F52"/>
      <c r="G52"/>
      <c r="H52"/>
      <c r="I52"/>
      <c r="J52"/>
      <c r="K52"/>
      <c r="L52"/>
      <c r="M52" s="27"/>
      <c r="O52" s="27"/>
    </row>
    <row r="53" spans="1:15" s="15" customFormat="1" x14ac:dyDescent="0.3">
      <c r="A53" s="17"/>
      <c r="B53"/>
      <c r="C53"/>
      <c r="D53"/>
      <c r="E53"/>
      <c r="F53"/>
      <c r="G53"/>
      <c r="H53"/>
      <c r="I53"/>
      <c r="J53"/>
      <c r="K53"/>
      <c r="L53"/>
      <c r="M53" s="27"/>
      <c r="O53" s="27"/>
    </row>
    <row r="54" spans="1:15" s="15" customFormat="1" x14ac:dyDescent="0.3">
      <c r="A54" s="17"/>
      <c r="B54"/>
      <c r="C54"/>
      <c r="D54"/>
      <c r="E54"/>
      <c r="F54"/>
      <c r="G54"/>
      <c r="H54"/>
      <c r="I54"/>
      <c r="J54"/>
      <c r="K54"/>
      <c r="L54"/>
      <c r="M54" s="27"/>
      <c r="O54" s="27"/>
    </row>
    <row r="55" spans="1:15" s="15" customFormat="1" x14ac:dyDescent="0.3">
      <c r="A55" s="17"/>
      <c r="B55"/>
      <c r="C55"/>
      <c r="D55"/>
      <c r="E55"/>
      <c r="F55"/>
      <c r="G55"/>
      <c r="H55"/>
      <c r="I55"/>
      <c r="J55"/>
      <c r="K55"/>
      <c r="L55"/>
      <c r="M55" s="27"/>
      <c r="O55" s="27"/>
    </row>
    <row r="56" spans="1:15" s="15" customFormat="1" x14ac:dyDescent="0.3">
      <c r="A56" s="17"/>
      <c r="B56"/>
      <c r="C56"/>
      <c r="D56"/>
      <c r="E56"/>
      <c r="F56"/>
      <c r="G56"/>
      <c r="H56"/>
      <c r="I56"/>
      <c r="J56"/>
      <c r="K56"/>
      <c r="L56"/>
      <c r="M56" s="27"/>
      <c r="O56" s="27"/>
    </row>
    <row r="57" spans="1:15" s="15" customFormat="1" x14ac:dyDescent="0.3">
      <c r="A57" s="17"/>
      <c r="B57"/>
      <c r="C57"/>
      <c r="D57"/>
      <c r="E57"/>
      <c r="F57"/>
      <c r="G57"/>
      <c r="H57"/>
      <c r="I57"/>
      <c r="J57"/>
      <c r="K57"/>
      <c r="L57"/>
      <c r="M57" s="27"/>
      <c r="O57" s="27"/>
    </row>
    <row r="58" spans="1:15" s="15" customFormat="1" x14ac:dyDescent="0.3">
      <c r="A58" s="17"/>
      <c r="B58"/>
      <c r="C58"/>
      <c r="D58"/>
      <c r="E58"/>
      <c r="F58"/>
      <c r="G58"/>
      <c r="H58"/>
      <c r="I58"/>
      <c r="J58"/>
      <c r="K58"/>
      <c r="L58"/>
      <c r="M58" s="27"/>
      <c r="O58" s="27"/>
    </row>
    <row r="59" spans="1:15" s="15" customFormat="1" x14ac:dyDescent="0.3">
      <c r="A59" s="17"/>
      <c r="B59"/>
      <c r="C59"/>
      <c r="D59"/>
      <c r="E59"/>
      <c r="F59"/>
      <c r="G59"/>
      <c r="H59"/>
      <c r="I59"/>
      <c r="J59"/>
      <c r="K59"/>
      <c r="L59"/>
      <c r="M59" s="27"/>
      <c r="O59" s="27"/>
    </row>
    <row r="60" spans="1:15" s="15" customFormat="1" x14ac:dyDescent="0.3">
      <c r="A60" s="17"/>
      <c r="B60"/>
      <c r="C60"/>
      <c r="D60"/>
      <c r="E60"/>
      <c r="F60"/>
      <c r="G60"/>
      <c r="H60"/>
      <c r="I60"/>
      <c r="J60"/>
      <c r="K60"/>
      <c r="L60"/>
      <c r="M60" s="27"/>
      <c r="O60" s="27"/>
    </row>
    <row r="61" spans="1:15" s="15" customFormat="1" x14ac:dyDescent="0.3">
      <c r="A61" s="17"/>
      <c r="B61"/>
      <c r="C61"/>
      <c r="D61"/>
      <c r="E61"/>
      <c r="F61"/>
      <c r="G61"/>
      <c r="H61"/>
      <c r="I61"/>
      <c r="J61"/>
      <c r="K61"/>
      <c r="L61"/>
      <c r="M61" s="27"/>
      <c r="O61" s="27"/>
    </row>
    <row r="62" spans="1:15" s="15" customFormat="1" x14ac:dyDescent="0.3">
      <c r="A62" s="17"/>
      <c r="B62"/>
      <c r="C62"/>
      <c r="D62"/>
      <c r="E62"/>
      <c r="F62"/>
      <c r="G62"/>
      <c r="H62"/>
      <c r="I62"/>
      <c r="J62"/>
      <c r="K62"/>
      <c r="L62"/>
      <c r="M62" s="27"/>
      <c r="O62" s="27"/>
    </row>
    <row r="63" spans="1:15" s="15" customFormat="1" x14ac:dyDescent="0.3">
      <c r="A63" s="17"/>
      <c r="B63"/>
      <c r="C63"/>
      <c r="D63"/>
      <c r="E63"/>
      <c r="F63"/>
      <c r="G63"/>
      <c r="H63"/>
      <c r="I63"/>
      <c r="J63"/>
      <c r="K63"/>
      <c r="L63"/>
      <c r="M63" s="27"/>
      <c r="O63" s="27"/>
    </row>
    <row r="64" spans="1:15" s="15" customFormat="1" x14ac:dyDescent="0.3">
      <c r="A64" s="17"/>
      <c r="B64"/>
      <c r="C64"/>
      <c r="D64"/>
      <c r="E64"/>
      <c r="F64"/>
      <c r="G64"/>
      <c r="H64"/>
      <c r="I64"/>
      <c r="J64"/>
      <c r="K64"/>
      <c r="L64"/>
      <c r="M64" s="27"/>
      <c r="O64" s="27"/>
    </row>
    <row r="65" spans="1:15" s="15" customFormat="1" x14ac:dyDescent="0.3">
      <c r="A65" s="17"/>
      <c r="B65"/>
      <c r="C65"/>
      <c r="D65"/>
      <c r="E65"/>
      <c r="F65"/>
      <c r="G65"/>
      <c r="H65"/>
      <c r="I65"/>
      <c r="J65"/>
      <c r="K65"/>
      <c r="L65"/>
      <c r="M65" s="27"/>
      <c r="O65" s="27"/>
    </row>
    <row r="66" spans="1:15" s="15" customFormat="1" x14ac:dyDescent="0.3">
      <c r="A66" s="17"/>
      <c r="B66"/>
      <c r="C66"/>
      <c r="D66"/>
      <c r="E66"/>
      <c r="F66"/>
      <c r="G66"/>
      <c r="H66"/>
      <c r="I66"/>
      <c r="J66"/>
      <c r="K66"/>
      <c r="L66"/>
      <c r="M66" s="27"/>
      <c r="O66" s="27"/>
    </row>
    <row r="67" spans="1:15" s="15" customFormat="1" x14ac:dyDescent="0.3">
      <c r="A67" s="17"/>
      <c r="B67"/>
      <c r="C67"/>
      <c r="D67"/>
      <c r="E67"/>
      <c r="F67"/>
      <c r="G67"/>
      <c r="H67"/>
      <c r="I67"/>
      <c r="J67"/>
      <c r="K67"/>
      <c r="L67"/>
      <c r="M67" s="27"/>
      <c r="O67" s="27"/>
    </row>
    <row r="68" spans="1:15" s="15" customFormat="1" x14ac:dyDescent="0.3">
      <c r="A68" s="17"/>
      <c r="B68"/>
      <c r="C68"/>
      <c r="D68"/>
      <c r="E68"/>
      <c r="F68"/>
      <c r="G68"/>
      <c r="H68"/>
      <c r="I68"/>
      <c r="J68"/>
      <c r="K68"/>
      <c r="L68"/>
      <c r="M68" s="27"/>
      <c r="O68" s="27"/>
    </row>
    <row r="69" spans="1:15" s="15" customFormat="1" x14ac:dyDescent="0.3">
      <c r="A69" s="17"/>
      <c r="B69"/>
      <c r="C69"/>
      <c r="D69"/>
      <c r="E69"/>
      <c r="F69"/>
      <c r="G69"/>
      <c r="H69"/>
      <c r="I69"/>
      <c r="J69"/>
      <c r="K69"/>
      <c r="L69"/>
      <c r="M69" s="27"/>
      <c r="O69" s="27"/>
    </row>
    <row r="70" spans="1:15" s="15" customFormat="1" x14ac:dyDescent="0.3">
      <c r="A70" s="17"/>
      <c r="B70"/>
      <c r="C70"/>
      <c r="D70"/>
      <c r="E70"/>
      <c r="F70"/>
      <c r="G70"/>
      <c r="H70"/>
      <c r="I70"/>
      <c r="J70"/>
      <c r="K70"/>
      <c r="L70"/>
      <c r="M70" s="27"/>
      <c r="O70" s="27"/>
    </row>
    <row r="71" spans="1:15" s="15" customFormat="1" x14ac:dyDescent="0.3">
      <c r="A71" s="17"/>
      <c r="B71"/>
      <c r="C71"/>
      <c r="D71"/>
      <c r="E71"/>
      <c r="F71"/>
      <c r="G71"/>
      <c r="H71"/>
      <c r="I71"/>
      <c r="J71"/>
      <c r="K71"/>
      <c r="L71"/>
      <c r="M71" s="27"/>
      <c r="O71" s="27"/>
    </row>
    <row r="72" spans="1:15" s="15" customFormat="1" x14ac:dyDescent="0.3">
      <c r="A72" s="17"/>
      <c r="B72"/>
      <c r="C72"/>
      <c r="D72"/>
      <c r="E72"/>
      <c r="F72"/>
      <c r="G72"/>
      <c r="H72"/>
      <c r="I72"/>
      <c r="J72"/>
      <c r="K72"/>
      <c r="L72"/>
      <c r="M72" s="27"/>
      <c r="O72" s="27"/>
    </row>
    <row r="73" spans="1:15" s="15" customFormat="1" x14ac:dyDescent="0.3">
      <c r="A73" s="17"/>
      <c r="B73"/>
      <c r="C73"/>
      <c r="D73"/>
      <c r="E73"/>
      <c r="F73"/>
      <c r="G73"/>
      <c r="H73"/>
      <c r="I73"/>
      <c r="J73"/>
      <c r="K73"/>
      <c r="L73"/>
      <c r="M73" s="27"/>
      <c r="O73" s="27"/>
    </row>
    <row r="74" spans="1:15" s="15" customFormat="1" x14ac:dyDescent="0.3">
      <c r="A74" s="17"/>
      <c r="B74"/>
      <c r="C74"/>
      <c r="D74"/>
      <c r="E74"/>
      <c r="F74"/>
      <c r="G74"/>
      <c r="H74"/>
      <c r="I74"/>
      <c r="J74"/>
      <c r="K74"/>
      <c r="L74"/>
      <c r="M74" s="27"/>
      <c r="O74" s="27"/>
    </row>
    <row r="75" spans="1:15" s="15" customFormat="1" x14ac:dyDescent="0.3">
      <c r="A75" s="17"/>
      <c r="B75"/>
      <c r="C75"/>
      <c r="D75"/>
      <c r="E75"/>
      <c r="F75"/>
      <c r="G75"/>
      <c r="H75"/>
      <c r="I75"/>
      <c r="J75"/>
      <c r="K75"/>
      <c r="L75"/>
      <c r="M75" s="27"/>
      <c r="O75" s="27"/>
    </row>
    <row r="76" spans="1:15" s="15" customFormat="1" x14ac:dyDescent="0.3">
      <c r="A76" s="17"/>
      <c r="B76"/>
      <c r="C76"/>
      <c r="D76"/>
      <c r="E76"/>
      <c r="F76"/>
      <c r="G76"/>
      <c r="H76"/>
      <c r="I76"/>
      <c r="J76"/>
      <c r="K76"/>
      <c r="L76"/>
      <c r="M76" s="27"/>
      <c r="O76" s="27"/>
    </row>
    <row r="77" spans="1:15" s="15" customFormat="1" x14ac:dyDescent="0.3">
      <c r="A77" s="17"/>
      <c r="B77"/>
      <c r="C77"/>
      <c r="D77"/>
      <c r="E77"/>
      <c r="F77"/>
      <c r="G77"/>
      <c r="H77"/>
      <c r="I77"/>
      <c r="J77"/>
      <c r="K77"/>
      <c r="L77"/>
      <c r="M77" s="27"/>
      <c r="O77" s="27"/>
    </row>
    <row r="78" spans="1:15" s="15" customFormat="1" x14ac:dyDescent="0.3">
      <c r="A78" s="17"/>
      <c r="B78"/>
      <c r="C78"/>
      <c r="D78"/>
      <c r="E78"/>
      <c r="F78"/>
      <c r="G78"/>
      <c r="H78"/>
      <c r="I78"/>
      <c r="J78"/>
      <c r="K78"/>
      <c r="L78"/>
      <c r="M78" s="27"/>
      <c r="O78" s="27"/>
    </row>
    <row r="79" spans="1:15" s="15" customFormat="1" x14ac:dyDescent="0.3">
      <c r="A79" s="17"/>
      <c r="B79"/>
      <c r="C79"/>
      <c r="D79"/>
      <c r="E79"/>
      <c r="F79"/>
      <c r="G79"/>
      <c r="H79"/>
      <c r="I79"/>
      <c r="J79"/>
      <c r="K79"/>
      <c r="L79"/>
      <c r="M79" s="27"/>
      <c r="O79" s="27"/>
    </row>
    <row r="80" spans="1:15" s="15" customFormat="1" x14ac:dyDescent="0.3">
      <c r="A80" s="17"/>
      <c r="B80"/>
      <c r="C80"/>
      <c r="D80"/>
      <c r="E80"/>
      <c r="F80"/>
      <c r="G80"/>
      <c r="H80"/>
      <c r="I80"/>
      <c r="J80"/>
      <c r="K80"/>
      <c r="L80"/>
      <c r="M80" s="27"/>
      <c r="O80" s="27"/>
    </row>
    <row r="81" spans="1:15" s="15" customFormat="1" x14ac:dyDescent="0.3">
      <c r="A81" s="17"/>
      <c r="B81"/>
      <c r="C81"/>
      <c r="D81"/>
      <c r="E81"/>
      <c r="F81"/>
      <c r="G81"/>
      <c r="H81"/>
      <c r="I81"/>
      <c r="J81"/>
      <c r="K81"/>
      <c r="L81"/>
      <c r="M81" s="27"/>
      <c r="O81" s="27"/>
    </row>
    <row r="82" spans="1:15" s="15" customFormat="1" x14ac:dyDescent="0.3">
      <c r="A82" s="17"/>
      <c r="B82"/>
      <c r="C82"/>
      <c r="D82"/>
      <c r="E82"/>
      <c r="F82"/>
      <c r="G82"/>
      <c r="H82"/>
      <c r="I82"/>
      <c r="J82"/>
      <c r="K82"/>
      <c r="L82"/>
      <c r="M82" s="27"/>
      <c r="O82" s="27"/>
    </row>
    <row r="83" spans="1:15" s="15" customFormat="1" x14ac:dyDescent="0.3">
      <c r="A83" s="17"/>
      <c r="B83"/>
      <c r="C83"/>
      <c r="D83"/>
      <c r="E83"/>
      <c r="F83"/>
      <c r="G83"/>
      <c r="H83"/>
      <c r="I83"/>
      <c r="J83"/>
      <c r="K83"/>
      <c r="L83"/>
      <c r="M83" s="27"/>
      <c r="O83" s="27"/>
    </row>
    <row r="84" spans="1:15" s="15" customFormat="1" x14ac:dyDescent="0.3">
      <c r="A84" s="17"/>
      <c r="B84"/>
      <c r="C84"/>
      <c r="D84"/>
      <c r="E84"/>
      <c r="F84"/>
      <c r="G84"/>
      <c r="H84"/>
      <c r="I84"/>
      <c r="J84"/>
      <c r="K84"/>
      <c r="L84"/>
      <c r="M84" s="27"/>
      <c r="O84" s="27"/>
    </row>
    <row r="85" spans="1:15" s="15" customFormat="1" x14ac:dyDescent="0.3">
      <c r="A85" s="17"/>
      <c r="B85"/>
      <c r="C85"/>
      <c r="D85"/>
      <c r="E85"/>
      <c r="F85"/>
      <c r="G85"/>
      <c r="H85"/>
      <c r="I85"/>
      <c r="J85"/>
      <c r="K85"/>
      <c r="L85"/>
      <c r="M85" s="27"/>
      <c r="O85" s="27"/>
    </row>
    <row r="86" spans="1:15" s="15" customFormat="1" x14ac:dyDescent="0.3">
      <c r="A86" s="17"/>
      <c r="B86"/>
      <c r="C86"/>
      <c r="D86"/>
      <c r="E86"/>
      <c r="F86"/>
      <c r="G86"/>
      <c r="H86"/>
      <c r="I86"/>
      <c r="J86"/>
      <c r="K86"/>
      <c r="L86"/>
      <c r="M86" s="27"/>
      <c r="O86" s="27"/>
    </row>
    <row r="87" spans="1:15" s="15" customFormat="1" x14ac:dyDescent="0.3">
      <c r="A87" s="17"/>
      <c r="B87"/>
      <c r="C87"/>
      <c r="D87"/>
      <c r="E87"/>
      <c r="F87"/>
      <c r="G87"/>
      <c r="H87"/>
      <c r="I87"/>
      <c r="J87"/>
      <c r="K87"/>
      <c r="L87"/>
      <c r="M87" s="27"/>
      <c r="O87" s="27"/>
    </row>
    <row r="88" spans="1:15" s="15" customFormat="1" x14ac:dyDescent="0.3">
      <c r="A88" s="17"/>
      <c r="B88"/>
      <c r="C88"/>
      <c r="D88"/>
      <c r="E88"/>
      <c r="F88"/>
      <c r="G88"/>
      <c r="H88"/>
      <c r="I88"/>
      <c r="J88"/>
      <c r="K88"/>
      <c r="L88"/>
      <c r="M88" s="27"/>
      <c r="O88" s="27"/>
    </row>
    <row r="89" spans="1:15" s="15" customFormat="1" x14ac:dyDescent="0.3">
      <c r="A89" s="17"/>
      <c r="B89"/>
      <c r="C89"/>
      <c r="D89"/>
      <c r="E89"/>
      <c r="F89"/>
      <c r="G89"/>
      <c r="H89"/>
      <c r="I89"/>
      <c r="J89"/>
      <c r="K89"/>
      <c r="L89"/>
      <c r="M89" s="27"/>
      <c r="O89" s="27"/>
    </row>
    <row r="90" spans="1:15" s="15" customFormat="1" x14ac:dyDescent="0.3">
      <c r="A90" s="17"/>
      <c r="B90"/>
      <c r="C90"/>
      <c r="D90"/>
      <c r="E90"/>
      <c r="F90"/>
      <c r="G90"/>
      <c r="H90"/>
      <c r="I90"/>
      <c r="J90"/>
      <c r="K90"/>
      <c r="L90"/>
      <c r="M90" s="27"/>
      <c r="O90" s="27"/>
    </row>
    <row r="91" spans="1:15" s="15" customFormat="1" x14ac:dyDescent="0.3">
      <c r="A91" s="17"/>
      <c r="B91"/>
      <c r="C91"/>
      <c r="D91"/>
      <c r="E91"/>
      <c r="F91"/>
      <c r="G91"/>
      <c r="H91"/>
      <c r="I91"/>
      <c r="J91"/>
      <c r="K91"/>
      <c r="L91"/>
      <c r="M91" s="27"/>
      <c r="O91" s="27"/>
    </row>
    <row r="92" spans="1:15" s="15" customFormat="1" x14ac:dyDescent="0.3">
      <c r="A92" s="17"/>
      <c r="B92"/>
      <c r="C92"/>
      <c r="D92"/>
      <c r="E92"/>
      <c r="F92"/>
      <c r="G92"/>
      <c r="H92"/>
      <c r="I92"/>
      <c r="J92"/>
      <c r="K92"/>
      <c r="L92"/>
      <c r="M92" s="27"/>
      <c r="O92" s="27"/>
    </row>
    <row r="93" spans="1:15" s="15" customFormat="1" x14ac:dyDescent="0.3">
      <c r="A93" s="17"/>
      <c r="B93"/>
      <c r="C93"/>
      <c r="D93"/>
      <c r="E93"/>
      <c r="F93"/>
      <c r="G93"/>
      <c r="H93"/>
      <c r="I93"/>
      <c r="J93"/>
      <c r="K93"/>
      <c r="L93"/>
      <c r="M93" s="27"/>
      <c r="O93" s="27"/>
    </row>
    <row r="94" spans="1:15" s="15" customFormat="1" x14ac:dyDescent="0.3">
      <c r="A94" s="17"/>
      <c r="B94"/>
      <c r="C94"/>
      <c r="D94"/>
      <c r="E94"/>
      <c r="F94"/>
      <c r="G94"/>
      <c r="H94"/>
      <c r="I94"/>
      <c r="J94"/>
      <c r="K94"/>
      <c r="L94"/>
      <c r="M94" s="27"/>
      <c r="O94" s="27"/>
    </row>
    <row r="95" spans="1:15" s="15" customFormat="1" x14ac:dyDescent="0.3">
      <c r="A95" s="17"/>
      <c r="B95"/>
      <c r="C95"/>
      <c r="D95"/>
      <c r="E95"/>
      <c r="F95"/>
      <c r="G95"/>
      <c r="H95"/>
      <c r="I95"/>
      <c r="J95"/>
      <c r="K95"/>
      <c r="L95"/>
      <c r="M95" s="27"/>
      <c r="O95" s="27"/>
    </row>
    <row r="96" spans="1:15" s="15" customFormat="1" x14ac:dyDescent="0.3">
      <c r="A96" s="17"/>
      <c r="B96"/>
      <c r="C96"/>
      <c r="D96"/>
      <c r="E96"/>
      <c r="F96"/>
      <c r="G96"/>
      <c r="H96"/>
      <c r="I96"/>
      <c r="J96"/>
      <c r="K96"/>
      <c r="L96"/>
      <c r="M96" s="27"/>
      <c r="O96" s="27"/>
    </row>
    <row r="97" spans="1:15" s="15" customFormat="1" x14ac:dyDescent="0.3">
      <c r="A97" s="17"/>
      <c r="B97"/>
      <c r="C97"/>
      <c r="D97"/>
      <c r="E97"/>
      <c r="F97"/>
      <c r="G97"/>
      <c r="H97"/>
      <c r="I97"/>
      <c r="J97"/>
      <c r="K97"/>
      <c r="L97"/>
      <c r="M97" s="27"/>
      <c r="O97" s="27"/>
    </row>
    <row r="98" spans="1:15" s="15" customFormat="1" x14ac:dyDescent="0.3">
      <c r="A98" s="17"/>
      <c r="B98"/>
      <c r="C98"/>
      <c r="D98"/>
      <c r="E98"/>
      <c r="F98"/>
      <c r="G98"/>
      <c r="H98"/>
      <c r="I98"/>
      <c r="J98"/>
      <c r="K98"/>
      <c r="L98"/>
      <c r="M98" s="27"/>
      <c r="O98" s="27"/>
    </row>
    <row r="99" spans="1:15" s="15" customFormat="1" x14ac:dyDescent="0.3">
      <c r="A99" s="17"/>
      <c r="B99"/>
      <c r="C99"/>
      <c r="D99"/>
      <c r="E99"/>
      <c r="F99"/>
      <c r="G99"/>
      <c r="H99"/>
      <c r="I99"/>
      <c r="J99"/>
      <c r="K99"/>
      <c r="L99"/>
      <c r="M99" s="27"/>
      <c r="O99" s="27"/>
    </row>
    <row r="100" spans="1:15" s="15" customFormat="1" x14ac:dyDescent="0.3">
      <c r="A100" s="17"/>
      <c r="B100"/>
      <c r="C100"/>
      <c r="D100"/>
      <c r="E100"/>
      <c r="F100"/>
      <c r="G100"/>
      <c r="H100"/>
      <c r="I100"/>
      <c r="J100"/>
      <c r="K100"/>
      <c r="L100"/>
      <c r="M100" s="27"/>
      <c r="O100" s="27"/>
    </row>
    <row r="101" spans="1:15" s="15" customFormat="1" x14ac:dyDescent="0.3">
      <c r="A101" s="17"/>
      <c r="B101"/>
      <c r="C101"/>
      <c r="D101"/>
      <c r="E101"/>
      <c r="F101"/>
      <c r="G101"/>
      <c r="H101"/>
      <c r="I101"/>
      <c r="J101"/>
      <c r="K101"/>
      <c r="L101"/>
      <c r="M101" s="27"/>
      <c r="O101" s="27"/>
    </row>
    <row r="102" spans="1:15" s="15" customFormat="1" x14ac:dyDescent="0.3">
      <c r="A102" s="17"/>
      <c r="B102"/>
      <c r="C102"/>
      <c r="D102"/>
      <c r="E102"/>
      <c r="F102"/>
      <c r="G102"/>
      <c r="H102"/>
      <c r="I102"/>
      <c r="J102"/>
      <c r="K102"/>
      <c r="L102"/>
      <c r="M102" s="27"/>
      <c r="O102" s="27"/>
    </row>
    <row r="103" spans="1:15" s="15" customFormat="1" x14ac:dyDescent="0.3">
      <c r="A103" s="17"/>
      <c r="B103"/>
      <c r="C103"/>
      <c r="D103"/>
      <c r="E103"/>
      <c r="F103"/>
      <c r="G103"/>
      <c r="H103"/>
      <c r="I103"/>
      <c r="J103"/>
      <c r="K103"/>
      <c r="L103"/>
      <c r="M103" s="27"/>
      <c r="O103" s="27"/>
    </row>
    <row r="104" spans="1:15" s="15" customFormat="1" x14ac:dyDescent="0.3">
      <c r="A104" s="17"/>
      <c r="B104"/>
      <c r="C104"/>
      <c r="D104"/>
      <c r="E104"/>
      <c r="F104"/>
      <c r="G104"/>
      <c r="H104"/>
      <c r="I104"/>
      <c r="J104"/>
      <c r="K104"/>
      <c r="L104"/>
      <c r="M104" s="27"/>
      <c r="O104" s="27"/>
    </row>
    <row r="105" spans="1:15" s="15" customFormat="1" x14ac:dyDescent="0.3">
      <c r="A105" s="17"/>
      <c r="B105"/>
      <c r="C105"/>
      <c r="D105"/>
      <c r="E105"/>
      <c r="F105"/>
      <c r="G105"/>
      <c r="H105"/>
      <c r="I105"/>
      <c r="J105"/>
      <c r="K105"/>
      <c r="L105"/>
      <c r="M105" s="27"/>
      <c r="O105" s="27"/>
    </row>
    <row r="106" spans="1:15" s="15" customFormat="1" x14ac:dyDescent="0.3">
      <c r="A106" s="17"/>
      <c r="B106"/>
      <c r="C106"/>
      <c r="D106"/>
      <c r="E106"/>
      <c r="F106"/>
      <c r="G106"/>
      <c r="H106"/>
      <c r="I106"/>
      <c r="J106"/>
      <c r="K106"/>
      <c r="L106"/>
      <c r="M106" s="27"/>
      <c r="O106" s="27"/>
    </row>
    <row r="107" spans="1:15" s="15" customFormat="1" x14ac:dyDescent="0.3">
      <c r="A107" s="17"/>
      <c r="B107"/>
      <c r="C107"/>
      <c r="D107"/>
      <c r="E107"/>
      <c r="F107"/>
      <c r="G107"/>
      <c r="H107"/>
      <c r="I107"/>
      <c r="J107"/>
      <c r="K107"/>
      <c r="L107"/>
      <c r="M107" s="27"/>
      <c r="O107" s="27"/>
    </row>
    <row r="108" spans="1:15" s="15" customFormat="1" x14ac:dyDescent="0.3">
      <c r="A108" s="17"/>
      <c r="B108"/>
      <c r="C108"/>
      <c r="D108"/>
      <c r="E108"/>
      <c r="F108"/>
      <c r="G108"/>
      <c r="H108"/>
      <c r="I108"/>
      <c r="J108"/>
      <c r="K108"/>
      <c r="L108"/>
      <c r="M108" s="27"/>
      <c r="O108" s="27"/>
    </row>
    <row r="109" spans="1:15" s="15" customFormat="1" x14ac:dyDescent="0.3">
      <c r="A109" s="17"/>
      <c r="B109"/>
      <c r="C109"/>
      <c r="D109"/>
      <c r="E109"/>
      <c r="F109"/>
      <c r="G109"/>
      <c r="H109"/>
      <c r="I109"/>
      <c r="J109"/>
      <c r="K109"/>
      <c r="L109"/>
      <c r="M109" s="27"/>
      <c r="O109" s="27"/>
    </row>
    <row r="110" spans="1:15" s="15" customFormat="1" x14ac:dyDescent="0.3">
      <c r="A110" s="17"/>
      <c r="B110"/>
      <c r="C110"/>
      <c r="D110"/>
      <c r="E110"/>
      <c r="F110"/>
      <c r="G110"/>
      <c r="H110"/>
      <c r="I110"/>
      <c r="J110"/>
      <c r="K110"/>
      <c r="L110"/>
      <c r="M110" s="27"/>
      <c r="O110" s="27"/>
    </row>
  </sheetData>
  <pageMargins left="0.511811024" right="0.511811024" top="0.78740157499999996" bottom="0.78740157499999996" header="0.31496062000000002" footer="0.3149606200000000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1A9CF-7585-4409-8BCF-5151AE825FCF}">
  <sheetPr codeName="Planilha59">
    <tabColor theme="9" tint="0.59999389629810485"/>
  </sheetPr>
  <dimension ref="A1:O675"/>
  <sheetViews>
    <sheetView showGridLines="0" workbookViewId="0">
      <selection activeCell="F4" sqref="F4"/>
    </sheetView>
  </sheetViews>
  <sheetFormatPr defaultRowHeight="15" x14ac:dyDescent="0.25"/>
  <cols>
    <col min="1" max="1" width="17.7109375" customWidth="1"/>
    <col min="2" max="2" width="43.7109375" customWidth="1"/>
    <col min="3" max="3" width="4.28515625" customWidth="1"/>
    <col min="4" max="4" width="10.7109375" bestFit="1" customWidth="1"/>
    <col min="7" max="7" width="16.85546875" bestFit="1" customWidth="1"/>
    <col min="9" max="9" width="10.7109375" bestFit="1" customWidth="1"/>
    <col min="11" max="11" width="4" customWidth="1"/>
    <col min="12" max="12" width="10.7109375" bestFit="1" customWidth="1"/>
    <col min="14" max="15" width="9.7109375" bestFit="1" customWidth="1"/>
  </cols>
  <sheetData>
    <row r="1" spans="1:13" ht="23.25" x14ac:dyDescent="0.35">
      <c r="A1" s="4" t="s">
        <v>567</v>
      </c>
      <c r="B1" s="4"/>
    </row>
    <row r="2" spans="1:13" ht="18.75" x14ac:dyDescent="0.3">
      <c r="A2" s="17" t="s">
        <v>587</v>
      </c>
    </row>
    <row r="3" spans="1:13" ht="18.75" x14ac:dyDescent="0.3">
      <c r="A3" s="17"/>
    </row>
    <row r="4" spans="1:13" ht="15.75" x14ac:dyDescent="0.25">
      <c r="A4" s="2" t="s">
        <v>15</v>
      </c>
      <c r="B4" s="2" t="s">
        <v>16</v>
      </c>
    </row>
    <row r="5" spans="1:13" ht="15.75" x14ac:dyDescent="0.25">
      <c r="A5" s="26" t="s">
        <v>158</v>
      </c>
      <c r="B5" s="26" t="s">
        <v>568</v>
      </c>
    </row>
    <row r="6" spans="1:13" ht="15.75" x14ac:dyDescent="0.25">
      <c r="A6" s="26" t="s">
        <v>167</v>
      </c>
      <c r="B6" s="26" t="s">
        <v>569</v>
      </c>
    </row>
    <row r="7" spans="1:13" ht="15.75" x14ac:dyDescent="0.25">
      <c r="A7" s="26" t="s">
        <v>570</v>
      </c>
      <c r="B7" s="26" t="s">
        <v>571</v>
      </c>
    </row>
    <row r="8" spans="1:13" ht="31.5" x14ac:dyDescent="0.25">
      <c r="A8" s="26" t="s">
        <v>572</v>
      </c>
      <c r="B8" s="26" t="s">
        <v>573</v>
      </c>
    </row>
    <row r="9" spans="1:13" ht="31.5" x14ac:dyDescent="0.25">
      <c r="A9" s="26" t="s">
        <v>574</v>
      </c>
      <c r="B9" s="26" t="s">
        <v>575</v>
      </c>
    </row>
    <row r="10" spans="1:13" ht="31.5" x14ac:dyDescent="0.25">
      <c r="A10" s="26" t="s">
        <v>576</v>
      </c>
      <c r="B10" s="26" t="s">
        <v>577</v>
      </c>
    </row>
    <row r="11" spans="1:13" ht="15.75" x14ac:dyDescent="0.25">
      <c r="A11" s="26"/>
      <c r="B11" s="26"/>
      <c r="F11" s="83" t="s">
        <v>578</v>
      </c>
      <c r="G11" s="12">
        <v>12</v>
      </c>
    </row>
    <row r="12" spans="1:13" ht="15.75" x14ac:dyDescent="0.25">
      <c r="A12" s="26"/>
      <c r="B12" s="26"/>
      <c r="F12" s="83" t="s">
        <v>579</v>
      </c>
      <c r="G12" s="12">
        <v>1</v>
      </c>
    </row>
    <row r="13" spans="1:13" ht="15.75" x14ac:dyDescent="0.25">
      <c r="A13" s="26"/>
      <c r="B13" s="26"/>
      <c r="F13" s="83" t="s">
        <v>580</v>
      </c>
      <c r="G13" s="22" t="s">
        <v>581</v>
      </c>
    </row>
    <row r="14" spans="1:13" x14ac:dyDescent="0.25">
      <c r="A14" s="113"/>
      <c r="B14" s="113"/>
      <c r="L14" t="s">
        <v>567</v>
      </c>
    </row>
    <row r="15" spans="1:13" x14ac:dyDescent="0.25">
      <c r="A15" s="113"/>
      <c r="B15" s="113"/>
      <c r="D15" s="1" t="s">
        <v>582</v>
      </c>
      <c r="E15" s="1" t="s">
        <v>583</v>
      </c>
      <c r="F15" t="s">
        <v>584</v>
      </c>
      <c r="G15" t="s">
        <v>585</v>
      </c>
      <c r="H15" t="s">
        <v>584</v>
      </c>
      <c r="I15" t="s">
        <v>584</v>
      </c>
      <c r="J15" t="s">
        <v>584</v>
      </c>
      <c r="L15" s="140" t="s">
        <v>586</v>
      </c>
      <c r="M15" s="140"/>
    </row>
    <row r="16" spans="1:13" x14ac:dyDescent="0.25">
      <c r="A16" s="113"/>
      <c r="B16" s="113"/>
      <c r="D16" s="114"/>
      <c r="E16" s="114"/>
      <c r="F16" s="114"/>
      <c r="G16" s="114"/>
      <c r="H16" s="114"/>
      <c r="I16" s="114"/>
      <c r="J16" s="114"/>
      <c r="K16" s="114"/>
      <c r="L16" s="114"/>
      <c r="M16" s="114"/>
    </row>
    <row r="17" spans="1:15" x14ac:dyDescent="0.25">
      <c r="A17" s="113"/>
      <c r="B17" s="113"/>
      <c r="D17" s="115">
        <v>24807</v>
      </c>
      <c r="E17" s="53">
        <v>3.3834970069999999</v>
      </c>
      <c r="F17">
        <f t="shared" ref="F17:F80" si="0">FLOOR(DAYS360(DATE(YEAR(D17),1,1),D17),30)</f>
        <v>330</v>
      </c>
      <c r="G17">
        <f>MOD(F17, 360/$G$12)</f>
        <v>330</v>
      </c>
      <c r="H17">
        <v>1</v>
      </c>
      <c r="I17" s="116">
        <f>D17</f>
        <v>24807</v>
      </c>
      <c r="J17">
        <f>AVERAGEIF($H$17:$H$675,H17,$E$17:$E$675)</f>
        <v>3.3834970069999999</v>
      </c>
      <c r="L17" s="116" cm="1">
        <f t="array" ref="L17:M70">_xlfn.LAMBDA(_xlpm.dates,_xlpm.values,_xlpm.highFreq,_xlpm.lowFreq,_xlop.method,_xlop.onlyValues,
IF(_xlpm.highFreq &lt; _xlpm.lowFreq, "# Cannot disaggregate to lower frequencies",
_xlfn.LET(
_xlpm.method, IF(_xlfn.ISOMITTED(_xlpm.method), "avg", _xlpm.method),
_xlpm.onlyValues, IF(_xlfn.ISOMITTED(_xlpm.onlyValues), FALSE, _xlpm.onlyValues),
_xlpm.step1, _xlfn.MAP(_xlpm.dates, _xlfn.LAMBDA(_xlpm.x, FLOOR(DAYS360(DATE(YEAR(_xlpm.x),1,1),_xlpm.x),30))),
_xlpm.step2, _xlfn.MAP(_xlpm.step1, _xlfn.LAMBDA(_xlpm.x, MOD(_xlpm.x, 360/_xlpm.lowFreq))),
_xlpm.step3, _xlfn.SCAN(0, _xlpm.step2, _xlfn.LAMBDA(_xlpm.accum,_xlpm.x, IF(_xlpm.x&gt;_xlpm.accum, _xlpm.accum, _xlpm.accum+1))),
_xlpm.step4_0, DATE(YEAR(_xlpm.dates), (12/_xlpm.lowFreq)*ROUNDUP(MONTH(_xlpm.dates)/(12/_xlpm.lowFreq),0) - (12/_xlpm.lowFreq) + 1, 1),
_xlpm.completeDates, _xlfn.SCAN(0, _xlpm.step4_0, _xlfn.LAMBDA(_xlpm.accum,_xlpm.x, SUM(1*(_xlpm.step4_0 = _xlpm.x)) = _xlpm.highFreq/_xlpm.lowFreq)),
_xlpm.step4_dates, _xlfn._xlws.FILTER(_xlpm.step4_0, _xlpm.completeDates),
_xlpm.step4_values, _xlfn._xlws.FILTER(_xlpm.values, _xlpm.completeDates),
_xlpm.step5, _xlfn.SWITCH(_xlpm.method,
"avg", _xlfn.MAKEARRAY(ROWS(_xlpm.step4_dates), 1, _xlfn.LAMBDA(_xlpm.row,_xlpm.col, SUM(IF(_xlpm.step4_dates = INDEX(_xlpm.step4_dates, _xlpm.row), _xlpm.step4_values, 0))  /(_xlpm.highFreq/_xlpm.lowFreq) )),
"sum", _xlfn.MAKEARRAY(ROWS(_xlpm.step4_dates), 1, _xlfn.LAMBDA(_xlpm.row,_xlpm.col, SUM(IF(_xlpm.step4_dates = INDEX(_xlpm.step4_dates, _xlpm.row), _xlpm.step4_values, 0)))),
"eop", _xlfn.MAKEARRAY(ROWS(_xlpm.step4_dates), 1, _xlfn.LAMBDA(_xlpm.row,_xlpm.col, _xlfn.TAKE(_xlfn._xlws.FILTER(_xlpm.step4_values, _xlpm.step4_dates = INDEX(_xlpm.step4_dates, _xlpm.row)), -1))),
),
_xlpm.step6, _xlfn.UNIQUE(IF(_xlpm.onlyValues, _xlpm.step5, _xlfn.HSTACK(_xlpm.step4_dates, _xlpm.step5))),
_xlpm.step6
)))($D$17:$D$675, $E$17:$E$675, $G$11, $G$12,$G$13, FALSE)</f>
        <v>24838</v>
      </c>
      <c r="M17">
        <v>4.6117472168333338</v>
      </c>
      <c r="N17" s="96"/>
      <c r="O17" s="116"/>
    </row>
    <row r="18" spans="1:15" x14ac:dyDescent="0.25">
      <c r="A18" s="113"/>
      <c r="B18" s="113"/>
      <c r="D18" s="115">
        <v>24838</v>
      </c>
      <c r="E18" s="53">
        <v>3.6599872919999998</v>
      </c>
      <c r="F18">
        <f t="shared" si="0"/>
        <v>0</v>
      </c>
      <c r="G18">
        <f t="shared" ref="G18:G81" si="1">MOD(F18, 360/$G$12)</f>
        <v>0</v>
      </c>
      <c r="H18">
        <f t="shared" ref="H18:H81" si="2">IF(G18&gt;G17,H17,H17+1)</f>
        <v>2</v>
      </c>
      <c r="I18" s="116">
        <f>EDATE(I17,(H18-H17)*(12/$G$12))</f>
        <v>25173</v>
      </c>
      <c r="J18">
        <f t="shared" ref="J18:J81" si="3">AVERAGEIF($H$17:$H$675,H18,$E$17:$E$675)</f>
        <v>4.6117472168333338</v>
      </c>
      <c r="L18" s="116">
        <v>25204</v>
      </c>
      <c r="M18">
        <v>6.3776569617499996</v>
      </c>
      <c r="N18" s="96"/>
      <c r="O18" s="116"/>
    </row>
    <row r="19" spans="1:15" x14ac:dyDescent="0.25">
      <c r="A19" s="113"/>
      <c r="B19" s="113"/>
      <c r="D19" s="115">
        <v>24869</v>
      </c>
      <c r="E19" s="53">
        <v>3.6820124989999998</v>
      </c>
      <c r="F19">
        <f t="shared" si="0"/>
        <v>30</v>
      </c>
      <c r="G19">
        <f t="shared" si="1"/>
        <v>30</v>
      </c>
      <c r="H19">
        <f t="shared" si="2"/>
        <v>2</v>
      </c>
      <c r="I19" s="116">
        <f t="shared" ref="I19:I82" si="4">EDATE(I18,(H19-H18)*(12/$G$12))</f>
        <v>25173</v>
      </c>
      <c r="J19">
        <f t="shared" si="3"/>
        <v>4.6117472168333338</v>
      </c>
      <c r="L19" s="116">
        <v>25569</v>
      </c>
      <c r="M19">
        <v>7.0800523682500005</v>
      </c>
      <c r="N19" s="96"/>
      <c r="O19" s="116"/>
    </row>
    <row r="20" spans="1:15" x14ac:dyDescent="0.25">
      <c r="A20" s="113"/>
      <c r="B20" s="113"/>
      <c r="D20" s="115">
        <v>24898</v>
      </c>
      <c r="E20" s="53">
        <v>4.1516675889999997</v>
      </c>
      <c r="F20">
        <f t="shared" si="0"/>
        <v>60</v>
      </c>
      <c r="G20">
        <f t="shared" si="1"/>
        <v>60</v>
      </c>
      <c r="H20">
        <f t="shared" si="2"/>
        <v>2</v>
      </c>
      <c r="I20" s="116">
        <f t="shared" si="4"/>
        <v>25173</v>
      </c>
      <c r="J20">
        <f t="shared" si="3"/>
        <v>4.6117472168333338</v>
      </c>
      <c r="L20" s="116">
        <v>25934</v>
      </c>
      <c r="M20">
        <v>5.1329448944166671</v>
      </c>
      <c r="N20" s="96"/>
      <c r="O20" s="116"/>
    </row>
    <row r="21" spans="1:15" x14ac:dyDescent="0.25">
      <c r="D21" s="115">
        <v>24929</v>
      </c>
      <c r="E21" s="53">
        <v>4.1654271740000004</v>
      </c>
      <c r="F21">
        <f t="shared" si="0"/>
        <v>90</v>
      </c>
      <c r="G21">
        <f t="shared" si="1"/>
        <v>90</v>
      </c>
      <c r="H21">
        <f t="shared" si="2"/>
        <v>2</v>
      </c>
      <c r="I21" s="116">
        <f t="shared" si="4"/>
        <v>25173</v>
      </c>
      <c r="J21">
        <f t="shared" si="3"/>
        <v>4.6117472168333338</v>
      </c>
      <c r="L21" s="116">
        <v>26299</v>
      </c>
      <c r="M21">
        <v>3.5712195252499992</v>
      </c>
      <c r="N21" s="96"/>
      <c r="O21" s="116"/>
    </row>
    <row r="22" spans="1:15" x14ac:dyDescent="0.25">
      <c r="D22" s="115">
        <v>24959</v>
      </c>
      <c r="E22" s="53">
        <v>4.0977044740000004</v>
      </c>
      <c r="F22">
        <f t="shared" si="0"/>
        <v>120</v>
      </c>
      <c r="G22">
        <f t="shared" si="1"/>
        <v>120</v>
      </c>
      <c r="H22">
        <f t="shared" si="2"/>
        <v>2</v>
      </c>
      <c r="I22" s="116">
        <f t="shared" si="4"/>
        <v>25173</v>
      </c>
      <c r="J22">
        <f t="shared" si="3"/>
        <v>4.6117472168333338</v>
      </c>
      <c r="L22" s="116">
        <v>26665</v>
      </c>
      <c r="M22">
        <v>3.6103678129166661</v>
      </c>
      <c r="N22" s="96"/>
      <c r="O22" s="116"/>
    </row>
    <row r="23" spans="1:15" x14ac:dyDescent="0.25">
      <c r="D23" s="115">
        <v>24990</v>
      </c>
      <c r="E23" s="53">
        <v>4.5575970979999996</v>
      </c>
      <c r="F23">
        <f t="shared" si="0"/>
        <v>150</v>
      </c>
      <c r="G23">
        <f t="shared" si="1"/>
        <v>150</v>
      </c>
      <c r="H23">
        <f t="shared" si="2"/>
        <v>2</v>
      </c>
      <c r="I23" s="116">
        <f t="shared" si="4"/>
        <v>25173</v>
      </c>
      <c r="J23">
        <f t="shared" si="3"/>
        <v>4.6117472168333338</v>
      </c>
      <c r="L23" s="116">
        <v>27030</v>
      </c>
      <c r="M23">
        <v>8.8286598818333335</v>
      </c>
      <c r="N23" s="96"/>
    </row>
    <row r="24" spans="1:15" x14ac:dyDescent="0.25">
      <c r="D24" s="115">
        <v>25020</v>
      </c>
      <c r="E24" s="53">
        <v>4.7663611880000003</v>
      </c>
      <c r="F24">
        <f t="shared" si="0"/>
        <v>180</v>
      </c>
      <c r="G24">
        <f t="shared" si="1"/>
        <v>180</v>
      </c>
      <c r="H24">
        <f t="shared" si="2"/>
        <v>2</v>
      </c>
      <c r="I24" s="116">
        <f t="shared" si="4"/>
        <v>25173</v>
      </c>
      <c r="J24">
        <f t="shared" si="3"/>
        <v>4.6117472168333338</v>
      </c>
      <c r="L24" s="116">
        <v>27395</v>
      </c>
      <c r="M24">
        <v>9.9582386160833334</v>
      </c>
      <c r="N24" s="96"/>
    </row>
    <row r="25" spans="1:15" x14ac:dyDescent="0.25">
      <c r="D25" s="115">
        <v>25051</v>
      </c>
      <c r="E25" s="53">
        <v>4.9601944309999997</v>
      </c>
      <c r="F25">
        <f t="shared" si="0"/>
        <v>210</v>
      </c>
      <c r="G25">
        <f t="shared" si="1"/>
        <v>210</v>
      </c>
      <c r="H25">
        <f t="shared" si="2"/>
        <v>2</v>
      </c>
      <c r="I25" s="116">
        <f t="shared" si="4"/>
        <v>25173</v>
      </c>
      <c r="J25">
        <f t="shared" si="3"/>
        <v>4.6117472168333338</v>
      </c>
      <c r="L25" s="116">
        <v>27760</v>
      </c>
      <c r="M25">
        <v>7.0692856911666659</v>
      </c>
      <c r="N25" s="96"/>
    </row>
    <row r="26" spans="1:15" x14ac:dyDescent="0.25">
      <c r="D26" s="115">
        <v>25082</v>
      </c>
      <c r="E26" s="53">
        <v>4.9618491809999998</v>
      </c>
      <c r="F26">
        <f t="shared" si="0"/>
        <v>240</v>
      </c>
      <c r="G26">
        <f t="shared" si="1"/>
        <v>240</v>
      </c>
      <c r="H26">
        <f t="shared" si="2"/>
        <v>2</v>
      </c>
      <c r="I26" s="116">
        <f t="shared" si="4"/>
        <v>25173</v>
      </c>
      <c r="J26">
        <f t="shared" si="3"/>
        <v>4.6117472168333338</v>
      </c>
      <c r="L26" s="116">
        <v>28126</v>
      </c>
      <c r="M26">
        <v>6.7075894542500007</v>
      </c>
      <c r="N26" s="96"/>
    </row>
    <row r="27" spans="1:15" x14ac:dyDescent="0.25">
      <c r="D27" s="115">
        <v>25112</v>
      </c>
      <c r="E27" s="53">
        <v>5.1983519090000003</v>
      </c>
      <c r="F27">
        <f t="shared" si="0"/>
        <v>270</v>
      </c>
      <c r="G27">
        <f t="shared" si="1"/>
        <v>270</v>
      </c>
      <c r="H27">
        <f t="shared" si="2"/>
        <v>2</v>
      </c>
      <c r="I27" s="116">
        <f t="shared" si="4"/>
        <v>25173</v>
      </c>
      <c r="J27">
        <f t="shared" si="3"/>
        <v>4.6117472168333338</v>
      </c>
      <c r="L27" s="116">
        <v>28491</v>
      </c>
      <c r="M27">
        <v>8.0957684430000008</v>
      </c>
      <c r="N27" s="96"/>
    </row>
    <row r="28" spans="1:15" x14ac:dyDescent="0.25">
      <c r="D28" s="115">
        <v>25143</v>
      </c>
      <c r="E28" s="53">
        <v>5.4149448370000002</v>
      </c>
      <c r="F28">
        <f t="shared" si="0"/>
        <v>300</v>
      </c>
      <c r="G28">
        <f t="shared" si="1"/>
        <v>300</v>
      </c>
      <c r="H28">
        <f t="shared" si="2"/>
        <v>2</v>
      </c>
      <c r="I28" s="116">
        <f t="shared" si="4"/>
        <v>25173</v>
      </c>
      <c r="J28">
        <f t="shared" si="3"/>
        <v>4.6117472168333338</v>
      </c>
      <c r="L28" s="116">
        <v>28856</v>
      </c>
      <c r="M28">
        <v>10.595650194416667</v>
      </c>
      <c r="N28" s="96"/>
    </row>
    <row r="29" spans="1:15" x14ac:dyDescent="0.25">
      <c r="D29" s="115">
        <v>25173</v>
      </c>
      <c r="E29" s="53">
        <v>5.7248689300000004</v>
      </c>
      <c r="F29">
        <f t="shared" si="0"/>
        <v>330</v>
      </c>
      <c r="G29">
        <f t="shared" si="1"/>
        <v>330</v>
      </c>
      <c r="H29">
        <f t="shared" si="2"/>
        <v>2</v>
      </c>
      <c r="I29" s="116">
        <f t="shared" si="4"/>
        <v>25173</v>
      </c>
      <c r="J29">
        <f t="shared" si="3"/>
        <v>4.6117472168333338</v>
      </c>
      <c r="L29" s="116">
        <v>29221</v>
      </c>
      <c r="M29">
        <v>13.887196271583333</v>
      </c>
      <c r="N29" s="96"/>
    </row>
    <row r="30" spans="1:15" x14ac:dyDescent="0.25">
      <c r="D30" s="115">
        <v>25204</v>
      </c>
      <c r="E30" s="53">
        <v>5.7657630449999999</v>
      </c>
      <c r="F30">
        <f t="shared" si="0"/>
        <v>0</v>
      </c>
      <c r="G30">
        <f t="shared" si="1"/>
        <v>0</v>
      </c>
      <c r="H30">
        <f t="shared" si="2"/>
        <v>3</v>
      </c>
      <c r="I30" s="116">
        <f t="shared" si="4"/>
        <v>25538</v>
      </c>
      <c r="J30">
        <f t="shared" si="3"/>
        <v>6.3776569617499996</v>
      </c>
      <c r="L30" s="116">
        <v>29587</v>
      </c>
      <c r="M30">
        <v>10.789840377166664</v>
      </c>
      <c r="N30" s="96"/>
    </row>
    <row r="31" spans="1:15" x14ac:dyDescent="0.25">
      <c r="D31" s="115">
        <v>25235</v>
      </c>
      <c r="E31" s="53">
        <v>5.7691580010000001</v>
      </c>
      <c r="F31">
        <f t="shared" si="0"/>
        <v>30</v>
      </c>
      <c r="G31">
        <f t="shared" si="1"/>
        <v>30</v>
      </c>
      <c r="H31">
        <f t="shared" si="2"/>
        <v>3</v>
      </c>
      <c r="I31" s="116">
        <f t="shared" si="4"/>
        <v>25538</v>
      </c>
      <c r="J31">
        <f t="shared" si="3"/>
        <v>6.3776569617499996</v>
      </c>
      <c r="L31" s="116">
        <v>29952</v>
      </c>
      <c r="M31">
        <v>7.6841269871666666</v>
      </c>
      <c r="N31" s="96"/>
    </row>
    <row r="32" spans="1:15" x14ac:dyDescent="0.25">
      <c r="D32" s="115">
        <v>25263</v>
      </c>
      <c r="E32" s="53">
        <v>6.1433765319999996</v>
      </c>
      <c r="F32">
        <f t="shared" si="0"/>
        <v>60</v>
      </c>
      <c r="G32">
        <f t="shared" si="1"/>
        <v>60</v>
      </c>
      <c r="H32">
        <f t="shared" si="2"/>
        <v>3</v>
      </c>
      <c r="I32" s="116">
        <f t="shared" si="4"/>
        <v>25538</v>
      </c>
      <c r="J32">
        <f t="shared" si="3"/>
        <v>6.3776569617499996</v>
      </c>
      <c r="L32" s="116">
        <v>30317</v>
      </c>
      <c r="M32">
        <v>3.7056909053333329</v>
      </c>
      <c r="N32" s="96"/>
    </row>
    <row r="33" spans="4:14" x14ac:dyDescent="0.25">
      <c r="D33" s="115">
        <v>25294</v>
      </c>
      <c r="E33" s="53">
        <v>6.5244476179999999</v>
      </c>
      <c r="F33">
        <f t="shared" si="0"/>
        <v>90</v>
      </c>
      <c r="G33">
        <f t="shared" si="1"/>
        <v>90</v>
      </c>
      <c r="H33">
        <f t="shared" si="2"/>
        <v>3</v>
      </c>
      <c r="I33" s="116">
        <f t="shared" si="4"/>
        <v>25538</v>
      </c>
      <c r="J33">
        <f t="shared" si="3"/>
        <v>6.3776569617499996</v>
      </c>
      <c r="L33" s="116">
        <v>30682</v>
      </c>
      <c r="M33">
        <v>4.8335659735833323</v>
      </c>
      <c r="N33" s="96"/>
    </row>
    <row r="34" spans="4:14" x14ac:dyDescent="0.25">
      <c r="D34" s="115">
        <v>25324</v>
      </c>
      <c r="E34" s="53">
        <v>6.7993469629999996</v>
      </c>
      <c r="F34">
        <f t="shared" si="0"/>
        <v>120</v>
      </c>
      <c r="G34">
        <f t="shared" si="1"/>
        <v>120</v>
      </c>
      <c r="H34">
        <f t="shared" si="2"/>
        <v>3</v>
      </c>
      <c r="I34" s="116">
        <f t="shared" si="4"/>
        <v>25538</v>
      </c>
      <c r="J34">
        <f t="shared" si="3"/>
        <v>6.3776569617499996</v>
      </c>
      <c r="L34" s="116">
        <v>31048</v>
      </c>
      <c r="M34">
        <v>4.9301578615000006</v>
      </c>
      <c r="N34" s="96"/>
    </row>
    <row r="35" spans="4:14" x14ac:dyDescent="0.25">
      <c r="D35" s="115">
        <v>25355</v>
      </c>
      <c r="E35" s="53">
        <v>6.3921034069999996</v>
      </c>
      <c r="F35">
        <f t="shared" si="0"/>
        <v>150</v>
      </c>
      <c r="G35">
        <f t="shared" si="1"/>
        <v>150</v>
      </c>
      <c r="H35">
        <f t="shared" si="2"/>
        <v>3</v>
      </c>
      <c r="I35" s="116">
        <f t="shared" si="4"/>
        <v>25538</v>
      </c>
      <c r="J35">
        <f t="shared" si="3"/>
        <v>6.3776569617499996</v>
      </c>
      <c r="L35" s="116">
        <v>31413</v>
      </c>
      <c r="M35">
        <v>5.001338704666666</v>
      </c>
      <c r="N35" s="96"/>
    </row>
    <row r="36" spans="4:14" x14ac:dyDescent="0.25">
      <c r="D36" s="115">
        <v>25385</v>
      </c>
      <c r="E36" s="53">
        <v>6.4049614129999997</v>
      </c>
      <c r="F36">
        <f t="shared" si="0"/>
        <v>180</v>
      </c>
      <c r="G36">
        <f t="shared" si="1"/>
        <v>180</v>
      </c>
      <c r="H36">
        <f t="shared" si="2"/>
        <v>3</v>
      </c>
      <c r="I36" s="116">
        <f t="shared" si="4"/>
        <v>25538</v>
      </c>
      <c r="J36">
        <f t="shared" si="3"/>
        <v>6.3776569617499996</v>
      </c>
      <c r="L36" s="116">
        <v>31778</v>
      </c>
      <c r="M36">
        <v>4.3196375290000004</v>
      </c>
      <c r="N36" s="96"/>
    </row>
    <row r="37" spans="4:14" x14ac:dyDescent="0.25">
      <c r="D37" s="115">
        <v>25416</v>
      </c>
      <c r="E37" s="53">
        <v>6.4303857659999997</v>
      </c>
      <c r="F37">
        <f t="shared" si="0"/>
        <v>210</v>
      </c>
      <c r="G37">
        <f t="shared" si="1"/>
        <v>210</v>
      </c>
      <c r="H37">
        <f t="shared" si="2"/>
        <v>3</v>
      </c>
      <c r="I37" s="116">
        <f t="shared" si="4"/>
        <v>25538</v>
      </c>
      <c r="J37">
        <f t="shared" si="3"/>
        <v>6.3776569617499996</v>
      </c>
      <c r="L37" s="116">
        <v>32143</v>
      </c>
      <c r="M37">
        <v>4.5864143740000012</v>
      </c>
      <c r="N37" s="96"/>
    </row>
    <row r="38" spans="4:14" x14ac:dyDescent="0.25">
      <c r="D38" s="115">
        <v>25447</v>
      </c>
      <c r="E38" s="53">
        <v>6.8507957929999996</v>
      </c>
      <c r="F38">
        <f t="shared" si="0"/>
        <v>240</v>
      </c>
      <c r="G38">
        <f t="shared" si="1"/>
        <v>240</v>
      </c>
      <c r="H38">
        <f t="shared" si="2"/>
        <v>3</v>
      </c>
      <c r="I38" s="116">
        <f t="shared" si="4"/>
        <v>25538</v>
      </c>
      <c r="J38">
        <f t="shared" si="3"/>
        <v>6.3776569617499996</v>
      </c>
      <c r="L38" s="116">
        <v>32509</v>
      </c>
      <c r="M38">
        <v>4.7807034300833333</v>
      </c>
      <c r="N38" s="96"/>
    </row>
    <row r="39" spans="4:14" x14ac:dyDescent="0.25">
      <c r="D39" s="115">
        <v>25477</v>
      </c>
      <c r="E39" s="53">
        <v>6.5747212340000001</v>
      </c>
      <c r="F39">
        <f t="shared" si="0"/>
        <v>270</v>
      </c>
      <c r="G39">
        <f t="shared" si="1"/>
        <v>270</v>
      </c>
      <c r="H39">
        <f t="shared" si="2"/>
        <v>3</v>
      </c>
      <c r="I39" s="116">
        <f t="shared" si="4"/>
        <v>25538</v>
      </c>
      <c r="J39">
        <f t="shared" si="3"/>
        <v>6.3776569617499996</v>
      </c>
      <c r="L39" s="116">
        <v>32874</v>
      </c>
      <c r="M39">
        <v>5.4553513410833325</v>
      </c>
      <c r="N39" s="96"/>
    </row>
    <row r="40" spans="4:14" x14ac:dyDescent="0.25">
      <c r="D40" s="115">
        <v>25508</v>
      </c>
      <c r="E40" s="53">
        <v>6.4517069070000002</v>
      </c>
      <c r="F40">
        <f t="shared" si="0"/>
        <v>300</v>
      </c>
      <c r="G40">
        <f t="shared" si="1"/>
        <v>300</v>
      </c>
      <c r="H40">
        <f t="shared" si="2"/>
        <v>3</v>
      </c>
      <c r="I40" s="116">
        <f t="shared" si="4"/>
        <v>25538</v>
      </c>
      <c r="J40">
        <f t="shared" si="3"/>
        <v>6.3776569617499996</v>
      </c>
      <c r="L40" s="116">
        <v>33239</v>
      </c>
      <c r="M40">
        <v>4.94934712375</v>
      </c>
      <c r="N40" s="96"/>
    </row>
    <row r="41" spans="4:14" x14ac:dyDescent="0.25">
      <c r="D41" s="115">
        <v>25538</v>
      </c>
      <c r="E41" s="53">
        <v>6.4251168620000003</v>
      </c>
      <c r="F41">
        <f t="shared" si="0"/>
        <v>330</v>
      </c>
      <c r="G41">
        <f t="shared" si="1"/>
        <v>330</v>
      </c>
      <c r="H41">
        <f t="shared" si="2"/>
        <v>3</v>
      </c>
      <c r="I41" s="116">
        <f t="shared" si="4"/>
        <v>25538</v>
      </c>
      <c r="J41">
        <f t="shared" si="3"/>
        <v>6.3776569617499996</v>
      </c>
      <c r="L41" s="116">
        <v>33604</v>
      </c>
      <c r="M41">
        <v>3.7854164745833327</v>
      </c>
      <c r="N41" s="96"/>
    </row>
    <row r="42" spans="4:14" x14ac:dyDescent="0.25">
      <c r="D42" s="115">
        <v>25569</v>
      </c>
      <c r="E42" s="53">
        <v>6.6282790609999997</v>
      </c>
      <c r="F42">
        <f t="shared" si="0"/>
        <v>0</v>
      </c>
      <c r="G42">
        <f t="shared" si="1"/>
        <v>0</v>
      </c>
      <c r="H42">
        <f t="shared" si="2"/>
        <v>4</v>
      </c>
      <c r="I42" s="116">
        <f t="shared" si="4"/>
        <v>25903</v>
      </c>
      <c r="J42">
        <f t="shared" si="3"/>
        <v>7.0800523682500005</v>
      </c>
      <c r="L42" s="116">
        <v>33970</v>
      </c>
      <c r="M42">
        <v>3.5075261400833333</v>
      </c>
      <c r="N42" s="96"/>
    </row>
    <row r="43" spans="4:14" x14ac:dyDescent="0.25">
      <c r="D43" s="115">
        <v>25600</v>
      </c>
      <c r="E43" s="53">
        <v>7.0914474900000002</v>
      </c>
      <c r="F43">
        <f t="shared" si="0"/>
        <v>30</v>
      </c>
      <c r="G43">
        <f t="shared" si="1"/>
        <v>30</v>
      </c>
      <c r="H43">
        <f t="shared" si="2"/>
        <v>4</v>
      </c>
      <c r="I43" s="116">
        <f t="shared" si="4"/>
        <v>25903</v>
      </c>
      <c r="J43">
        <f t="shared" si="3"/>
        <v>7.0800523682500005</v>
      </c>
      <c r="L43" s="116">
        <v>34335</v>
      </c>
      <c r="M43">
        <v>3.272151669249999</v>
      </c>
      <c r="N43" s="96"/>
    </row>
    <row r="44" spans="4:14" x14ac:dyDescent="0.25">
      <c r="D44" s="115">
        <v>25628</v>
      </c>
      <c r="E44" s="53">
        <v>7.0305436959999996</v>
      </c>
      <c r="F44">
        <f t="shared" si="0"/>
        <v>60</v>
      </c>
      <c r="G44">
        <f t="shared" si="1"/>
        <v>60</v>
      </c>
      <c r="H44">
        <f t="shared" si="2"/>
        <v>4</v>
      </c>
      <c r="I44" s="116">
        <f t="shared" si="4"/>
        <v>25903</v>
      </c>
      <c r="J44">
        <f t="shared" si="3"/>
        <v>7.0800523682500005</v>
      </c>
      <c r="L44" s="116">
        <v>34700</v>
      </c>
      <c r="M44">
        <v>3.3182595421666665</v>
      </c>
      <c r="N44" s="96"/>
    </row>
    <row r="45" spans="4:14" x14ac:dyDescent="0.25">
      <c r="D45" s="115">
        <v>25659</v>
      </c>
      <c r="E45" s="53">
        <v>6.8554231249999997</v>
      </c>
      <c r="F45">
        <f t="shared" si="0"/>
        <v>90</v>
      </c>
      <c r="G45">
        <f t="shared" si="1"/>
        <v>90</v>
      </c>
      <c r="H45">
        <f t="shared" si="2"/>
        <v>4</v>
      </c>
      <c r="I45" s="116">
        <f t="shared" si="4"/>
        <v>25903</v>
      </c>
      <c r="J45">
        <f t="shared" si="3"/>
        <v>7.0800523682500005</v>
      </c>
      <c r="L45" s="116">
        <v>35065</v>
      </c>
      <c r="M45">
        <v>3.0975148798333336</v>
      </c>
      <c r="N45" s="96"/>
    </row>
    <row r="46" spans="4:14" x14ac:dyDescent="0.25">
      <c r="D46" s="115">
        <v>25689</v>
      </c>
      <c r="E46" s="53">
        <v>6.9858569800000003</v>
      </c>
      <c r="F46">
        <f t="shared" si="0"/>
        <v>120</v>
      </c>
      <c r="G46">
        <f t="shared" si="1"/>
        <v>120</v>
      </c>
      <c r="H46">
        <f t="shared" si="2"/>
        <v>4</v>
      </c>
      <c r="I46" s="116">
        <f t="shared" si="4"/>
        <v>25903</v>
      </c>
      <c r="J46">
        <f t="shared" si="3"/>
        <v>7.0800523682500005</v>
      </c>
      <c r="L46" s="116">
        <v>35431</v>
      </c>
      <c r="M46">
        <v>2.7571370443333336</v>
      </c>
      <c r="N46" s="96"/>
    </row>
    <row r="47" spans="4:14" x14ac:dyDescent="0.25">
      <c r="D47" s="115">
        <v>25720</v>
      </c>
      <c r="E47" s="53">
        <v>7.1913081060000001</v>
      </c>
      <c r="F47">
        <f t="shared" si="0"/>
        <v>150</v>
      </c>
      <c r="G47">
        <f t="shared" si="1"/>
        <v>150</v>
      </c>
      <c r="H47">
        <f t="shared" si="2"/>
        <v>4</v>
      </c>
      <c r="I47" s="116">
        <f t="shared" si="4"/>
        <v>25903</v>
      </c>
      <c r="J47">
        <f t="shared" si="3"/>
        <v>7.0800523682500005</v>
      </c>
      <c r="L47" s="116">
        <v>35796</v>
      </c>
      <c r="M47">
        <v>2.6113656545833339</v>
      </c>
      <c r="N47" s="96"/>
    </row>
    <row r="48" spans="4:14" x14ac:dyDescent="0.25">
      <c r="D48" s="115">
        <v>25750</v>
      </c>
      <c r="E48" s="53">
        <v>7.0471403700000002</v>
      </c>
      <c r="F48">
        <f t="shared" si="0"/>
        <v>180</v>
      </c>
      <c r="G48">
        <f t="shared" si="1"/>
        <v>180</v>
      </c>
      <c r="H48">
        <f t="shared" si="2"/>
        <v>4</v>
      </c>
      <c r="I48" s="116">
        <f t="shared" si="4"/>
        <v>25903</v>
      </c>
      <c r="J48">
        <f t="shared" si="3"/>
        <v>7.0800523682500005</v>
      </c>
      <c r="L48" s="116">
        <v>36161</v>
      </c>
      <c r="M48">
        <v>2.1803319249999999</v>
      </c>
      <c r="N48" s="96"/>
    </row>
    <row r="49" spans="4:14" x14ac:dyDescent="0.25">
      <c r="D49" s="115">
        <v>25781</v>
      </c>
      <c r="E49" s="53">
        <v>7.1544754130000001</v>
      </c>
      <c r="F49">
        <f t="shared" si="0"/>
        <v>210</v>
      </c>
      <c r="G49">
        <f t="shared" si="1"/>
        <v>210</v>
      </c>
      <c r="H49">
        <f t="shared" si="2"/>
        <v>4</v>
      </c>
      <c r="I49" s="116">
        <f t="shared" si="4"/>
        <v>25903</v>
      </c>
      <c r="J49">
        <f t="shared" si="3"/>
        <v>7.0800523682500005</v>
      </c>
      <c r="L49" s="116">
        <v>36526</v>
      </c>
      <c r="M49">
        <v>2.6893860833333325</v>
      </c>
      <c r="N49" s="96"/>
    </row>
    <row r="50" spans="4:14" x14ac:dyDescent="0.25">
      <c r="D50" s="115">
        <v>25812</v>
      </c>
      <c r="E50" s="53">
        <v>7.1211840909999999</v>
      </c>
      <c r="F50">
        <f t="shared" si="0"/>
        <v>240</v>
      </c>
      <c r="G50">
        <f t="shared" si="1"/>
        <v>240</v>
      </c>
      <c r="H50">
        <f t="shared" si="2"/>
        <v>4</v>
      </c>
      <c r="I50" s="116">
        <f t="shared" si="4"/>
        <v>25903</v>
      </c>
      <c r="J50">
        <f t="shared" si="3"/>
        <v>7.0800523682500005</v>
      </c>
      <c r="L50" s="116">
        <v>36892</v>
      </c>
      <c r="M50">
        <v>3.2341506916666671</v>
      </c>
      <c r="N50" s="96"/>
    </row>
    <row r="51" spans="4:14" x14ac:dyDescent="0.25">
      <c r="D51" s="115">
        <v>25842</v>
      </c>
      <c r="E51" s="53">
        <v>7.097174731</v>
      </c>
      <c r="F51">
        <f t="shared" si="0"/>
        <v>270</v>
      </c>
      <c r="G51">
        <f t="shared" si="1"/>
        <v>270</v>
      </c>
      <c r="H51">
        <f t="shared" si="2"/>
        <v>4</v>
      </c>
      <c r="I51" s="116">
        <f t="shared" si="4"/>
        <v>25903</v>
      </c>
      <c r="J51">
        <f t="shared" si="3"/>
        <v>7.0800523682500005</v>
      </c>
      <c r="L51" s="116">
        <v>37257</v>
      </c>
      <c r="M51">
        <v>3.2359565583333332</v>
      </c>
      <c r="N51" s="96"/>
    </row>
    <row r="52" spans="4:14" x14ac:dyDescent="0.25">
      <c r="D52" s="115">
        <v>25873</v>
      </c>
      <c r="E52" s="53">
        <v>7.3767945819999996</v>
      </c>
      <c r="F52">
        <f t="shared" si="0"/>
        <v>300</v>
      </c>
      <c r="G52">
        <f t="shared" si="1"/>
        <v>300</v>
      </c>
      <c r="H52">
        <f t="shared" si="2"/>
        <v>4</v>
      </c>
      <c r="I52" s="116">
        <f t="shared" si="4"/>
        <v>25903</v>
      </c>
      <c r="J52">
        <f t="shared" si="3"/>
        <v>7.0800523682500005</v>
      </c>
      <c r="L52" s="116">
        <v>37622</v>
      </c>
      <c r="M52">
        <v>2.3300123500000001</v>
      </c>
      <c r="N52" s="96"/>
    </row>
    <row r="53" spans="4:14" x14ac:dyDescent="0.25">
      <c r="D53" s="115">
        <v>25903</v>
      </c>
      <c r="E53" s="53">
        <v>7.3810007740000003</v>
      </c>
      <c r="F53">
        <f t="shared" si="0"/>
        <v>330</v>
      </c>
      <c r="G53">
        <f t="shared" si="1"/>
        <v>330</v>
      </c>
      <c r="H53">
        <f t="shared" si="2"/>
        <v>4</v>
      </c>
      <c r="I53" s="116">
        <f t="shared" si="4"/>
        <v>25903</v>
      </c>
      <c r="J53">
        <f t="shared" si="3"/>
        <v>7.0800523682500005</v>
      </c>
      <c r="L53" s="116">
        <v>37987</v>
      </c>
      <c r="M53">
        <v>2.2195945999999998</v>
      </c>
      <c r="N53" s="96"/>
    </row>
    <row r="54" spans="4:14" x14ac:dyDescent="0.25">
      <c r="D54" s="115">
        <v>25934</v>
      </c>
      <c r="E54" s="53">
        <v>7.0426614049999996</v>
      </c>
      <c r="F54">
        <f t="shared" si="0"/>
        <v>0</v>
      </c>
      <c r="G54">
        <f t="shared" si="1"/>
        <v>0</v>
      </c>
      <c r="H54">
        <f t="shared" si="2"/>
        <v>5</v>
      </c>
      <c r="I54" s="116">
        <f t="shared" si="4"/>
        <v>26268</v>
      </c>
      <c r="J54">
        <f t="shared" si="3"/>
        <v>5.1329448944166671</v>
      </c>
      <c r="L54" s="116">
        <v>38353</v>
      </c>
      <c r="M54">
        <v>2.3142403083333334</v>
      </c>
      <c r="N54" s="96"/>
    </row>
    <row r="55" spans="4:14" x14ac:dyDescent="0.25">
      <c r="D55" s="115">
        <v>25965</v>
      </c>
      <c r="E55" s="53">
        <v>6.3603898980000002</v>
      </c>
      <c r="F55">
        <f t="shared" si="0"/>
        <v>30</v>
      </c>
      <c r="G55">
        <f t="shared" si="1"/>
        <v>30</v>
      </c>
      <c r="H55">
        <f t="shared" si="2"/>
        <v>5</v>
      </c>
      <c r="I55" s="116">
        <f t="shared" si="4"/>
        <v>26268</v>
      </c>
      <c r="J55">
        <f t="shared" si="3"/>
        <v>5.1329448944166671</v>
      </c>
      <c r="L55" s="116">
        <v>38718</v>
      </c>
      <c r="M55">
        <v>2.9271037416666665</v>
      </c>
      <c r="N55" s="96"/>
    </row>
    <row r="56" spans="4:14" x14ac:dyDescent="0.25">
      <c r="D56" s="115">
        <v>25993</v>
      </c>
      <c r="E56" s="53">
        <v>5.5335592360000003</v>
      </c>
      <c r="F56">
        <f t="shared" si="0"/>
        <v>60</v>
      </c>
      <c r="G56">
        <f t="shared" si="1"/>
        <v>60</v>
      </c>
      <c r="H56">
        <f t="shared" si="2"/>
        <v>5</v>
      </c>
      <c r="I56" s="116">
        <f t="shared" si="4"/>
        <v>26268</v>
      </c>
      <c r="J56">
        <f t="shared" si="3"/>
        <v>5.1329448944166671</v>
      </c>
      <c r="L56" s="116">
        <v>39083</v>
      </c>
      <c r="M56">
        <v>2.7630326000000003</v>
      </c>
      <c r="N56" s="96"/>
    </row>
    <row r="57" spans="4:14" x14ac:dyDescent="0.25">
      <c r="D57" s="115">
        <v>26024</v>
      </c>
      <c r="E57" s="53">
        <v>5.3382913829999996</v>
      </c>
      <c r="F57">
        <f t="shared" si="0"/>
        <v>90</v>
      </c>
      <c r="G57">
        <f t="shared" si="1"/>
        <v>90</v>
      </c>
      <c r="H57">
        <f t="shared" si="2"/>
        <v>5</v>
      </c>
      <c r="I57" s="116">
        <f t="shared" si="4"/>
        <v>26268</v>
      </c>
      <c r="J57">
        <f t="shared" si="3"/>
        <v>5.1329448944166671</v>
      </c>
      <c r="L57" s="116">
        <v>39448</v>
      </c>
      <c r="M57">
        <v>2.8358705749999999</v>
      </c>
      <c r="N57" s="96"/>
    </row>
    <row r="58" spans="4:14" x14ac:dyDescent="0.25">
      <c r="D58" s="115">
        <v>26054</v>
      </c>
      <c r="E58" s="53">
        <v>5.0942363960000003</v>
      </c>
      <c r="F58">
        <f t="shared" si="0"/>
        <v>120</v>
      </c>
      <c r="G58">
        <f t="shared" si="1"/>
        <v>120</v>
      </c>
      <c r="H58">
        <f t="shared" si="2"/>
        <v>5</v>
      </c>
      <c r="I58" s="116">
        <f t="shared" si="4"/>
        <v>26268</v>
      </c>
      <c r="J58">
        <f t="shared" si="3"/>
        <v>5.1329448944166671</v>
      </c>
      <c r="L58" s="116">
        <v>39814</v>
      </c>
      <c r="M58">
        <v>1.9872083500000002</v>
      </c>
      <c r="N58" s="96"/>
    </row>
    <row r="59" spans="4:14" x14ac:dyDescent="0.25">
      <c r="D59" s="115">
        <v>26085</v>
      </c>
      <c r="E59" s="53">
        <v>5.2732682290000001</v>
      </c>
      <c r="F59">
        <f t="shared" si="0"/>
        <v>150</v>
      </c>
      <c r="G59">
        <f t="shared" si="1"/>
        <v>150</v>
      </c>
      <c r="H59">
        <f t="shared" si="2"/>
        <v>5</v>
      </c>
      <c r="I59" s="116">
        <f t="shared" si="4"/>
        <v>26268</v>
      </c>
      <c r="J59">
        <f t="shared" si="3"/>
        <v>5.1329448944166671</v>
      </c>
      <c r="L59" s="116">
        <v>40179</v>
      </c>
      <c r="M59">
        <v>0.83963542833333349</v>
      </c>
      <c r="N59" s="96"/>
    </row>
    <row r="60" spans="4:14" x14ac:dyDescent="0.25">
      <c r="D60" s="115">
        <v>26115</v>
      </c>
      <c r="E60" s="53">
        <v>5.1995428639999997</v>
      </c>
      <c r="F60">
        <f t="shared" si="0"/>
        <v>180</v>
      </c>
      <c r="G60">
        <f t="shared" si="1"/>
        <v>180</v>
      </c>
      <c r="H60">
        <f t="shared" si="2"/>
        <v>5</v>
      </c>
      <c r="I60" s="116">
        <f t="shared" si="4"/>
        <v>26268</v>
      </c>
      <c r="J60">
        <f t="shared" si="3"/>
        <v>5.1329448944166671</v>
      </c>
      <c r="L60" s="116">
        <v>40544</v>
      </c>
      <c r="M60">
        <v>1.4652805608333332</v>
      </c>
      <c r="N60" s="96"/>
    </row>
    <row r="61" spans="4:14" x14ac:dyDescent="0.25">
      <c r="D61" s="115">
        <v>26146</v>
      </c>
      <c r="E61" s="53">
        <v>4.9479267010000001</v>
      </c>
      <c r="F61">
        <f t="shared" si="0"/>
        <v>210</v>
      </c>
      <c r="G61">
        <f t="shared" si="1"/>
        <v>210</v>
      </c>
      <c r="H61">
        <f t="shared" si="2"/>
        <v>5</v>
      </c>
      <c r="I61" s="116">
        <f t="shared" si="4"/>
        <v>26268</v>
      </c>
      <c r="J61">
        <f t="shared" si="3"/>
        <v>5.1329448944166671</v>
      </c>
      <c r="L61" s="116">
        <v>40909</v>
      </c>
      <c r="M61">
        <v>2.1707786666666671</v>
      </c>
      <c r="N61" s="96"/>
    </row>
    <row r="62" spans="4:14" x14ac:dyDescent="0.25">
      <c r="D62" s="115">
        <v>26177</v>
      </c>
      <c r="E62" s="53">
        <v>4.7075225950000004</v>
      </c>
      <c r="F62">
        <f t="shared" si="0"/>
        <v>240</v>
      </c>
      <c r="G62">
        <f t="shared" si="1"/>
        <v>240</v>
      </c>
      <c r="H62">
        <f t="shared" si="2"/>
        <v>5</v>
      </c>
      <c r="I62" s="116">
        <f t="shared" si="4"/>
        <v>26268</v>
      </c>
      <c r="J62">
        <f t="shared" si="3"/>
        <v>5.1329448944166671</v>
      </c>
      <c r="L62" s="116">
        <v>41275</v>
      </c>
      <c r="M62">
        <v>1.9449664416666668</v>
      </c>
      <c r="N62" s="96"/>
    </row>
    <row r="63" spans="4:14" x14ac:dyDescent="0.25">
      <c r="D63" s="115">
        <v>26207</v>
      </c>
      <c r="E63" s="53">
        <v>4.4112370199999997</v>
      </c>
      <c r="F63">
        <f t="shared" si="0"/>
        <v>270</v>
      </c>
      <c r="G63">
        <f t="shared" si="1"/>
        <v>270</v>
      </c>
      <c r="H63">
        <f t="shared" si="2"/>
        <v>5</v>
      </c>
      <c r="I63" s="116">
        <f t="shared" si="4"/>
        <v>26268</v>
      </c>
      <c r="J63">
        <f t="shared" si="3"/>
        <v>5.1329448944166671</v>
      </c>
      <c r="L63" s="116">
        <v>41640</v>
      </c>
      <c r="M63">
        <v>1.9772887499999998</v>
      </c>
      <c r="N63" s="96"/>
    </row>
    <row r="64" spans="4:14" x14ac:dyDescent="0.25">
      <c r="D64" s="115">
        <v>26238</v>
      </c>
      <c r="E64" s="53">
        <v>3.9786623849999998</v>
      </c>
      <c r="F64">
        <f t="shared" si="0"/>
        <v>300</v>
      </c>
      <c r="G64">
        <f t="shared" si="1"/>
        <v>300</v>
      </c>
      <c r="H64">
        <f t="shared" si="2"/>
        <v>5</v>
      </c>
      <c r="I64" s="116">
        <f t="shared" si="4"/>
        <v>26268</v>
      </c>
      <c r="J64">
        <f t="shared" si="3"/>
        <v>5.1329448944166671</v>
      </c>
      <c r="L64" s="116">
        <v>42005</v>
      </c>
      <c r="M64">
        <v>2.1673172916666665</v>
      </c>
      <c r="N64" s="96"/>
    </row>
    <row r="65" spans="4:14" x14ac:dyDescent="0.25">
      <c r="D65" s="115">
        <v>26268</v>
      </c>
      <c r="E65" s="53">
        <v>3.7080406209999999</v>
      </c>
      <c r="F65">
        <f t="shared" si="0"/>
        <v>330</v>
      </c>
      <c r="G65">
        <f t="shared" si="1"/>
        <v>330</v>
      </c>
      <c r="H65">
        <f t="shared" si="2"/>
        <v>5</v>
      </c>
      <c r="I65" s="116">
        <f t="shared" si="4"/>
        <v>26268</v>
      </c>
      <c r="J65">
        <f t="shared" si="3"/>
        <v>5.1329448944166671</v>
      </c>
      <c r="L65" s="116">
        <v>42370</v>
      </c>
      <c r="M65">
        <v>2.5651574416666669</v>
      </c>
      <c r="N65" s="96"/>
    </row>
    <row r="66" spans="4:14" x14ac:dyDescent="0.25">
      <c r="D66" s="115">
        <v>26299</v>
      </c>
      <c r="E66" s="53">
        <v>3.7559462579999998</v>
      </c>
      <c r="F66">
        <f t="shared" si="0"/>
        <v>0</v>
      </c>
      <c r="G66">
        <f t="shared" si="1"/>
        <v>0</v>
      </c>
      <c r="H66">
        <f t="shared" si="2"/>
        <v>6</v>
      </c>
      <c r="I66" s="116">
        <f t="shared" si="4"/>
        <v>26634</v>
      </c>
      <c r="J66">
        <f t="shared" si="3"/>
        <v>3.5712195252499992</v>
      </c>
      <c r="L66" s="116">
        <v>42736</v>
      </c>
      <c r="M66">
        <v>2.2593830833333333</v>
      </c>
      <c r="N66" s="96"/>
    </row>
    <row r="67" spans="4:14" x14ac:dyDescent="0.25">
      <c r="D67" s="115">
        <v>26330</v>
      </c>
      <c r="E67" s="53">
        <v>3.8646437310000001</v>
      </c>
      <c r="F67">
        <f t="shared" si="0"/>
        <v>30</v>
      </c>
      <c r="G67">
        <f t="shared" si="1"/>
        <v>30</v>
      </c>
      <c r="H67">
        <f t="shared" si="2"/>
        <v>6</v>
      </c>
      <c r="I67" s="116">
        <f t="shared" si="4"/>
        <v>26634</v>
      </c>
      <c r="J67">
        <f t="shared" si="3"/>
        <v>3.5712195252499992</v>
      </c>
      <c r="L67" s="116">
        <v>43101</v>
      </c>
      <c r="M67">
        <v>2.41924275</v>
      </c>
      <c r="N67" s="96"/>
    </row>
    <row r="68" spans="4:14" x14ac:dyDescent="0.25">
      <c r="D68" s="115">
        <v>26359</v>
      </c>
      <c r="E68" s="53">
        <v>4.0785804450000001</v>
      </c>
      <c r="F68">
        <f t="shared" si="0"/>
        <v>60</v>
      </c>
      <c r="G68">
        <f t="shared" si="1"/>
        <v>60</v>
      </c>
      <c r="H68">
        <f t="shared" si="2"/>
        <v>6</v>
      </c>
      <c r="I68" s="116">
        <f t="shared" si="4"/>
        <v>26634</v>
      </c>
      <c r="J68">
        <f t="shared" si="3"/>
        <v>3.5712195252499992</v>
      </c>
      <c r="L68" s="116">
        <v>43466</v>
      </c>
      <c r="M68">
        <v>2.5271332499999999</v>
      </c>
      <c r="N68" s="96"/>
    </row>
    <row r="69" spans="4:14" x14ac:dyDescent="0.25">
      <c r="D69" s="115">
        <v>26390</v>
      </c>
      <c r="E69" s="53">
        <v>3.9910158080000002</v>
      </c>
      <c r="F69">
        <f t="shared" si="0"/>
        <v>90</v>
      </c>
      <c r="G69">
        <f t="shared" si="1"/>
        <v>90</v>
      </c>
      <c r="H69">
        <f t="shared" si="2"/>
        <v>6</v>
      </c>
      <c r="I69" s="116">
        <f t="shared" si="4"/>
        <v>26634</v>
      </c>
      <c r="J69">
        <f t="shared" si="3"/>
        <v>3.5712195252499992</v>
      </c>
      <c r="L69" s="116">
        <v>43831</v>
      </c>
      <c r="M69">
        <v>2.2242969166666668</v>
      </c>
      <c r="N69" s="96"/>
    </row>
    <row r="70" spans="4:14" x14ac:dyDescent="0.25">
      <c r="D70" s="115">
        <v>26420</v>
      </c>
      <c r="E70" s="53">
        <v>3.8807131290000001</v>
      </c>
      <c r="F70">
        <f t="shared" si="0"/>
        <v>120</v>
      </c>
      <c r="G70">
        <f t="shared" si="1"/>
        <v>120</v>
      </c>
      <c r="H70">
        <f t="shared" si="2"/>
        <v>6</v>
      </c>
      <c r="I70" s="116">
        <f t="shared" si="4"/>
        <v>26634</v>
      </c>
      <c r="J70">
        <f t="shared" si="3"/>
        <v>3.5712195252499992</v>
      </c>
      <c r="L70" s="116">
        <v>44197</v>
      </c>
      <c r="M70">
        <v>2.4396640833333336</v>
      </c>
      <c r="N70" s="96"/>
    </row>
    <row r="71" spans="4:14" x14ac:dyDescent="0.25">
      <c r="D71" s="115">
        <v>26451</v>
      </c>
      <c r="E71" s="53">
        <v>3.5042406060000002</v>
      </c>
      <c r="F71">
        <f t="shared" si="0"/>
        <v>150</v>
      </c>
      <c r="G71">
        <f t="shared" si="1"/>
        <v>150</v>
      </c>
      <c r="H71">
        <f t="shared" si="2"/>
        <v>6</v>
      </c>
      <c r="I71" s="116">
        <f t="shared" si="4"/>
        <v>26634</v>
      </c>
      <c r="J71">
        <f t="shared" si="3"/>
        <v>3.5712195252499992</v>
      </c>
      <c r="L71" s="116"/>
      <c r="N71" s="96"/>
    </row>
    <row r="72" spans="4:14" x14ac:dyDescent="0.25">
      <c r="D72" s="115">
        <v>26481</v>
      </c>
      <c r="E72" s="53">
        <v>3.481835749</v>
      </c>
      <c r="F72">
        <f t="shared" si="0"/>
        <v>180</v>
      </c>
      <c r="G72">
        <f t="shared" si="1"/>
        <v>180</v>
      </c>
      <c r="H72">
        <f t="shared" si="2"/>
        <v>6</v>
      </c>
      <c r="I72" s="116">
        <f t="shared" si="4"/>
        <v>26634</v>
      </c>
      <c r="J72">
        <f t="shared" si="3"/>
        <v>3.5712195252499992</v>
      </c>
      <c r="L72" s="116"/>
      <c r="N72" s="96"/>
    </row>
    <row r="73" spans="4:14" x14ac:dyDescent="0.25">
      <c r="D73" s="115">
        <v>26512</v>
      </c>
      <c r="E73" s="53">
        <v>3.3806013190000002</v>
      </c>
      <c r="F73">
        <f t="shared" si="0"/>
        <v>210</v>
      </c>
      <c r="G73">
        <f t="shared" si="1"/>
        <v>210</v>
      </c>
      <c r="H73">
        <f t="shared" si="2"/>
        <v>6</v>
      </c>
      <c r="I73" s="116">
        <f t="shared" si="4"/>
        <v>26634</v>
      </c>
      <c r="J73">
        <f t="shared" si="3"/>
        <v>3.5712195252499992</v>
      </c>
      <c r="L73" s="116"/>
      <c r="N73" s="96"/>
    </row>
    <row r="74" spans="4:14" x14ac:dyDescent="0.25">
      <c r="D74" s="115">
        <v>26543</v>
      </c>
      <c r="E74" s="53">
        <v>3.1378354659999999</v>
      </c>
      <c r="F74">
        <f t="shared" si="0"/>
        <v>240</v>
      </c>
      <c r="G74">
        <f t="shared" si="1"/>
        <v>240</v>
      </c>
      <c r="H74">
        <f t="shared" si="2"/>
        <v>6</v>
      </c>
      <c r="I74" s="116">
        <f t="shared" si="4"/>
        <v>26634</v>
      </c>
      <c r="J74">
        <f t="shared" si="3"/>
        <v>3.5712195252499992</v>
      </c>
      <c r="L74" s="116"/>
      <c r="N74" s="96"/>
    </row>
    <row r="75" spans="4:14" x14ac:dyDescent="0.25">
      <c r="D75" s="115">
        <v>26573</v>
      </c>
      <c r="E75" s="53">
        <v>3.3441400469999998</v>
      </c>
      <c r="F75">
        <f t="shared" si="0"/>
        <v>270</v>
      </c>
      <c r="G75">
        <f t="shared" si="1"/>
        <v>270</v>
      </c>
      <c r="H75">
        <f t="shared" si="2"/>
        <v>6</v>
      </c>
      <c r="I75" s="116">
        <f t="shared" si="4"/>
        <v>26634</v>
      </c>
      <c r="J75">
        <f t="shared" si="3"/>
        <v>3.5712195252499992</v>
      </c>
      <c r="L75" s="116"/>
      <c r="N75" s="96"/>
    </row>
    <row r="76" spans="4:14" x14ac:dyDescent="0.25">
      <c r="D76" s="115">
        <v>26604</v>
      </c>
      <c r="E76" s="53">
        <v>3.2810958440000002</v>
      </c>
      <c r="F76">
        <f t="shared" si="0"/>
        <v>300</v>
      </c>
      <c r="G76">
        <f t="shared" si="1"/>
        <v>300</v>
      </c>
      <c r="H76">
        <f t="shared" si="2"/>
        <v>6</v>
      </c>
      <c r="I76" s="116">
        <f t="shared" si="4"/>
        <v>26634</v>
      </c>
      <c r="J76">
        <f t="shared" si="3"/>
        <v>3.5712195252499992</v>
      </c>
      <c r="L76" s="116"/>
      <c r="N76" s="96"/>
    </row>
    <row r="77" spans="4:14" x14ac:dyDescent="0.25">
      <c r="D77" s="115">
        <v>26634</v>
      </c>
      <c r="E77" s="53">
        <v>3.153985901</v>
      </c>
      <c r="F77">
        <f t="shared" si="0"/>
        <v>330</v>
      </c>
      <c r="G77">
        <f t="shared" si="1"/>
        <v>330</v>
      </c>
      <c r="H77">
        <f t="shared" si="2"/>
        <v>6</v>
      </c>
      <c r="I77" s="116">
        <f t="shared" si="4"/>
        <v>26634</v>
      </c>
      <c r="J77">
        <f t="shared" si="3"/>
        <v>3.5712195252499992</v>
      </c>
      <c r="L77" s="116"/>
      <c r="N77" s="96"/>
    </row>
    <row r="78" spans="4:14" x14ac:dyDescent="0.25">
      <c r="D78" s="115">
        <v>26665</v>
      </c>
      <c r="E78" s="53">
        <v>2.847928102</v>
      </c>
      <c r="F78">
        <f t="shared" si="0"/>
        <v>0</v>
      </c>
      <c r="G78">
        <f t="shared" si="1"/>
        <v>0</v>
      </c>
      <c r="H78">
        <f t="shared" si="2"/>
        <v>7</v>
      </c>
      <c r="I78" s="116">
        <f t="shared" si="4"/>
        <v>26999</v>
      </c>
      <c r="J78">
        <f t="shared" si="3"/>
        <v>3.6103678129166661</v>
      </c>
      <c r="L78" s="116"/>
      <c r="N78" s="96"/>
    </row>
    <row r="79" spans="4:14" x14ac:dyDescent="0.25">
      <c r="D79" s="115">
        <v>26696</v>
      </c>
      <c r="E79" s="53">
        <v>2.8862586640000001</v>
      </c>
      <c r="F79">
        <f t="shared" si="0"/>
        <v>30</v>
      </c>
      <c r="G79">
        <f t="shared" si="1"/>
        <v>30</v>
      </c>
      <c r="H79">
        <f t="shared" si="2"/>
        <v>7</v>
      </c>
      <c r="I79" s="116">
        <f t="shared" si="4"/>
        <v>26999</v>
      </c>
      <c r="J79">
        <f t="shared" si="3"/>
        <v>3.6103678129166661</v>
      </c>
      <c r="L79" s="116"/>
      <c r="N79" s="96"/>
    </row>
    <row r="80" spans="4:14" x14ac:dyDescent="0.25">
      <c r="D80" s="115">
        <v>26724</v>
      </c>
      <c r="E80" s="53">
        <v>2.9342480279999998</v>
      </c>
      <c r="F80">
        <f t="shared" si="0"/>
        <v>60</v>
      </c>
      <c r="G80">
        <f t="shared" si="1"/>
        <v>60</v>
      </c>
      <c r="H80">
        <f t="shared" si="2"/>
        <v>7</v>
      </c>
      <c r="I80" s="116">
        <f t="shared" si="4"/>
        <v>26999</v>
      </c>
      <c r="J80">
        <f t="shared" si="3"/>
        <v>3.6103678129166661</v>
      </c>
      <c r="L80" s="116"/>
      <c r="N80" s="96"/>
    </row>
    <row r="81" spans="4:14" x14ac:dyDescent="0.25">
      <c r="D81" s="115">
        <v>26755</v>
      </c>
      <c r="E81" s="53">
        <v>3.036614659</v>
      </c>
      <c r="F81">
        <f t="shared" ref="F81:F144" si="5">FLOOR(DAYS360(DATE(YEAR(D81),1,1),D81),30)</f>
        <v>90</v>
      </c>
      <c r="G81">
        <f t="shared" si="1"/>
        <v>90</v>
      </c>
      <c r="H81">
        <f t="shared" si="2"/>
        <v>7</v>
      </c>
      <c r="I81" s="116">
        <f t="shared" si="4"/>
        <v>26999</v>
      </c>
      <c r="J81">
        <f t="shared" si="3"/>
        <v>3.6103678129166661</v>
      </c>
      <c r="L81" s="116"/>
      <c r="N81" s="96"/>
    </row>
    <row r="82" spans="4:14" x14ac:dyDescent="0.25">
      <c r="D82" s="115">
        <v>26785</v>
      </c>
      <c r="E82" s="53">
        <v>3.1807359549999998</v>
      </c>
      <c r="F82">
        <f t="shared" si="5"/>
        <v>120</v>
      </c>
      <c r="G82">
        <f t="shared" ref="G82:G145" si="6">MOD(F82, 360/$G$12)</f>
        <v>120</v>
      </c>
      <c r="H82">
        <f t="shared" ref="H82:H145" si="7">IF(G82&gt;G81,H81,H81+1)</f>
        <v>7</v>
      </c>
      <c r="I82" s="116">
        <f t="shared" si="4"/>
        <v>26999</v>
      </c>
      <c r="J82">
        <f t="shared" ref="J82:J145" si="8">AVERAGEIF($H$17:$H$675,H82,$E$17:$E$675)</f>
        <v>3.6103678129166661</v>
      </c>
      <c r="L82" s="116"/>
      <c r="N82" s="96"/>
    </row>
    <row r="83" spans="4:14" x14ac:dyDescent="0.25">
      <c r="D83" s="115">
        <v>26816</v>
      </c>
      <c r="E83" s="53">
        <v>3.1042064479999998</v>
      </c>
      <c r="F83">
        <f t="shared" si="5"/>
        <v>150</v>
      </c>
      <c r="G83">
        <f t="shared" si="6"/>
        <v>150</v>
      </c>
      <c r="H83">
        <f t="shared" si="7"/>
        <v>7</v>
      </c>
      <c r="I83" s="116">
        <f t="shared" ref="I83:I146" si="9">EDATE(I82,(H83-H82)*(12/$G$12))</f>
        <v>26999</v>
      </c>
      <c r="J83">
        <f t="shared" si="8"/>
        <v>3.6103678129166661</v>
      </c>
      <c r="L83" s="116"/>
      <c r="N83" s="96"/>
    </row>
    <row r="84" spans="4:14" x14ac:dyDescent="0.25">
      <c r="D84" s="115">
        <v>26846</v>
      </c>
      <c r="E84" s="53">
        <v>3.0185523559999998</v>
      </c>
      <c r="F84">
        <f t="shared" si="5"/>
        <v>180</v>
      </c>
      <c r="G84">
        <f t="shared" si="6"/>
        <v>180</v>
      </c>
      <c r="H84">
        <f t="shared" si="7"/>
        <v>7</v>
      </c>
      <c r="I84" s="116">
        <f t="shared" si="9"/>
        <v>26999</v>
      </c>
      <c r="J84">
        <f t="shared" si="8"/>
        <v>3.6103678129166661</v>
      </c>
      <c r="L84" s="116"/>
      <c r="N84" s="96"/>
    </row>
    <row r="85" spans="4:14" x14ac:dyDescent="0.25">
      <c r="D85" s="115">
        <v>26877</v>
      </c>
      <c r="E85" s="53">
        <v>3.3290721639999998</v>
      </c>
      <c r="F85">
        <f t="shared" si="5"/>
        <v>210</v>
      </c>
      <c r="G85">
        <f t="shared" si="6"/>
        <v>210</v>
      </c>
      <c r="H85">
        <f t="shared" si="7"/>
        <v>7</v>
      </c>
      <c r="I85" s="116">
        <f t="shared" si="9"/>
        <v>26999</v>
      </c>
      <c r="J85">
        <f t="shared" si="8"/>
        <v>3.6103678129166661</v>
      </c>
      <c r="L85" s="116"/>
      <c r="N85" s="96"/>
    </row>
    <row r="86" spans="4:14" x14ac:dyDescent="0.25">
      <c r="D86" s="115">
        <v>26908</v>
      </c>
      <c r="E86" s="53">
        <v>3.952644678</v>
      </c>
      <c r="F86">
        <f t="shared" si="5"/>
        <v>240</v>
      </c>
      <c r="G86">
        <f t="shared" si="6"/>
        <v>240</v>
      </c>
      <c r="H86">
        <f t="shared" si="7"/>
        <v>7</v>
      </c>
      <c r="I86" s="116">
        <f t="shared" si="9"/>
        <v>26999</v>
      </c>
      <c r="J86">
        <f t="shared" si="8"/>
        <v>3.6103678129166661</v>
      </c>
      <c r="L86" s="116"/>
      <c r="N86" s="96"/>
    </row>
    <row r="87" spans="4:14" x14ac:dyDescent="0.25">
      <c r="D87" s="115">
        <v>26938</v>
      </c>
      <c r="E87" s="53">
        <v>4.7756387560000002</v>
      </c>
      <c r="F87">
        <f t="shared" si="5"/>
        <v>270</v>
      </c>
      <c r="G87">
        <f t="shared" si="6"/>
        <v>270</v>
      </c>
      <c r="H87">
        <f t="shared" si="7"/>
        <v>7</v>
      </c>
      <c r="I87" s="116">
        <f t="shared" si="9"/>
        <v>26999</v>
      </c>
      <c r="J87">
        <f t="shared" si="8"/>
        <v>3.6103678129166661</v>
      </c>
      <c r="L87" s="116"/>
      <c r="N87" s="96"/>
    </row>
    <row r="88" spans="4:14" x14ac:dyDescent="0.25">
      <c r="D88" s="115">
        <v>26969</v>
      </c>
      <c r="E88" s="53">
        <v>4.938670847</v>
      </c>
      <c r="F88">
        <f t="shared" si="5"/>
        <v>300</v>
      </c>
      <c r="G88">
        <f t="shared" si="6"/>
        <v>300</v>
      </c>
      <c r="H88">
        <f t="shared" si="7"/>
        <v>7</v>
      </c>
      <c r="I88" s="116">
        <f t="shared" si="9"/>
        <v>26999</v>
      </c>
      <c r="J88">
        <f t="shared" si="8"/>
        <v>3.6103678129166661</v>
      </c>
      <c r="L88" s="116"/>
      <c r="N88" s="96"/>
    </row>
    <row r="89" spans="4:14" x14ac:dyDescent="0.25">
      <c r="D89" s="115">
        <v>26999</v>
      </c>
      <c r="E89" s="53">
        <v>5.3198430979999998</v>
      </c>
      <c r="F89">
        <f t="shared" si="5"/>
        <v>330</v>
      </c>
      <c r="G89">
        <f t="shared" si="6"/>
        <v>330</v>
      </c>
      <c r="H89">
        <f t="shared" si="7"/>
        <v>7</v>
      </c>
      <c r="I89" s="116">
        <f t="shared" si="9"/>
        <v>26999</v>
      </c>
      <c r="J89">
        <f t="shared" si="8"/>
        <v>3.6103678129166661</v>
      </c>
      <c r="L89" s="116"/>
      <c r="N89" s="96"/>
    </row>
    <row r="90" spans="4:14" x14ac:dyDescent="0.25">
      <c r="D90" s="115">
        <v>27030</v>
      </c>
      <c r="E90" s="53">
        <v>5.8575069649999998</v>
      </c>
      <c r="F90">
        <f t="shared" si="5"/>
        <v>0</v>
      </c>
      <c r="G90">
        <f t="shared" si="6"/>
        <v>0</v>
      </c>
      <c r="H90">
        <f t="shared" si="7"/>
        <v>8</v>
      </c>
      <c r="I90" s="116">
        <f t="shared" si="9"/>
        <v>27364</v>
      </c>
      <c r="J90">
        <f t="shared" si="8"/>
        <v>8.8286598818333335</v>
      </c>
      <c r="L90" s="116"/>
      <c r="N90" s="96"/>
    </row>
    <row r="91" spans="4:14" x14ac:dyDescent="0.25">
      <c r="D91" s="115">
        <v>27061</v>
      </c>
      <c r="E91" s="53">
        <v>6.3039691309999997</v>
      </c>
      <c r="F91">
        <f t="shared" si="5"/>
        <v>30</v>
      </c>
      <c r="G91">
        <f t="shared" si="6"/>
        <v>30</v>
      </c>
      <c r="H91">
        <f t="shared" si="7"/>
        <v>8</v>
      </c>
      <c r="I91" s="116">
        <f t="shared" si="9"/>
        <v>27364</v>
      </c>
      <c r="J91">
        <f t="shared" si="8"/>
        <v>8.8286598818333335</v>
      </c>
      <c r="L91" s="116"/>
      <c r="N91" s="96"/>
    </row>
    <row r="92" spans="4:14" x14ac:dyDescent="0.25">
      <c r="D92" s="115">
        <v>27089</v>
      </c>
      <c r="E92" s="53">
        <v>6.8313937249999999</v>
      </c>
      <c r="F92">
        <f t="shared" si="5"/>
        <v>60</v>
      </c>
      <c r="G92">
        <f t="shared" si="6"/>
        <v>60</v>
      </c>
      <c r="H92">
        <f t="shared" si="7"/>
        <v>8</v>
      </c>
      <c r="I92" s="116">
        <f t="shared" si="9"/>
        <v>27364</v>
      </c>
      <c r="J92">
        <f t="shared" si="8"/>
        <v>8.8286598818333335</v>
      </c>
      <c r="L92" s="116"/>
      <c r="N92" s="96"/>
    </row>
    <row r="93" spans="4:14" x14ac:dyDescent="0.25">
      <c r="D93" s="115">
        <v>27120</v>
      </c>
      <c r="E93" s="53">
        <v>7.1203842069999999</v>
      </c>
      <c r="F93">
        <f t="shared" si="5"/>
        <v>90</v>
      </c>
      <c r="G93">
        <f t="shared" si="6"/>
        <v>90</v>
      </c>
      <c r="H93">
        <f t="shared" si="7"/>
        <v>8</v>
      </c>
      <c r="I93" s="116">
        <f t="shared" si="9"/>
        <v>27364</v>
      </c>
      <c r="J93">
        <f t="shared" si="8"/>
        <v>8.8286598818333335</v>
      </c>
      <c r="L93" s="116"/>
      <c r="N93" s="96"/>
    </row>
    <row r="94" spans="4:14" x14ac:dyDescent="0.25">
      <c r="D94" s="115">
        <v>27150</v>
      </c>
      <c r="E94" s="53">
        <v>7.7496505820000001</v>
      </c>
      <c r="F94">
        <f t="shared" si="5"/>
        <v>120</v>
      </c>
      <c r="G94">
        <f t="shared" si="6"/>
        <v>120</v>
      </c>
      <c r="H94">
        <f t="shared" si="7"/>
        <v>8</v>
      </c>
      <c r="I94" s="116">
        <f t="shared" si="9"/>
        <v>27364</v>
      </c>
      <c r="J94">
        <f t="shared" si="8"/>
        <v>8.8286598818333335</v>
      </c>
      <c r="L94" s="116"/>
      <c r="N94" s="96"/>
    </row>
    <row r="95" spans="4:14" x14ac:dyDescent="0.25">
      <c r="D95" s="115">
        <v>27181</v>
      </c>
      <c r="E95" s="53">
        <v>8.6403215259999993</v>
      </c>
      <c r="F95">
        <f t="shared" si="5"/>
        <v>150</v>
      </c>
      <c r="G95">
        <f t="shared" si="6"/>
        <v>150</v>
      </c>
      <c r="H95">
        <f t="shared" si="7"/>
        <v>8</v>
      </c>
      <c r="I95" s="116">
        <f t="shared" si="9"/>
        <v>27364</v>
      </c>
      <c r="J95">
        <f t="shared" si="8"/>
        <v>8.8286598818333335</v>
      </c>
      <c r="L95" s="116"/>
      <c r="N95" s="96"/>
    </row>
    <row r="96" spans="4:14" x14ac:dyDescent="0.25">
      <c r="D96" s="115">
        <v>27211</v>
      </c>
      <c r="E96" s="53">
        <v>9.5528603709999995</v>
      </c>
      <c r="F96">
        <f t="shared" si="5"/>
        <v>180</v>
      </c>
      <c r="G96">
        <f t="shared" si="6"/>
        <v>180</v>
      </c>
      <c r="H96">
        <f t="shared" si="7"/>
        <v>8</v>
      </c>
      <c r="I96" s="116">
        <f t="shared" si="9"/>
        <v>27364</v>
      </c>
      <c r="J96">
        <f t="shared" si="8"/>
        <v>8.8286598818333335</v>
      </c>
      <c r="L96" s="116"/>
      <c r="N96" s="96"/>
    </row>
    <row r="97" spans="4:14" x14ac:dyDescent="0.25">
      <c r="D97" s="115">
        <v>27242</v>
      </c>
      <c r="E97" s="53">
        <v>10.130319088</v>
      </c>
      <c r="F97">
        <f t="shared" si="5"/>
        <v>210</v>
      </c>
      <c r="G97">
        <f t="shared" si="6"/>
        <v>210</v>
      </c>
      <c r="H97">
        <f t="shared" si="7"/>
        <v>8</v>
      </c>
      <c r="I97" s="116">
        <f t="shared" si="9"/>
        <v>27364</v>
      </c>
      <c r="J97">
        <f t="shared" si="8"/>
        <v>8.8286598818333335</v>
      </c>
      <c r="L97" s="116"/>
      <c r="N97" s="96"/>
    </row>
    <row r="98" spans="4:14" x14ac:dyDescent="0.25">
      <c r="D98" s="115">
        <v>27273</v>
      </c>
      <c r="E98" s="53">
        <v>10.621603910999999</v>
      </c>
      <c r="F98">
        <f t="shared" si="5"/>
        <v>240</v>
      </c>
      <c r="G98">
        <f t="shared" si="6"/>
        <v>240</v>
      </c>
      <c r="H98">
        <f t="shared" si="7"/>
        <v>8</v>
      </c>
      <c r="I98" s="116">
        <f t="shared" si="9"/>
        <v>27364</v>
      </c>
      <c r="J98">
        <f t="shared" si="8"/>
        <v>8.8286598818333335</v>
      </c>
      <c r="L98" s="116"/>
      <c r="N98" s="96"/>
    </row>
    <row r="99" spans="4:14" x14ac:dyDescent="0.25">
      <c r="D99" s="115">
        <v>27303</v>
      </c>
      <c r="E99" s="53">
        <v>10.591306867</v>
      </c>
      <c r="F99">
        <f t="shared" si="5"/>
        <v>270</v>
      </c>
      <c r="G99">
        <f t="shared" si="6"/>
        <v>270</v>
      </c>
      <c r="H99">
        <f t="shared" si="7"/>
        <v>8</v>
      </c>
      <c r="I99" s="116">
        <f t="shared" si="9"/>
        <v>27364</v>
      </c>
      <c r="J99">
        <f t="shared" si="8"/>
        <v>8.8286598818333335</v>
      </c>
      <c r="L99" s="116"/>
      <c r="N99" s="96"/>
    </row>
    <row r="100" spans="4:14" x14ac:dyDescent="0.25">
      <c r="D100" s="115">
        <v>27334</v>
      </c>
      <c r="E100" s="53">
        <v>11.017162794000001</v>
      </c>
      <c r="F100">
        <f t="shared" si="5"/>
        <v>300</v>
      </c>
      <c r="G100">
        <f t="shared" si="6"/>
        <v>300</v>
      </c>
      <c r="H100">
        <f t="shared" si="7"/>
        <v>8</v>
      </c>
      <c r="I100" s="116">
        <f t="shared" si="9"/>
        <v>27364</v>
      </c>
      <c r="J100">
        <f t="shared" si="8"/>
        <v>8.8286598818333335</v>
      </c>
      <c r="L100" s="116"/>
      <c r="N100" s="96"/>
    </row>
    <row r="101" spans="4:14" x14ac:dyDescent="0.25">
      <c r="D101" s="115">
        <v>27364</v>
      </c>
      <c r="E101" s="53">
        <v>11.527439415</v>
      </c>
      <c r="F101">
        <f t="shared" si="5"/>
        <v>330</v>
      </c>
      <c r="G101">
        <f t="shared" si="6"/>
        <v>330</v>
      </c>
      <c r="H101">
        <f t="shared" si="7"/>
        <v>8</v>
      </c>
      <c r="I101" s="116">
        <f t="shared" si="9"/>
        <v>27364</v>
      </c>
      <c r="J101">
        <f t="shared" si="8"/>
        <v>8.8286598818333335</v>
      </c>
      <c r="L101" s="116"/>
      <c r="N101" s="96"/>
    </row>
    <row r="102" spans="4:14" x14ac:dyDescent="0.25">
      <c r="D102" s="115">
        <v>27395</v>
      </c>
      <c r="E102" s="53">
        <v>11.656676859999999</v>
      </c>
      <c r="F102">
        <f t="shared" si="5"/>
        <v>0</v>
      </c>
      <c r="G102">
        <f t="shared" si="6"/>
        <v>0</v>
      </c>
      <c r="H102">
        <f t="shared" si="7"/>
        <v>9</v>
      </c>
      <c r="I102" s="116">
        <f t="shared" si="9"/>
        <v>27729</v>
      </c>
      <c r="J102">
        <f t="shared" si="8"/>
        <v>9.9582386160833334</v>
      </c>
      <c r="L102" s="116"/>
      <c r="N102" s="96"/>
    </row>
    <row r="103" spans="4:14" x14ac:dyDescent="0.25">
      <c r="D103" s="115">
        <v>27426</v>
      </c>
      <c r="E103" s="53">
        <v>11.816414420999999</v>
      </c>
      <c r="F103">
        <f t="shared" si="5"/>
        <v>30</v>
      </c>
      <c r="G103">
        <f t="shared" si="6"/>
        <v>30</v>
      </c>
      <c r="H103">
        <f t="shared" si="7"/>
        <v>9</v>
      </c>
      <c r="I103" s="116">
        <f t="shared" si="9"/>
        <v>27729</v>
      </c>
      <c r="J103">
        <f t="shared" si="8"/>
        <v>9.9582386160833334</v>
      </c>
      <c r="L103" s="116"/>
      <c r="N103" s="96"/>
    </row>
    <row r="104" spans="4:14" x14ac:dyDescent="0.25">
      <c r="D104" s="115">
        <v>27454</v>
      </c>
      <c r="E104" s="53">
        <v>11.603717424999999</v>
      </c>
      <c r="F104">
        <f t="shared" si="5"/>
        <v>60</v>
      </c>
      <c r="G104">
        <f t="shared" si="6"/>
        <v>60</v>
      </c>
      <c r="H104">
        <f t="shared" si="7"/>
        <v>9</v>
      </c>
      <c r="I104" s="116">
        <f t="shared" si="9"/>
        <v>27729</v>
      </c>
      <c r="J104">
        <f t="shared" si="8"/>
        <v>9.9582386160833334</v>
      </c>
      <c r="L104" s="116"/>
      <c r="N104" s="96"/>
    </row>
    <row r="105" spans="4:14" x14ac:dyDescent="0.25">
      <c r="D105" s="115">
        <v>27485</v>
      </c>
      <c r="E105" s="53">
        <v>11.729239119000001</v>
      </c>
      <c r="F105">
        <f t="shared" si="5"/>
        <v>90</v>
      </c>
      <c r="G105">
        <f t="shared" si="6"/>
        <v>90</v>
      </c>
      <c r="H105">
        <f t="shared" si="7"/>
        <v>9</v>
      </c>
      <c r="I105" s="116">
        <f t="shared" si="9"/>
        <v>27729</v>
      </c>
      <c r="J105">
        <f t="shared" si="8"/>
        <v>9.9582386160833334</v>
      </c>
      <c r="L105" s="116"/>
      <c r="N105" s="96"/>
    </row>
    <row r="106" spans="4:14" x14ac:dyDescent="0.25">
      <c r="D106" s="115">
        <v>27515</v>
      </c>
      <c r="E106" s="53">
        <v>10.951529410999999</v>
      </c>
      <c r="F106">
        <f t="shared" si="5"/>
        <v>120</v>
      </c>
      <c r="G106">
        <f t="shared" si="6"/>
        <v>120</v>
      </c>
      <c r="H106">
        <f t="shared" si="7"/>
        <v>9</v>
      </c>
      <c r="I106" s="116">
        <f t="shared" si="9"/>
        <v>27729</v>
      </c>
      <c r="J106">
        <f t="shared" si="8"/>
        <v>9.9582386160833334</v>
      </c>
      <c r="L106" s="116"/>
      <c r="N106" s="96"/>
    </row>
    <row r="107" spans="4:14" x14ac:dyDescent="0.25">
      <c r="D107" s="115">
        <v>27546</v>
      </c>
      <c r="E107" s="53">
        <v>10.455057330000001</v>
      </c>
      <c r="F107">
        <f t="shared" si="5"/>
        <v>150</v>
      </c>
      <c r="G107">
        <f t="shared" si="6"/>
        <v>150</v>
      </c>
      <c r="H107">
        <f t="shared" si="7"/>
        <v>9</v>
      </c>
      <c r="I107" s="116">
        <f t="shared" si="9"/>
        <v>27729</v>
      </c>
      <c r="J107">
        <f t="shared" si="8"/>
        <v>9.9582386160833334</v>
      </c>
      <c r="L107" s="116"/>
      <c r="N107" s="96"/>
    </row>
    <row r="108" spans="4:14" x14ac:dyDescent="0.25">
      <c r="D108" s="115">
        <v>27576</v>
      </c>
      <c r="E108" s="53">
        <v>9.787927045</v>
      </c>
      <c r="F108">
        <f t="shared" si="5"/>
        <v>180</v>
      </c>
      <c r="G108">
        <f t="shared" si="6"/>
        <v>180</v>
      </c>
      <c r="H108">
        <f t="shared" si="7"/>
        <v>9</v>
      </c>
      <c r="I108" s="116">
        <f t="shared" si="9"/>
        <v>27729</v>
      </c>
      <c r="J108">
        <f t="shared" si="8"/>
        <v>9.9582386160833334</v>
      </c>
      <c r="L108" s="116"/>
      <c r="N108" s="96"/>
    </row>
    <row r="109" spans="4:14" x14ac:dyDescent="0.25">
      <c r="D109" s="115">
        <v>27607</v>
      </c>
      <c r="E109" s="53">
        <v>8.9383801950000006</v>
      </c>
      <c r="F109">
        <f t="shared" si="5"/>
        <v>210</v>
      </c>
      <c r="G109">
        <f t="shared" si="6"/>
        <v>210</v>
      </c>
      <c r="H109">
        <f t="shared" si="7"/>
        <v>9</v>
      </c>
      <c r="I109" s="116">
        <f t="shared" si="9"/>
        <v>27729</v>
      </c>
      <c r="J109">
        <f t="shared" si="8"/>
        <v>9.9582386160833334</v>
      </c>
      <c r="L109" s="116"/>
      <c r="N109" s="96"/>
    </row>
    <row r="110" spans="4:14" x14ac:dyDescent="0.25">
      <c r="D110" s="115">
        <v>27638</v>
      </c>
      <c r="E110" s="53">
        <v>8.5543540530000008</v>
      </c>
      <c r="F110">
        <f t="shared" si="5"/>
        <v>240</v>
      </c>
      <c r="G110">
        <f t="shared" si="6"/>
        <v>240</v>
      </c>
      <c r="H110">
        <f t="shared" si="7"/>
        <v>9</v>
      </c>
      <c r="I110" s="116">
        <f t="shared" si="9"/>
        <v>27729</v>
      </c>
      <c r="J110">
        <f t="shared" si="8"/>
        <v>9.9582386160833334</v>
      </c>
      <c r="L110" s="116"/>
      <c r="N110" s="96"/>
    </row>
    <row r="111" spans="4:14" x14ac:dyDescent="0.25">
      <c r="D111" s="115">
        <v>27668</v>
      </c>
      <c r="E111" s="53">
        <v>8.1421027919999993</v>
      </c>
      <c r="F111">
        <f t="shared" si="5"/>
        <v>270</v>
      </c>
      <c r="G111">
        <f t="shared" si="6"/>
        <v>270</v>
      </c>
      <c r="H111">
        <f t="shared" si="7"/>
        <v>9</v>
      </c>
      <c r="I111" s="116">
        <f t="shared" si="9"/>
        <v>27729</v>
      </c>
      <c r="J111">
        <f t="shared" si="8"/>
        <v>9.9582386160833334</v>
      </c>
      <c r="L111" s="116"/>
      <c r="N111" s="96"/>
    </row>
    <row r="112" spans="4:14" x14ac:dyDescent="0.25">
      <c r="D112" s="115">
        <v>27699</v>
      </c>
      <c r="E112" s="53">
        <v>8.1359116599999997</v>
      </c>
      <c r="F112">
        <f t="shared" si="5"/>
        <v>300</v>
      </c>
      <c r="G112">
        <f t="shared" si="6"/>
        <v>300</v>
      </c>
      <c r="H112">
        <f t="shared" si="7"/>
        <v>9</v>
      </c>
      <c r="I112" s="116">
        <f t="shared" si="9"/>
        <v>27729</v>
      </c>
      <c r="J112">
        <f t="shared" si="8"/>
        <v>9.9582386160833334</v>
      </c>
      <c r="L112" s="116"/>
      <c r="N112" s="96"/>
    </row>
    <row r="113" spans="4:14" x14ac:dyDescent="0.25">
      <c r="D113" s="115">
        <v>27729</v>
      </c>
      <c r="E113" s="53">
        <v>7.727553082</v>
      </c>
      <c r="F113">
        <f t="shared" si="5"/>
        <v>330</v>
      </c>
      <c r="G113">
        <f t="shared" si="6"/>
        <v>330</v>
      </c>
      <c r="H113">
        <f t="shared" si="7"/>
        <v>9</v>
      </c>
      <c r="I113" s="116">
        <f t="shared" si="9"/>
        <v>27729</v>
      </c>
      <c r="J113">
        <f t="shared" si="8"/>
        <v>9.9582386160833334</v>
      </c>
      <c r="L113" s="116"/>
      <c r="N113" s="96"/>
    </row>
    <row r="114" spans="4:14" x14ac:dyDescent="0.25">
      <c r="D114" s="115">
        <v>27760</v>
      </c>
      <c r="E114" s="53">
        <v>7.7413635449999996</v>
      </c>
      <c r="F114">
        <f t="shared" si="5"/>
        <v>0</v>
      </c>
      <c r="G114">
        <f t="shared" si="6"/>
        <v>0</v>
      </c>
      <c r="H114">
        <f t="shared" si="7"/>
        <v>10</v>
      </c>
      <c r="I114" s="116">
        <f t="shared" si="9"/>
        <v>28095</v>
      </c>
      <c r="J114">
        <f t="shared" si="8"/>
        <v>7.0692856911666659</v>
      </c>
      <c r="L114" s="116"/>
      <c r="N114" s="96"/>
    </row>
    <row r="115" spans="4:14" x14ac:dyDescent="0.25">
      <c r="D115" s="115">
        <v>27791</v>
      </c>
      <c r="E115" s="53">
        <v>7.4257624089999998</v>
      </c>
      <c r="F115">
        <f t="shared" si="5"/>
        <v>30</v>
      </c>
      <c r="G115">
        <f t="shared" si="6"/>
        <v>30</v>
      </c>
      <c r="H115">
        <f t="shared" si="7"/>
        <v>10</v>
      </c>
      <c r="I115" s="116">
        <f t="shared" si="9"/>
        <v>28095</v>
      </c>
      <c r="J115">
        <f t="shared" si="8"/>
        <v>7.0692856911666659</v>
      </c>
      <c r="L115" s="116"/>
      <c r="N115" s="96"/>
    </row>
    <row r="116" spans="4:14" x14ac:dyDescent="0.25">
      <c r="D116" s="115">
        <v>27820</v>
      </c>
      <c r="E116" s="53">
        <v>7.3884262620000003</v>
      </c>
      <c r="F116">
        <f t="shared" si="5"/>
        <v>60</v>
      </c>
      <c r="G116">
        <f t="shared" si="6"/>
        <v>60</v>
      </c>
      <c r="H116">
        <f t="shared" si="7"/>
        <v>10</v>
      </c>
      <c r="I116" s="116">
        <f t="shared" si="9"/>
        <v>28095</v>
      </c>
      <c r="J116">
        <f t="shared" si="8"/>
        <v>7.0692856911666659</v>
      </c>
      <c r="L116" s="116"/>
      <c r="N116" s="96"/>
    </row>
    <row r="117" spans="4:14" x14ac:dyDescent="0.25">
      <c r="D117" s="115">
        <v>27851</v>
      </c>
      <c r="E117" s="53">
        <v>6.8996299729999997</v>
      </c>
      <c r="F117">
        <f t="shared" si="5"/>
        <v>90</v>
      </c>
      <c r="G117">
        <f t="shared" si="6"/>
        <v>90</v>
      </c>
      <c r="H117">
        <f t="shared" si="7"/>
        <v>10</v>
      </c>
      <c r="I117" s="116">
        <f t="shared" si="9"/>
        <v>28095</v>
      </c>
      <c r="J117">
        <f t="shared" si="8"/>
        <v>7.0692856911666659</v>
      </c>
      <c r="L117" s="116"/>
      <c r="N117" s="96"/>
    </row>
    <row r="118" spans="4:14" x14ac:dyDescent="0.25">
      <c r="D118" s="115">
        <v>27881</v>
      </c>
      <c r="E118" s="53">
        <v>7.0182985809999998</v>
      </c>
      <c r="F118">
        <f t="shared" si="5"/>
        <v>120</v>
      </c>
      <c r="G118">
        <f t="shared" si="6"/>
        <v>120</v>
      </c>
      <c r="H118">
        <f t="shared" si="7"/>
        <v>10</v>
      </c>
      <c r="I118" s="116">
        <f t="shared" si="9"/>
        <v>28095</v>
      </c>
      <c r="J118">
        <f t="shared" si="8"/>
        <v>7.0692856911666659</v>
      </c>
      <c r="L118" s="116"/>
      <c r="N118" s="96"/>
    </row>
    <row r="119" spans="4:14" x14ac:dyDescent="0.25">
      <c r="D119" s="115">
        <v>27912</v>
      </c>
      <c r="E119" s="53">
        <v>6.9228506980000004</v>
      </c>
      <c r="F119">
        <f t="shared" si="5"/>
        <v>150</v>
      </c>
      <c r="G119">
        <f t="shared" si="6"/>
        <v>150</v>
      </c>
      <c r="H119">
        <f t="shared" si="7"/>
        <v>10</v>
      </c>
      <c r="I119" s="116">
        <f t="shared" si="9"/>
        <v>28095</v>
      </c>
      <c r="J119">
        <f t="shared" si="8"/>
        <v>7.0692856911666659</v>
      </c>
      <c r="L119" s="116"/>
      <c r="N119" s="96"/>
    </row>
    <row r="120" spans="4:14" x14ac:dyDescent="0.25">
      <c r="D120" s="115">
        <v>27942</v>
      </c>
      <c r="E120" s="53">
        <v>7.1409922239999997</v>
      </c>
      <c r="F120">
        <f t="shared" si="5"/>
        <v>180</v>
      </c>
      <c r="G120">
        <f t="shared" si="6"/>
        <v>180</v>
      </c>
      <c r="H120">
        <f t="shared" si="7"/>
        <v>10</v>
      </c>
      <c r="I120" s="116">
        <f t="shared" si="9"/>
        <v>28095</v>
      </c>
      <c r="J120">
        <f t="shared" si="8"/>
        <v>7.0692856911666659</v>
      </c>
      <c r="L120" s="116"/>
      <c r="N120" s="96"/>
    </row>
    <row r="121" spans="4:14" x14ac:dyDescent="0.25">
      <c r="D121" s="115">
        <v>27973</v>
      </c>
      <c r="E121" s="53">
        <v>7.4053800609999998</v>
      </c>
      <c r="F121">
        <f t="shared" si="5"/>
        <v>210</v>
      </c>
      <c r="G121">
        <f t="shared" si="6"/>
        <v>210</v>
      </c>
      <c r="H121">
        <f t="shared" si="7"/>
        <v>10</v>
      </c>
      <c r="I121" s="116">
        <f t="shared" si="9"/>
        <v>28095</v>
      </c>
      <c r="J121">
        <f t="shared" si="8"/>
        <v>7.0692856911666659</v>
      </c>
      <c r="L121" s="116"/>
      <c r="N121" s="96"/>
    </row>
    <row r="122" spans="4:14" x14ac:dyDescent="0.25">
      <c r="D122" s="115">
        <v>28004</v>
      </c>
      <c r="E122" s="53">
        <v>7.1253815249999999</v>
      </c>
      <c r="F122">
        <f t="shared" si="5"/>
        <v>240</v>
      </c>
      <c r="G122">
        <f t="shared" si="6"/>
        <v>240</v>
      </c>
      <c r="H122">
        <f t="shared" si="7"/>
        <v>10</v>
      </c>
      <c r="I122" s="116">
        <f t="shared" si="9"/>
        <v>28095</v>
      </c>
      <c r="J122">
        <f t="shared" si="8"/>
        <v>7.0692856911666659</v>
      </c>
      <c r="L122" s="116"/>
      <c r="N122" s="96"/>
    </row>
    <row r="123" spans="4:14" x14ac:dyDescent="0.25">
      <c r="D123" s="115">
        <v>28034</v>
      </c>
      <c r="E123" s="53">
        <v>6.9107866820000003</v>
      </c>
      <c r="F123">
        <f t="shared" si="5"/>
        <v>270</v>
      </c>
      <c r="G123">
        <f t="shared" si="6"/>
        <v>270</v>
      </c>
      <c r="H123">
        <f t="shared" si="7"/>
        <v>10</v>
      </c>
      <c r="I123" s="116">
        <f t="shared" si="9"/>
        <v>28095</v>
      </c>
      <c r="J123">
        <f t="shared" si="8"/>
        <v>7.0692856911666659</v>
      </c>
      <c r="L123" s="116"/>
      <c r="N123" s="96"/>
    </row>
    <row r="124" spans="4:14" x14ac:dyDescent="0.25">
      <c r="D124" s="115">
        <v>28065</v>
      </c>
      <c r="E124" s="53">
        <v>6.6339418229999998</v>
      </c>
      <c r="F124">
        <f t="shared" si="5"/>
        <v>300</v>
      </c>
      <c r="G124">
        <f t="shared" si="6"/>
        <v>300</v>
      </c>
      <c r="H124">
        <f t="shared" si="7"/>
        <v>10</v>
      </c>
      <c r="I124" s="116">
        <f t="shared" si="9"/>
        <v>28095</v>
      </c>
      <c r="J124">
        <f t="shared" si="8"/>
        <v>7.0692856911666659</v>
      </c>
      <c r="L124" s="116"/>
      <c r="N124" s="96"/>
    </row>
    <row r="125" spans="4:14" x14ac:dyDescent="0.25">
      <c r="D125" s="115">
        <v>28095</v>
      </c>
      <c r="E125" s="53">
        <v>6.2186145110000002</v>
      </c>
      <c r="F125">
        <f t="shared" si="5"/>
        <v>330</v>
      </c>
      <c r="G125">
        <f t="shared" si="6"/>
        <v>330</v>
      </c>
      <c r="H125">
        <f t="shared" si="7"/>
        <v>10</v>
      </c>
      <c r="I125" s="116">
        <f t="shared" si="9"/>
        <v>28095</v>
      </c>
      <c r="J125">
        <f t="shared" si="8"/>
        <v>7.0692856911666659</v>
      </c>
      <c r="L125" s="116"/>
      <c r="N125" s="96"/>
    </row>
    <row r="126" spans="4:14" x14ac:dyDescent="0.25">
      <c r="D126" s="115">
        <v>28126</v>
      </c>
      <c r="E126" s="53">
        <v>6.0623023089999997</v>
      </c>
      <c r="F126">
        <f t="shared" si="5"/>
        <v>0</v>
      </c>
      <c r="G126">
        <f t="shared" si="6"/>
        <v>0</v>
      </c>
      <c r="H126">
        <f t="shared" si="7"/>
        <v>11</v>
      </c>
      <c r="I126" s="116">
        <f t="shared" si="9"/>
        <v>28460</v>
      </c>
      <c r="J126">
        <f t="shared" si="8"/>
        <v>6.7075894542500007</v>
      </c>
      <c r="L126" s="116"/>
      <c r="N126" s="96"/>
    </row>
    <row r="127" spans="4:14" x14ac:dyDescent="0.25">
      <c r="D127" s="115">
        <v>28157</v>
      </c>
      <c r="E127" s="53">
        <v>6.0633995870000001</v>
      </c>
      <c r="F127">
        <f t="shared" si="5"/>
        <v>30</v>
      </c>
      <c r="G127">
        <f t="shared" si="6"/>
        <v>30</v>
      </c>
      <c r="H127">
        <f t="shared" si="7"/>
        <v>11</v>
      </c>
      <c r="I127" s="116">
        <f t="shared" si="9"/>
        <v>28460</v>
      </c>
      <c r="J127">
        <f t="shared" si="8"/>
        <v>6.7075894542500007</v>
      </c>
      <c r="L127" s="116"/>
      <c r="N127" s="96"/>
    </row>
    <row r="128" spans="4:14" x14ac:dyDescent="0.25">
      <c r="D128" s="115">
        <v>28185</v>
      </c>
      <c r="E128" s="53">
        <v>6.1122292509999996</v>
      </c>
      <c r="F128">
        <f t="shared" si="5"/>
        <v>60</v>
      </c>
      <c r="G128">
        <f t="shared" si="6"/>
        <v>60</v>
      </c>
      <c r="H128">
        <f t="shared" si="7"/>
        <v>11</v>
      </c>
      <c r="I128" s="116">
        <f t="shared" si="9"/>
        <v>28460</v>
      </c>
      <c r="J128">
        <f t="shared" si="8"/>
        <v>6.7075894542500007</v>
      </c>
      <c r="L128" s="116"/>
      <c r="N128" s="96"/>
    </row>
    <row r="129" spans="4:14" x14ac:dyDescent="0.25">
      <c r="D129" s="115">
        <v>28216</v>
      </c>
      <c r="E129" s="53">
        <v>6.5911595209999998</v>
      </c>
      <c r="F129">
        <f t="shared" si="5"/>
        <v>90</v>
      </c>
      <c r="G129">
        <f t="shared" si="6"/>
        <v>90</v>
      </c>
      <c r="H129">
        <f t="shared" si="7"/>
        <v>11</v>
      </c>
      <c r="I129" s="116">
        <f t="shared" si="9"/>
        <v>28460</v>
      </c>
      <c r="J129">
        <f t="shared" si="8"/>
        <v>6.7075894542500007</v>
      </c>
      <c r="L129" s="116"/>
      <c r="N129" s="96"/>
    </row>
    <row r="130" spans="4:14" x14ac:dyDescent="0.25">
      <c r="D130" s="115">
        <v>28246</v>
      </c>
      <c r="E130" s="53">
        <v>6.7515449869999999</v>
      </c>
      <c r="F130">
        <f t="shared" si="5"/>
        <v>120</v>
      </c>
      <c r="G130">
        <f t="shared" si="6"/>
        <v>120</v>
      </c>
      <c r="H130">
        <f t="shared" si="7"/>
        <v>11</v>
      </c>
      <c r="I130" s="116">
        <f t="shared" si="9"/>
        <v>28460</v>
      </c>
      <c r="J130">
        <f t="shared" si="8"/>
        <v>6.7075894542500007</v>
      </c>
      <c r="L130" s="116"/>
      <c r="N130" s="96"/>
    </row>
    <row r="131" spans="4:14" x14ac:dyDescent="0.25">
      <c r="D131" s="115">
        <v>28277</v>
      </c>
      <c r="E131" s="53">
        <v>6.9309568329999998</v>
      </c>
      <c r="F131">
        <f t="shared" si="5"/>
        <v>150</v>
      </c>
      <c r="G131">
        <f t="shared" si="6"/>
        <v>150</v>
      </c>
      <c r="H131">
        <f t="shared" si="7"/>
        <v>11</v>
      </c>
      <c r="I131" s="116">
        <f t="shared" si="9"/>
        <v>28460</v>
      </c>
      <c r="J131">
        <f t="shared" si="8"/>
        <v>6.7075894542500007</v>
      </c>
      <c r="L131" s="116"/>
      <c r="N131" s="96"/>
    </row>
    <row r="132" spans="4:14" x14ac:dyDescent="0.25">
      <c r="D132" s="115">
        <v>28307</v>
      </c>
      <c r="E132" s="53">
        <v>6.8922193319999998</v>
      </c>
      <c r="F132">
        <f t="shared" si="5"/>
        <v>180</v>
      </c>
      <c r="G132">
        <f t="shared" si="6"/>
        <v>180</v>
      </c>
      <c r="H132">
        <f t="shared" si="7"/>
        <v>11</v>
      </c>
      <c r="I132" s="116">
        <f t="shared" si="9"/>
        <v>28460</v>
      </c>
      <c r="J132">
        <f t="shared" si="8"/>
        <v>6.7075894542500007</v>
      </c>
      <c r="L132" s="116"/>
      <c r="N132" s="96"/>
    </row>
    <row r="133" spans="4:14" x14ac:dyDescent="0.25">
      <c r="D133" s="115">
        <v>28338</v>
      </c>
      <c r="E133" s="53">
        <v>6.8431996660000003</v>
      </c>
      <c r="F133">
        <f t="shared" si="5"/>
        <v>210</v>
      </c>
      <c r="G133">
        <f t="shared" si="6"/>
        <v>210</v>
      </c>
      <c r="H133">
        <f t="shared" si="7"/>
        <v>11</v>
      </c>
      <c r="I133" s="116">
        <f t="shared" si="9"/>
        <v>28460</v>
      </c>
      <c r="J133">
        <f t="shared" si="8"/>
        <v>6.7075894542500007</v>
      </c>
      <c r="L133" s="116"/>
      <c r="N133" s="96"/>
    </row>
    <row r="134" spans="4:14" x14ac:dyDescent="0.25">
      <c r="D134" s="115">
        <v>28369</v>
      </c>
      <c r="E134" s="53">
        <v>6.8835555450000001</v>
      </c>
      <c r="F134">
        <f t="shared" si="5"/>
        <v>240</v>
      </c>
      <c r="G134">
        <f t="shared" si="6"/>
        <v>240</v>
      </c>
      <c r="H134">
        <f t="shared" si="7"/>
        <v>11</v>
      </c>
      <c r="I134" s="116">
        <f t="shared" si="9"/>
        <v>28460</v>
      </c>
      <c r="J134">
        <f t="shared" si="8"/>
        <v>6.7075894542500007</v>
      </c>
      <c r="L134" s="116"/>
      <c r="N134" s="96"/>
    </row>
    <row r="135" spans="4:14" x14ac:dyDescent="0.25">
      <c r="D135" s="115">
        <v>28399</v>
      </c>
      <c r="E135" s="53">
        <v>6.96244877</v>
      </c>
      <c r="F135">
        <f t="shared" si="5"/>
        <v>270</v>
      </c>
      <c r="G135">
        <f t="shared" si="6"/>
        <v>270</v>
      </c>
      <c r="H135">
        <f t="shared" si="7"/>
        <v>11</v>
      </c>
      <c r="I135" s="116">
        <f t="shared" si="9"/>
        <v>28460</v>
      </c>
      <c r="J135">
        <f t="shared" si="8"/>
        <v>6.7075894542500007</v>
      </c>
      <c r="L135" s="116"/>
      <c r="N135" s="96"/>
    </row>
    <row r="136" spans="4:14" x14ac:dyDescent="0.25">
      <c r="D136" s="115">
        <v>28430</v>
      </c>
      <c r="E136" s="53">
        <v>7.010588577</v>
      </c>
      <c r="F136">
        <f t="shared" si="5"/>
        <v>300</v>
      </c>
      <c r="G136">
        <f t="shared" si="6"/>
        <v>300</v>
      </c>
      <c r="H136">
        <f t="shared" si="7"/>
        <v>11</v>
      </c>
      <c r="I136" s="116">
        <f t="shared" si="9"/>
        <v>28460</v>
      </c>
      <c r="J136">
        <f t="shared" si="8"/>
        <v>6.7075894542500007</v>
      </c>
      <c r="L136" s="116"/>
      <c r="N136" s="96"/>
    </row>
    <row r="137" spans="4:14" x14ac:dyDescent="0.25">
      <c r="D137" s="115">
        <v>28460</v>
      </c>
      <c r="E137" s="53">
        <v>7.3874690730000001</v>
      </c>
      <c r="F137">
        <f t="shared" si="5"/>
        <v>330</v>
      </c>
      <c r="G137">
        <f t="shared" si="6"/>
        <v>330</v>
      </c>
      <c r="H137">
        <f t="shared" si="7"/>
        <v>11</v>
      </c>
      <c r="I137" s="116">
        <f t="shared" si="9"/>
        <v>28460</v>
      </c>
      <c r="J137">
        <f t="shared" si="8"/>
        <v>6.7075894542500007</v>
      </c>
      <c r="L137" s="116"/>
      <c r="N137" s="96"/>
    </row>
    <row r="138" spans="4:14" x14ac:dyDescent="0.25">
      <c r="D138" s="115">
        <v>28491</v>
      </c>
      <c r="E138" s="53">
        <v>7.395951567</v>
      </c>
      <c r="F138">
        <f t="shared" si="5"/>
        <v>0</v>
      </c>
      <c r="G138">
        <f t="shared" si="6"/>
        <v>0</v>
      </c>
      <c r="H138">
        <f t="shared" si="7"/>
        <v>12</v>
      </c>
      <c r="I138" s="116">
        <f t="shared" si="9"/>
        <v>28825</v>
      </c>
      <c r="J138">
        <f t="shared" si="8"/>
        <v>8.0957684430000008</v>
      </c>
      <c r="L138" s="116"/>
      <c r="N138" s="96"/>
    </row>
    <row r="139" spans="4:14" x14ac:dyDescent="0.25">
      <c r="D139" s="115">
        <v>28522</v>
      </c>
      <c r="E139" s="53">
        <v>7.3651408920000003</v>
      </c>
      <c r="F139">
        <f t="shared" si="5"/>
        <v>30</v>
      </c>
      <c r="G139">
        <f t="shared" si="6"/>
        <v>30</v>
      </c>
      <c r="H139">
        <f t="shared" si="7"/>
        <v>12</v>
      </c>
      <c r="I139" s="116">
        <f t="shared" si="9"/>
        <v>28825</v>
      </c>
      <c r="J139">
        <f t="shared" si="8"/>
        <v>8.0957684430000008</v>
      </c>
      <c r="L139" s="116"/>
      <c r="N139" s="96"/>
    </row>
    <row r="140" spans="4:14" x14ac:dyDescent="0.25">
      <c r="D140" s="115">
        <v>28550</v>
      </c>
      <c r="E140" s="53">
        <v>7.4578682880000002</v>
      </c>
      <c r="F140">
        <f t="shared" si="5"/>
        <v>60</v>
      </c>
      <c r="G140">
        <f t="shared" si="6"/>
        <v>60</v>
      </c>
      <c r="H140">
        <f t="shared" si="7"/>
        <v>12</v>
      </c>
      <c r="I140" s="116">
        <f t="shared" si="9"/>
        <v>28825</v>
      </c>
      <c r="J140">
        <f t="shared" si="8"/>
        <v>8.0957684430000008</v>
      </c>
      <c r="L140" s="116"/>
      <c r="N140" s="96"/>
    </row>
    <row r="141" spans="4:14" x14ac:dyDescent="0.25">
      <c r="D141" s="115">
        <v>28581</v>
      </c>
      <c r="E141" s="53">
        <v>7.4372113239999997</v>
      </c>
      <c r="F141">
        <f t="shared" si="5"/>
        <v>90</v>
      </c>
      <c r="G141">
        <f t="shared" si="6"/>
        <v>90</v>
      </c>
      <c r="H141">
        <f t="shared" si="7"/>
        <v>12</v>
      </c>
      <c r="I141" s="116">
        <f t="shared" si="9"/>
        <v>28825</v>
      </c>
      <c r="J141">
        <f t="shared" si="8"/>
        <v>8.0957684430000008</v>
      </c>
      <c r="L141" s="116"/>
      <c r="N141" s="96"/>
    </row>
    <row r="142" spans="4:14" x14ac:dyDescent="0.25">
      <c r="D142" s="115">
        <v>28611</v>
      </c>
      <c r="E142" s="53">
        <v>7.6676509060000004</v>
      </c>
      <c r="F142">
        <f t="shared" si="5"/>
        <v>120</v>
      </c>
      <c r="G142">
        <f t="shared" si="6"/>
        <v>120</v>
      </c>
      <c r="H142">
        <f t="shared" si="7"/>
        <v>12</v>
      </c>
      <c r="I142" s="116">
        <f t="shared" si="9"/>
        <v>28825</v>
      </c>
      <c r="J142">
        <f t="shared" si="8"/>
        <v>8.0957684430000008</v>
      </c>
      <c r="L142" s="116"/>
      <c r="N142" s="96"/>
    </row>
    <row r="143" spans="4:14" x14ac:dyDescent="0.25">
      <c r="D143" s="115">
        <v>28642</v>
      </c>
      <c r="E143" s="53">
        <v>7.705467144</v>
      </c>
      <c r="F143">
        <f t="shared" si="5"/>
        <v>150</v>
      </c>
      <c r="G143">
        <f t="shared" si="6"/>
        <v>150</v>
      </c>
      <c r="H143">
        <f t="shared" si="7"/>
        <v>12</v>
      </c>
      <c r="I143" s="116">
        <f t="shared" si="9"/>
        <v>28825</v>
      </c>
      <c r="J143">
        <f t="shared" si="8"/>
        <v>8.0957684430000008</v>
      </c>
      <c r="L143" s="116"/>
      <c r="N143" s="96"/>
    </row>
    <row r="144" spans="4:14" x14ac:dyDescent="0.25">
      <c r="D144" s="115">
        <v>28672</v>
      </c>
      <c r="E144" s="53">
        <v>7.9392109570000002</v>
      </c>
      <c r="F144">
        <f t="shared" si="5"/>
        <v>180</v>
      </c>
      <c r="G144">
        <f t="shared" si="6"/>
        <v>180</v>
      </c>
      <c r="H144">
        <f t="shared" si="7"/>
        <v>12</v>
      </c>
      <c r="I144" s="116">
        <f t="shared" si="9"/>
        <v>28825</v>
      </c>
      <c r="J144">
        <f t="shared" si="8"/>
        <v>8.0957684430000008</v>
      </c>
      <c r="L144" s="116"/>
      <c r="N144" s="96"/>
    </row>
    <row r="145" spans="4:14" x14ac:dyDescent="0.25">
      <c r="D145" s="115">
        <v>28703</v>
      </c>
      <c r="E145" s="53">
        <v>8.2040468959999995</v>
      </c>
      <c r="F145">
        <f t="shared" ref="F145:F208" si="10">FLOOR(DAYS360(DATE(YEAR(D145),1,1),D145),30)</f>
        <v>210</v>
      </c>
      <c r="G145">
        <f t="shared" si="6"/>
        <v>210</v>
      </c>
      <c r="H145">
        <f t="shared" si="7"/>
        <v>12</v>
      </c>
      <c r="I145" s="116">
        <f t="shared" si="9"/>
        <v>28825</v>
      </c>
      <c r="J145">
        <f t="shared" si="8"/>
        <v>8.0957684430000008</v>
      </c>
      <c r="L145" s="116"/>
      <c r="N145" s="96"/>
    </row>
    <row r="146" spans="4:14" x14ac:dyDescent="0.25">
      <c r="D146" s="115">
        <v>28734</v>
      </c>
      <c r="E146" s="53">
        <v>8.6055779940000008</v>
      </c>
      <c r="F146">
        <f t="shared" si="10"/>
        <v>240</v>
      </c>
      <c r="G146">
        <f t="shared" ref="G146:G209" si="11">MOD(F146, 360/$G$12)</f>
        <v>240</v>
      </c>
      <c r="H146">
        <f t="shared" ref="H146:H209" si="12">IF(G146&gt;G145,H145,H145+1)</f>
        <v>12</v>
      </c>
      <c r="I146" s="116">
        <f t="shared" si="9"/>
        <v>28825</v>
      </c>
      <c r="J146">
        <f t="shared" ref="J146:J209" si="13">AVERAGEIF($H$17:$H$675,H146,$E$17:$E$675)</f>
        <v>8.0957684430000008</v>
      </c>
      <c r="L146" s="116"/>
      <c r="N146" s="96"/>
    </row>
    <row r="147" spans="4:14" x14ac:dyDescent="0.25">
      <c r="D147" s="115">
        <v>28764</v>
      </c>
      <c r="E147" s="53">
        <v>9.0624216670000006</v>
      </c>
      <c r="F147">
        <f t="shared" si="10"/>
        <v>270</v>
      </c>
      <c r="G147">
        <f t="shared" si="11"/>
        <v>270</v>
      </c>
      <c r="H147">
        <f t="shared" si="12"/>
        <v>12</v>
      </c>
      <c r="I147" s="116">
        <f t="shared" ref="I147:I210" si="14">EDATE(I146,(H147-H146)*(12/$G$12))</f>
        <v>28825</v>
      </c>
      <c r="J147">
        <f t="shared" si="13"/>
        <v>8.0957684430000008</v>
      </c>
      <c r="L147" s="116"/>
      <c r="N147" s="96"/>
    </row>
    <row r="148" spans="4:14" x14ac:dyDescent="0.25">
      <c r="D148" s="115">
        <v>28795</v>
      </c>
      <c r="E148" s="53">
        <v>9.2375578059999999</v>
      </c>
      <c r="F148">
        <f t="shared" si="10"/>
        <v>300</v>
      </c>
      <c r="G148">
        <f t="shared" si="11"/>
        <v>300</v>
      </c>
      <c r="H148">
        <f t="shared" si="12"/>
        <v>12</v>
      </c>
      <c r="I148" s="116">
        <f t="shared" si="14"/>
        <v>28825</v>
      </c>
      <c r="J148">
        <f t="shared" si="13"/>
        <v>8.0957684430000008</v>
      </c>
      <c r="L148" s="116"/>
      <c r="N148" s="96"/>
    </row>
    <row r="149" spans="4:14" x14ac:dyDescent="0.25">
      <c r="D149" s="115">
        <v>28825</v>
      </c>
      <c r="E149" s="53">
        <v>9.0711158750000003</v>
      </c>
      <c r="F149">
        <f t="shared" si="10"/>
        <v>330</v>
      </c>
      <c r="G149">
        <f t="shared" si="11"/>
        <v>330</v>
      </c>
      <c r="H149">
        <f t="shared" si="12"/>
        <v>12</v>
      </c>
      <c r="I149" s="116">
        <f t="shared" si="14"/>
        <v>28825</v>
      </c>
      <c r="J149">
        <f t="shared" si="13"/>
        <v>8.0957684430000008</v>
      </c>
      <c r="L149" s="116"/>
      <c r="N149" s="96"/>
    </row>
    <row r="150" spans="4:14" x14ac:dyDescent="0.25">
      <c r="D150" s="115">
        <v>28856</v>
      </c>
      <c r="E150" s="53">
        <v>9.0837509220000001</v>
      </c>
      <c r="F150">
        <f t="shared" si="10"/>
        <v>0</v>
      </c>
      <c r="G150">
        <f t="shared" si="11"/>
        <v>0</v>
      </c>
      <c r="H150">
        <f t="shared" si="12"/>
        <v>13</v>
      </c>
      <c r="I150" s="116">
        <f t="shared" si="14"/>
        <v>29190</v>
      </c>
      <c r="J150">
        <f t="shared" si="13"/>
        <v>10.595650194416667</v>
      </c>
      <c r="L150" s="116"/>
      <c r="N150" s="96"/>
    </row>
    <row r="151" spans="4:14" x14ac:dyDescent="0.25">
      <c r="D151" s="115">
        <v>28887</v>
      </c>
      <c r="E151" s="53">
        <v>9.5860347059999995</v>
      </c>
      <c r="F151">
        <f t="shared" si="10"/>
        <v>30</v>
      </c>
      <c r="G151">
        <f t="shared" si="11"/>
        <v>30</v>
      </c>
      <c r="H151">
        <f t="shared" si="12"/>
        <v>13</v>
      </c>
      <c r="I151" s="116">
        <f t="shared" si="14"/>
        <v>29190</v>
      </c>
      <c r="J151">
        <f t="shared" si="13"/>
        <v>10.595650194416667</v>
      </c>
      <c r="L151" s="116"/>
      <c r="N151" s="96"/>
    </row>
    <row r="152" spans="4:14" x14ac:dyDescent="0.25">
      <c r="D152" s="115">
        <v>28915</v>
      </c>
      <c r="E152" s="53">
        <v>9.6898524239999997</v>
      </c>
      <c r="F152">
        <f t="shared" si="10"/>
        <v>60</v>
      </c>
      <c r="G152">
        <f t="shared" si="11"/>
        <v>60</v>
      </c>
      <c r="H152">
        <f t="shared" si="12"/>
        <v>13</v>
      </c>
      <c r="I152" s="116">
        <f t="shared" si="14"/>
        <v>29190</v>
      </c>
      <c r="J152">
        <f t="shared" si="13"/>
        <v>10.595650194416667</v>
      </c>
      <c r="L152" s="116"/>
      <c r="N152" s="96"/>
    </row>
    <row r="153" spans="4:14" x14ac:dyDescent="0.25">
      <c r="D153" s="115">
        <v>28946</v>
      </c>
      <c r="E153" s="53">
        <v>9.9340986390000001</v>
      </c>
      <c r="F153">
        <f t="shared" si="10"/>
        <v>90</v>
      </c>
      <c r="G153">
        <f t="shared" si="11"/>
        <v>90</v>
      </c>
      <c r="H153">
        <f t="shared" si="12"/>
        <v>13</v>
      </c>
      <c r="I153" s="116">
        <f t="shared" si="14"/>
        <v>29190</v>
      </c>
      <c r="J153">
        <f t="shared" si="13"/>
        <v>10.595650194416667</v>
      </c>
      <c r="L153" s="116"/>
      <c r="N153" s="96"/>
    </row>
    <row r="154" spans="4:14" x14ac:dyDescent="0.25">
      <c r="D154" s="115">
        <v>28976</v>
      </c>
      <c r="E154" s="53">
        <v>10.09794116</v>
      </c>
      <c r="F154">
        <f t="shared" si="10"/>
        <v>120</v>
      </c>
      <c r="G154">
        <f t="shared" si="11"/>
        <v>120</v>
      </c>
      <c r="H154">
        <f t="shared" si="12"/>
        <v>13</v>
      </c>
      <c r="I154" s="116">
        <f t="shared" si="14"/>
        <v>29190</v>
      </c>
      <c r="J154">
        <f t="shared" si="13"/>
        <v>10.595650194416667</v>
      </c>
      <c r="L154" s="116"/>
      <c r="N154" s="96"/>
    </row>
    <row r="155" spans="4:14" x14ac:dyDescent="0.25">
      <c r="D155" s="115">
        <v>29007</v>
      </c>
      <c r="E155" s="53">
        <v>10.284819787</v>
      </c>
      <c r="F155">
        <f t="shared" si="10"/>
        <v>150</v>
      </c>
      <c r="G155">
        <f t="shared" si="11"/>
        <v>150</v>
      </c>
      <c r="H155">
        <f t="shared" si="12"/>
        <v>13</v>
      </c>
      <c r="I155" s="116">
        <f t="shared" si="14"/>
        <v>29190</v>
      </c>
      <c r="J155">
        <f t="shared" si="13"/>
        <v>10.595650194416667</v>
      </c>
      <c r="L155" s="116"/>
      <c r="N155" s="96"/>
    </row>
    <row r="156" spans="4:14" x14ac:dyDescent="0.25">
      <c r="D156" s="115">
        <v>29037</v>
      </c>
      <c r="E156" s="53">
        <v>10.521237318000001</v>
      </c>
      <c r="F156">
        <f t="shared" si="10"/>
        <v>180</v>
      </c>
      <c r="G156">
        <f t="shared" si="11"/>
        <v>180</v>
      </c>
      <c r="H156">
        <f t="shared" si="12"/>
        <v>13</v>
      </c>
      <c r="I156" s="116">
        <f t="shared" si="14"/>
        <v>29190</v>
      </c>
      <c r="J156">
        <f t="shared" si="13"/>
        <v>10.595650194416667</v>
      </c>
      <c r="L156" s="116"/>
      <c r="N156" s="96"/>
    </row>
    <row r="157" spans="4:14" x14ac:dyDescent="0.25">
      <c r="D157" s="115">
        <v>29068</v>
      </c>
      <c r="E157" s="53">
        <v>10.954395742999999</v>
      </c>
      <c r="F157">
        <f t="shared" si="10"/>
        <v>210</v>
      </c>
      <c r="G157">
        <f t="shared" si="11"/>
        <v>210</v>
      </c>
      <c r="H157">
        <f t="shared" si="12"/>
        <v>13</v>
      </c>
      <c r="I157" s="116">
        <f t="shared" si="14"/>
        <v>29190</v>
      </c>
      <c r="J157">
        <f t="shared" si="13"/>
        <v>10.595650194416667</v>
      </c>
      <c r="L157" s="116"/>
      <c r="N157" s="96"/>
    </row>
    <row r="158" spans="4:14" x14ac:dyDescent="0.25">
      <c r="D158" s="115">
        <v>29099</v>
      </c>
      <c r="E158" s="53">
        <v>11.002540622</v>
      </c>
      <c r="F158">
        <f t="shared" si="10"/>
        <v>240</v>
      </c>
      <c r="G158">
        <f t="shared" si="11"/>
        <v>240</v>
      </c>
      <c r="H158">
        <f t="shared" si="12"/>
        <v>13</v>
      </c>
      <c r="I158" s="116">
        <f t="shared" si="14"/>
        <v>29190</v>
      </c>
      <c r="J158">
        <f t="shared" si="13"/>
        <v>10.595650194416667</v>
      </c>
      <c r="L158" s="116"/>
      <c r="N158" s="96"/>
    </row>
    <row r="159" spans="4:14" x14ac:dyDescent="0.25">
      <c r="D159" s="115">
        <v>29129</v>
      </c>
      <c r="E159" s="53">
        <v>11.279514365000001</v>
      </c>
      <c r="F159">
        <f t="shared" si="10"/>
        <v>270</v>
      </c>
      <c r="G159">
        <f t="shared" si="11"/>
        <v>270</v>
      </c>
      <c r="H159">
        <f t="shared" si="12"/>
        <v>13</v>
      </c>
      <c r="I159" s="116">
        <f t="shared" si="14"/>
        <v>29190</v>
      </c>
      <c r="J159">
        <f t="shared" si="13"/>
        <v>10.595650194416667</v>
      </c>
      <c r="L159" s="116"/>
      <c r="N159" s="96"/>
    </row>
    <row r="160" spans="4:14" x14ac:dyDescent="0.25">
      <c r="D160" s="115">
        <v>29160</v>
      </c>
      <c r="E160" s="53">
        <v>11.951758189</v>
      </c>
      <c r="F160">
        <f t="shared" si="10"/>
        <v>300</v>
      </c>
      <c r="G160">
        <f t="shared" si="11"/>
        <v>300</v>
      </c>
      <c r="H160">
        <f t="shared" si="12"/>
        <v>13</v>
      </c>
      <c r="I160" s="116">
        <f t="shared" si="14"/>
        <v>29190</v>
      </c>
      <c r="J160">
        <f t="shared" si="13"/>
        <v>10.595650194416667</v>
      </c>
      <c r="L160" s="116"/>
      <c r="N160" s="96"/>
    </row>
    <row r="161" spans="4:14" x14ac:dyDescent="0.25">
      <c r="D161" s="115">
        <v>29190</v>
      </c>
      <c r="E161" s="53">
        <v>12.761858458000001</v>
      </c>
      <c r="F161">
        <f t="shared" si="10"/>
        <v>330</v>
      </c>
      <c r="G161">
        <f t="shared" si="11"/>
        <v>330</v>
      </c>
      <c r="H161">
        <f t="shared" si="12"/>
        <v>13</v>
      </c>
      <c r="I161" s="116">
        <f t="shared" si="14"/>
        <v>29190</v>
      </c>
      <c r="J161">
        <f t="shared" si="13"/>
        <v>10.595650194416667</v>
      </c>
      <c r="L161" s="116"/>
      <c r="N161" s="96"/>
    </row>
    <row r="162" spans="4:14" x14ac:dyDescent="0.25">
      <c r="D162" s="115">
        <v>29221</v>
      </c>
      <c r="E162" s="53">
        <v>13.499249243</v>
      </c>
      <c r="F162">
        <f t="shared" si="10"/>
        <v>0</v>
      </c>
      <c r="G162">
        <f t="shared" si="11"/>
        <v>0</v>
      </c>
      <c r="H162">
        <f t="shared" si="12"/>
        <v>14</v>
      </c>
      <c r="I162" s="116">
        <f t="shared" si="14"/>
        <v>29556</v>
      </c>
      <c r="J162">
        <f t="shared" si="13"/>
        <v>13.887196271583333</v>
      </c>
      <c r="L162" s="116"/>
      <c r="N162" s="96"/>
    </row>
    <row r="163" spans="4:14" x14ac:dyDescent="0.25">
      <c r="D163" s="115">
        <v>29252</v>
      </c>
      <c r="E163" s="53">
        <v>13.627778119</v>
      </c>
      <c r="F163">
        <f t="shared" si="10"/>
        <v>30</v>
      </c>
      <c r="G163">
        <f t="shared" si="11"/>
        <v>30</v>
      </c>
      <c r="H163">
        <f t="shared" si="12"/>
        <v>14</v>
      </c>
      <c r="I163" s="116">
        <f t="shared" si="14"/>
        <v>29556</v>
      </c>
      <c r="J163">
        <f t="shared" si="13"/>
        <v>13.887196271583333</v>
      </c>
      <c r="L163" s="116"/>
      <c r="N163" s="96"/>
    </row>
    <row r="164" spans="4:14" x14ac:dyDescent="0.25">
      <c r="D164" s="115">
        <v>29281</v>
      </c>
      <c r="E164" s="53">
        <v>14.361385885000001</v>
      </c>
      <c r="F164">
        <f t="shared" si="10"/>
        <v>60</v>
      </c>
      <c r="G164">
        <f t="shared" si="11"/>
        <v>60</v>
      </c>
      <c r="H164">
        <f t="shared" si="12"/>
        <v>14</v>
      </c>
      <c r="I164" s="116">
        <f t="shared" si="14"/>
        <v>29556</v>
      </c>
      <c r="J164">
        <f t="shared" si="13"/>
        <v>13.887196271583333</v>
      </c>
      <c r="L164" s="116"/>
      <c r="N164" s="96"/>
    </row>
    <row r="165" spans="4:14" x14ac:dyDescent="0.25">
      <c r="D165" s="115">
        <v>29312</v>
      </c>
      <c r="E165" s="53">
        <v>14.786779516999999</v>
      </c>
      <c r="F165">
        <f t="shared" si="10"/>
        <v>90</v>
      </c>
      <c r="G165">
        <f t="shared" si="11"/>
        <v>90</v>
      </c>
      <c r="H165">
        <f t="shared" si="12"/>
        <v>14</v>
      </c>
      <c r="I165" s="116">
        <f t="shared" si="14"/>
        <v>29556</v>
      </c>
      <c r="J165">
        <f t="shared" si="13"/>
        <v>13.887196271583333</v>
      </c>
      <c r="L165" s="116"/>
      <c r="N165" s="96"/>
    </row>
    <row r="166" spans="4:14" x14ac:dyDescent="0.25">
      <c r="D166" s="115">
        <v>29342</v>
      </c>
      <c r="E166" s="53">
        <v>15.147255921999999</v>
      </c>
      <c r="F166">
        <f t="shared" si="10"/>
        <v>120</v>
      </c>
      <c r="G166">
        <f t="shared" si="11"/>
        <v>120</v>
      </c>
      <c r="H166">
        <f t="shared" si="12"/>
        <v>14</v>
      </c>
      <c r="I166" s="116">
        <f t="shared" si="14"/>
        <v>29556</v>
      </c>
      <c r="J166">
        <f t="shared" si="13"/>
        <v>13.887196271583333</v>
      </c>
      <c r="L166" s="116"/>
      <c r="N166" s="96"/>
    </row>
    <row r="167" spans="4:14" x14ac:dyDescent="0.25">
      <c r="D167" s="115">
        <v>29373</v>
      </c>
      <c r="E167" s="53">
        <v>15.810582065</v>
      </c>
      <c r="F167">
        <f t="shared" si="10"/>
        <v>150</v>
      </c>
      <c r="G167">
        <f t="shared" si="11"/>
        <v>150</v>
      </c>
      <c r="H167">
        <f t="shared" si="12"/>
        <v>14</v>
      </c>
      <c r="I167" s="116">
        <f t="shared" si="14"/>
        <v>29556</v>
      </c>
      <c r="J167">
        <f t="shared" si="13"/>
        <v>13.887196271583333</v>
      </c>
      <c r="L167" s="116"/>
      <c r="N167" s="96"/>
    </row>
    <row r="168" spans="4:14" x14ac:dyDescent="0.25">
      <c r="D168" s="115">
        <v>29403</v>
      </c>
      <c r="E168" s="53">
        <v>14.178529783</v>
      </c>
      <c r="F168">
        <f t="shared" si="10"/>
        <v>180</v>
      </c>
      <c r="G168">
        <f t="shared" si="11"/>
        <v>180</v>
      </c>
      <c r="H168">
        <f t="shared" si="12"/>
        <v>14</v>
      </c>
      <c r="I168" s="116">
        <f t="shared" si="14"/>
        <v>29556</v>
      </c>
      <c r="J168">
        <f t="shared" si="13"/>
        <v>13.887196271583333</v>
      </c>
      <c r="L168" s="116"/>
      <c r="N168" s="96"/>
    </row>
    <row r="169" spans="4:14" x14ac:dyDescent="0.25">
      <c r="D169" s="115">
        <v>29434</v>
      </c>
      <c r="E169" s="53">
        <v>13.314194421</v>
      </c>
      <c r="F169">
        <f t="shared" si="10"/>
        <v>210</v>
      </c>
      <c r="G169">
        <f t="shared" si="11"/>
        <v>210</v>
      </c>
      <c r="H169">
        <f t="shared" si="12"/>
        <v>14</v>
      </c>
      <c r="I169" s="116">
        <f t="shared" si="14"/>
        <v>29556</v>
      </c>
      <c r="J169">
        <f t="shared" si="13"/>
        <v>13.887196271583333</v>
      </c>
      <c r="L169" s="116"/>
      <c r="N169" s="96"/>
    </row>
    <row r="170" spans="4:14" x14ac:dyDescent="0.25">
      <c r="D170" s="115">
        <v>29465</v>
      </c>
      <c r="E170" s="53">
        <v>13.136608244</v>
      </c>
      <c r="F170">
        <f t="shared" si="10"/>
        <v>240</v>
      </c>
      <c r="G170">
        <f t="shared" si="11"/>
        <v>240</v>
      </c>
      <c r="H170">
        <f t="shared" si="12"/>
        <v>14</v>
      </c>
      <c r="I170" s="116">
        <f t="shared" si="14"/>
        <v>29556</v>
      </c>
      <c r="J170">
        <f t="shared" si="13"/>
        <v>13.887196271583333</v>
      </c>
      <c r="L170" s="116"/>
      <c r="N170" s="96"/>
    </row>
    <row r="171" spans="4:14" x14ac:dyDescent="0.25">
      <c r="D171" s="115">
        <v>29495</v>
      </c>
      <c r="E171" s="53">
        <v>13.133051948</v>
      </c>
      <c r="F171">
        <f t="shared" si="10"/>
        <v>270</v>
      </c>
      <c r="G171">
        <f t="shared" si="11"/>
        <v>270</v>
      </c>
      <c r="H171">
        <f t="shared" si="12"/>
        <v>14</v>
      </c>
      <c r="I171" s="116">
        <f t="shared" si="14"/>
        <v>29556</v>
      </c>
      <c r="J171">
        <f t="shared" si="13"/>
        <v>13.887196271583333</v>
      </c>
      <c r="L171" s="116"/>
      <c r="N171" s="96"/>
    </row>
    <row r="172" spans="4:14" x14ac:dyDescent="0.25">
      <c r="D172" s="115">
        <v>29526</v>
      </c>
      <c r="E172" s="53">
        <v>12.918697160000001</v>
      </c>
      <c r="F172">
        <f t="shared" si="10"/>
        <v>300</v>
      </c>
      <c r="G172">
        <f t="shared" si="11"/>
        <v>300</v>
      </c>
      <c r="H172">
        <f t="shared" si="12"/>
        <v>14</v>
      </c>
      <c r="I172" s="116">
        <f t="shared" si="14"/>
        <v>29556</v>
      </c>
      <c r="J172">
        <f t="shared" si="13"/>
        <v>13.887196271583333</v>
      </c>
      <c r="L172" s="116"/>
      <c r="N172" s="96"/>
    </row>
    <row r="173" spans="4:14" x14ac:dyDescent="0.25">
      <c r="D173" s="115">
        <v>29556</v>
      </c>
      <c r="E173" s="53">
        <v>12.732242952</v>
      </c>
      <c r="F173">
        <f t="shared" si="10"/>
        <v>330</v>
      </c>
      <c r="G173">
        <f t="shared" si="11"/>
        <v>330</v>
      </c>
      <c r="H173">
        <f t="shared" si="12"/>
        <v>14</v>
      </c>
      <c r="I173" s="116">
        <f t="shared" si="14"/>
        <v>29556</v>
      </c>
      <c r="J173">
        <f t="shared" si="13"/>
        <v>13.887196271583333</v>
      </c>
      <c r="L173" s="116"/>
      <c r="N173" s="96"/>
    </row>
    <row r="174" spans="4:14" x14ac:dyDescent="0.25">
      <c r="D174" s="115">
        <v>29587</v>
      </c>
      <c r="E174" s="53">
        <v>12.062863603</v>
      </c>
      <c r="F174">
        <f t="shared" si="10"/>
        <v>0</v>
      </c>
      <c r="G174">
        <f t="shared" si="11"/>
        <v>0</v>
      </c>
      <c r="H174">
        <f t="shared" si="12"/>
        <v>15</v>
      </c>
      <c r="I174" s="116">
        <f t="shared" si="14"/>
        <v>29921</v>
      </c>
      <c r="J174">
        <f t="shared" si="13"/>
        <v>10.789840377166664</v>
      </c>
      <c r="L174" s="116"/>
      <c r="N174" s="96"/>
    </row>
    <row r="175" spans="4:14" x14ac:dyDescent="0.25">
      <c r="D175" s="115">
        <v>29618</v>
      </c>
      <c r="E175" s="53">
        <v>11.274926045999999</v>
      </c>
      <c r="F175">
        <f t="shared" si="10"/>
        <v>30</v>
      </c>
      <c r="G175">
        <f t="shared" si="11"/>
        <v>30</v>
      </c>
      <c r="H175">
        <f t="shared" si="12"/>
        <v>15</v>
      </c>
      <c r="I175" s="116">
        <f t="shared" si="14"/>
        <v>29921</v>
      </c>
      <c r="J175">
        <f t="shared" si="13"/>
        <v>10.789840377166664</v>
      </c>
      <c r="L175" s="116"/>
      <c r="N175" s="96"/>
    </row>
    <row r="176" spans="4:14" x14ac:dyDescent="0.25">
      <c r="D176" s="115">
        <v>29646</v>
      </c>
      <c r="E176" s="53">
        <v>10.363727852</v>
      </c>
      <c r="F176">
        <f t="shared" si="10"/>
        <v>60</v>
      </c>
      <c r="G176">
        <f t="shared" si="11"/>
        <v>60</v>
      </c>
      <c r="H176">
        <f t="shared" si="12"/>
        <v>15</v>
      </c>
      <c r="I176" s="116">
        <f t="shared" si="14"/>
        <v>29921</v>
      </c>
      <c r="J176">
        <f t="shared" si="13"/>
        <v>10.789840377166664</v>
      </c>
      <c r="L176" s="116"/>
      <c r="N176" s="96"/>
    </row>
    <row r="177" spans="4:14" x14ac:dyDescent="0.25">
      <c r="D177" s="115">
        <v>29677</v>
      </c>
      <c r="E177" s="53">
        <v>9.7525891530000006</v>
      </c>
      <c r="F177">
        <f t="shared" si="10"/>
        <v>90</v>
      </c>
      <c r="G177">
        <f t="shared" si="11"/>
        <v>90</v>
      </c>
      <c r="H177">
        <f t="shared" si="12"/>
        <v>15</v>
      </c>
      <c r="I177" s="116">
        <f t="shared" si="14"/>
        <v>29921</v>
      </c>
      <c r="J177">
        <f t="shared" si="13"/>
        <v>10.789840377166664</v>
      </c>
      <c r="L177" s="116"/>
      <c r="N177" s="96"/>
    </row>
    <row r="178" spans="4:14" x14ac:dyDescent="0.25">
      <c r="D178" s="115">
        <v>29707</v>
      </c>
      <c r="E178" s="53">
        <v>9.6458873549999993</v>
      </c>
      <c r="F178">
        <f t="shared" si="10"/>
        <v>120</v>
      </c>
      <c r="G178">
        <f t="shared" si="11"/>
        <v>120</v>
      </c>
      <c r="H178">
        <f t="shared" si="12"/>
        <v>15</v>
      </c>
      <c r="I178" s="116">
        <f t="shared" si="14"/>
        <v>29921</v>
      </c>
      <c r="J178">
        <f t="shared" si="13"/>
        <v>10.789840377166664</v>
      </c>
      <c r="L178" s="116"/>
      <c r="N178" s="96"/>
    </row>
    <row r="179" spans="4:14" x14ac:dyDescent="0.25">
      <c r="D179" s="115">
        <v>29738</v>
      </c>
      <c r="E179" s="53">
        <v>9.2502109990000001</v>
      </c>
      <c r="F179">
        <f t="shared" si="10"/>
        <v>150</v>
      </c>
      <c r="G179">
        <f t="shared" si="11"/>
        <v>150</v>
      </c>
      <c r="H179">
        <f t="shared" si="12"/>
        <v>15</v>
      </c>
      <c r="I179" s="116">
        <f t="shared" si="14"/>
        <v>29921</v>
      </c>
      <c r="J179">
        <f t="shared" si="13"/>
        <v>10.789840377166664</v>
      </c>
      <c r="L179" s="116"/>
      <c r="N179" s="96"/>
    </row>
    <row r="180" spans="4:14" x14ac:dyDescent="0.25">
      <c r="D180" s="115">
        <v>29768</v>
      </c>
      <c r="E180" s="53">
        <v>11.274384725999999</v>
      </c>
      <c r="F180">
        <f t="shared" si="10"/>
        <v>180</v>
      </c>
      <c r="G180">
        <f t="shared" si="11"/>
        <v>180</v>
      </c>
      <c r="H180">
        <f t="shared" si="12"/>
        <v>15</v>
      </c>
      <c r="I180" s="116">
        <f t="shared" si="14"/>
        <v>29921</v>
      </c>
      <c r="J180">
        <f t="shared" si="13"/>
        <v>10.789840377166664</v>
      </c>
      <c r="L180" s="116"/>
      <c r="N180" s="96"/>
    </row>
    <row r="181" spans="4:14" x14ac:dyDescent="0.25">
      <c r="D181" s="115">
        <v>29799</v>
      </c>
      <c r="E181" s="53">
        <v>11.853018154000001</v>
      </c>
      <c r="F181">
        <f t="shared" si="10"/>
        <v>210</v>
      </c>
      <c r="G181">
        <f t="shared" si="11"/>
        <v>210</v>
      </c>
      <c r="H181">
        <f t="shared" si="12"/>
        <v>15</v>
      </c>
      <c r="I181" s="116">
        <f t="shared" si="14"/>
        <v>29921</v>
      </c>
      <c r="J181">
        <f t="shared" si="13"/>
        <v>10.789840377166664</v>
      </c>
      <c r="L181" s="116"/>
      <c r="N181" s="96"/>
    </row>
    <row r="182" spans="4:14" x14ac:dyDescent="0.25">
      <c r="D182" s="115">
        <v>29830</v>
      </c>
      <c r="E182" s="53">
        <v>12.262533118</v>
      </c>
      <c r="F182">
        <f t="shared" si="10"/>
        <v>240</v>
      </c>
      <c r="G182">
        <f t="shared" si="11"/>
        <v>240</v>
      </c>
      <c r="H182">
        <f t="shared" si="12"/>
        <v>15</v>
      </c>
      <c r="I182" s="116">
        <f t="shared" si="14"/>
        <v>29921</v>
      </c>
      <c r="J182">
        <f t="shared" si="13"/>
        <v>10.789840377166664</v>
      </c>
      <c r="L182" s="116"/>
      <c r="N182" s="96"/>
    </row>
    <row r="183" spans="4:14" x14ac:dyDescent="0.25">
      <c r="D183" s="115">
        <v>29860</v>
      </c>
      <c r="E183" s="53">
        <v>11.298313544000001</v>
      </c>
      <c r="F183">
        <f t="shared" si="10"/>
        <v>270</v>
      </c>
      <c r="G183">
        <f t="shared" si="11"/>
        <v>270</v>
      </c>
      <c r="H183">
        <f t="shared" si="12"/>
        <v>15</v>
      </c>
      <c r="I183" s="116">
        <f t="shared" si="14"/>
        <v>29921</v>
      </c>
      <c r="J183">
        <f t="shared" si="13"/>
        <v>10.789840377166664</v>
      </c>
      <c r="L183" s="116"/>
      <c r="N183" s="96"/>
    </row>
    <row r="184" spans="4:14" x14ac:dyDescent="0.25">
      <c r="D184" s="115">
        <v>29891</v>
      </c>
      <c r="E184" s="53">
        <v>10.554645194000001</v>
      </c>
      <c r="F184">
        <f t="shared" si="10"/>
        <v>300</v>
      </c>
      <c r="G184">
        <f t="shared" si="11"/>
        <v>300</v>
      </c>
      <c r="H184">
        <f t="shared" si="12"/>
        <v>15</v>
      </c>
      <c r="I184" s="116">
        <f t="shared" si="14"/>
        <v>29921</v>
      </c>
      <c r="J184">
        <f t="shared" si="13"/>
        <v>10.789840377166664</v>
      </c>
      <c r="L184" s="116"/>
      <c r="N184" s="96"/>
    </row>
    <row r="185" spans="4:14" x14ac:dyDescent="0.25">
      <c r="D185" s="115">
        <v>29921</v>
      </c>
      <c r="E185" s="53">
        <v>9.8849847820000001</v>
      </c>
      <c r="F185">
        <f t="shared" si="10"/>
        <v>330</v>
      </c>
      <c r="G185">
        <f t="shared" si="11"/>
        <v>330</v>
      </c>
      <c r="H185">
        <f t="shared" si="12"/>
        <v>15</v>
      </c>
      <c r="I185" s="116">
        <f t="shared" si="14"/>
        <v>29921</v>
      </c>
      <c r="J185">
        <f t="shared" si="13"/>
        <v>10.789840377166664</v>
      </c>
      <c r="L185" s="116"/>
      <c r="N185" s="96"/>
    </row>
    <row r="186" spans="4:14" x14ac:dyDescent="0.25">
      <c r="D186" s="115">
        <v>29952</v>
      </c>
      <c r="E186" s="53">
        <v>9.4991964729999996</v>
      </c>
      <c r="F186">
        <f t="shared" si="10"/>
        <v>0</v>
      </c>
      <c r="G186">
        <f t="shared" si="11"/>
        <v>0</v>
      </c>
      <c r="H186">
        <f t="shared" si="12"/>
        <v>16</v>
      </c>
      <c r="I186" s="116">
        <f t="shared" si="14"/>
        <v>30286</v>
      </c>
      <c r="J186">
        <f t="shared" si="13"/>
        <v>7.6841269871666666</v>
      </c>
      <c r="L186" s="116"/>
      <c r="N186" s="96"/>
    </row>
    <row r="187" spans="4:14" x14ac:dyDescent="0.25">
      <c r="D187" s="115">
        <v>29983</v>
      </c>
      <c r="E187" s="53">
        <v>9.5676904900000004</v>
      </c>
      <c r="F187">
        <f t="shared" si="10"/>
        <v>30</v>
      </c>
      <c r="G187">
        <f t="shared" si="11"/>
        <v>30</v>
      </c>
      <c r="H187">
        <f t="shared" si="12"/>
        <v>16</v>
      </c>
      <c r="I187" s="116">
        <f t="shared" si="14"/>
        <v>30286</v>
      </c>
      <c r="J187">
        <f t="shared" si="13"/>
        <v>7.6841269871666666</v>
      </c>
      <c r="L187" s="116"/>
      <c r="N187" s="96"/>
    </row>
    <row r="188" spans="4:14" x14ac:dyDescent="0.25">
      <c r="D188" s="115">
        <v>30011</v>
      </c>
      <c r="E188" s="53">
        <v>8.9206482870000006</v>
      </c>
      <c r="F188">
        <f t="shared" si="10"/>
        <v>60</v>
      </c>
      <c r="G188">
        <f t="shared" si="11"/>
        <v>60</v>
      </c>
      <c r="H188">
        <f t="shared" si="12"/>
        <v>16</v>
      </c>
      <c r="I188" s="116">
        <f t="shared" si="14"/>
        <v>30286</v>
      </c>
      <c r="J188">
        <f t="shared" si="13"/>
        <v>7.6841269871666666</v>
      </c>
      <c r="L188" s="116"/>
      <c r="N188" s="96"/>
    </row>
    <row r="189" spans="4:14" x14ac:dyDescent="0.25">
      <c r="D189" s="115">
        <v>30042</v>
      </c>
      <c r="E189" s="53">
        <v>9.1122021629999992</v>
      </c>
      <c r="F189">
        <f t="shared" si="10"/>
        <v>90</v>
      </c>
      <c r="G189">
        <f t="shared" si="11"/>
        <v>90</v>
      </c>
      <c r="H189">
        <f t="shared" si="12"/>
        <v>16</v>
      </c>
      <c r="I189" s="116">
        <f t="shared" si="14"/>
        <v>30286</v>
      </c>
      <c r="J189">
        <f t="shared" si="13"/>
        <v>7.6841269871666666</v>
      </c>
      <c r="L189" s="116"/>
      <c r="N189" s="96"/>
    </row>
    <row r="190" spans="4:14" x14ac:dyDescent="0.25">
      <c r="D190" s="115">
        <v>30072</v>
      </c>
      <c r="E190" s="53">
        <v>9.0847988500000003</v>
      </c>
      <c r="F190">
        <f t="shared" si="10"/>
        <v>120</v>
      </c>
      <c r="G190">
        <f t="shared" si="11"/>
        <v>120</v>
      </c>
      <c r="H190">
        <f t="shared" si="12"/>
        <v>16</v>
      </c>
      <c r="I190" s="116">
        <f t="shared" si="14"/>
        <v>30286</v>
      </c>
      <c r="J190">
        <f t="shared" si="13"/>
        <v>7.6841269871666666</v>
      </c>
      <c r="L190" s="116"/>
      <c r="N190" s="96"/>
    </row>
    <row r="191" spans="4:14" x14ac:dyDescent="0.25">
      <c r="D191" s="115">
        <v>30103</v>
      </c>
      <c r="E191" s="53">
        <v>8.9098368269999995</v>
      </c>
      <c r="F191">
        <f t="shared" si="10"/>
        <v>150</v>
      </c>
      <c r="G191">
        <f t="shared" si="11"/>
        <v>150</v>
      </c>
      <c r="H191">
        <f t="shared" si="12"/>
        <v>16</v>
      </c>
      <c r="I191" s="116">
        <f t="shared" si="14"/>
        <v>30286</v>
      </c>
      <c r="J191">
        <f t="shared" si="13"/>
        <v>7.6841269871666666</v>
      </c>
      <c r="L191" s="116"/>
      <c r="N191" s="96"/>
    </row>
    <row r="192" spans="4:14" x14ac:dyDescent="0.25">
      <c r="D192" s="115">
        <v>30133</v>
      </c>
      <c r="E192" s="53">
        <v>7.9125604279999999</v>
      </c>
      <c r="F192">
        <f t="shared" si="10"/>
        <v>180</v>
      </c>
      <c r="G192">
        <f t="shared" si="11"/>
        <v>180</v>
      </c>
      <c r="H192">
        <f t="shared" si="12"/>
        <v>16</v>
      </c>
      <c r="I192" s="116">
        <f t="shared" si="14"/>
        <v>30286</v>
      </c>
      <c r="J192">
        <f t="shared" si="13"/>
        <v>7.6841269871666666</v>
      </c>
      <c r="L192" s="116"/>
      <c r="N192" s="96"/>
    </row>
    <row r="193" spans="4:14" x14ac:dyDescent="0.25">
      <c r="D193" s="115">
        <v>30164</v>
      </c>
      <c r="E193" s="53">
        <v>7.3514673330000004</v>
      </c>
      <c r="F193">
        <f t="shared" si="10"/>
        <v>210</v>
      </c>
      <c r="G193">
        <f t="shared" si="11"/>
        <v>210</v>
      </c>
      <c r="H193">
        <f t="shared" si="12"/>
        <v>16</v>
      </c>
      <c r="I193" s="116">
        <f t="shared" si="14"/>
        <v>30286</v>
      </c>
      <c r="J193">
        <f t="shared" si="13"/>
        <v>7.6841269871666666</v>
      </c>
      <c r="L193" s="116"/>
      <c r="N193" s="96"/>
    </row>
    <row r="194" spans="4:14" x14ac:dyDescent="0.25">
      <c r="D194" s="115">
        <v>30195</v>
      </c>
      <c r="E194" s="53">
        <v>6.0034093349999997</v>
      </c>
      <c r="F194">
        <f t="shared" si="10"/>
        <v>240</v>
      </c>
      <c r="G194">
        <f t="shared" si="11"/>
        <v>240</v>
      </c>
      <c r="H194">
        <f t="shared" si="12"/>
        <v>16</v>
      </c>
      <c r="I194" s="116">
        <f t="shared" si="14"/>
        <v>30286</v>
      </c>
      <c r="J194">
        <f t="shared" si="13"/>
        <v>7.6841269871666666</v>
      </c>
      <c r="L194" s="116"/>
      <c r="N194" s="96"/>
    </row>
    <row r="195" spans="4:14" x14ac:dyDescent="0.25">
      <c r="D195" s="115">
        <v>30225</v>
      </c>
      <c r="E195" s="53">
        <v>6.0009044039999999</v>
      </c>
      <c r="F195">
        <f t="shared" si="10"/>
        <v>270</v>
      </c>
      <c r="G195">
        <f t="shared" si="11"/>
        <v>270</v>
      </c>
      <c r="H195">
        <f t="shared" si="12"/>
        <v>16</v>
      </c>
      <c r="I195" s="116">
        <f t="shared" si="14"/>
        <v>30286</v>
      </c>
      <c r="J195">
        <f t="shared" si="13"/>
        <v>7.6841269871666666</v>
      </c>
      <c r="L195" s="116"/>
      <c r="N195" s="96"/>
    </row>
    <row r="196" spans="4:14" x14ac:dyDescent="0.25">
      <c r="D196" s="115">
        <v>30256</v>
      </c>
      <c r="E196" s="53">
        <v>5.3278237710000003</v>
      </c>
      <c r="F196">
        <f t="shared" si="10"/>
        <v>300</v>
      </c>
      <c r="G196">
        <f t="shared" si="11"/>
        <v>300</v>
      </c>
      <c r="H196">
        <f t="shared" si="12"/>
        <v>16</v>
      </c>
      <c r="I196" s="116">
        <f t="shared" si="14"/>
        <v>30286</v>
      </c>
      <c r="J196">
        <f t="shared" si="13"/>
        <v>7.6841269871666666</v>
      </c>
      <c r="L196" s="116"/>
      <c r="N196" s="96"/>
    </row>
    <row r="197" spans="4:14" x14ac:dyDescent="0.25">
      <c r="D197" s="115">
        <v>30286</v>
      </c>
      <c r="E197" s="53">
        <v>4.518985485</v>
      </c>
      <c r="F197">
        <f t="shared" si="10"/>
        <v>330</v>
      </c>
      <c r="G197">
        <f t="shared" si="11"/>
        <v>330</v>
      </c>
      <c r="H197">
        <f t="shared" si="12"/>
        <v>16</v>
      </c>
      <c r="I197" s="116">
        <f t="shared" si="14"/>
        <v>30286</v>
      </c>
      <c r="J197">
        <f t="shared" si="13"/>
        <v>7.6841269871666666</v>
      </c>
      <c r="L197" s="116"/>
      <c r="N197" s="96"/>
    </row>
    <row r="198" spans="4:14" x14ac:dyDescent="0.25">
      <c r="D198" s="115">
        <v>30317</v>
      </c>
      <c r="E198" s="53">
        <v>4.6955983540000004</v>
      </c>
      <c r="F198">
        <f t="shared" si="10"/>
        <v>0</v>
      </c>
      <c r="G198">
        <f t="shared" si="11"/>
        <v>0</v>
      </c>
      <c r="H198">
        <f t="shared" si="12"/>
        <v>17</v>
      </c>
      <c r="I198" s="116">
        <f t="shared" si="14"/>
        <v>30651</v>
      </c>
      <c r="J198">
        <f t="shared" si="13"/>
        <v>3.7056909053333329</v>
      </c>
      <c r="L198" s="116"/>
      <c r="N198" s="96"/>
    </row>
    <row r="199" spans="4:14" x14ac:dyDescent="0.25">
      <c r="D199" s="115">
        <v>30348</v>
      </c>
      <c r="E199" s="53">
        <v>4.6278356699999996</v>
      </c>
      <c r="F199">
        <f t="shared" si="10"/>
        <v>30</v>
      </c>
      <c r="G199">
        <f t="shared" si="11"/>
        <v>30</v>
      </c>
      <c r="H199">
        <f t="shared" si="12"/>
        <v>17</v>
      </c>
      <c r="I199" s="116">
        <f t="shared" si="14"/>
        <v>30651</v>
      </c>
      <c r="J199">
        <f t="shared" si="13"/>
        <v>3.7056909053333329</v>
      </c>
      <c r="L199" s="116"/>
      <c r="N199" s="96"/>
    </row>
    <row r="200" spans="4:14" x14ac:dyDescent="0.25">
      <c r="D200" s="115">
        <v>30376</v>
      </c>
      <c r="E200" s="53">
        <v>4.8558131429999998</v>
      </c>
      <c r="F200">
        <f t="shared" si="10"/>
        <v>60</v>
      </c>
      <c r="G200">
        <f t="shared" si="11"/>
        <v>60</v>
      </c>
      <c r="H200">
        <f t="shared" si="12"/>
        <v>17</v>
      </c>
      <c r="I200" s="116">
        <f t="shared" si="14"/>
        <v>30651</v>
      </c>
      <c r="J200">
        <f t="shared" si="13"/>
        <v>3.7056909053333329</v>
      </c>
      <c r="L200" s="116"/>
      <c r="N200" s="96"/>
    </row>
    <row r="201" spans="4:14" x14ac:dyDescent="0.25">
      <c r="D201" s="115">
        <v>30407</v>
      </c>
      <c r="E201" s="53">
        <v>4.4569335309999998</v>
      </c>
      <c r="F201">
        <f t="shared" si="10"/>
        <v>90</v>
      </c>
      <c r="G201">
        <f t="shared" si="11"/>
        <v>90</v>
      </c>
      <c r="H201">
        <f t="shared" si="12"/>
        <v>17</v>
      </c>
      <c r="I201" s="116">
        <f t="shared" si="14"/>
        <v>30651</v>
      </c>
      <c r="J201">
        <f t="shared" si="13"/>
        <v>3.7056909053333329</v>
      </c>
      <c r="L201" s="116"/>
      <c r="N201" s="96"/>
    </row>
    <row r="202" spans="4:14" x14ac:dyDescent="0.25">
      <c r="D202" s="115">
        <v>30437</v>
      </c>
      <c r="E202" s="53">
        <v>3.5496237289999999</v>
      </c>
      <c r="F202">
        <f t="shared" si="10"/>
        <v>120</v>
      </c>
      <c r="G202">
        <f t="shared" si="11"/>
        <v>120</v>
      </c>
      <c r="H202">
        <f t="shared" si="12"/>
        <v>17</v>
      </c>
      <c r="I202" s="116">
        <f t="shared" si="14"/>
        <v>30651</v>
      </c>
      <c r="J202">
        <f t="shared" si="13"/>
        <v>3.7056909053333329</v>
      </c>
      <c r="L202" s="116"/>
      <c r="N202" s="96"/>
    </row>
    <row r="203" spans="4:14" x14ac:dyDescent="0.25">
      <c r="D203" s="115">
        <v>30468</v>
      </c>
      <c r="E203" s="53">
        <v>2.8437396810000002</v>
      </c>
      <c r="F203">
        <f t="shared" si="10"/>
        <v>150</v>
      </c>
      <c r="G203">
        <f t="shared" si="11"/>
        <v>150</v>
      </c>
      <c r="H203">
        <f t="shared" si="12"/>
        <v>17</v>
      </c>
      <c r="I203" s="116">
        <f t="shared" si="14"/>
        <v>30651</v>
      </c>
      <c r="J203">
        <f t="shared" si="13"/>
        <v>3.7056909053333329</v>
      </c>
      <c r="L203" s="116"/>
      <c r="N203" s="96"/>
    </row>
    <row r="204" spans="4:14" x14ac:dyDescent="0.25">
      <c r="D204" s="115">
        <v>30498</v>
      </c>
      <c r="E204" s="53">
        <v>2.6307551980000001</v>
      </c>
      <c r="F204">
        <f t="shared" si="10"/>
        <v>180</v>
      </c>
      <c r="G204">
        <f t="shared" si="11"/>
        <v>180</v>
      </c>
      <c r="H204">
        <f t="shared" si="12"/>
        <v>17</v>
      </c>
      <c r="I204" s="116">
        <f t="shared" si="14"/>
        <v>30651</v>
      </c>
      <c r="J204">
        <f t="shared" si="13"/>
        <v>3.7056909053333329</v>
      </c>
      <c r="L204" s="116"/>
      <c r="N204" s="96"/>
    </row>
    <row r="205" spans="4:14" x14ac:dyDescent="0.25">
      <c r="D205" s="115">
        <v>30529</v>
      </c>
      <c r="E205" s="53">
        <v>2.5534009750000002</v>
      </c>
      <c r="F205">
        <f t="shared" si="10"/>
        <v>210</v>
      </c>
      <c r="G205">
        <f t="shared" si="11"/>
        <v>210</v>
      </c>
      <c r="H205">
        <f t="shared" si="12"/>
        <v>17</v>
      </c>
      <c r="I205" s="116">
        <f t="shared" si="14"/>
        <v>30651</v>
      </c>
      <c r="J205">
        <f t="shared" si="13"/>
        <v>3.7056909053333329</v>
      </c>
      <c r="L205" s="116"/>
      <c r="N205" s="96"/>
    </row>
    <row r="206" spans="4:14" x14ac:dyDescent="0.25">
      <c r="D206" s="115">
        <v>30560</v>
      </c>
      <c r="E206" s="53">
        <v>2.9440045709999998</v>
      </c>
      <c r="F206">
        <f t="shared" si="10"/>
        <v>240</v>
      </c>
      <c r="G206">
        <f t="shared" si="11"/>
        <v>240</v>
      </c>
      <c r="H206">
        <f t="shared" si="12"/>
        <v>17</v>
      </c>
      <c r="I206" s="116">
        <f t="shared" si="14"/>
        <v>30651</v>
      </c>
      <c r="J206">
        <f t="shared" si="13"/>
        <v>3.7056909053333329</v>
      </c>
      <c r="L206" s="116"/>
      <c r="N206" s="96"/>
    </row>
    <row r="207" spans="4:14" x14ac:dyDescent="0.25">
      <c r="D207" s="115">
        <v>30590</v>
      </c>
      <c r="E207" s="53">
        <v>3.0933123600000001</v>
      </c>
      <c r="F207">
        <f t="shared" si="10"/>
        <v>270</v>
      </c>
      <c r="G207">
        <f t="shared" si="11"/>
        <v>270</v>
      </c>
      <c r="H207">
        <f t="shared" si="12"/>
        <v>17</v>
      </c>
      <c r="I207" s="116">
        <f t="shared" si="14"/>
        <v>30651</v>
      </c>
      <c r="J207">
        <f t="shared" si="13"/>
        <v>3.7056909053333329</v>
      </c>
      <c r="L207" s="116"/>
      <c r="N207" s="96"/>
    </row>
    <row r="208" spans="4:14" x14ac:dyDescent="0.25">
      <c r="D208" s="115">
        <v>30621</v>
      </c>
      <c r="E208" s="53">
        <v>3.751793567</v>
      </c>
      <c r="F208">
        <f t="shared" si="10"/>
        <v>300</v>
      </c>
      <c r="G208">
        <f t="shared" si="11"/>
        <v>300</v>
      </c>
      <c r="H208">
        <f t="shared" si="12"/>
        <v>17</v>
      </c>
      <c r="I208" s="116">
        <f t="shared" si="14"/>
        <v>30651</v>
      </c>
      <c r="J208">
        <f t="shared" si="13"/>
        <v>3.7056909053333329</v>
      </c>
      <c r="L208" s="116"/>
      <c r="N208" s="96"/>
    </row>
    <row r="209" spans="4:14" x14ac:dyDescent="0.25">
      <c r="D209" s="115">
        <v>30651</v>
      </c>
      <c r="E209" s="53">
        <v>4.4654800850000003</v>
      </c>
      <c r="F209">
        <f t="shared" ref="F209:F272" si="15">FLOOR(DAYS360(DATE(YEAR(D209),1,1),D209),30)</f>
        <v>330</v>
      </c>
      <c r="G209">
        <f t="shared" si="11"/>
        <v>330</v>
      </c>
      <c r="H209">
        <f t="shared" si="12"/>
        <v>17</v>
      </c>
      <c r="I209" s="116">
        <f t="shared" si="14"/>
        <v>30651</v>
      </c>
      <c r="J209">
        <f t="shared" si="13"/>
        <v>3.7056909053333329</v>
      </c>
      <c r="L209" s="116"/>
      <c r="N209" s="96"/>
    </row>
    <row r="210" spans="4:14" x14ac:dyDescent="0.25">
      <c r="D210" s="115">
        <v>30682</v>
      </c>
      <c r="E210" s="53">
        <v>4.4857625480000003</v>
      </c>
      <c r="F210">
        <f t="shared" si="15"/>
        <v>0</v>
      </c>
      <c r="G210">
        <f t="shared" ref="G210:G273" si="16">MOD(F210, 360/$G$12)</f>
        <v>0</v>
      </c>
      <c r="H210">
        <f t="shared" ref="H210:H273" si="17">IF(G210&gt;G209,H209,H209+1)</f>
        <v>18</v>
      </c>
      <c r="I210" s="116">
        <f t="shared" si="14"/>
        <v>31017</v>
      </c>
      <c r="J210">
        <f t="shared" ref="J210:J273" si="18">AVERAGEIF($H$17:$H$675,H210,$E$17:$E$675)</f>
        <v>4.8335659735833323</v>
      </c>
      <c r="L210" s="116"/>
      <c r="N210" s="96"/>
    </row>
    <row r="211" spans="4:14" x14ac:dyDescent="0.25">
      <c r="D211" s="115">
        <v>30713</v>
      </c>
      <c r="E211" s="53">
        <v>4.5245638689999996</v>
      </c>
      <c r="F211">
        <f t="shared" si="15"/>
        <v>30</v>
      </c>
      <c r="G211">
        <f t="shared" si="16"/>
        <v>30</v>
      </c>
      <c r="H211">
        <f t="shared" si="17"/>
        <v>18</v>
      </c>
      <c r="I211" s="116">
        <f t="shared" ref="I211:I274" si="19">EDATE(I210,(H211-H210)*(12/$G$12))</f>
        <v>31017</v>
      </c>
      <c r="J211">
        <f t="shared" si="18"/>
        <v>4.8335659735833323</v>
      </c>
      <c r="L211" s="116"/>
      <c r="N211" s="96"/>
    </row>
    <row r="212" spans="4:14" x14ac:dyDescent="0.25">
      <c r="D212" s="115">
        <v>30742</v>
      </c>
      <c r="E212" s="53">
        <v>4.65415841</v>
      </c>
      <c r="F212">
        <f t="shared" si="15"/>
        <v>60</v>
      </c>
      <c r="G212">
        <f t="shared" si="16"/>
        <v>60</v>
      </c>
      <c r="H212">
        <f t="shared" si="17"/>
        <v>18</v>
      </c>
      <c r="I212" s="116">
        <f t="shared" si="19"/>
        <v>31017</v>
      </c>
      <c r="J212">
        <f t="shared" si="18"/>
        <v>4.8335659735833323</v>
      </c>
      <c r="L212" s="116"/>
      <c r="N212" s="96"/>
    </row>
    <row r="213" spans="4:14" x14ac:dyDescent="0.25">
      <c r="D213" s="115">
        <v>30773</v>
      </c>
      <c r="E213" s="53">
        <v>4.6463190030000003</v>
      </c>
      <c r="F213">
        <f t="shared" si="15"/>
        <v>90</v>
      </c>
      <c r="G213">
        <f t="shared" si="16"/>
        <v>90</v>
      </c>
      <c r="H213">
        <f t="shared" si="17"/>
        <v>18</v>
      </c>
      <c r="I213" s="116">
        <f t="shared" si="19"/>
        <v>31017</v>
      </c>
      <c r="J213">
        <f t="shared" si="18"/>
        <v>4.8335659735833323</v>
      </c>
      <c r="L213" s="116"/>
      <c r="N213" s="96"/>
    </row>
    <row r="214" spans="4:14" x14ac:dyDescent="0.25">
      <c r="D214" s="115">
        <v>30803</v>
      </c>
      <c r="E214" s="53">
        <v>4.708074066</v>
      </c>
      <c r="F214">
        <f t="shared" si="15"/>
        <v>120</v>
      </c>
      <c r="G214">
        <f t="shared" si="16"/>
        <v>120</v>
      </c>
      <c r="H214">
        <f t="shared" si="17"/>
        <v>18</v>
      </c>
      <c r="I214" s="116">
        <f t="shared" si="19"/>
        <v>31017</v>
      </c>
      <c r="J214">
        <f t="shared" si="18"/>
        <v>4.8335659735833323</v>
      </c>
      <c r="L214" s="116"/>
      <c r="N214" s="96"/>
    </row>
    <row r="215" spans="4:14" x14ac:dyDescent="0.25">
      <c r="D215" s="115">
        <v>30834</v>
      </c>
      <c r="E215" s="53">
        <v>4.7874854930000001</v>
      </c>
      <c r="F215">
        <f t="shared" si="15"/>
        <v>150</v>
      </c>
      <c r="G215">
        <f t="shared" si="16"/>
        <v>150</v>
      </c>
      <c r="H215">
        <f t="shared" si="17"/>
        <v>18</v>
      </c>
      <c r="I215" s="116">
        <f t="shared" si="19"/>
        <v>31017</v>
      </c>
      <c r="J215">
        <f t="shared" si="18"/>
        <v>4.8335659735833323</v>
      </c>
      <c r="L215" s="116"/>
      <c r="N215" s="96"/>
    </row>
    <row r="216" spans="4:14" x14ac:dyDescent="0.25">
      <c r="D216" s="115">
        <v>30864</v>
      </c>
      <c r="E216" s="53">
        <v>4.8970927209999999</v>
      </c>
      <c r="F216">
        <f t="shared" si="15"/>
        <v>180</v>
      </c>
      <c r="G216">
        <f t="shared" si="16"/>
        <v>180</v>
      </c>
      <c r="H216">
        <f t="shared" si="17"/>
        <v>18</v>
      </c>
      <c r="I216" s="116">
        <f t="shared" si="19"/>
        <v>31017</v>
      </c>
      <c r="J216">
        <f t="shared" si="18"/>
        <v>4.8335659735833323</v>
      </c>
      <c r="L216" s="116"/>
      <c r="N216" s="96"/>
    </row>
    <row r="217" spans="4:14" x14ac:dyDescent="0.25">
      <c r="D217" s="115">
        <v>30895</v>
      </c>
      <c r="E217" s="53">
        <v>5.0329396070000003</v>
      </c>
      <c r="F217">
        <f t="shared" si="15"/>
        <v>210</v>
      </c>
      <c r="G217">
        <f t="shared" si="16"/>
        <v>210</v>
      </c>
      <c r="H217">
        <f t="shared" si="17"/>
        <v>18</v>
      </c>
      <c r="I217" s="116">
        <f t="shared" si="19"/>
        <v>31017</v>
      </c>
      <c r="J217">
        <f t="shared" si="18"/>
        <v>4.8335659735833323</v>
      </c>
      <c r="L217" s="116"/>
      <c r="N217" s="96"/>
    </row>
    <row r="218" spans="4:14" x14ac:dyDescent="0.25">
      <c r="D218" s="115">
        <v>30926</v>
      </c>
      <c r="E218" s="53">
        <v>5.1406121410000001</v>
      </c>
      <c r="F218">
        <f t="shared" si="15"/>
        <v>240</v>
      </c>
      <c r="G218">
        <f t="shared" si="16"/>
        <v>240</v>
      </c>
      <c r="H218">
        <f t="shared" si="17"/>
        <v>18</v>
      </c>
      <c r="I218" s="116">
        <f t="shared" si="19"/>
        <v>31017</v>
      </c>
      <c r="J218">
        <f t="shared" si="18"/>
        <v>4.8335659735833323</v>
      </c>
      <c r="L218" s="116"/>
      <c r="N218" s="96"/>
    </row>
    <row r="219" spans="4:14" x14ac:dyDescent="0.25">
      <c r="D219" s="115">
        <v>30956</v>
      </c>
      <c r="E219" s="53">
        <v>5.1038577089999997</v>
      </c>
      <c r="F219">
        <f t="shared" si="15"/>
        <v>270</v>
      </c>
      <c r="G219">
        <f t="shared" si="16"/>
        <v>270</v>
      </c>
      <c r="H219">
        <f t="shared" si="17"/>
        <v>18</v>
      </c>
      <c r="I219" s="116">
        <f t="shared" si="19"/>
        <v>31017</v>
      </c>
      <c r="J219">
        <f t="shared" si="18"/>
        <v>4.8335659735833323</v>
      </c>
      <c r="L219" s="116"/>
      <c r="N219" s="96"/>
    </row>
    <row r="220" spans="4:14" x14ac:dyDescent="0.25">
      <c r="D220" s="115">
        <v>30987</v>
      </c>
      <c r="E220" s="53">
        <v>4.9689868940000004</v>
      </c>
      <c r="F220">
        <f t="shared" si="15"/>
        <v>300</v>
      </c>
      <c r="G220">
        <f t="shared" si="16"/>
        <v>300</v>
      </c>
      <c r="H220">
        <f t="shared" si="17"/>
        <v>18</v>
      </c>
      <c r="I220" s="116">
        <f t="shared" si="19"/>
        <v>31017</v>
      </c>
      <c r="J220">
        <f t="shared" si="18"/>
        <v>4.8335659735833323</v>
      </c>
      <c r="L220" s="116"/>
      <c r="N220" s="96"/>
    </row>
    <row r="221" spans="4:14" x14ac:dyDescent="0.25">
      <c r="D221" s="115">
        <v>31017</v>
      </c>
      <c r="E221" s="53">
        <v>5.052939222</v>
      </c>
      <c r="F221">
        <f t="shared" si="15"/>
        <v>330</v>
      </c>
      <c r="G221">
        <f t="shared" si="16"/>
        <v>330</v>
      </c>
      <c r="H221">
        <f t="shared" si="17"/>
        <v>18</v>
      </c>
      <c r="I221" s="116">
        <f t="shared" si="19"/>
        <v>31017</v>
      </c>
      <c r="J221">
        <f t="shared" si="18"/>
        <v>4.8335659735833323</v>
      </c>
      <c r="L221" s="116"/>
      <c r="N221" s="96"/>
    </row>
    <row r="222" spans="4:14" x14ac:dyDescent="0.25">
      <c r="D222" s="115">
        <v>31048</v>
      </c>
      <c r="E222" s="53">
        <v>4.7267104709999996</v>
      </c>
      <c r="F222">
        <f t="shared" si="15"/>
        <v>0</v>
      </c>
      <c r="G222">
        <f t="shared" si="16"/>
        <v>0</v>
      </c>
      <c r="H222">
        <f t="shared" si="17"/>
        <v>19</v>
      </c>
      <c r="I222" s="116">
        <f t="shared" si="19"/>
        <v>31382</v>
      </c>
      <c r="J222">
        <f t="shared" si="18"/>
        <v>4.9301578615000006</v>
      </c>
      <c r="L222" s="116"/>
      <c r="N222" s="96"/>
    </row>
    <row r="223" spans="4:14" x14ac:dyDescent="0.25">
      <c r="D223" s="115">
        <v>31079</v>
      </c>
      <c r="E223" s="53">
        <v>4.8717014609999998</v>
      </c>
      <c r="F223">
        <f t="shared" si="15"/>
        <v>30</v>
      </c>
      <c r="G223">
        <f t="shared" si="16"/>
        <v>30</v>
      </c>
      <c r="H223">
        <f t="shared" si="17"/>
        <v>19</v>
      </c>
      <c r="I223" s="116">
        <f t="shared" si="19"/>
        <v>31382</v>
      </c>
      <c r="J223">
        <f t="shared" si="18"/>
        <v>4.9301578615000006</v>
      </c>
      <c r="L223" s="116"/>
      <c r="N223" s="96"/>
    </row>
    <row r="224" spans="4:14" x14ac:dyDescent="0.25">
      <c r="D224" s="115">
        <v>31107</v>
      </c>
      <c r="E224" s="53">
        <v>4.9620720360000004</v>
      </c>
      <c r="F224">
        <f t="shared" si="15"/>
        <v>60</v>
      </c>
      <c r="G224">
        <f t="shared" si="16"/>
        <v>60</v>
      </c>
      <c r="H224">
        <f t="shared" si="17"/>
        <v>19</v>
      </c>
      <c r="I224" s="116">
        <f t="shared" si="19"/>
        <v>31382</v>
      </c>
      <c r="J224">
        <f t="shared" si="18"/>
        <v>4.9301578615000006</v>
      </c>
      <c r="L224" s="116"/>
      <c r="N224" s="96"/>
    </row>
    <row r="225" spans="4:14" x14ac:dyDescent="0.25">
      <c r="D225" s="115">
        <v>31138</v>
      </c>
      <c r="E225" s="53">
        <v>4.7541342909999997</v>
      </c>
      <c r="F225">
        <f t="shared" si="15"/>
        <v>90</v>
      </c>
      <c r="G225">
        <f t="shared" si="16"/>
        <v>90</v>
      </c>
      <c r="H225">
        <f t="shared" si="17"/>
        <v>19</v>
      </c>
      <c r="I225" s="116">
        <f t="shared" si="19"/>
        <v>31382</v>
      </c>
      <c r="J225">
        <f t="shared" si="18"/>
        <v>4.9301578615000006</v>
      </c>
      <c r="L225" s="116"/>
      <c r="N225" s="96"/>
    </row>
    <row r="226" spans="4:14" x14ac:dyDescent="0.25">
      <c r="D226" s="115">
        <v>31168</v>
      </c>
      <c r="E226" s="53">
        <v>5.0371209209999996</v>
      </c>
      <c r="F226">
        <f t="shared" si="15"/>
        <v>120</v>
      </c>
      <c r="G226">
        <f t="shared" si="16"/>
        <v>120</v>
      </c>
      <c r="H226">
        <f t="shared" si="17"/>
        <v>19</v>
      </c>
      <c r="I226" s="116">
        <f t="shared" si="19"/>
        <v>31382</v>
      </c>
      <c r="J226">
        <f t="shared" si="18"/>
        <v>4.9301578615000006</v>
      </c>
      <c r="L226" s="116"/>
      <c r="N226" s="96"/>
    </row>
    <row r="227" spans="4:14" x14ac:dyDescent="0.25">
      <c r="D227" s="115">
        <v>31199</v>
      </c>
      <c r="E227" s="53">
        <v>5.05654234</v>
      </c>
      <c r="F227">
        <f t="shared" si="15"/>
        <v>150</v>
      </c>
      <c r="G227">
        <f t="shared" si="16"/>
        <v>150</v>
      </c>
      <c r="H227">
        <f t="shared" si="17"/>
        <v>19</v>
      </c>
      <c r="I227" s="116">
        <f t="shared" si="19"/>
        <v>31382</v>
      </c>
      <c r="J227">
        <f t="shared" si="18"/>
        <v>4.9301578615000006</v>
      </c>
      <c r="L227" s="116"/>
      <c r="N227" s="96"/>
    </row>
    <row r="228" spans="4:14" x14ac:dyDescent="0.25">
      <c r="D228" s="115">
        <v>31229</v>
      </c>
      <c r="E228" s="53">
        <v>4.9482953180000004</v>
      </c>
      <c r="F228">
        <f t="shared" si="15"/>
        <v>180</v>
      </c>
      <c r="G228">
        <f t="shared" si="16"/>
        <v>180</v>
      </c>
      <c r="H228">
        <f t="shared" si="17"/>
        <v>19</v>
      </c>
      <c r="I228" s="116">
        <f t="shared" si="19"/>
        <v>31382</v>
      </c>
      <c r="J228">
        <f t="shared" si="18"/>
        <v>4.9301578615000006</v>
      </c>
      <c r="L228" s="116"/>
      <c r="N228" s="96"/>
    </row>
    <row r="229" spans="4:14" x14ac:dyDescent="0.25">
      <c r="D229" s="115">
        <v>31260</v>
      </c>
      <c r="E229" s="53">
        <v>4.94547442</v>
      </c>
      <c r="F229">
        <f t="shared" si="15"/>
        <v>210</v>
      </c>
      <c r="G229">
        <f t="shared" si="16"/>
        <v>210</v>
      </c>
      <c r="H229">
        <f t="shared" si="17"/>
        <v>19</v>
      </c>
      <c r="I229" s="116">
        <f t="shared" si="19"/>
        <v>31382</v>
      </c>
      <c r="J229">
        <f t="shared" si="18"/>
        <v>4.9301578615000006</v>
      </c>
      <c r="L229" s="116"/>
      <c r="N229" s="96"/>
    </row>
    <row r="230" spans="4:14" x14ac:dyDescent="0.25">
      <c r="D230" s="115">
        <v>31291</v>
      </c>
      <c r="E230" s="53">
        <v>4.7871651000000002</v>
      </c>
      <c r="F230">
        <f t="shared" si="15"/>
        <v>240</v>
      </c>
      <c r="G230">
        <f t="shared" si="16"/>
        <v>240</v>
      </c>
      <c r="H230">
        <f t="shared" si="17"/>
        <v>19</v>
      </c>
      <c r="I230" s="116">
        <f t="shared" si="19"/>
        <v>31382</v>
      </c>
      <c r="J230">
        <f t="shared" si="18"/>
        <v>4.9301578615000006</v>
      </c>
      <c r="L230" s="116"/>
      <c r="N230" s="96"/>
    </row>
    <row r="231" spans="4:14" x14ac:dyDescent="0.25">
      <c r="D231" s="115">
        <v>31321</v>
      </c>
      <c r="E231" s="53">
        <v>4.8919508040000004</v>
      </c>
      <c r="F231">
        <f t="shared" si="15"/>
        <v>270</v>
      </c>
      <c r="G231">
        <f t="shared" si="16"/>
        <v>270</v>
      </c>
      <c r="H231">
        <f t="shared" si="17"/>
        <v>19</v>
      </c>
      <c r="I231" s="116">
        <f t="shared" si="19"/>
        <v>31382</v>
      </c>
      <c r="J231">
        <f t="shared" si="18"/>
        <v>4.9301578615000006</v>
      </c>
      <c r="L231" s="116"/>
      <c r="N231" s="96"/>
    </row>
    <row r="232" spans="4:14" x14ac:dyDescent="0.25">
      <c r="D232" s="115">
        <v>31352</v>
      </c>
      <c r="E232" s="53">
        <v>5.1499951690000003</v>
      </c>
      <c r="F232">
        <f t="shared" si="15"/>
        <v>300</v>
      </c>
      <c r="G232">
        <f t="shared" si="16"/>
        <v>300</v>
      </c>
      <c r="H232">
        <f t="shared" si="17"/>
        <v>19</v>
      </c>
      <c r="I232" s="116">
        <f t="shared" si="19"/>
        <v>31382</v>
      </c>
      <c r="J232">
        <f t="shared" si="18"/>
        <v>4.9301578615000006</v>
      </c>
      <c r="L232" s="116"/>
      <c r="N232" s="96"/>
    </row>
    <row r="233" spans="4:14" x14ac:dyDescent="0.25">
      <c r="D233" s="115">
        <v>31382</v>
      </c>
      <c r="E233" s="53">
        <v>5.0307320070000001</v>
      </c>
      <c r="F233">
        <f t="shared" si="15"/>
        <v>330</v>
      </c>
      <c r="G233">
        <f t="shared" si="16"/>
        <v>330</v>
      </c>
      <c r="H233">
        <f t="shared" si="17"/>
        <v>19</v>
      </c>
      <c r="I233" s="116">
        <f t="shared" si="19"/>
        <v>31382</v>
      </c>
      <c r="J233">
        <f t="shared" si="18"/>
        <v>4.9301578615000006</v>
      </c>
      <c r="L233" s="116"/>
      <c r="N233" s="96"/>
    </row>
    <row r="234" spans="4:14" x14ac:dyDescent="0.25">
      <c r="D234" s="115">
        <v>31413</v>
      </c>
      <c r="E234" s="53">
        <v>5.2969611319999998</v>
      </c>
      <c r="F234">
        <f t="shared" si="15"/>
        <v>0</v>
      </c>
      <c r="G234">
        <f t="shared" si="16"/>
        <v>0</v>
      </c>
      <c r="H234">
        <f t="shared" si="17"/>
        <v>20</v>
      </c>
      <c r="I234" s="116">
        <f t="shared" si="19"/>
        <v>31747</v>
      </c>
      <c r="J234">
        <f t="shared" si="18"/>
        <v>5.001338704666666</v>
      </c>
      <c r="L234" s="116"/>
      <c r="N234" s="96"/>
    </row>
    <row r="235" spans="4:14" x14ac:dyDescent="0.25">
      <c r="D235" s="115">
        <v>31444</v>
      </c>
      <c r="E235" s="53">
        <v>5.1249475760000003</v>
      </c>
      <c r="F235">
        <f t="shared" si="15"/>
        <v>30</v>
      </c>
      <c r="G235">
        <f t="shared" si="16"/>
        <v>30</v>
      </c>
      <c r="H235">
        <f t="shared" si="17"/>
        <v>20</v>
      </c>
      <c r="I235" s="116">
        <f t="shared" si="19"/>
        <v>31747</v>
      </c>
      <c r="J235">
        <f t="shared" si="18"/>
        <v>5.001338704666666</v>
      </c>
      <c r="L235" s="116"/>
      <c r="N235" s="96"/>
    </row>
    <row r="236" spans="4:14" x14ac:dyDescent="0.25">
      <c r="D236" s="115">
        <v>31472</v>
      </c>
      <c r="E236" s="53">
        <v>5.2298542609999998</v>
      </c>
      <c r="F236">
        <f t="shared" si="15"/>
        <v>60</v>
      </c>
      <c r="G236">
        <f t="shared" si="16"/>
        <v>60</v>
      </c>
      <c r="H236">
        <f t="shared" si="17"/>
        <v>20</v>
      </c>
      <c r="I236" s="116">
        <f t="shared" si="19"/>
        <v>31747</v>
      </c>
      <c r="J236">
        <f t="shared" si="18"/>
        <v>5.001338704666666</v>
      </c>
      <c r="L236" s="116"/>
      <c r="N236" s="96"/>
    </row>
    <row r="237" spans="4:14" x14ac:dyDescent="0.25">
      <c r="D237" s="115">
        <v>31503</v>
      </c>
      <c r="E237" s="53">
        <v>5.3708572510000003</v>
      </c>
      <c r="F237">
        <f t="shared" si="15"/>
        <v>90</v>
      </c>
      <c r="G237">
        <f t="shared" si="16"/>
        <v>90</v>
      </c>
      <c r="H237">
        <f t="shared" si="17"/>
        <v>20</v>
      </c>
      <c r="I237" s="116">
        <f t="shared" si="19"/>
        <v>31747</v>
      </c>
      <c r="J237">
        <f t="shared" si="18"/>
        <v>5.001338704666666</v>
      </c>
      <c r="L237" s="116"/>
      <c r="N237" s="96"/>
    </row>
    <row r="238" spans="4:14" x14ac:dyDescent="0.25">
      <c r="D238" s="115">
        <v>31533</v>
      </c>
      <c r="E238" s="53">
        <v>5.0407416810000001</v>
      </c>
      <c r="F238">
        <f t="shared" si="15"/>
        <v>120</v>
      </c>
      <c r="G238">
        <f t="shared" si="16"/>
        <v>120</v>
      </c>
      <c r="H238">
        <f t="shared" si="17"/>
        <v>20</v>
      </c>
      <c r="I238" s="116">
        <f t="shared" si="19"/>
        <v>31747</v>
      </c>
      <c r="J238">
        <f t="shared" si="18"/>
        <v>5.001338704666666</v>
      </c>
      <c r="L238" s="116"/>
      <c r="N238" s="96"/>
    </row>
    <row r="239" spans="4:14" x14ac:dyDescent="0.25">
      <c r="D239" s="115">
        <v>31564</v>
      </c>
      <c r="E239" s="53">
        <v>5.0420808880000001</v>
      </c>
      <c r="F239">
        <f t="shared" si="15"/>
        <v>150</v>
      </c>
      <c r="G239">
        <f t="shared" si="16"/>
        <v>150</v>
      </c>
      <c r="H239">
        <f t="shared" si="17"/>
        <v>20</v>
      </c>
      <c r="I239" s="116">
        <f t="shared" si="19"/>
        <v>31747</v>
      </c>
      <c r="J239">
        <f t="shared" si="18"/>
        <v>5.001338704666666</v>
      </c>
      <c r="L239" s="116"/>
      <c r="N239" s="96"/>
    </row>
    <row r="240" spans="4:14" x14ac:dyDescent="0.25">
      <c r="D240" s="115">
        <v>31594</v>
      </c>
      <c r="E240" s="53">
        <v>4.9752910610000001</v>
      </c>
      <c r="F240">
        <f t="shared" si="15"/>
        <v>180</v>
      </c>
      <c r="G240">
        <f t="shared" si="16"/>
        <v>180</v>
      </c>
      <c r="H240">
        <f t="shared" si="17"/>
        <v>20</v>
      </c>
      <c r="I240" s="116">
        <f t="shared" si="19"/>
        <v>31747</v>
      </c>
      <c r="J240">
        <f t="shared" si="18"/>
        <v>5.001338704666666</v>
      </c>
      <c r="L240" s="116"/>
      <c r="N240" s="96"/>
    </row>
    <row r="241" spans="4:14" x14ac:dyDescent="0.25">
      <c r="D241" s="115">
        <v>31625</v>
      </c>
      <c r="E241" s="53">
        <v>4.8382609969999999</v>
      </c>
      <c r="F241">
        <f t="shared" si="15"/>
        <v>210</v>
      </c>
      <c r="G241">
        <f t="shared" si="16"/>
        <v>210</v>
      </c>
      <c r="H241">
        <f t="shared" si="17"/>
        <v>20</v>
      </c>
      <c r="I241" s="116">
        <f t="shared" si="19"/>
        <v>31747</v>
      </c>
      <c r="J241">
        <f t="shared" si="18"/>
        <v>5.001338704666666</v>
      </c>
      <c r="L241" s="116"/>
      <c r="N241" s="96"/>
    </row>
    <row r="242" spans="4:14" x14ac:dyDescent="0.25">
      <c r="D242" s="115">
        <v>31656</v>
      </c>
      <c r="E242" s="53">
        <v>4.9629733890000001</v>
      </c>
      <c r="F242">
        <f t="shared" si="15"/>
        <v>240</v>
      </c>
      <c r="G242">
        <f t="shared" si="16"/>
        <v>240</v>
      </c>
      <c r="H242">
        <f t="shared" si="17"/>
        <v>20</v>
      </c>
      <c r="I242" s="116">
        <f t="shared" si="19"/>
        <v>31747</v>
      </c>
      <c r="J242">
        <f t="shared" si="18"/>
        <v>5.001338704666666</v>
      </c>
      <c r="L242" s="116"/>
      <c r="N242" s="96"/>
    </row>
    <row r="243" spans="4:14" x14ac:dyDescent="0.25">
      <c r="D243" s="115">
        <v>31686</v>
      </c>
      <c r="E243" s="53">
        <v>4.8976573019999998</v>
      </c>
      <c r="F243">
        <f t="shared" si="15"/>
        <v>270</v>
      </c>
      <c r="G243">
        <f t="shared" si="16"/>
        <v>270</v>
      </c>
      <c r="H243">
        <f t="shared" si="17"/>
        <v>20</v>
      </c>
      <c r="I243" s="116">
        <f t="shared" si="19"/>
        <v>31747</v>
      </c>
      <c r="J243">
        <f t="shared" si="18"/>
        <v>5.001338704666666</v>
      </c>
      <c r="L243" s="116"/>
      <c r="N243" s="96"/>
    </row>
    <row r="244" spans="4:14" x14ac:dyDescent="0.25">
      <c r="D244" s="115">
        <v>31717</v>
      </c>
      <c r="E244" s="53">
        <v>4.5912479980000001</v>
      </c>
      <c r="F244">
        <f t="shared" si="15"/>
        <v>300</v>
      </c>
      <c r="G244">
        <f t="shared" si="16"/>
        <v>300</v>
      </c>
      <c r="H244">
        <f t="shared" si="17"/>
        <v>20</v>
      </c>
      <c r="I244" s="116">
        <f t="shared" si="19"/>
        <v>31747</v>
      </c>
      <c r="J244">
        <f t="shared" si="18"/>
        <v>5.001338704666666</v>
      </c>
      <c r="L244" s="116"/>
      <c r="N244" s="96"/>
    </row>
    <row r="245" spans="4:14" x14ac:dyDescent="0.25">
      <c r="D245" s="115">
        <v>31747</v>
      </c>
      <c r="E245" s="53">
        <v>4.6451909200000001</v>
      </c>
      <c r="F245">
        <f t="shared" si="15"/>
        <v>330</v>
      </c>
      <c r="G245">
        <f t="shared" si="16"/>
        <v>330</v>
      </c>
      <c r="H245">
        <f t="shared" si="17"/>
        <v>20</v>
      </c>
      <c r="I245" s="116">
        <f t="shared" si="19"/>
        <v>31747</v>
      </c>
      <c r="J245">
        <f t="shared" si="18"/>
        <v>5.001338704666666</v>
      </c>
      <c r="L245" s="116"/>
      <c r="N245" s="96"/>
    </row>
    <row r="246" spans="4:14" x14ac:dyDescent="0.25">
      <c r="D246" s="115">
        <v>31778</v>
      </c>
      <c r="E246" s="53">
        <v>4.4817982250000004</v>
      </c>
      <c r="F246">
        <f t="shared" si="15"/>
        <v>0</v>
      </c>
      <c r="G246">
        <f t="shared" si="16"/>
        <v>0</v>
      </c>
      <c r="H246">
        <f t="shared" si="17"/>
        <v>21</v>
      </c>
      <c r="I246" s="116">
        <f t="shared" si="19"/>
        <v>32112</v>
      </c>
      <c r="J246">
        <f t="shared" si="18"/>
        <v>4.3196375290000004</v>
      </c>
      <c r="L246" s="116"/>
      <c r="N246" s="96"/>
    </row>
    <row r="247" spans="4:14" x14ac:dyDescent="0.25">
      <c r="D247" s="115">
        <v>31809</v>
      </c>
      <c r="E247" s="53">
        <v>4.4409315899999999</v>
      </c>
      <c r="F247">
        <f t="shared" si="15"/>
        <v>30</v>
      </c>
      <c r="G247">
        <f t="shared" si="16"/>
        <v>30</v>
      </c>
      <c r="H247">
        <f t="shared" si="17"/>
        <v>21</v>
      </c>
      <c r="I247" s="116">
        <f t="shared" si="19"/>
        <v>32112</v>
      </c>
      <c r="J247">
        <f t="shared" si="18"/>
        <v>4.3196375290000004</v>
      </c>
      <c r="L247" s="116"/>
      <c r="N247" s="96"/>
    </row>
    <row r="248" spans="4:14" x14ac:dyDescent="0.25">
      <c r="D248" s="115">
        <v>31837</v>
      </c>
      <c r="E248" s="53">
        <v>4.2637921890000001</v>
      </c>
      <c r="F248">
        <f t="shared" si="15"/>
        <v>60</v>
      </c>
      <c r="G248">
        <f t="shared" si="16"/>
        <v>60</v>
      </c>
      <c r="H248">
        <f t="shared" si="17"/>
        <v>21</v>
      </c>
      <c r="I248" s="116">
        <f t="shared" si="19"/>
        <v>32112</v>
      </c>
      <c r="J248">
        <f t="shared" si="18"/>
        <v>4.3196375290000004</v>
      </c>
      <c r="L248" s="116"/>
      <c r="N248" s="96"/>
    </row>
    <row r="249" spans="4:14" x14ac:dyDescent="0.25">
      <c r="D249" s="115">
        <v>31868</v>
      </c>
      <c r="E249" s="53">
        <v>4.3580797840000001</v>
      </c>
      <c r="F249">
        <f t="shared" si="15"/>
        <v>90</v>
      </c>
      <c r="G249">
        <f t="shared" si="16"/>
        <v>90</v>
      </c>
      <c r="H249">
        <f t="shared" si="17"/>
        <v>21</v>
      </c>
      <c r="I249" s="116">
        <f t="shared" si="19"/>
        <v>32112</v>
      </c>
      <c r="J249">
        <f t="shared" si="18"/>
        <v>4.3196375290000004</v>
      </c>
      <c r="L249" s="116"/>
      <c r="N249" s="96"/>
    </row>
    <row r="250" spans="4:14" x14ac:dyDescent="0.25">
      <c r="D250" s="115">
        <v>31898</v>
      </c>
      <c r="E250" s="53">
        <v>4.4169176590000001</v>
      </c>
      <c r="F250">
        <f t="shared" si="15"/>
        <v>120</v>
      </c>
      <c r="G250">
        <f t="shared" si="16"/>
        <v>120</v>
      </c>
      <c r="H250">
        <f t="shared" si="17"/>
        <v>21</v>
      </c>
      <c r="I250" s="116">
        <f t="shared" si="19"/>
        <v>32112</v>
      </c>
      <c r="J250">
        <f t="shared" si="18"/>
        <v>4.3196375290000004</v>
      </c>
      <c r="L250" s="116"/>
      <c r="N250" s="96"/>
    </row>
    <row r="251" spans="4:14" x14ac:dyDescent="0.25">
      <c r="D251" s="115">
        <v>31929</v>
      </c>
      <c r="E251" s="53">
        <v>4.1753918619999997</v>
      </c>
      <c r="F251">
        <f t="shared" si="15"/>
        <v>150</v>
      </c>
      <c r="G251">
        <f t="shared" si="16"/>
        <v>150</v>
      </c>
      <c r="H251">
        <f t="shared" si="17"/>
        <v>21</v>
      </c>
      <c r="I251" s="116">
        <f t="shared" si="19"/>
        <v>32112</v>
      </c>
      <c r="J251">
        <f t="shared" si="18"/>
        <v>4.3196375290000004</v>
      </c>
      <c r="L251" s="116"/>
      <c r="N251" s="96"/>
    </row>
    <row r="252" spans="4:14" x14ac:dyDescent="0.25">
      <c r="D252" s="115">
        <v>31959</v>
      </c>
      <c r="E252" s="53">
        <v>4.1664900080000002</v>
      </c>
      <c r="F252">
        <f t="shared" si="15"/>
        <v>180</v>
      </c>
      <c r="G252">
        <f t="shared" si="16"/>
        <v>180</v>
      </c>
      <c r="H252">
        <f t="shared" si="17"/>
        <v>21</v>
      </c>
      <c r="I252" s="116">
        <f t="shared" si="19"/>
        <v>32112</v>
      </c>
      <c r="J252">
        <f t="shared" si="18"/>
        <v>4.3196375290000004</v>
      </c>
      <c r="L252" s="116"/>
      <c r="N252" s="96"/>
    </row>
    <row r="253" spans="4:14" x14ac:dyDescent="0.25">
      <c r="D253" s="115">
        <v>31990</v>
      </c>
      <c r="E253" s="53">
        <v>4.2808984069999996</v>
      </c>
      <c r="F253">
        <f t="shared" si="15"/>
        <v>210</v>
      </c>
      <c r="G253">
        <f t="shared" si="16"/>
        <v>210</v>
      </c>
      <c r="H253">
        <f t="shared" si="17"/>
        <v>21</v>
      </c>
      <c r="I253" s="116">
        <f t="shared" si="19"/>
        <v>32112</v>
      </c>
      <c r="J253">
        <f t="shared" si="18"/>
        <v>4.3196375290000004</v>
      </c>
      <c r="L253" s="116"/>
      <c r="N253" s="96"/>
    </row>
    <row r="254" spans="4:14" x14ac:dyDescent="0.25">
      <c r="D254" s="115">
        <v>32021</v>
      </c>
      <c r="E254" s="53">
        <v>4.2910357479999996</v>
      </c>
      <c r="F254">
        <f t="shared" si="15"/>
        <v>240</v>
      </c>
      <c r="G254">
        <f t="shared" si="16"/>
        <v>240</v>
      </c>
      <c r="H254">
        <f t="shared" si="17"/>
        <v>21</v>
      </c>
      <c r="I254" s="116">
        <f t="shared" si="19"/>
        <v>32112</v>
      </c>
      <c r="J254">
        <f t="shared" si="18"/>
        <v>4.3196375290000004</v>
      </c>
      <c r="L254" s="116"/>
      <c r="N254" s="96"/>
    </row>
    <row r="255" spans="4:14" x14ac:dyDescent="0.25">
      <c r="D255" s="115">
        <v>32051</v>
      </c>
      <c r="E255" s="53">
        <v>4.3430674309999997</v>
      </c>
      <c r="F255">
        <f t="shared" si="15"/>
        <v>270</v>
      </c>
      <c r="G255">
        <f t="shared" si="16"/>
        <v>270</v>
      </c>
      <c r="H255">
        <f t="shared" si="17"/>
        <v>21</v>
      </c>
      <c r="I255" s="116">
        <f t="shared" si="19"/>
        <v>32112</v>
      </c>
      <c r="J255">
        <f t="shared" si="18"/>
        <v>4.3196375290000004</v>
      </c>
      <c r="L255" s="116"/>
      <c r="N255" s="96"/>
    </row>
    <row r="256" spans="4:14" x14ac:dyDescent="0.25">
      <c r="D256" s="115">
        <v>32082</v>
      </c>
      <c r="E256" s="53">
        <v>4.3146642960000001</v>
      </c>
      <c r="F256">
        <f t="shared" si="15"/>
        <v>300</v>
      </c>
      <c r="G256">
        <f t="shared" si="16"/>
        <v>300</v>
      </c>
      <c r="H256">
        <f t="shared" si="17"/>
        <v>21</v>
      </c>
      <c r="I256" s="116">
        <f t="shared" si="19"/>
        <v>32112</v>
      </c>
      <c r="J256">
        <f t="shared" si="18"/>
        <v>4.3196375290000004</v>
      </c>
      <c r="L256" s="116"/>
      <c r="N256" s="96"/>
    </row>
    <row r="257" spans="4:14" x14ac:dyDescent="0.25">
      <c r="D257" s="115">
        <v>32112</v>
      </c>
      <c r="E257" s="53">
        <v>4.3025831490000002</v>
      </c>
      <c r="F257">
        <f t="shared" si="15"/>
        <v>330</v>
      </c>
      <c r="G257">
        <f t="shared" si="16"/>
        <v>330</v>
      </c>
      <c r="H257">
        <f t="shared" si="17"/>
        <v>21</v>
      </c>
      <c r="I257" s="116">
        <f t="shared" si="19"/>
        <v>32112</v>
      </c>
      <c r="J257">
        <f t="shared" si="18"/>
        <v>4.3196375290000004</v>
      </c>
      <c r="L257" s="116"/>
      <c r="N257" s="96"/>
    </row>
    <row r="258" spans="4:14" x14ac:dyDescent="0.25">
      <c r="D258" s="115">
        <v>32143</v>
      </c>
      <c r="E258" s="53">
        <v>4.3836404230000001</v>
      </c>
      <c r="F258">
        <f t="shared" si="15"/>
        <v>0</v>
      </c>
      <c r="G258">
        <f t="shared" si="16"/>
        <v>0</v>
      </c>
      <c r="H258">
        <f t="shared" si="17"/>
        <v>22</v>
      </c>
      <c r="I258" s="116">
        <f t="shared" si="19"/>
        <v>32478</v>
      </c>
      <c r="J258">
        <f t="shared" si="18"/>
        <v>4.5864143740000012</v>
      </c>
      <c r="L258" s="116"/>
      <c r="N258" s="96"/>
    </row>
    <row r="259" spans="4:14" x14ac:dyDescent="0.25">
      <c r="D259" s="115">
        <v>32174</v>
      </c>
      <c r="E259" s="53">
        <v>4.3865534090000002</v>
      </c>
      <c r="F259">
        <f t="shared" si="15"/>
        <v>30</v>
      </c>
      <c r="G259">
        <f t="shared" si="16"/>
        <v>30</v>
      </c>
      <c r="H259">
        <f t="shared" si="17"/>
        <v>22</v>
      </c>
      <c r="I259" s="116">
        <f t="shared" si="19"/>
        <v>32478</v>
      </c>
      <c r="J259">
        <f t="shared" si="18"/>
        <v>4.5864143740000012</v>
      </c>
      <c r="L259" s="116"/>
      <c r="N259" s="96"/>
    </row>
    <row r="260" spans="4:14" x14ac:dyDescent="0.25">
      <c r="D260" s="115">
        <v>32203</v>
      </c>
      <c r="E260" s="53">
        <v>4.451939222</v>
      </c>
      <c r="F260">
        <f t="shared" si="15"/>
        <v>60</v>
      </c>
      <c r="G260">
        <f t="shared" si="16"/>
        <v>60</v>
      </c>
      <c r="H260">
        <f t="shared" si="17"/>
        <v>22</v>
      </c>
      <c r="I260" s="116">
        <f t="shared" si="19"/>
        <v>32478</v>
      </c>
      <c r="J260">
        <f t="shared" si="18"/>
        <v>4.5864143740000012</v>
      </c>
      <c r="L260" s="116"/>
      <c r="N260" s="96"/>
    </row>
    <row r="261" spans="4:14" x14ac:dyDescent="0.25">
      <c r="D261" s="115">
        <v>32234</v>
      </c>
      <c r="E261" s="53">
        <v>4.3884529030000001</v>
      </c>
      <c r="F261">
        <f t="shared" si="15"/>
        <v>90</v>
      </c>
      <c r="G261">
        <f t="shared" si="16"/>
        <v>90</v>
      </c>
      <c r="H261">
        <f t="shared" si="17"/>
        <v>22</v>
      </c>
      <c r="I261" s="116">
        <f t="shared" si="19"/>
        <v>32478</v>
      </c>
      <c r="J261">
        <f t="shared" si="18"/>
        <v>4.5864143740000012</v>
      </c>
      <c r="L261" s="116"/>
      <c r="N261" s="96"/>
    </row>
    <row r="262" spans="4:14" x14ac:dyDescent="0.25">
      <c r="D262" s="115">
        <v>32264</v>
      </c>
      <c r="E262" s="53">
        <v>4.445286952</v>
      </c>
      <c r="F262">
        <f t="shared" si="15"/>
        <v>120</v>
      </c>
      <c r="G262">
        <f t="shared" si="16"/>
        <v>120</v>
      </c>
      <c r="H262">
        <f t="shared" si="17"/>
        <v>22</v>
      </c>
      <c r="I262" s="116">
        <f t="shared" si="19"/>
        <v>32478</v>
      </c>
      <c r="J262">
        <f t="shared" si="18"/>
        <v>4.5864143740000012</v>
      </c>
      <c r="L262" s="116"/>
      <c r="N262" s="96"/>
    </row>
    <row r="263" spans="4:14" x14ac:dyDescent="0.25">
      <c r="D263" s="115">
        <v>32295</v>
      </c>
      <c r="E263" s="53">
        <v>4.6853843240000002</v>
      </c>
      <c r="F263">
        <f t="shared" si="15"/>
        <v>150</v>
      </c>
      <c r="G263">
        <f t="shared" si="16"/>
        <v>150</v>
      </c>
      <c r="H263">
        <f t="shared" si="17"/>
        <v>22</v>
      </c>
      <c r="I263" s="116">
        <f t="shared" si="19"/>
        <v>32478</v>
      </c>
      <c r="J263">
        <f t="shared" si="18"/>
        <v>4.5864143740000012</v>
      </c>
      <c r="L263" s="116"/>
      <c r="N263" s="96"/>
    </row>
    <row r="264" spans="4:14" x14ac:dyDescent="0.25">
      <c r="D264" s="115">
        <v>32325</v>
      </c>
      <c r="E264" s="53">
        <v>4.7120558920000004</v>
      </c>
      <c r="F264">
        <f t="shared" si="15"/>
        <v>180</v>
      </c>
      <c r="G264">
        <f t="shared" si="16"/>
        <v>180</v>
      </c>
      <c r="H264">
        <f t="shared" si="17"/>
        <v>22</v>
      </c>
      <c r="I264" s="116">
        <f t="shared" si="19"/>
        <v>32478</v>
      </c>
      <c r="J264">
        <f t="shared" si="18"/>
        <v>4.5864143740000012</v>
      </c>
      <c r="L264" s="116"/>
      <c r="N264" s="96"/>
    </row>
    <row r="265" spans="4:14" x14ac:dyDescent="0.25">
      <c r="D265" s="115">
        <v>32356</v>
      </c>
      <c r="E265" s="53">
        <v>4.685749317</v>
      </c>
      <c r="F265">
        <f t="shared" si="15"/>
        <v>210</v>
      </c>
      <c r="G265">
        <f t="shared" si="16"/>
        <v>210</v>
      </c>
      <c r="H265">
        <f t="shared" si="17"/>
        <v>22</v>
      </c>
      <c r="I265" s="116">
        <f t="shared" si="19"/>
        <v>32478</v>
      </c>
      <c r="J265">
        <f t="shared" si="18"/>
        <v>4.5864143740000012</v>
      </c>
      <c r="L265" s="116"/>
      <c r="N265" s="96"/>
    </row>
    <row r="266" spans="4:14" x14ac:dyDescent="0.25">
      <c r="D266" s="115">
        <v>32387</v>
      </c>
      <c r="E266" s="53">
        <v>4.7310291299999996</v>
      </c>
      <c r="F266">
        <f t="shared" si="15"/>
        <v>240</v>
      </c>
      <c r="G266">
        <f t="shared" si="16"/>
        <v>240</v>
      </c>
      <c r="H266">
        <f t="shared" si="17"/>
        <v>22</v>
      </c>
      <c r="I266" s="116">
        <f t="shared" si="19"/>
        <v>32478</v>
      </c>
      <c r="J266">
        <f t="shared" si="18"/>
        <v>4.5864143740000012</v>
      </c>
      <c r="L266" s="116"/>
      <c r="N266" s="96"/>
    </row>
    <row r="267" spans="4:14" x14ac:dyDescent="0.25">
      <c r="D267" s="115">
        <v>32417</v>
      </c>
      <c r="E267" s="53">
        <v>4.6162818059999999</v>
      </c>
      <c r="F267">
        <f t="shared" si="15"/>
        <v>270</v>
      </c>
      <c r="G267">
        <f t="shared" si="16"/>
        <v>270</v>
      </c>
      <c r="H267">
        <f t="shared" si="17"/>
        <v>22</v>
      </c>
      <c r="I267" s="116">
        <f t="shared" si="19"/>
        <v>32478</v>
      </c>
      <c r="J267">
        <f t="shared" si="18"/>
        <v>4.5864143740000012</v>
      </c>
      <c r="L267" s="116"/>
      <c r="N267" s="96"/>
    </row>
    <row r="268" spans="4:14" x14ac:dyDescent="0.25">
      <c r="D268" s="115">
        <v>32448</v>
      </c>
      <c r="E268" s="53">
        <v>4.751873732</v>
      </c>
      <c r="F268">
        <f t="shared" si="15"/>
        <v>300</v>
      </c>
      <c r="G268">
        <f t="shared" si="16"/>
        <v>300</v>
      </c>
      <c r="H268">
        <f t="shared" si="17"/>
        <v>22</v>
      </c>
      <c r="I268" s="116">
        <f t="shared" si="19"/>
        <v>32478</v>
      </c>
      <c r="J268">
        <f t="shared" si="18"/>
        <v>4.5864143740000012</v>
      </c>
      <c r="L268" s="116"/>
      <c r="N268" s="96"/>
    </row>
    <row r="269" spans="4:14" x14ac:dyDescent="0.25">
      <c r="D269" s="115">
        <v>32478</v>
      </c>
      <c r="E269" s="53">
        <v>4.7987253780000003</v>
      </c>
      <c r="F269">
        <f t="shared" si="15"/>
        <v>330</v>
      </c>
      <c r="G269">
        <f t="shared" si="16"/>
        <v>330</v>
      </c>
      <c r="H269">
        <f t="shared" si="17"/>
        <v>22</v>
      </c>
      <c r="I269" s="116">
        <f t="shared" si="19"/>
        <v>32478</v>
      </c>
      <c r="J269">
        <f t="shared" si="18"/>
        <v>4.5864143740000012</v>
      </c>
      <c r="L269" s="116"/>
      <c r="N269" s="96"/>
    </row>
    <row r="270" spans="4:14" x14ac:dyDescent="0.25">
      <c r="D270" s="115">
        <v>32509</v>
      </c>
      <c r="E270" s="53">
        <v>4.7567832619999999</v>
      </c>
      <c r="F270">
        <f t="shared" si="15"/>
        <v>0</v>
      </c>
      <c r="G270">
        <f t="shared" si="16"/>
        <v>0</v>
      </c>
      <c r="H270">
        <f t="shared" si="17"/>
        <v>23</v>
      </c>
      <c r="I270" s="116">
        <f t="shared" si="19"/>
        <v>32843</v>
      </c>
      <c r="J270">
        <f t="shared" si="18"/>
        <v>4.7807034300833333</v>
      </c>
      <c r="L270" s="116"/>
      <c r="N270" s="96"/>
    </row>
    <row r="271" spans="4:14" x14ac:dyDescent="0.25">
      <c r="D271" s="115">
        <v>32540</v>
      </c>
      <c r="E271" s="53">
        <v>4.7924268489999999</v>
      </c>
      <c r="F271">
        <f t="shared" si="15"/>
        <v>30</v>
      </c>
      <c r="G271">
        <f t="shared" si="16"/>
        <v>30</v>
      </c>
      <c r="H271">
        <f t="shared" si="17"/>
        <v>23</v>
      </c>
      <c r="I271" s="116">
        <f t="shared" si="19"/>
        <v>32843</v>
      </c>
      <c r="J271">
        <f t="shared" si="18"/>
        <v>4.7807034300833333</v>
      </c>
      <c r="L271" s="116"/>
      <c r="N271" s="96"/>
    </row>
    <row r="272" spans="4:14" x14ac:dyDescent="0.25">
      <c r="D272" s="115">
        <v>32568</v>
      </c>
      <c r="E272" s="53">
        <v>4.7603527689999998</v>
      </c>
      <c r="F272">
        <f t="shared" si="15"/>
        <v>60</v>
      </c>
      <c r="G272">
        <f t="shared" si="16"/>
        <v>60</v>
      </c>
      <c r="H272">
        <f t="shared" si="17"/>
        <v>23</v>
      </c>
      <c r="I272" s="116">
        <f t="shared" si="19"/>
        <v>32843</v>
      </c>
      <c r="J272">
        <f t="shared" si="18"/>
        <v>4.7807034300833333</v>
      </c>
      <c r="L272" s="116"/>
      <c r="N272" s="96"/>
    </row>
    <row r="273" spans="4:14" x14ac:dyDescent="0.25">
      <c r="D273" s="115">
        <v>32599</v>
      </c>
      <c r="E273" s="53">
        <v>4.6271309870000001</v>
      </c>
      <c r="F273">
        <f t="shared" ref="F273:F336" si="20">FLOOR(DAYS360(DATE(YEAR(D273),1,1),D273),30)</f>
        <v>90</v>
      </c>
      <c r="G273">
        <f t="shared" si="16"/>
        <v>90</v>
      </c>
      <c r="H273">
        <f t="shared" si="17"/>
        <v>23</v>
      </c>
      <c r="I273" s="116">
        <f t="shared" si="19"/>
        <v>32843</v>
      </c>
      <c r="J273">
        <f t="shared" si="18"/>
        <v>4.7807034300833333</v>
      </c>
      <c r="L273" s="116"/>
      <c r="N273" s="96"/>
    </row>
    <row r="274" spans="4:14" x14ac:dyDescent="0.25">
      <c r="D274" s="115">
        <v>32629</v>
      </c>
      <c r="E274" s="53">
        <v>4.751380664</v>
      </c>
      <c r="F274">
        <f t="shared" si="20"/>
        <v>120</v>
      </c>
      <c r="G274">
        <f t="shared" ref="G274:G337" si="21">MOD(F274, 360/$G$12)</f>
        <v>120</v>
      </c>
      <c r="H274">
        <f t="shared" ref="H274:H337" si="22">IF(G274&gt;G273,H273,H273+1)</f>
        <v>23</v>
      </c>
      <c r="I274" s="116">
        <f t="shared" si="19"/>
        <v>32843</v>
      </c>
      <c r="J274">
        <f t="shared" ref="J274:J337" si="23">AVERAGEIF($H$17:$H$675,H274,$E$17:$E$675)</f>
        <v>4.7807034300833333</v>
      </c>
      <c r="L274" s="116"/>
      <c r="N274" s="96"/>
    </row>
    <row r="275" spans="4:14" x14ac:dyDescent="0.25">
      <c r="D275" s="115">
        <v>32660</v>
      </c>
      <c r="E275" s="53">
        <v>4.7538013059999997</v>
      </c>
      <c r="F275">
        <f t="shared" si="20"/>
        <v>150</v>
      </c>
      <c r="G275">
        <f t="shared" si="21"/>
        <v>150</v>
      </c>
      <c r="H275">
        <f t="shared" si="22"/>
        <v>23</v>
      </c>
      <c r="I275" s="116">
        <f t="shared" ref="I275:I338" si="24">EDATE(I274,(H275-H274)*(12/$G$12))</f>
        <v>32843</v>
      </c>
      <c r="J275">
        <f t="shared" si="23"/>
        <v>4.7807034300833333</v>
      </c>
      <c r="L275" s="116"/>
      <c r="N275" s="96"/>
    </row>
    <row r="276" spans="4:14" x14ac:dyDescent="0.25">
      <c r="D276" s="115">
        <v>32690</v>
      </c>
      <c r="E276" s="53">
        <v>4.9052476020000002</v>
      </c>
      <c r="F276">
        <f t="shared" si="20"/>
        <v>180</v>
      </c>
      <c r="G276">
        <f t="shared" si="21"/>
        <v>180</v>
      </c>
      <c r="H276">
        <f t="shared" si="22"/>
        <v>23</v>
      </c>
      <c r="I276" s="116">
        <f t="shared" si="24"/>
        <v>32843</v>
      </c>
      <c r="J276">
        <f t="shared" si="23"/>
        <v>4.7807034300833333</v>
      </c>
      <c r="L276" s="116"/>
      <c r="N276" s="96"/>
    </row>
    <row r="277" spans="4:14" x14ac:dyDescent="0.25">
      <c r="D277" s="115">
        <v>32721</v>
      </c>
      <c r="E277" s="53">
        <v>4.8655221529999997</v>
      </c>
      <c r="F277">
        <f t="shared" si="20"/>
        <v>210</v>
      </c>
      <c r="G277">
        <f t="shared" si="21"/>
        <v>210</v>
      </c>
      <c r="H277">
        <f t="shared" si="22"/>
        <v>23</v>
      </c>
      <c r="I277" s="116">
        <f t="shared" si="24"/>
        <v>32843</v>
      </c>
      <c r="J277">
        <f t="shared" si="23"/>
        <v>4.7807034300833333</v>
      </c>
      <c r="L277" s="116"/>
      <c r="N277" s="96"/>
    </row>
    <row r="278" spans="4:14" x14ac:dyDescent="0.25">
      <c r="D278" s="115">
        <v>32752</v>
      </c>
      <c r="E278" s="53">
        <v>4.684441734</v>
      </c>
      <c r="F278">
        <f t="shared" si="20"/>
        <v>240</v>
      </c>
      <c r="G278">
        <f t="shared" si="21"/>
        <v>240</v>
      </c>
      <c r="H278">
        <f t="shared" si="22"/>
        <v>23</v>
      </c>
      <c r="I278" s="116">
        <f t="shared" si="24"/>
        <v>32843</v>
      </c>
      <c r="J278">
        <f t="shared" si="23"/>
        <v>4.7807034300833333</v>
      </c>
      <c r="L278" s="116"/>
      <c r="N278" s="96"/>
    </row>
    <row r="279" spans="4:14" x14ac:dyDescent="0.25">
      <c r="D279" s="115">
        <v>32782</v>
      </c>
      <c r="E279" s="53">
        <v>4.8173996600000004</v>
      </c>
      <c r="F279">
        <f t="shared" si="20"/>
        <v>270</v>
      </c>
      <c r="G279">
        <f t="shared" si="21"/>
        <v>270</v>
      </c>
      <c r="H279">
        <f t="shared" si="22"/>
        <v>23</v>
      </c>
      <c r="I279" s="116">
        <f t="shared" si="24"/>
        <v>32843</v>
      </c>
      <c r="J279">
        <f t="shared" si="23"/>
        <v>4.7807034300833333</v>
      </c>
      <c r="L279" s="116"/>
      <c r="N279" s="96"/>
    </row>
    <row r="280" spans="4:14" x14ac:dyDescent="0.25">
      <c r="D280" s="115">
        <v>32813</v>
      </c>
      <c r="E280" s="53">
        <v>4.8112187720000001</v>
      </c>
      <c r="F280">
        <f t="shared" si="20"/>
        <v>300</v>
      </c>
      <c r="G280">
        <f t="shared" si="21"/>
        <v>300</v>
      </c>
      <c r="H280">
        <f t="shared" si="22"/>
        <v>23</v>
      </c>
      <c r="I280" s="116">
        <f t="shared" si="24"/>
        <v>32843</v>
      </c>
      <c r="J280">
        <f t="shared" si="23"/>
        <v>4.7807034300833333</v>
      </c>
      <c r="L280" s="116"/>
      <c r="N280" s="96"/>
    </row>
    <row r="281" spans="4:14" x14ac:dyDescent="0.25">
      <c r="D281" s="115">
        <v>32843</v>
      </c>
      <c r="E281" s="53">
        <v>4.8427354029999998</v>
      </c>
      <c r="F281">
        <f t="shared" si="20"/>
        <v>330</v>
      </c>
      <c r="G281">
        <f t="shared" si="21"/>
        <v>330</v>
      </c>
      <c r="H281">
        <f t="shared" si="22"/>
        <v>23</v>
      </c>
      <c r="I281" s="116">
        <f t="shared" si="24"/>
        <v>32843</v>
      </c>
      <c r="J281">
        <f t="shared" si="23"/>
        <v>4.7807034300833333</v>
      </c>
      <c r="L281" s="116"/>
      <c r="N281" s="96"/>
    </row>
    <row r="282" spans="4:14" x14ac:dyDescent="0.25">
      <c r="D282" s="115">
        <v>32874</v>
      </c>
      <c r="E282" s="53">
        <v>4.9205888599999996</v>
      </c>
      <c r="F282">
        <f t="shared" si="20"/>
        <v>0</v>
      </c>
      <c r="G282">
        <f t="shared" si="21"/>
        <v>0</v>
      </c>
      <c r="H282">
        <f t="shared" si="22"/>
        <v>24</v>
      </c>
      <c r="I282" s="116">
        <f t="shared" si="24"/>
        <v>33208</v>
      </c>
      <c r="J282">
        <f t="shared" si="23"/>
        <v>5.4553513410833325</v>
      </c>
      <c r="L282" s="116"/>
      <c r="N282" s="96"/>
    </row>
    <row r="283" spans="4:14" x14ac:dyDescent="0.25">
      <c r="D283" s="115">
        <v>32905</v>
      </c>
      <c r="E283" s="53">
        <v>4.9355264639999996</v>
      </c>
      <c r="F283">
        <f t="shared" si="20"/>
        <v>30</v>
      </c>
      <c r="G283">
        <f t="shared" si="21"/>
        <v>30</v>
      </c>
      <c r="H283">
        <f t="shared" si="22"/>
        <v>24</v>
      </c>
      <c r="I283" s="116">
        <f t="shared" si="24"/>
        <v>33208</v>
      </c>
      <c r="J283">
        <f t="shared" si="23"/>
        <v>5.4553513410833325</v>
      </c>
      <c r="L283" s="116"/>
      <c r="N283" s="96"/>
    </row>
    <row r="284" spans="4:14" x14ac:dyDescent="0.25">
      <c r="D284" s="115">
        <v>32933</v>
      </c>
      <c r="E284" s="53">
        <v>5.2087008810000004</v>
      </c>
      <c r="F284">
        <f t="shared" si="20"/>
        <v>60</v>
      </c>
      <c r="G284">
        <f t="shared" si="21"/>
        <v>60</v>
      </c>
      <c r="H284">
        <f t="shared" si="22"/>
        <v>24</v>
      </c>
      <c r="I284" s="116">
        <f t="shared" si="24"/>
        <v>33208</v>
      </c>
      <c r="J284">
        <f t="shared" si="23"/>
        <v>5.4553513410833325</v>
      </c>
      <c r="L284" s="116"/>
      <c r="N284" s="96"/>
    </row>
    <row r="285" spans="4:14" x14ac:dyDescent="0.25">
      <c r="D285" s="115">
        <v>32964</v>
      </c>
      <c r="E285" s="53">
        <v>5.2941335580000004</v>
      </c>
      <c r="F285">
        <f t="shared" si="20"/>
        <v>90</v>
      </c>
      <c r="G285">
        <f t="shared" si="21"/>
        <v>90</v>
      </c>
      <c r="H285">
        <f t="shared" si="22"/>
        <v>24</v>
      </c>
      <c r="I285" s="116">
        <f t="shared" si="24"/>
        <v>33208</v>
      </c>
      <c r="J285">
        <f t="shared" si="23"/>
        <v>5.4553513410833325</v>
      </c>
      <c r="L285" s="116"/>
      <c r="N285" s="96"/>
    </row>
    <row r="286" spans="4:14" x14ac:dyDescent="0.25">
      <c r="D286" s="115">
        <v>32994</v>
      </c>
      <c r="E286" s="53">
        <v>5.1837540669999997</v>
      </c>
      <c r="F286">
        <f t="shared" si="20"/>
        <v>120</v>
      </c>
      <c r="G286">
        <f t="shared" si="21"/>
        <v>120</v>
      </c>
      <c r="H286">
        <f t="shared" si="22"/>
        <v>24</v>
      </c>
      <c r="I286" s="116">
        <f t="shared" si="24"/>
        <v>33208</v>
      </c>
      <c r="J286">
        <f t="shared" si="23"/>
        <v>5.4553513410833325</v>
      </c>
      <c r="L286" s="116"/>
      <c r="N286" s="96"/>
    </row>
    <row r="287" spans="4:14" x14ac:dyDescent="0.25">
      <c r="D287" s="115">
        <v>33025</v>
      </c>
      <c r="E287" s="53">
        <v>5.3884568829999999</v>
      </c>
      <c r="F287">
        <f t="shared" si="20"/>
        <v>150</v>
      </c>
      <c r="G287">
        <f t="shared" si="21"/>
        <v>150</v>
      </c>
      <c r="H287">
        <f t="shared" si="22"/>
        <v>24</v>
      </c>
      <c r="I287" s="116">
        <f t="shared" si="24"/>
        <v>33208</v>
      </c>
      <c r="J287">
        <f t="shared" si="23"/>
        <v>5.4553513410833325</v>
      </c>
      <c r="L287" s="116"/>
      <c r="N287" s="96"/>
    </row>
    <row r="288" spans="4:14" x14ac:dyDescent="0.25">
      <c r="D288" s="115">
        <v>33055</v>
      </c>
      <c r="E288" s="53">
        <v>5.5350718839999997</v>
      </c>
      <c r="F288">
        <f t="shared" si="20"/>
        <v>180</v>
      </c>
      <c r="G288">
        <f t="shared" si="21"/>
        <v>180</v>
      </c>
      <c r="H288">
        <f t="shared" si="22"/>
        <v>24</v>
      </c>
      <c r="I288" s="116">
        <f t="shared" si="24"/>
        <v>33208</v>
      </c>
      <c r="J288">
        <f t="shared" si="23"/>
        <v>5.4553513410833325</v>
      </c>
      <c r="L288" s="116"/>
      <c r="N288" s="96"/>
    </row>
    <row r="289" spans="4:14" x14ac:dyDescent="0.25">
      <c r="D289" s="115">
        <v>33086</v>
      </c>
      <c r="E289" s="53">
        <v>5.8559035579999996</v>
      </c>
      <c r="F289">
        <f t="shared" si="20"/>
        <v>210</v>
      </c>
      <c r="G289">
        <f t="shared" si="21"/>
        <v>210</v>
      </c>
      <c r="H289">
        <f t="shared" si="22"/>
        <v>24</v>
      </c>
      <c r="I289" s="116">
        <f t="shared" si="24"/>
        <v>33208</v>
      </c>
      <c r="J289">
        <f t="shared" si="23"/>
        <v>5.4553513410833325</v>
      </c>
      <c r="L289" s="116"/>
      <c r="N289" s="96"/>
    </row>
    <row r="290" spans="4:14" x14ac:dyDescent="0.25">
      <c r="D290" s="115">
        <v>33117</v>
      </c>
      <c r="E290" s="53">
        <v>5.9486603489999998</v>
      </c>
      <c r="F290">
        <f t="shared" si="20"/>
        <v>240</v>
      </c>
      <c r="G290">
        <f t="shared" si="21"/>
        <v>240</v>
      </c>
      <c r="H290">
        <f t="shared" si="22"/>
        <v>24</v>
      </c>
      <c r="I290" s="116">
        <f t="shared" si="24"/>
        <v>33208</v>
      </c>
      <c r="J290">
        <f t="shared" si="23"/>
        <v>5.4553513410833325</v>
      </c>
      <c r="L290" s="116"/>
      <c r="N290" s="96"/>
    </row>
    <row r="291" spans="4:14" x14ac:dyDescent="0.25">
      <c r="D291" s="115">
        <v>33147</v>
      </c>
      <c r="E291" s="53">
        <v>5.8174509680000002</v>
      </c>
      <c r="F291">
        <f t="shared" si="20"/>
        <v>270</v>
      </c>
      <c r="G291">
        <f t="shared" si="21"/>
        <v>270</v>
      </c>
      <c r="H291">
        <f t="shared" si="22"/>
        <v>24</v>
      </c>
      <c r="I291" s="116">
        <f t="shared" si="24"/>
        <v>33208</v>
      </c>
      <c r="J291">
        <f t="shared" si="23"/>
        <v>5.4553513410833325</v>
      </c>
      <c r="L291" s="116"/>
      <c r="N291" s="96"/>
    </row>
    <row r="292" spans="4:14" x14ac:dyDescent="0.25">
      <c r="D292" s="115">
        <v>33178</v>
      </c>
      <c r="E292" s="53">
        <v>5.7034192600000004</v>
      </c>
      <c r="F292">
        <f t="shared" si="20"/>
        <v>300</v>
      </c>
      <c r="G292">
        <f t="shared" si="21"/>
        <v>300</v>
      </c>
      <c r="H292">
        <f t="shared" si="22"/>
        <v>24</v>
      </c>
      <c r="I292" s="116">
        <f t="shared" si="24"/>
        <v>33208</v>
      </c>
      <c r="J292">
        <f t="shared" si="23"/>
        <v>5.4553513410833325</v>
      </c>
      <c r="L292" s="116"/>
      <c r="N292" s="96"/>
    </row>
    <row r="293" spans="4:14" x14ac:dyDescent="0.25">
      <c r="D293" s="115">
        <v>33208</v>
      </c>
      <c r="E293" s="53">
        <v>5.6725493609999997</v>
      </c>
      <c r="F293">
        <f t="shared" si="20"/>
        <v>330</v>
      </c>
      <c r="G293">
        <f t="shared" si="21"/>
        <v>330</v>
      </c>
      <c r="H293">
        <f t="shared" si="22"/>
        <v>24</v>
      </c>
      <c r="I293" s="116">
        <f t="shared" si="24"/>
        <v>33208</v>
      </c>
      <c r="J293">
        <f t="shared" si="23"/>
        <v>5.4553513410833325</v>
      </c>
      <c r="L293" s="116"/>
      <c r="N293" s="96"/>
    </row>
    <row r="294" spans="4:14" x14ac:dyDescent="0.25">
      <c r="D294" s="115">
        <v>33239</v>
      </c>
      <c r="E294" s="53">
        <v>5.8390290059999996</v>
      </c>
      <c r="F294">
        <f t="shared" si="20"/>
        <v>0</v>
      </c>
      <c r="G294">
        <f t="shared" si="21"/>
        <v>0</v>
      </c>
      <c r="H294">
        <f t="shared" si="22"/>
        <v>25</v>
      </c>
      <c r="I294" s="116">
        <f t="shared" si="24"/>
        <v>33573</v>
      </c>
      <c r="J294">
        <f t="shared" si="23"/>
        <v>4.94934712375</v>
      </c>
      <c r="L294" s="116"/>
      <c r="N294" s="96"/>
    </row>
    <row r="295" spans="4:14" x14ac:dyDescent="0.25">
      <c r="D295" s="115">
        <v>33270</v>
      </c>
      <c r="E295" s="53">
        <v>5.8834369190000002</v>
      </c>
      <c r="F295">
        <f t="shared" si="20"/>
        <v>30</v>
      </c>
      <c r="G295">
        <f t="shared" si="21"/>
        <v>30</v>
      </c>
      <c r="H295">
        <f t="shared" si="22"/>
        <v>25</v>
      </c>
      <c r="I295" s="116">
        <f t="shared" si="24"/>
        <v>33573</v>
      </c>
      <c r="J295">
        <f t="shared" si="23"/>
        <v>4.94934712375</v>
      </c>
      <c r="L295" s="116"/>
      <c r="N295" s="96"/>
    </row>
    <row r="296" spans="4:14" x14ac:dyDescent="0.25">
      <c r="D296" s="115">
        <v>33298</v>
      </c>
      <c r="E296" s="53">
        <v>5.496431415</v>
      </c>
      <c r="F296">
        <f t="shared" si="20"/>
        <v>60</v>
      </c>
      <c r="G296">
        <f t="shared" si="21"/>
        <v>60</v>
      </c>
      <c r="H296">
        <f t="shared" si="22"/>
        <v>25</v>
      </c>
      <c r="I296" s="116">
        <f t="shared" si="24"/>
        <v>33573</v>
      </c>
      <c r="J296">
        <f t="shared" si="23"/>
        <v>4.94934712375</v>
      </c>
      <c r="L296" s="116"/>
      <c r="N296" s="96"/>
    </row>
    <row r="297" spans="4:14" x14ac:dyDescent="0.25">
      <c r="D297" s="115">
        <v>33329</v>
      </c>
      <c r="E297" s="53">
        <v>5.302381155</v>
      </c>
      <c r="F297">
        <f t="shared" si="20"/>
        <v>90</v>
      </c>
      <c r="G297">
        <f t="shared" si="21"/>
        <v>90</v>
      </c>
      <c r="H297">
        <f t="shared" si="22"/>
        <v>25</v>
      </c>
      <c r="I297" s="116">
        <f t="shared" si="24"/>
        <v>33573</v>
      </c>
      <c r="J297">
        <f t="shared" si="23"/>
        <v>4.94934712375</v>
      </c>
      <c r="L297" s="116"/>
      <c r="N297" s="96"/>
    </row>
    <row r="298" spans="4:14" x14ac:dyDescent="0.25">
      <c r="D298" s="115">
        <v>33359</v>
      </c>
      <c r="E298" s="53">
        <v>5.248477287</v>
      </c>
      <c r="F298">
        <f t="shared" si="20"/>
        <v>120</v>
      </c>
      <c r="G298">
        <f t="shared" si="21"/>
        <v>120</v>
      </c>
      <c r="H298">
        <f t="shared" si="22"/>
        <v>25</v>
      </c>
      <c r="I298" s="116">
        <f t="shared" si="24"/>
        <v>33573</v>
      </c>
      <c r="J298">
        <f t="shared" si="23"/>
        <v>4.94934712375</v>
      </c>
      <c r="L298" s="116"/>
      <c r="N298" s="96"/>
    </row>
    <row r="299" spans="4:14" x14ac:dyDescent="0.25">
      <c r="D299" s="115">
        <v>33390</v>
      </c>
      <c r="E299" s="53">
        <v>4.9599784720000004</v>
      </c>
      <c r="F299">
        <f t="shared" si="20"/>
        <v>150</v>
      </c>
      <c r="G299">
        <f t="shared" si="21"/>
        <v>150</v>
      </c>
      <c r="H299">
        <f t="shared" si="22"/>
        <v>25</v>
      </c>
      <c r="I299" s="116">
        <f t="shared" si="24"/>
        <v>33573</v>
      </c>
      <c r="J299">
        <f t="shared" si="23"/>
        <v>4.94934712375</v>
      </c>
      <c r="L299" s="116"/>
      <c r="N299" s="96"/>
    </row>
    <row r="300" spans="4:14" x14ac:dyDescent="0.25">
      <c r="D300" s="115">
        <v>33420</v>
      </c>
      <c r="E300" s="53">
        <v>4.7357086930000003</v>
      </c>
      <c r="F300">
        <f t="shared" si="20"/>
        <v>180</v>
      </c>
      <c r="G300">
        <f t="shared" si="21"/>
        <v>180</v>
      </c>
      <c r="H300">
        <f t="shared" si="22"/>
        <v>25</v>
      </c>
      <c r="I300" s="116">
        <f t="shared" si="24"/>
        <v>33573</v>
      </c>
      <c r="J300">
        <f t="shared" si="23"/>
        <v>4.94934712375</v>
      </c>
      <c r="L300" s="116"/>
      <c r="N300" s="96"/>
    </row>
    <row r="301" spans="4:14" x14ac:dyDescent="0.25">
      <c r="D301" s="115">
        <v>33451</v>
      </c>
      <c r="E301" s="53">
        <v>4.413788018</v>
      </c>
      <c r="F301">
        <f t="shared" si="20"/>
        <v>210</v>
      </c>
      <c r="G301">
        <f t="shared" si="21"/>
        <v>210</v>
      </c>
      <c r="H301">
        <f t="shared" si="22"/>
        <v>25</v>
      </c>
      <c r="I301" s="116">
        <f t="shared" si="24"/>
        <v>33573</v>
      </c>
      <c r="J301">
        <f t="shared" si="23"/>
        <v>4.94934712375</v>
      </c>
      <c r="L301" s="116"/>
      <c r="N301" s="96"/>
    </row>
    <row r="302" spans="4:14" x14ac:dyDescent="0.25">
      <c r="D302" s="115">
        <v>33482</v>
      </c>
      <c r="E302" s="53">
        <v>4.465741661</v>
      </c>
      <c r="F302">
        <f t="shared" si="20"/>
        <v>240</v>
      </c>
      <c r="G302">
        <f t="shared" si="21"/>
        <v>240</v>
      </c>
      <c r="H302">
        <f t="shared" si="22"/>
        <v>25</v>
      </c>
      <c r="I302" s="116">
        <f t="shared" si="24"/>
        <v>33573</v>
      </c>
      <c r="J302">
        <f t="shared" si="23"/>
        <v>4.94934712375</v>
      </c>
      <c r="L302" s="116"/>
      <c r="N302" s="96"/>
    </row>
    <row r="303" spans="4:14" x14ac:dyDescent="0.25">
      <c r="D303" s="115">
        <v>33512</v>
      </c>
      <c r="E303" s="53">
        <v>4.3105972350000004</v>
      </c>
      <c r="F303">
        <f t="shared" si="20"/>
        <v>270</v>
      </c>
      <c r="G303">
        <f t="shared" si="21"/>
        <v>270</v>
      </c>
      <c r="H303">
        <f t="shared" si="22"/>
        <v>25</v>
      </c>
      <c r="I303" s="116">
        <f t="shared" si="24"/>
        <v>33573</v>
      </c>
      <c r="J303">
        <f t="shared" si="23"/>
        <v>4.94934712375</v>
      </c>
      <c r="L303" s="116"/>
      <c r="N303" s="96"/>
    </row>
    <row r="304" spans="4:14" x14ac:dyDescent="0.25">
      <c r="D304" s="115">
        <v>33543</v>
      </c>
      <c r="E304" s="53">
        <v>4.3700032210000002</v>
      </c>
      <c r="F304">
        <f t="shared" si="20"/>
        <v>300</v>
      </c>
      <c r="G304">
        <f t="shared" si="21"/>
        <v>300</v>
      </c>
      <c r="H304">
        <f t="shared" si="22"/>
        <v>25</v>
      </c>
      <c r="I304" s="116">
        <f t="shared" si="24"/>
        <v>33573</v>
      </c>
      <c r="J304">
        <f t="shared" si="23"/>
        <v>4.94934712375</v>
      </c>
      <c r="L304" s="116"/>
      <c r="N304" s="96"/>
    </row>
    <row r="305" spans="4:14" x14ac:dyDescent="0.25">
      <c r="D305" s="115">
        <v>33573</v>
      </c>
      <c r="E305" s="53">
        <v>4.3665924030000003</v>
      </c>
      <c r="F305">
        <f t="shared" si="20"/>
        <v>330</v>
      </c>
      <c r="G305">
        <f t="shared" si="21"/>
        <v>330</v>
      </c>
      <c r="H305">
        <f t="shared" si="22"/>
        <v>25</v>
      </c>
      <c r="I305" s="116">
        <f t="shared" si="24"/>
        <v>33573</v>
      </c>
      <c r="J305">
        <f t="shared" si="23"/>
        <v>4.94934712375</v>
      </c>
      <c r="L305" s="116"/>
      <c r="N305" s="96"/>
    </row>
    <row r="306" spans="4:14" x14ac:dyDescent="0.25">
      <c r="D306" s="115">
        <v>33604</v>
      </c>
      <c r="E306" s="53">
        <v>4.0699133710000002</v>
      </c>
      <c r="F306">
        <f t="shared" si="20"/>
        <v>0</v>
      </c>
      <c r="G306">
        <f t="shared" si="21"/>
        <v>0</v>
      </c>
      <c r="H306">
        <f t="shared" si="22"/>
        <v>26</v>
      </c>
      <c r="I306" s="116">
        <f t="shared" si="24"/>
        <v>33939</v>
      </c>
      <c r="J306">
        <f t="shared" si="23"/>
        <v>3.7854164745833327</v>
      </c>
      <c r="L306" s="116"/>
      <c r="N306" s="96"/>
    </row>
    <row r="307" spans="4:14" x14ac:dyDescent="0.25">
      <c r="D307" s="115">
        <v>33635</v>
      </c>
      <c r="E307" s="53">
        <v>3.8781843540000001</v>
      </c>
      <c r="F307">
        <f t="shared" si="20"/>
        <v>30</v>
      </c>
      <c r="G307">
        <f t="shared" si="21"/>
        <v>30</v>
      </c>
      <c r="H307">
        <f t="shared" si="22"/>
        <v>26</v>
      </c>
      <c r="I307" s="116">
        <f t="shared" si="24"/>
        <v>33939</v>
      </c>
      <c r="J307">
        <f t="shared" si="23"/>
        <v>3.7854164745833327</v>
      </c>
      <c r="L307" s="116"/>
      <c r="N307" s="96"/>
    </row>
    <row r="308" spans="4:14" x14ac:dyDescent="0.25">
      <c r="D308" s="115">
        <v>33664</v>
      </c>
      <c r="E308" s="53">
        <v>3.990512759</v>
      </c>
      <c r="F308">
        <f t="shared" si="20"/>
        <v>60</v>
      </c>
      <c r="G308">
        <f t="shared" si="21"/>
        <v>60</v>
      </c>
      <c r="H308">
        <f t="shared" si="22"/>
        <v>26</v>
      </c>
      <c r="I308" s="116">
        <f t="shared" si="24"/>
        <v>33939</v>
      </c>
      <c r="J308">
        <f t="shared" si="23"/>
        <v>3.7854164745833327</v>
      </c>
      <c r="L308" s="116"/>
      <c r="N308" s="96"/>
    </row>
    <row r="309" spans="4:14" x14ac:dyDescent="0.25">
      <c r="D309" s="115">
        <v>33695</v>
      </c>
      <c r="E309" s="53">
        <v>4.0775431190000004</v>
      </c>
      <c r="F309">
        <f t="shared" si="20"/>
        <v>90</v>
      </c>
      <c r="G309">
        <f t="shared" si="21"/>
        <v>90</v>
      </c>
      <c r="H309">
        <f t="shared" si="22"/>
        <v>26</v>
      </c>
      <c r="I309" s="116">
        <f t="shared" si="24"/>
        <v>33939</v>
      </c>
      <c r="J309">
        <f t="shared" si="23"/>
        <v>3.7854164745833327</v>
      </c>
      <c r="L309" s="116"/>
      <c r="N309" s="96"/>
    </row>
    <row r="310" spans="4:14" x14ac:dyDescent="0.25">
      <c r="D310" s="115">
        <v>33725</v>
      </c>
      <c r="E310" s="53">
        <v>3.9378608939999999</v>
      </c>
      <c r="F310">
        <f t="shared" si="20"/>
        <v>120</v>
      </c>
      <c r="G310">
        <f t="shared" si="21"/>
        <v>120</v>
      </c>
      <c r="H310">
        <f t="shared" si="22"/>
        <v>26</v>
      </c>
      <c r="I310" s="116">
        <f t="shared" si="24"/>
        <v>33939</v>
      </c>
      <c r="J310">
        <f t="shared" si="23"/>
        <v>3.7854164745833327</v>
      </c>
      <c r="L310" s="116"/>
      <c r="N310" s="96"/>
    </row>
    <row r="311" spans="4:14" x14ac:dyDescent="0.25">
      <c r="D311" s="115">
        <v>33756</v>
      </c>
      <c r="E311" s="53">
        <v>3.875841001</v>
      </c>
      <c r="F311">
        <f t="shared" si="20"/>
        <v>150</v>
      </c>
      <c r="G311">
        <f t="shared" si="21"/>
        <v>150</v>
      </c>
      <c r="H311">
        <f t="shared" si="22"/>
        <v>26</v>
      </c>
      <c r="I311" s="116">
        <f t="shared" si="24"/>
        <v>33939</v>
      </c>
      <c r="J311">
        <f t="shared" si="23"/>
        <v>3.7854164745833327</v>
      </c>
      <c r="L311" s="116"/>
      <c r="N311" s="96"/>
    </row>
    <row r="312" spans="4:14" x14ac:dyDescent="0.25">
      <c r="D312" s="115">
        <v>33786</v>
      </c>
      <c r="E312" s="53">
        <v>3.7853442259999999</v>
      </c>
      <c r="F312">
        <f t="shared" si="20"/>
        <v>180</v>
      </c>
      <c r="G312">
        <f t="shared" si="21"/>
        <v>180</v>
      </c>
      <c r="H312">
        <f t="shared" si="22"/>
        <v>26</v>
      </c>
      <c r="I312" s="116">
        <f t="shared" si="24"/>
        <v>33939</v>
      </c>
      <c r="J312">
        <f t="shared" si="23"/>
        <v>3.7854164745833327</v>
      </c>
      <c r="L312" s="116"/>
      <c r="N312" s="96"/>
    </row>
    <row r="313" spans="4:14" x14ac:dyDescent="0.25">
      <c r="D313" s="115">
        <v>33817</v>
      </c>
      <c r="E313" s="53">
        <v>3.6443497960000002</v>
      </c>
      <c r="F313">
        <f t="shared" si="20"/>
        <v>210</v>
      </c>
      <c r="G313">
        <f t="shared" si="21"/>
        <v>210</v>
      </c>
      <c r="H313">
        <f t="shared" si="22"/>
        <v>26</v>
      </c>
      <c r="I313" s="116">
        <f t="shared" si="24"/>
        <v>33939</v>
      </c>
      <c r="J313">
        <f t="shared" si="23"/>
        <v>3.7854164745833327</v>
      </c>
      <c r="L313" s="116"/>
      <c r="N313" s="96"/>
    </row>
    <row r="314" spans="4:14" x14ac:dyDescent="0.25">
      <c r="D314" s="115">
        <v>33848</v>
      </c>
      <c r="E314" s="53">
        <v>3.3635660409999999</v>
      </c>
      <c r="F314">
        <f t="shared" si="20"/>
        <v>240</v>
      </c>
      <c r="G314">
        <f t="shared" si="21"/>
        <v>240</v>
      </c>
      <c r="H314">
        <f t="shared" si="22"/>
        <v>26</v>
      </c>
      <c r="I314" s="116">
        <f t="shared" si="24"/>
        <v>33939</v>
      </c>
      <c r="J314">
        <f t="shared" si="23"/>
        <v>3.7854164745833327</v>
      </c>
      <c r="L314" s="116"/>
      <c r="N314" s="96"/>
    </row>
    <row r="315" spans="4:14" x14ac:dyDescent="0.25">
      <c r="D315" s="115">
        <v>33878</v>
      </c>
      <c r="E315" s="53">
        <v>3.6549505959999999</v>
      </c>
      <c r="F315">
        <f t="shared" si="20"/>
        <v>270</v>
      </c>
      <c r="G315">
        <f t="shared" si="21"/>
        <v>270</v>
      </c>
      <c r="H315">
        <f t="shared" si="22"/>
        <v>26</v>
      </c>
      <c r="I315" s="116">
        <f t="shared" si="24"/>
        <v>33939</v>
      </c>
      <c r="J315">
        <f t="shared" si="23"/>
        <v>3.7854164745833327</v>
      </c>
      <c r="L315" s="116"/>
      <c r="N315" s="96"/>
    </row>
    <row r="316" spans="4:14" x14ac:dyDescent="0.25">
      <c r="D316" s="115">
        <v>33909</v>
      </c>
      <c r="E316" s="53">
        <v>3.6494029760000002</v>
      </c>
      <c r="F316">
        <f t="shared" si="20"/>
        <v>300</v>
      </c>
      <c r="G316">
        <f t="shared" si="21"/>
        <v>300</v>
      </c>
      <c r="H316">
        <f t="shared" si="22"/>
        <v>26</v>
      </c>
      <c r="I316" s="116">
        <f t="shared" si="24"/>
        <v>33939</v>
      </c>
      <c r="J316">
        <f t="shared" si="23"/>
        <v>3.7854164745833327</v>
      </c>
      <c r="L316" s="116"/>
      <c r="N316" s="96"/>
    </row>
    <row r="317" spans="4:14" x14ac:dyDescent="0.25">
      <c r="D317" s="115">
        <v>33939</v>
      </c>
      <c r="E317" s="53">
        <v>3.4975285619999998</v>
      </c>
      <c r="F317">
        <f t="shared" si="20"/>
        <v>330</v>
      </c>
      <c r="G317">
        <f t="shared" si="21"/>
        <v>330</v>
      </c>
      <c r="H317">
        <f t="shared" si="22"/>
        <v>26</v>
      </c>
      <c r="I317" s="116">
        <f t="shared" si="24"/>
        <v>33939</v>
      </c>
      <c r="J317">
        <f t="shared" si="23"/>
        <v>3.7854164745833327</v>
      </c>
      <c r="L317" s="116"/>
      <c r="N317" s="96"/>
    </row>
    <row r="318" spans="4:14" x14ac:dyDescent="0.25">
      <c r="D318" s="115">
        <v>33970</v>
      </c>
      <c r="E318" s="53">
        <v>3.547354737</v>
      </c>
      <c r="F318">
        <f t="shared" si="20"/>
        <v>0</v>
      </c>
      <c r="G318">
        <f t="shared" si="21"/>
        <v>0</v>
      </c>
      <c r="H318">
        <f t="shared" si="22"/>
        <v>27</v>
      </c>
      <c r="I318" s="116">
        <f t="shared" si="24"/>
        <v>34304</v>
      </c>
      <c r="J318">
        <f t="shared" si="23"/>
        <v>3.5075261400833333</v>
      </c>
      <c r="L318" s="116"/>
      <c r="N318" s="96"/>
    </row>
    <row r="319" spans="4:14" x14ac:dyDescent="0.25">
      <c r="D319" s="115">
        <v>34001</v>
      </c>
      <c r="E319" s="53">
        <v>3.5806677219999998</v>
      </c>
      <c r="F319">
        <f t="shared" si="20"/>
        <v>30</v>
      </c>
      <c r="G319">
        <f t="shared" si="21"/>
        <v>30</v>
      </c>
      <c r="H319">
        <f t="shared" si="22"/>
        <v>27</v>
      </c>
      <c r="I319" s="116">
        <f t="shared" si="24"/>
        <v>34304</v>
      </c>
      <c r="J319">
        <f t="shared" si="23"/>
        <v>3.5075261400833333</v>
      </c>
      <c r="L319" s="116"/>
      <c r="N319" s="96"/>
    </row>
    <row r="320" spans="4:14" x14ac:dyDescent="0.25">
      <c r="D320" s="115">
        <v>34029</v>
      </c>
      <c r="E320" s="53">
        <v>3.3531606090000001</v>
      </c>
      <c r="F320">
        <f t="shared" si="20"/>
        <v>60</v>
      </c>
      <c r="G320">
        <f t="shared" si="21"/>
        <v>60</v>
      </c>
      <c r="H320">
        <f t="shared" si="22"/>
        <v>27</v>
      </c>
      <c r="I320" s="116">
        <f t="shared" si="24"/>
        <v>34304</v>
      </c>
      <c r="J320">
        <f t="shared" si="23"/>
        <v>3.5075261400833333</v>
      </c>
      <c r="L320" s="116"/>
      <c r="N320" s="96"/>
    </row>
    <row r="321" spans="4:14" x14ac:dyDescent="0.25">
      <c r="D321" s="115">
        <v>34060</v>
      </c>
      <c r="E321" s="53">
        <v>3.422176699</v>
      </c>
      <c r="F321">
        <f t="shared" si="20"/>
        <v>90</v>
      </c>
      <c r="G321">
        <f t="shared" si="21"/>
        <v>90</v>
      </c>
      <c r="H321">
        <f t="shared" si="22"/>
        <v>27</v>
      </c>
      <c r="I321" s="116">
        <f t="shared" si="24"/>
        <v>34304</v>
      </c>
      <c r="J321">
        <f t="shared" si="23"/>
        <v>3.5075261400833333</v>
      </c>
      <c r="L321" s="116"/>
      <c r="N321" s="96"/>
    </row>
    <row r="322" spans="4:14" x14ac:dyDescent="0.25">
      <c r="D322" s="115">
        <v>34090</v>
      </c>
      <c r="E322" s="53">
        <v>3.5514312829999999</v>
      </c>
      <c r="F322">
        <f t="shared" si="20"/>
        <v>120</v>
      </c>
      <c r="G322">
        <f t="shared" si="21"/>
        <v>120</v>
      </c>
      <c r="H322">
        <f t="shared" si="22"/>
        <v>27</v>
      </c>
      <c r="I322" s="116">
        <f t="shared" si="24"/>
        <v>34304</v>
      </c>
      <c r="J322">
        <f t="shared" si="23"/>
        <v>3.5075261400833333</v>
      </c>
      <c r="L322" s="116"/>
      <c r="N322" s="96"/>
    </row>
    <row r="323" spans="4:14" x14ac:dyDescent="0.25">
      <c r="D323" s="115">
        <v>34121</v>
      </c>
      <c r="E323" s="53">
        <v>3.5834288729999999</v>
      </c>
      <c r="F323">
        <f t="shared" si="20"/>
        <v>150</v>
      </c>
      <c r="G323">
        <f t="shared" si="21"/>
        <v>150</v>
      </c>
      <c r="H323">
        <f t="shared" si="22"/>
        <v>27</v>
      </c>
      <c r="I323" s="116">
        <f t="shared" si="24"/>
        <v>34304</v>
      </c>
      <c r="J323">
        <f t="shared" si="23"/>
        <v>3.5075261400833333</v>
      </c>
      <c r="L323" s="116"/>
      <c r="N323" s="96"/>
    </row>
    <row r="324" spans="4:14" x14ac:dyDescent="0.25">
      <c r="D324" s="115">
        <v>34151</v>
      </c>
      <c r="E324" s="53">
        <v>3.437046316</v>
      </c>
      <c r="F324">
        <f t="shared" si="20"/>
        <v>180</v>
      </c>
      <c r="G324">
        <f t="shared" si="21"/>
        <v>180</v>
      </c>
      <c r="H324">
        <f t="shared" si="22"/>
        <v>27</v>
      </c>
      <c r="I324" s="116">
        <f t="shared" si="24"/>
        <v>34304</v>
      </c>
      <c r="J324">
        <f t="shared" si="23"/>
        <v>3.5075261400833333</v>
      </c>
      <c r="L324" s="116"/>
      <c r="N324" s="96"/>
    </row>
    <row r="325" spans="4:14" x14ac:dyDescent="0.25">
      <c r="D325" s="115">
        <v>34182</v>
      </c>
      <c r="E325" s="53">
        <v>3.5227390860000001</v>
      </c>
      <c r="F325">
        <f t="shared" si="20"/>
        <v>210</v>
      </c>
      <c r="G325">
        <f t="shared" si="21"/>
        <v>210</v>
      </c>
      <c r="H325">
        <f t="shared" si="22"/>
        <v>27</v>
      </c>
      <c r="I325" s="116">
        <f t="shared" si="24"/>
        <v>34304</v>
      </c>
      <c r="J325">
        <f t="shared" si="23"/>
        <v>3.5075261400833333</v>
      </c>
      <c r="L325" s="116"/>
      <c r="N325" s="96"/>
    </row>
    <row r="326" spans="4:14" x14ac:dyDescent="0.25">
      <c r="D326" s="115">
        <v>34213</v>
      </c>
      <c r="E326" s="53">
        <v>3.6560386810000001</v>
      </c>
      <c r="F326">
        <f t="shared" si="20"/>
        <v>240</v>
      </c>
      <c r="G326">
        <f t="shared" si="21"/>
        <v>240</v>
      </c>
      <c r="H326">
        <f t="shared" si="22"/>
        <v>27</v>
      </c>
      <c r="I326" s="116">
        <f t="shared" si="24"/>
        <v>34304</v>
      </c>
      <c r="J326">
        <f t="shared" si="23"/>
        <v>3.5075261400833333</v>
      </c>
      <c r="L326" s="116"/>
      <c r="N326" s="96"/>
    </row>
    <row r="327" spans="4:14" x14ac:dyDescent="0.25">
      <c r="D327" s="115">
        <v>34243</v>
      </c>
      <c r="E327" s="53">
        <v>3.4333214430000001</v>
      </c>
      <c r="F327">
        <f t="shared" si="20"/>
        <v>270</v>
      </c>
      <c r="G327">
        <f t="shared" si="21"/>
        <v>270</v>
      </c>
      <c r="H327">
        <f t="shared" si="22"/>
        <v>27</v>
      </c>
      <c r="I327" s="116">
        <f t="shared" si="24"/>
        <v>34304</v>
      </c>
      <c r="J327">
        <f t="shared" si="23"/>
        <v>3.5075261400833333</v>
      </c>
      <c r="L327" s="116"/>
      <c r="N327" s="96"/>
    </row>
    <row r="328" spans="4:14" x14ac:dyDescent="0.25">
      <c r="D328" s="115">
        <v>34274</v>
      </c>
      <c r="E328" s="53">
        <v>3.4451255070000002</v>
      </c>
      <c r="F328">
        <f t="shared" si="20"/>
        <v>300</v>
      </c>
      <c r="G328">
        <f t="shared" si="21"/>
        <v>300</v>
      </c>
      <c r="H328">
        <f t="shared" si="22"/>
        <v>27</v>
      </c>
      <c r="I328" s="116">
        <f t="shared" si="24"/>
        <v>34304</v>
      </c>
      <c r="J328">
        <f t="shared" si="23"/>
        <v>3.5075261400833333</v>
      </c>
      <c r="L328" s="116"/>
      <c r="N328" s="96"/>
    </row>
    <row r="329" spans="4:14" x14ac:dyDescent="0.25">
      <c r="D329" s="115">
        <v>34304</v>
      </c>
      <c r="E329" s="53">
        <v>3.5578227249999999</v>
      </c>
      <c r="F329">
        <f t="shared" si="20"/>
        <v>330</v>
      </c>
      <c r="G329">
        <f t="shared" si="21"/>
        <v>330</v>
      </c>
      <c r="H329">
        <f t="shared" si="22"/>
        <v>27</v>
      </c>
      <c r="I329" s="116">
        <f t="shared" si="24"/>
        <v>34304</v>
      </c>
      <c r="J329">
        <f t="shared" si="23"/>
        <v>3.5075261400833333</v>
      </c>
      <c r="L329" s="116"/>
      <c r="N329" s="96"/>
    </row>
    <row r="330" spans="4:14" x14ac:dyDescent="0.25">
      <c r="D330" s="115">
        <v>34335</v>
      </c>
      <c r="E330" s="53">
        <v>3.3843729640000002</v>
      </c>
      <c r="F330">
        <f t="shared" si="20"/>
        <v>0</v>
      </c>
      <c r="G330">
        <f t="shared" si="21"/>
        <v>0</v>
      </c>
      <c r="H330">
        <f t="shared" si="22"/>
        <v>28</v>
      </c>
      <c r="I330" s="116">
        <f t="shared" si="24"/>
        <v>34669</v>
      </c>
      <c r="J330">
        <f t="shared" si="23"/>
        <v>3.272151669249999</v>
      </c>
      <c r="L330" s="116"/>
      <c r="N330" s="96"/>
    </row>
    <row r="331" spans="4:14" x14ac:dyDescent="0.25">
      <c r="D331" s="115">
        <v>34366</v>
      </c>
      <c r="E331" s="53">
        <v>3.424654259</v>
      </c>
      <c r="F331">
        <f t="shared" si="20"/>
        <v>30</v>
      </c>
      <c r="G331">
        <f t="shared" si="21"/>
        <v>30</v>
      </c>
      <c r="H331">
        <f t="shared" si="22"/>
        <v>28</v>
      </c>
      <c r="I331" s="116">
        <f t="shared" si="24"/>
        <v>34669</v>
      </c>
      <c r="J331">
        <f t="shared" si="23"/>
        <v>3.272151669249999</v>
      </c>
      <c r="L331" s="116"/>
      <c r="N331" s="96"/>
    </row>
    <row r="332" spans="4:14" x14ac:dyDescent="0.25">
      <c r="D332" s="115">
        <v>34394</v>
      </c>
      <c r="E332" s="53">
        <v>3.5788332860000001</v>
      </c>
      <c r="F332">
        <f t="shared" si="20"/>
        <v>60</v>
      </c>
      <c r="G332">
        <f t="shared" si="21"/>
        <v>60</v>
      </c>
      <c r="H332">
        <f t="shared" si="22"/>
        <v>28</v>
      </c>
      <c r="I332" s="116">
        <f t="shared" si="24"/>
        <v>34669</v>
      </c>
      <c r="J332">
        <f t="shared" si="23"/>
        <v>3.272151669249999</v>
      </c>
      <c r="L332" s="116"/>
      <c r="N332" s="96"/>
    </row>
    <row r="333" spans="4:14" x14ac:dyDescent="0.25">
      <c r="D333" s="115">
        <v>34425</v>
      </c>
      <c r="E333" s="53">
        <v>3.3640641379999998</v>
      </c>
      <c r="F333">
        <f t="shared" si="20"/>
        <v>90</v>
      </c>
      <c r="G333">
        <f t="shared" si="21"/>
        <v>90</v>
      </c>
      <c r="H333">
        <f t="shared" si="22"/>
        <v>28</v>
      </c>
      <c r="I333" s="116">
        <f t="shared" si="24"/>
        <v>34669</v>
      </c>
      <c r="J333">
        <f t="shared" si="23"/>
        <v>3.272151669249999</v>
      </c>
      <c r="L333" s="116"/>
      <c r="N333" s="96"/>
    </row>
    <row r="334" spans="4:14" x14ac:dyDescent="0.25">
      <c r="D334" s="115">
        <v>34455</v>
      </c>
      <c r="E334" s="53">
        <v>3.238103819</v>
      </c>
      <c r="F334">
        <f t="shared" si="20"/>
        <v>120</v>
      </c>
      <c r="G334">
        <f t="shared" si="21"/>
        <v>120</v>
      </c>
      <c r="H334">
        <f t="shared" si="22"/>
        <v>28</v>
      </c>
      <c r="I334" s="116">
        <f t="shared" si="24"/>
        <v>34669</v>
      </c>
      <c r="J334">
        <f t="shared" si="23"/>
        <v>3.272151669249999</v>
      </c>
      <c r="L334" s="116"/>
      <c r="N334" s="96"/>
    </row>
    <row r="335" spans="4:14" x14ac:dyDescent="0.25">
      <c r="D335" s="115">
        <v>34486</v>
      </c>
      <c r="E335" s="53">
        <v>3.2075408329999999</v>
      </c>
      <c r="F335">
        <f t="shared" si="20"/>
        <v>150</v>
      </c>
      <c r="G335">
        <f t="shared" si="21"/>
        <v>150</v>
      </c>
      <c r="H335">
        <f t="shared" si="22"/>
        <v>28</v>
      </c>
      <c r="I335" s="116">
        <f t="shared" si="24"/>
        <v>34669</v>
      </c>
      <c r="J335">
        <f t="shared" si="23"/>
        <v>3.272151669249999</v>
      </c>
      <c r="L335" s="116"/>
      <c r="N335" s="96"/>
    </row>
    <row r="336" spans="4:14" x14ac:dyDescent="0.25">
      <c r="D336" s="115">
        <v>34516</v>
      </c>
      <c r="E336" s="53">
        <v>3.245680943</v>
      </c>
      <c r="F336">
        <f t="shared" si="20"/>
        <v>180</v>
      </c>
      <c r="G336">
        <f t="shared" si="21"/>
        <v>180</v>
      </c>
      <c r="H336">
        <f t="shared" si="22"/>
        <v>28</v>
      </c>
      <c r="I336" s="116">
        <f t="shared" si="24"/>
        <v>34669</v>
      </c>
      <c r="J336">
        <f t="shared" si="23"/>
        <v>3.272151669249999</v>
      </c>
      <c r="L336" s="116"/>
      <c r="N336" s="96"/>
    </row>
    <row r="337" spans="4:14" x14ac:dyDescent="0.25">
      <c r="D337" s="115">
        <v>34547</v>
      </c>
      <c r="E337" s="53">
        <v>3.3188647310000001</v>
      </c>
      <c r="F337">
        <f t="shared" ref="F337:F400" si="25">FLOOR(DAYS360(DATE(YEAR(D337),1,1),D337),30)</f>
        <v>210</v>
      </c>
      <c r="G337">
        <f t="shared" si="21"/>
        <v>210</v>
      </c>
      <c r="H337">
        <f t="shared" si="22"/>
        <v>28</v>
      </c>
      <c r="I337" s="116">
        <f t="shared" si="24"/>
        <v>34669</v>
      </c>
      <c r="J337">
        <f t="shared" si="23"/>
        <v>3.272151669249999</v>
      </c>
      <c r="L337" s="116"/>
      <c r="N337" s="96"/>
    </row>
    <row r="338" spans="4:14" x14ac:dyDescent="0.25">
      <c r="D338" s="115">
        <v>34578</v>
      </c>
      <c r="E338" s="53">
        <v>3.267212367</v>
      </c>
      <c r="F338">
        <f t="shared" si="25"/>
        <v>240</v>
      </c>
      <c r="G338">
        <f t="shared" ref="G338:G401" si="26">MOD(F338, 360/$G$12)</f>
        <v>240</v>
      </c>
      <c r="H338">
        <f t="shared" ref="H338:H401" si="27">IF(G338&gt;G337,H337,H337+1)</f>
        <v>28</v>
      </c>
      <c r="I338" s="116">
        <f t="shared" si="24"/>
        <v>34669</v>
      </c>
      <c r="J338">
        <f t="shared" ref="J338:J401" si="28">AVERAGEIF($H$17:$H$675,H338,$E$17:$E$675)</f>
        <v>3.272151669249999</v>
      </c>
      <c r="L338" s="116"/>
      <c r="N338" s="96"/>
    </row>
    <row r="339" spans="4:14" x14ac:dyDescent="0.25">
      <c r="D339" s="115">
        <v>34608</v>
      </c>
      <c r="E339" s="53">
        <v>3.1787400909999999</v>
      </c>
      <c r="F339">
        <f t="shared" si="25"/>
        <v>270</v>
      </c>
      <c r="G339">
        <f t="shared" si="26"/>
        <v>270</v>
      </c>
      <c r="H339">
        <f t="shared" si="27"/>
        <v>28</v>
      </c>
      <c r="I339" s="116">
        <f t="shared" ref="I339:I402" si="29">EDATE(I338,(H339-H338)*(12/$G$12))</f>
        <v>34669</v>
      </c>
      <c r="J339">
        <f t="shared" si="28"/>
        <v>3.272151669249999</v>
      </c>
      <c r="L339" s="116"/>
      <c r="N339" s="96"/>
    </row>
    <row r="340" spans="4:14" x14ac:dyDescent="0.25">
      <c r="D340" s="115">
        <v>34639</v>
      </c>
      <c r="E340" s="53">
        <v>3.1420926250000001</v>
      </c>
      <c r="F340">
        <f t="shared" si="25"/>
        <v>300</v>
      </c>
      <c r="G340">
        <f t="shared" si="26"/>
        <v>300</v>
      </c>
      <c r="H340">
        <f t="shared" si="27"/>
        <v>28</v>
      </c>
      <c r="I340" s="116">
        <f t="shared" si="29"/>
        <v>34669</v>
      </c>
      <c r="J340">
        <f t="shared" si="28"/>
        <v>3.272151669249999</v>
      </c>
      <c r="L340" s="116"/>
      <c r="N340" s="96"/>
    </row>
    <row r="341" spans="4:14" x14ac:dyDescent="0.25">
      <c r="D341" s="115">
        <v>34669</v>
      </c>
      <c r="E341" s="53">
        <v>2.9156599750000001</v>
      </c>
      <c r="F341">
        <f t="shared" si="25"/>
        <v>330</v>
      </c>
      <c r="G341">
        <f t="shared" si="26"/>
        <v>330</v>
      </c>
      <c r="H341">
        <f t="shared" si="27"/>
        <v>28</v>
      </c>
      <c r="I341" s="116">
        <f t="shared" si="29"/>
        <v>34669</v>
      </c>
      <c r="J341">
        <f t="shared" si="28"/>
        <v>3.272151669249999</v>
      </c>
      <c r="L341" s="116"/>
      <c r="N341" s="96"/>
    </row>
    <row r="342" spans="4:14" x14ac:dyDescent="0.25">
      <c r="D342" s="115">
        <v>34700</v>
      </c>
      <c r="E342" s="53">
        <v>3.159681044</v>
      </c>
      <c r="F342">
        <f t="shared" si="25"/>
        <v>0</v>
      </c>
      <c r="G342">
        <f t="shared" si="26"/>
        <v>0</v>
      </c>
      <c r="H342">
        <f t="shared" si="27"/>
        <v>29</v>
      </c>
      <c r="I342" s="116">
        <f t="shared" si="29"/>
        <v>35034</v>
      </c>
      <c r="J342">
        <f t="shared" si="28"/>
        <v>3.3182595421666665</v>
      </c>
      <c r="L342" s="116"/>
      <c r="N342" s="96"/>
    </row>
    <row r="343" spans="4:14" x14ac:dyDescent="0.25">
      <c r="D343" s="115">
        <v>34731</v>
      </c>
      <c r="E343" s="53">
        <v>3.139699974</v>
      </c>
      <c r="F343">
        <f t="shared" si="25"/>
        <v>30</v>
      </c>
      <c r="G343">
        <f t="shared" si="26"/>
        <v>30</v>
      </c>
      <c r="H343">
        <f t="shared" si="27"/>
        <v>29</v>
      </c>
      <c r="I343" s="116">
        <f t="shared" si="29"/>
        <v>35034</v>
      </c>
      <c r="J343">
        <f t="shared" si="28"/>
        <v>3.3182595421666665</v>
      </c>
      <c r="L343" s="116"/>
      <c r="N343" s="96"/>
    </row>
    <row r="344" spans="4:14" x14ac:dyDescent="0.25">
      <c r="D344" s="115">
        <v>34759</v>
      </c>
      <c r="E344" s="53">
        <v>3.1844824909999998</v>
      </c>
      <c r="F344">
        <f t="shared" si="25"/>
        <v>60</v>
      </c>
      <c r="G344">
        <f t="shared" si="26"/>
        <v>60</v>
      </c>
      <c r="H344">
        <f t="shared" si="27"/>
        <v>29</v>
      </c>
      <c r="I344" s="116">
        <f t="shared" si="29"/>
        <v>35034</v>
      </c>
      <c r="J344">
        <f t="shared" si="28"/>
        <v>3.3182595421666665</v>
      </c>
      <c r="L344" s="116"/>
      <c r="N344" s="96"/>
    </row>
    <row r="345" spans="4:14" x14ac:dyDescent="0.25">
      <c r="D345" s="115">
        <v>34790</v>
      </c>
      <c r="E345" s="53">
        <v>3.3229161170000001</v>
      </c>
      <c r="F345">
        <f t="shared" si="25"/>
        <v>90</v>
      </c>
      <c r="G345">
        <f t="shared" si="26"/>
        <v>90</v>
      </c>
      <c r="H345">
        <f t="shared" si="27"/>
        <v>29</v>
      </c>
      <c r="I345" s="116">
        <f t="shared" si="29"/>
        <v>35034</v>
      </c>
      <c r="J345">
        <f t="shared" si="28"/>
        <v>3.3182595421666665</v>
      </c>
      <c r="L345" s="116"/>
      <c r="N345" s="96"/>
    </row>
    <row r="346" spans="4:14" x14ac:dyDescent="0.25">
      <c r="D346" s="115">
        <v>34820</v>
      </c>
      <c r="E346" s="53">
        <v>3.367477772</v>
      </c>
      <c r="F346">
        <f t="shared" si="25"/>
        <v>120</v>
      </c>
      <c r="G346">
        <f t="shared" si="26"/>
        <v>120</v>
      </c>
      <c r="H346">
        <f t="shared" si="27"/>
        <v>29</v>
      </c>
      <c r="I346" s="116">
        <f t="shared" si="29"/>
        <v>35034</v>
      </c>
      <c r="J346">
        <f t="shared" si="28"/>
        <v>3.3182595421666665</v>
      </c>
      <c r="L346" s="116"/>
      <c r="N346" s="96"/>
    </row>
    <row r="347" spans="4:14" x14ac:dyDescent="0.25">
      <c r="D347" s="115">
        <v>34851</v>
      </c>
      <c r="E347" s="53">
        <v>3.34707431</v>
      </c>
      <c r="F347">
        <f t="shared" si="25"/>
        <v>150</v>
      </c>
      <c r="G347">
        <f t="shared" si="26"/>
        <v>150</v>
      </c>
      <c r="H347">
        <f t="shared" si="27"/>
        <v>29</v>
      </c>
      <c r="I347" s="116">
        <f t="shared" si="29"/>
        <v>35034</v>
      </c>
      <c r="J347">
        <f t="shared" si="28"/>
        <v>3.3182595421666665</v>
      </c>
      <c r="L347" s="116"/>
      <c r="N347" s="96"/>
    </row>
    <row r="348" spans="4:14" x14ac:dyDescent="0.25">
      <c r="D348" s="115">
        <v>34881</v>
      </c>
      <c r="E348" s="53">
        <v>3.402097044</v>
      </c>
      <c r="F348">
        <f t="shared" si="25"/>
        <v>180</v>
      </c>
      <c r="G348">
        <f t="shared" si="26"/>
        <v>180</v>
      </c>
      <c r="H348">
        <f t="shared" si="27"/>
        <v>29</v>
      </c>
      <c r="I348" s="116">
        <f t="shared" si="29"/>
        <v>35034</v>
      </c>
      <c r="J348">
        <f t="shared" si="28"/>
        <v>3.3182595421666665</v>
      </c>
      <c r="L348" s="116"/>
      <c r="N348" s="96"/>
    </row>
    <row r="349" spans="4:14" x14ac:dyDescent="0.25">
      <c r="D349" s="115">
        <v>34912</v>
      </c>
      <c r="E349" s="53">
        <v>3.2555600490000001</v>
      </c>
      <c r="F349">
        <f t="shared" si="25"/>
        <v>210</v>
      </c>
      <c r="G349">
        <f t="shared" si="26"/>
        <v>210</v>
      </c>
      <c r="H349">
        <f t="shared" si="27"/>
        <v>29</v>
      </c>
      <c r="I349" s="116">
        <f t="shared" si="29"/>
        <v>35034</v>
      </c>
      <c r="J349">
        <f t="shared" si="28"/>
        <v>3.3182595421666665</v>
      </c>
      <c r="L349" s="116"/>
      <c r="N349" s="96"/>
    </row>
    <row r="350" spans="4:14" x14ac:dyDescent="0.25">
      <c r="D350" s="115">
        <v>34943</v>
      </c>
      <c r="E350" s="53">
        <v>3.3682078089999998</v>
      </c>
      <c r="F350">
        <f t="shared" si="25"/>
        <v>240</v>
      </c>
      <c r="G350">
        <f t="shared" si="26"/>
        <v>240</v>
      </c>
      <c r="H350">
        <f t="shared" si="27"/>
        <v>29</v>
      </c>
      <c r="I350" s="116">
        <f t="shared" si="29"/>
        <v>35034</v>
      </c>
      <c r="J350">
        <f t="shared" si="28"/>
        <v>3.3182595421666665</v>
      </c>
      <c r="L350" s="116"/>
      <c r="N350" s="96"/>
    </row>
    <row r="351" spans="4:14" x14ac:dyDescent="0.25">
      <c r="D351" s="115">
        <v>34973</v>
      </c>
      <c r="E351" s="53">
        <v>3.4792874660000002</v>
      </c>
      <c r="F351">
        <f t="shared" si="25"/>
        <v>270</v>
      </c>
      <c r="G351">
        <f t="shared" si="26"/>
        <v>270</v>
      </c>
      <c r="H351">
        <f t="shared" si="27"/>
        <v>29</v>
      </c>
      <c r="I351" s="116">
        <f t="shared" si="29"/>
        <v>35034</v>
      </c>
      <c r="J351">
        <f t="shared" si="28"/>
        <v>3.3182595421666665</v>
      </c>
      <c r="L351" s="116"/>
      <c r="N351" s="96"/>
    </row>
    <row r="352" spans="4:14" x14ac:dyDescent="0.25">
      <c r="D352" s="115">
        <v>35004</v>
      </c>
      <c r="E352" s="53">
        <v>3.394879542</v>
      </c>
      <c r="F352">
        <f t="shared" si="25"/>
        <v>300</v>
      </c>
      <c r="G352">
        <f t="shared" si="26"/>
        <v>300</v>
      </c>
      <c r="H352">
        <f t="shared" si="27"/>
        <v>29</v>
      </c>
      <c r="I352" s="116">
        <f t="shared" si="29"/>
        <v>35034</v>
      </c>
      <c r="J352">
        <f t="shared" si="28"/>
        <v>3.3182595421666665</v>
      </c>
      <c r="L352" s="116"/>
      <c r="N352" s="96"/>
    </row>
    <row r="353" spans="4:14" x14ac:dyDescent="0.25">
      <c r="D353" s="115">
        <v>35034</v>
      </c>
      <c r="E353" s="53">
        <v>3.397750888</v>
      </c>
      <c r="F353">
        <f t="shared" si="25"/>
        <v>330</v>
      </c>
      <c r="G353">
        <f t="shared" si="26"/>
        <v>330</v>
      </c>
      <c r="H353">
        <f t="shared" si="27"/>
        <v>29</v>
      </c>
      <c r="I353" s="116">
        <f t="shared" si="29"/>
        <v>35034</v>
      </c>
      <c r="J353">
        <f t="shared" si="28"/>
        <v>3.3182595421666665</v>
      </c>
      <c r="L353" s="116"/>
      <c r="N353" s="96"/>
    </row>
    <row r="354" spans="4:14" x14ac:dyDescent="0.25">
      <c r="D354" s="115">
        <v>35065</v>
      </c>
      <c r="E354" s="53">
        <v>3.2942967049999998</v>
      </c>
      <c r="F354">
        <f t="shared" si="25"/>
        <v>0</v>
      </c>
      <c r="G354">
        <f t="shared" si="26"/>
        <v>0</v>
      </c>
      <c r="H354">
        <f t="shared" si="27"/>
        <v>30</v>
      </c>
      <c r="I354" s="116">
        <f t="shared" si="29"/>
        <v>35400</v>
      </c>
      <c r="J354">
        <f t="shared" si="28"/>
        <v>3.0975148798333336</v>
      </c>
      <c r="L354" s="116"/>
      <c r="N354" s="96"/>
    </row>
    <row r="355" spans="4:14" x14ac:dyDescent="0.25">
      <c r="D355" s="115">
        <v>35096</v>
      </c>
      <c r="E355" s="53">
        <v>3.278044833</v>
      </c>
      <c r="F355">
        <f t="shared" si="25"/>
        <v>30</v>
      </c>
      <c r="G355">
        <f t="shared" si="26"/>
        <v>30</v>
      </c>
      <c r="H355">
        <f t="shared" si="27"/>
        <v>30</v>
      </c>
      <c r="I355" s="116">
        <f t="shared" si="29"/>
        <v>35400</v>
      </c>
      <c r="J355">
        <f t="shared" si="28"/>
        <v>3.0975148798333336</v>
      </c>
      <c r="L355" s="116"/>
      <c r="N355" s="96"/>
    </row>
    <row r="356" spans="4:14" x14ac:dyDescent="0.25">
      <c r="D356" s="115">
        <v>35125</v>
      </c>
      <c r="E356" s="53">
        <v>3.1512329600000002</v>
      </c>
      <c r="F356">
        <f t="shared" si="25"/>
        <v>60</v>
      </c>
      <c r="G356">
        <f t="shared" si="26"/>
        <v>60</v>
      </c>
      <c r="H356">
        <f t="shared" si="27"/>
        <v>30</v>
      </c>
      <c r="I356" s="116">
        <f t="shared" si="29"/>
        <v>35400</v>
      </c>
      <c r="J356">
        <f t="shared" si="28"/>
        <v>3.0975148798333336</v>
      </c>
      <c r="L356" s="116"/>
      <c r="N356" s="96"/>
    </row>
    <row r="357" spans="4:14" x14ac:dyDescent="0.25">
      <c r="D357" s="115">
        <v>35156</v>
      </c>
      <c r="E357" s="53">
        <v>3.0214190420000002</v>
      </c>
      <c r="F357">
        <f t="shared" si="25"/>
        <v>90</v>
      </c>
      <c r="G357">
        <f t="shared" si="26"/>
        <v>90</v>
      </c>
      <c r="H357">
        <f t="shared" si="27"/>
        <v>30</v>
      </c>
      <c r="I357" s="116">
        <f t="shared" si="29"/>
        <v>35400</v>
      </c>
      <c r="J357">
        <f t="shared" si="28"/>
        <v>3.0975148798333336</v>
      </c>
      <c r="L357" s="116"/>
      <c r="N357" s="96"/>
    </row>
    <row r="358" spans="4:14" x14ac:dyDescent="0.25">
      <c r="D358" s="115">
        <v>35186</v>
      </c>
      <c r="E358" s="53">
        <v>3.065009249</v>
      </c>
      <c r="F358">
        <f t="shared" si="25"/>
        <v>120</v>
      </c>
      <c r="G358">
        <f t="shared" si="26"/>
        <v>120</v>
      </c>
      <c r="H358">
        <f t="shared" si="27"/>
        <v>30</v>
      </c>
      <c r="I358" s="116">
        <f t="shared" si="29"/>
        <v>35400</v>
      </c>
      <c r="J358">
        <f t="shared" si="28"/>
        <v>3.0975148798333336</v>
      </c>
      <c r="L358" s="116"/>
      <c r="N358" s="96"/>
    </row>
    <row r="359" spans="4:14" x14ac:dyDescent="0.25">
      <c r="D359" s="115">
        <v>35217</v>
      </c>
      <c r="E359" s="53">
        <v>3.0665103980000001</v>
      </c>
      <c r="F359">
        <f t="shared" si="25"/>
        <v>150</v>
      </c>
      <c r="G359">
        <f t="shared" si="26"/>
        <v>150</v>
      </c>
      <c r="H359">
        <f t="shared" si="27"/>
        <v>30</v>
      </c>
      <c r="I359" s="116">
        <f t="shared" si="29"/>
        <v>35400</v>
      </c>
      <c r="J359">
        <f t="shared" si="28"/>
        <v>3.0975148798333336</v>
      </c>
      <c r="L359" s="116"/>
      <c r="N359" s="96"/>
    </row>
    <row r="360" spans="4:14" x14ac:dyDescent="0.25">
      <c r="D360" s="115">
        <v>35247</v>
      </c>
      <c r="E360" s="53">
        <v>3.1031348639999998</v>
      </c>
      <c r="F360">
        <f t="shared" si="25"/>
        <v>180</v>
      </c>
      <c r="G360">
        <f t="shared" si="26"/>
        <v>180</v>
      </c>
      <c r="H360">
        <f t="shared" si="27"/>
        <v>30</v>
      </c>
      <c r="I360" s="116">
        <f t="shared" si="29"/>
        <v>35400</v>
      </c>
      <c r="J360">
        <f t="shared" si="28"/>
        <v>3.0975148798333336</v>
      </c>
      <c r="L360" s="116"/>
      <c r="N360" s="96"/>
    </row>
    <row r="361" spans="4:14" x14ac:dyDescent="0.25">
      <c r="D361" s="115">
        <v>35278</v>
      </c>
      <c r="E361" s="53">
        <v>3.0962431339999998</v>
      </c>
      <c r="F361">
        <f t="shared" si="25"/>
        <v>210</v>
      </c>
      <c r="G361">
        <f t="shared" si="26"/>
        <v>210</v>
      </c>
      <c r="H361">
        <f t="shared" si="27"/>
        <v>30</v>
      </c>
      <c r="I361" s="116">
        <f t="shared" si="29"/>
        <v>35400</v>
      </c>
      <c r="J361">
        <f t="shared" si="28"/>
        <v>3.0975148798333336</v>
      </c>
      <c r="L361" s="116"/>
      <c r="N361" s="96"/>
    </row>
    <row r="362" spans="4:14" x14ac:dyDescent="0.25">
      <c r="D362" s="115">
        <v>35309</v>
      </c>
      <c r="E362" s="53">
        <v>3.0767095719999999</v>
      </c>
      <c r="F362">
        <f t="shared" si="25"/>
        <v>240</v>
      </c>
      <c r="G362">
        <f t="shared" si="26"/>
        <v>240</v>
      </c>
      <c r="H362">
        <f t="shared" si="27"/>
        <v>30</v>
      </c>
      <c r="I362" s="116">
        <f t="shared" si="29"/>
        <v>35400</v>
      </c>
      <c r="J362">
        <f t="shared" si="28"/>
        <v>3.0975148798333336</v>
      </c>
      <c r="L362" s="116"/>
      <c r="N362" s="96"/>
    </row>
    <row r="363" spans="4:14" x14ac:dyDescent="0.25">
      <c r="D363" s="115">
        <v>35339</v>
      </c>
      <c r="E363" s="53">
        <v>2.9573286240000001</v>
      </c>
      <c r="F363">
        <f t="shared" si="25"/>
        <v>270</v>
      </c>
      <c r="G363">
        <f t="shared" si="26"/>
        <v>270</v>
      </c>
      <c r="H363">
        <f t="shared" si="27"/>
        <v>30</v>
      </c>
      <c r="I363" s="116">
        <f t="shared" si="29"/>
        <v>35400</v>
      </c>
      <c r="J363">
        <f t="shared" si="28"/>
        <v>3.0975148798333336</v>
      </c>
      <c r="L363" s="116"/>
      <c r="N363" s="96"/>
    </row>
    <row r="364" spans="4:14" x14ac:dyDescent="0.25">
      <c r="D364" s="115">
        <v>35370</v>
      </c>
      <c r="E364" s="53">
        <v>2.99348831</v>
      </c>
      <c r="F364">
        <f t="shared" si="25"/>
        <v>300</v>
      </c>
      <c r="G364">
        <f t="shared" si="26"/>
        <v>300</v>
      </c>
      <c r="H364">
        <f t="shared" si="27"/>
        <v>30</v>
      </c>
      <c r="I364" s="116">
        <f t="shared" si="29"/>
        <v>35400</v>
      </c>
      <c r="J364">
        <f t="shared" si="28"/>
        <v>3.0975148798333336</v>
      </c>
      <c r="L364" s="116"/>
      <c r="N364" s="96"/>
    </row>
    <row r="365" spans="4:14" x14ac:dyDescent="0.25">
      <c r="D365" s="115">
        <v>35400</v>
      </c>
      <c r="E365" s="53">
        <v>3.0667608670000002</v>
      </c>
      <c r="F365">
        <f t="shared" si="25"/>
        <v>330</v>
      </c>
      <c r="G365">
        <f t="shared" si="26"/>
        <v>330</v>
      </c>
      <c r="H365">
        <f t="shared" si="27"/>
        <v>30</v>
      </c>
      <c r="I365" s="116">
        <f t="shared" si="29"/>
        <v>35400</v>
      </c>
      <c r="J365">
        <f t="shared" si="28"/>
        <v>3.0975148798333336</v>
      </c>
      <c r="L365" s="116"/>
      <c r="N365" s="96"/>
    </row>
    <row r="366" spans="4:14" x14ac:dyDescent="0.25">
      <c r="D366" s="115">
        <v>35431</v>
      </c>
      <c r="E366" s="53">
        <v>2.9248529579999998</v>
      </c>
      <c r="F366">
        <f t="shared" si="25"/>
        <v>0</v>
      </c>
      <c r="G366">
        <f t="shared" si="26"/>
        <v>0</v>
      </c>
      <c r="H366">
        <f t="shared" si="27"/>
        <v>31</v>
      </c>
      <c r="I366" s="116">
        <f t="shared" si="29"/>
        <v>35765</v>
      </c>
      <c r="J366">
        <f t="shared" si="28"/>
        <v>2.7571370443333336</v>
      </c>
      <c r="L366" s="116"/>
      <c r="N366" s="96"/>
    </row>
    <row r="367" spans="4:14" x14ac:dyDescent="0.25">
      <c r="D367" s="115">
        <v>35462</v>
      </c>
      <c r="E367" s="53">
        <v>2.8154920489999999</v>
      </c>
      <c r="F367">
        <f t="shared" si="25"/>
        <v>30</v>
      </c>
      <c r="G367">
        <f t="shared" si="26"/>
        <v>30</v>
      </c>
      <c r="H367">
        <f t="shared" si="27"/>
        <v>31</v>
      </c>
      <c r="I367" s="116">
        <f t="shared" si="29"/>
        <v>35765</v>
      </c>
      <c r="J367">
        <f t="shared" si="28"/>
        <v>2.7571370443333336</v>
      </c>
      <c r="L367" s="116"/>
      <c r="N367" s="96"/>
    </row>
    <row r="368" spans="4:14" x14ac:dyDescent="0.25">
      <c r="D368" s="115">
        <v>35490</v>
      </c>
      <c r="E368" s="53">
        <v>2.8684481609999999</v>
      </c>
      <c r="F368">
        <f t="shared" si="25"/>
        <v>60</v>
      </c>
      <c r="G368">
        <f t="shared" si="26"/>
        <v>60</v>
      </c>
      <c r="H368">
        <f t="shared" si="27"/>
        <v>31</v>
      </c>
      <c r="I368" s="116">
        <f t="shared" si="29"/>
        <v>35765</v>
      </c>
      <c r="J368">
        <f t="shared" si="28"/>
        <v>2.7571370443333336</v>
      </c>
      <c r="L368" s="116"/>
      <c r="N368" s="96"/>
    </row>
    <row r="369" spans="4:14" x14ac:dyDescent="0.25">
      <c r="D369" s="115">
        <v>35521</v>
      </c>
      <c r="E369" s="53">
        <v>2.9248815160000001</v>
      </c>
      <c r="F369">
        <f t="shared" si="25"/>
        <v>90</v>
      </c>
      <c r="G369">
        <f t="shared" si="26"/>
        <v>90</v>
      </c>
      <c r="H369">
        <f t="shared" si="27"/>
        <v>31</v>
      </c>
      <c r="I369" s="116">
        <f t="shared" si="29"/>
        <v>35765</v>
      </c>
      <c r="J369">
        <f t="shared" si="28"/>
        <v>2.7571370443333336</v>
      </c>
      <c r="L369" s="116"/>
      <c r="N369" s="96"/>
    </row>
    <row r="370" spans="4:14" x14ac:dyDescent="0.25">
      <c r="D370" s="115">
        <v>35551</v>
      </c>
      <c r="E370" s="53">
        <v>2.883239208</v>
      </c>
      <c r="F370">
        <f t="shared" si="25"/>
        <v>120</v>
      </c>
      <c r="G370">
        <f t="shared" si="26"/>
        <v>120</v>
      </c>
      <c r="H370">
        <f t="shared" si="27"/>
        <v>31</v>
      </c>
      <c r="I370" s="116">
        <f t="shared" si="29"/>
        <v>35765</v>
      </c>
      <c r="J370">
        <f t="shared" si="28"/>
        <v>2.7571370443333336</v>
      </c>
      <c r="L370" s="116"/>
      <c r="N370" s="96"/>
    </row>
    <row r="371" spans="4:14" x14ac:dyDescent="0.25">
      <c r="D371" s="115">
        <v>35582</v>
      </c>
      <c r="E371" s="53">
        <v>2.8415075559999998</v>
      </c>
      <c r="F371">
        <f t="shared" si="25"/>
        <v>150</v>
      </c>
      <c r="G371">
        <f t="shared" si="26"/>
        <v>150</v>
      </c>
      <c r="H371">
        <f t="shared" si="27"/>
        <v>31</v>
      </c>
      <c r="I371" s="116">
        <f t="shared" si="29"/>
        <v>35765</v>
      </c>
      <c r="J371">
        <f t="shared" si="28"/>
        <v>2.7571370443333336</v>
      </c>
      <c r="L371" s="116"/>
      <c r="N371" s="96"/>
    </row>
    <row r="372" spans="4:14" x14ac:dyDescent="0.25">
      <c r="D372" s="115">
        <v>35612</v>
      </c>
      <c r="E372" s="53">
        <v>2.7643113669999999</v>
      </c>
      <c r="F372">
        <f t="shared" si="25"/>
        <v>180</v>
      </c>
      <c r="G372">
        <f t="shared" si="26"/>
        <v>180</v>
      </c>
      <c r="H372">
        <f t="shared" si="27"/>
        <v>31</v>
      </c>
      <c r="I372" s="116">
        <f t="shared" si="29"/>
        <v>35765</v>
      </c>
      <c r="J372">
        <f t="shared" si="28"/>
        <v>2.7571370443333336</v>
      </c>
      <c r="L372" s="116"/>
      <c r="N372" s="96"/>
    </row>
    <row r="373" spans="4:14" x14ac:dyDescent="0.25">
      <c r="D373" s="115">
        <v>35643</v>
      </c>
      <c r="E373" s="53">
        <v>2.6686607009999999</v>
      </c>
      <c r="F373">
        <f t="shared" si="25"/>
        <v>210</v>
      </c>
      <c r="G373">
        <f t="shared" si="26"/>
        <v>210</v>
      </c>
      <c r="H373">
        <f t="shared" si="27"/>
        <v>31</v>
      </c>
      <c r="I373" s="116">
        <f t="shared" si="29"/>
        <v>35765</v>
      </c>
      <c r="J373">
        <f t="shared" si="28"/>
        <v>2.7571370443333336</v>
      </c>
      <c r="L373" s="116"/>
      <c r="N373" s="96"/>
    </row>
    <row r="374" spans="4:14" x14ac:dyDescent="0.25">
      <c r="D374" s="115">
        <v>35674</v>
      </c>
      <c r="E374" s="53">
        <v>2.5588931449999999</v>
      </c>
      <c r="F374">
        <f t="shared" si="25"/>
        <v>240</v>
      </c>
      <c r="G374">
        <f t="shared" si="26"/>
        <v>240</v>
      </c>
      <c r="H374">
        <f t="shared" si="27"/>
        <v>31</v>
      </c>
      <c r="I374" s="116">
        <f t="shared" si="29"/>
        <v>35765</v>
      </c>
      <c r="J374">
        <f t="shared" si="28"/>
        <v>2.7571370443333336</v>
      </c>
      <c r="L374" s="116"/>
      <c r="N374" s="96"/>
    </row>
    <row r="375" spans="4:14" x14ac:dyDescent="0.25">
      <c r="D375" s="115">
        <v>35704</v>
      </c>
      <c r="E375" s="53">
        <v>2.6338840370000001</v>
      </c>
      <c r="F375">
        <f t="shared" si="25"/>
        <v>270</v>
      </c>
      <c r="G375">
        <f t="shared" si="26"/>
        <v>270</v>
      </c>
      <c r="H375">
        <f t="shared" si="27"/>
        <v>31</v>
      </c>
      <c r="I375" s="116">
        <f t="shared" si="29"/>
        <v>35765</v>
      </c>
      <c r="J375">
        <f t="shared" si="28"/>
        <v>2.7571370443333336</v>
      </c>
      <c r="L375" s="116"/>
      <c r="N375" s="96"/>
    </row>
    <row r="376" spans="4:14" x14ac:dyDescent="0.25">
      <c r="D376" s="115">
        <v>35735</v>
      </c>
      <c r="E376" s="53">
        <v>2.5648882020000001</v>
      </c>
      <c r="F376">
        <f t="shared" si="25"/>
        <v>300</v>
      </c>
      <c r="G376">
        <f t="shared" si="26"/>
        <v>300</v>
      </c>
      <c r="H376">
        <f t="shared" si="27"/>
        <v>31</v>
      </c>
      <c r="I376" s="116">
        <f t="shared" si="29"/>
        <v>35765</v>
      </c>
      <c r="J376">
        <f t="shared" si="28"/>
        <v>2.7571370443333336</v>
      </c>
      <c r="L376" s="116"/>
      <c r="N376" s="96"/>
    </row>
    <row r="377" spans="4:14" x14ac:dyDescent="0.25">
      <c r="D377" s="115">
        <v>35765</v>
      </c>
      <c r="E377" s="53">
        <v>2.6365856320000001</v>
      </c>
      <c r="F377">
        <f t="shared" si="25"/>
        <v>330</v>
      </c>
      <c r="G377">
        <f t="shared" si="26"/>
        <v>330</v>
      </c>
      <c r="H377">
        <f t="shared" si="27"/>
        <v>31</v>
      </c>
      <c r="I377" s="116">
        <f t="shared" si="29"/>
        <v>35765</v>
      </c>
      <c r="J377">
        <f t="shared" si="28"/>
        <v>2.7571370443333336</v>
      </c>
      <c r="L377" s="116"/>
      <c r="N377" s="96"/>
    </row>
    <row r="378" spans="4:14" x14ac:dyDescent="0.25">
      <c r="D378" s="115">
        <v>35796</v>
      </c>
      <c r="E378" s="53">
        <v>2.6863129969999999</v>
      </c>
      <c r="F378">
        <f t="shared" si="25"/>
        <v>0</v>
      </c>
      <c r="G378">
        <f t="shared" si="26"/>
        <v>0</v>
      </c>
      <c r="H378">
        <f t="shared" si="27"/>
        <v>32</v>
      </c>
      <c r="I378" s="116">
        <f t="shared" si="29"/>
        <v>36130</v>
      </c>
      <c r="J378">
        <f t="shared" si="28"/>
        <v>2.6113656545833339</v>
      </c>
      <c r="L378" s="116"/>
      <c r="N378" s="96"/>
    </row>
    <row r="379" spans="4:14" x14ac:dyDescent="0.25">
      <c r="D379" s="115">
        <v>35827</v>
      </c>
      <c r="E379" s="53">
        <v>2.7023556800000001</v>
      </c>
      <c r="F379">
        <f t="shared" si="25"/>
        <v>30</v>
      </c>
      <c r="G379">
        <f t="shared" si="26"/>
        <v>30</v>
      </c>
      <c r="H379">
        <f t="shared" si="27"/>
        <v>32</v>
      </c>
      <c r="I379" s="116">
        <f t="shared" si="29"/>
        <v>36130</v>
      </c>
      <c r="J379">
        <f t="shared" si="28"/>
        <v>2.6113656545833339</v>
      </c>
      <c r="L379" s="116"/>
      <c r="N379" s="96"/>
    </row>
    <row r="380" spans="4:14" x14ac:dyDescent="0.25">
      <c r="D380" s="115">
        <v>35855</v>
      </c>
      <c r="E380" s="53">
        <v>2.6827929410000002</v>
      </c>
      <c r="F380">
        <f t="shared" si="25"/>
        <v>60</v>
      </c>
      <c r="G380">
        <f t="shared" si="26"/>
        <v>60</v>
      </c>
      <c r="H380">
        <f t="shared" si="27"/>
        <v>32</v>
      </c>
      <c r="I380" s="116">
        <f t="shared" si="29"/>
        <v>36130</v>
      </c>
      <c r="J380">
        <f t="shared" si="28"/>
        <v>2.6113656545833339</v>
      </c>
      <c r="L380" s="116"/>
      <c r="N380" s="96"/>
    </row>
    <row r="381" spans="4:14" x14ac:dyDescent="0.25">
      <c r="D381" s="115">
        <v>35886</v>
      </c>
      <c r="E381" s="53">
        <v>2.6505509269999998</v>
      </c>
      <c r="F381">
        <f t="shared" si="25"/>
        <v>90</v>
      </c>
      <c r="G381">
        <f t="shared" si="26"/>
        <v>90</v>
      </c>
      <c r="H381">
        <f t="shared" si="27"/>
        <v>32</v>
      </c>
      <c r="I381" s="116">
        <f t="shared" si="29"/>
        <v>36130</v>
      </c>
      <c r="J381">
        <f t="shared" si="28"/>
        <v>2.6113656545833339</v>
      </c>
      <c r="L381" s="116"/>
      <c r="N381" s="96"/>
    </row>
    <row r="382" spans="4:14" x14ac:dyDescent="0.25">
      <c r="D382" s="115">
        <v>35916</v>
      </c>
      <c r="E382" s="53">
        <v>2.6211999459999999</v>
      </c>
      <c r="F382">
        <f t="shared" si="25"/>
        <v>120</v>
      </c>
      <c r="G382">
        <f t="shared" si="26"/>
        <v>120</v>
      </c>
      <c r="H382">
        <f t="shared" si="27"/>
        <v>32</v>
      </c>
      <c r="I382" s="116">
        <f t="shared" si="29"/>
        <v>36130</v>
      </c>
      <c r="J382">
        <f t="shared" si="28"/>
        <v>2.6113656545833339</v>
      </c>
      <c r="L382" s="116"/>
      <c r="N382" s="96"/>
    </row>
    <row r="383" spans="4:14" x14ac:dyDescent="0.25">
      <c r="D383" s="115">
        <v>35947</v>
      </c>
      <c r="E383" s="53">
        <v>2.610692088</v>
      </c>
      <c r="F383">
        <f t="shared" si="25"/>
        <v>150</v>
      </c>
      <c r="G383">
        <f t="shared" si="26"/>
        <v>150</v>
      </c>
      <c r="H383">
        <f t="shared" si="27"/>
        <v>32</v>
      </c>
      <c r="I383" s="116">
        <f t="shared" si="29"/>
        <v>36130</v>
      </c>
      <c r="J383">
        <f t="shared" si="28"/>
        <v>2.6113656545833339</v>
      </c>
      <c r="L383" s="116"/>
      <c r="N383" s="96"/>
    </row>
    <row r="384" spans="4:14" x14ac:dyDescent="0.25">
      <c r="D384" s="115">
        <v>35977</v>
      </c>
      <c r="E384" s="53">
        <v>2.613395599</v>
      </c>
      <c r="F384">
        <f t="shared" si="25"/>
        <v>180</v>
      </c>
      <c r="G384">
        <f t="shared" si="26"/>
        <v>180</v>
      </c>
      <c r="H384">
        <f t="shared" si="27"/>
        <v>32</v>
      </c>
      <c r="I384" s="116">
        <f t="shared" si="29"/>
        <v>36130</v>
      </c>
      <c r="J384">
        <f t="shared" si="28"/>
        <v>2.6113656545833339</v>
      </c>
      <c r="L384" s="116"/>
      <c r="N384" s="96"/>
    </row>
    <row r="385" spans="4:14" x14ac:dyDescent="0.25">
      <c r="D385" s="115">
        <v>36008</v>
      </c>
      <c r="E385" s="53">
        <v>2.643666793</v>
      </c>
      <c r="F385">
        <f t="shared" si="25"/>
        <v>210</v>
      </c>
      <c r="G385">
        <f t="shared" si="26"/>
        <v>210</v>
      </c>
      <c r="H385">
        <f t="shared" si="27"/>
        <v>32</v>
      </c>
      <c r="I385" s="116">
        <f t="shared" si="29"/>
        <v>36130</v>
      </c>
      <c r="J385">
        <f t="shared" si="28"/>
        <v>2.6113656545833339</v>
      </c>
      <c r="L385" s="116"/>
      <c r="N385" s="96"/>
    </row>
    <row r="386" spans="4:14" x14ac:dyDescent="0.25">
      <c r="D386" s="115">
        <v>36039</v>
      </c>
      <c r="E386" s="53">
        <v>2.603431515</v>
      </c>
      <c r="F386">
        <f t="shared" si="25"/>
        <v>240</v>
      </c>
      <c r="G386">
        <f t="shared" si="26"/>
        <v>240</v>
      </c>
      <c r="H386">
        <f t="shared" si="27"/>
        <v>32</v>
      </c>
      <c r="I386" s="116">
        <f t="shared" si="29"/>
        <v>36130</v>
      </c>
      <c r="J386">
        <f t="shared" si="28"/>
        <v>2.6113656545833339</v>
      </c>
      <c r="L386" s="116"/>
      <c r="N386" s="96"/>
    </row>
    <row r="387" spans="4:14" x14ac:dyDescent="0.25">
      <c r="D387" s="115">
        <v>36069</v>
      </c>
      <c r="E387" s="53">
        <v>2.5443529100000002</v>
      </c>
      <c r="F387">
        <f t="shared" si="25"/>
        <v>270</v>
      </c>
      <c r="G387">
        <f t="shared" si="26"/>
        <v>270</v>
      </c>
      <c r="H387">
        <f t="shared" si="27"/>
        <v>32</v>
      </c>
      <c r="I387" s="116">
        <f t="shared" si="29"/>
        <v>36130</v>
      </c>
      <c r="J387">
        <f t="shared" si="28"/>
        <v>2.6113656545833339</v>
      </c>
      <c r="L387" s="116"/>
      <c r="N387" s="96"/>
    </row>
    <row r="388" spans="4:14" x14ac:dyDescent="0.25">
      <c r="D388" s="115">
        <v>36100</v>
      </c>
      <c r="E388" s="53">
        <v>2.5314469270000002</v>
      </c>
      <c r="F388">
        <f t="shared" si="25"/>
        <v>300</v>
      </c>
      <c r="G388">
        <f t="shared" si="26"/>
        <v>300</v>
      </c>
      <c r="H388">
        <f t="shared" si="27"/>
        <v>32</v>
      </c>
      <c r="I388" s="116">
        <f t="shared" si="29"/>
        <v>36130</v>
      </c>
      <c r="J388">
        <f t="shared" si="28"/>
        <v>2.6113656545833339</v>
      </c>
      <c r="L388" s="116"/>
      <c r="N388" s="96"/>
    </row>
    <row r="389" spans="4:14" x14ac:dyDescent="0.25">
      <c r="D389" s="115">
        <v>36130</v>
      </c>
      <c r="E389" s="53">
        <v>2.446189532</v>
      </c>
      <c r="F389">
        <f t="shared" si="25"/>
        <v>330</v>
      </c>
      <c r="G389">
        <f t="shared" si="26"/>
        <v>330</v>
      </c>
      <c r="H389">
        <f t="shared" si="27"/>
        <v>32</v>
      </c>
      <c r="I389" s="116">
        <f t="shared" si="29"/>
        <v>36130</v>
      </c>
      <c r="J389">
        <f t="shared" si="28"/>
        <v>2.6113656545833339</v>
      </c>
      <c r="L389" s="116"/>
      <c r="N389" s="96"/>
    </row>
    <row r="390" spans="4:14" x14ac:dyDescent="0.25">
      <c r="D390" s="115">
        <v>36161</v>
      </c>
      <c r="E390" s="53">
        <v>2.3907588</v>
      </c>
      <c r="F390">
        <f t="shared" si="25"/>
        <v>0</v>
      </c>
      <c r="G390">
        <f t="shared" si="26"/>
        <v>0</v>
      </c>
      <c r="H390">
        <f t="shared" si="27"/>
        <v>33</v>
      </c>
      <c r="I390" s="116">
        <f t="shared" si="29"/>
        <v>36495</v>
      </c>
      <c r="J390">
        <f t="shared" si="28"/>
        <v>2.1803319249999999</v>
      </c>
      <c r="L390" s="116"/>
      <c r="N390" s="96"/>
    </row>
    <row r="391" spans="4:14" x14ac:dyDescent="0.25">
      <c r="D391" s="115">
        <v>36192</v>
      </c>
      <c r="E391" s="53">
        <v>2.3238316000000001</v>
      </c>
      <c r="F391">
        <f t="shared" si="25"/>
        <v>30</v>
      </c>
      <c r="G391">
        <f t="shared" si="26"/>
        <v>30</v>
      </c>
      <c r="H391">
        <f t="shared" si="27"/>
        <v>33</v>
      </c>
      <c r="I391" s="116">
        <f t="shared" si="29"/>
        <v>36495</v>
      </c>
      <c r="J391">
        <f t="shared" si="28"/>
        <v>2.1803319249999999</v>
      </c>
      <c r="L391" s="116"/>
      <c r="N391" s="96"/>
    </row>
    <row r="392" spans="4:14" x14ac:dyDescent="0.25">
      <c r="D392" s="115">
        <v>36220</v>
      </c>
      <c r="E392" s="53">
        <v>2.2464618999999999</v>
      </c>
      <c r="F392">
        <f t="shared" si="25"/>
        <v>60</v>
      </c>
      <c r="G392">
        <f t="shared" si="26"/>
        <v>60</v>
      </c>
      <c r="H392">
        <f t="shared" si="27"/>
        <v>33</v>
      </c>
      <c r="I392" s="116">
        <f t="shared" si="29"/>
        <v>36495</v>
      </c>
      <c r="J392">
        <f t="shared" si="28"/>
        <v>2.1803319249999999</v>
      </c>
      <c r="L392" s="116"/>
      <c r="N392" s="96"/>
    </row>
    <row r="393" spans="4:14" x14ac:dyDescent="0.25">
      <c r="D393" s="115">
        <v>36251</v>
      </c>
      <c r="E393" s="53">
        <v>2.2358612999999998</v>
      </c>
      <c r="F393">
        <f t="shared" si="25"/>
        <v>90</v>
      </c>
      <c r="G393">
        <f t="shared" si="26"/>
        <v>90</v>
      </c>
      <c r="H393">
        <f t="shared" si="27"/>
        <v>33</v>
      </c>
      <c r="I393" s="116">
        <f t="shared" si="29"/>
        <v>36495</v>
      </c>
      <c r="J393">
        <f t="shared" si="28"/>
        <v>2.1803319249999999</v>
      </c>
      <c r="L393" s="116"/>
      <c r="N393" s="96"/>
    </row>
    <row r="394" spans="4:14" x14ac:dyDescent="0.25">
      <c r="D394" s="115">
        <v>36281</v>
      </c>
      <c r="E394" s="53">
        <v>2.1625266999999999</v>
      </c>
      <c r="F394">
        <f t="shared" si="25"/>
        <v>120</v>
      </c>
      <c r="G394">
        <f t="shared" si="26"/>
        <v>120</v>
      </c>
      <c r="H394">
        <f t="shared" si="27"/>
        <v>33</v>
      </c>
      <c r="I394" s="116">
        <f t="shared" si="29"/>
        <v>36495</v>
      </c>
      <c r="J394">
        <f t="shared" si="28"/>
        <v>2.1803319249999999</v>
      </c>
      <c r="L394" s="116"/>
      <c r="N394" s="96"/>
    </row>
    <row r="395" spans="4:14" x14ac:dyDescent="0.25">
      <c r="D395" s="115">
        <v>36312</v>
      </c>
      <c r="E395" s="53">
        <v>2.0812547000000001</v>
      </c>
      <c r="F395">
        <f t="shared" si="25"/>
        <v>150</v>
      </c>
      <c r="G395">
        <f t="shared" si="26"/>
        <v>150</v>
      </c>
      <c r="H395">
        <f t="shared" si="27"/>
        <v>33</v>
      </c>
      <c r="I395" s="116">
        <f t="shared" si="29"/>
        <v>36495</v>
      </c>
      <c r="J395">
        <f t="shared" si="28"/>
        <v>2.1803319249999999</v>
      </c>
      <c r="L395" s="116"/>
      <c r="N395" s="96"/>
    </row>
    <row r="396" spans="4:14" x14ac:dyDescent="0.25">
      <c r="D396" s="115">
        <v>36342</v>
      </c>
      <c r="E396" s="53">
        <v>2.1244532999999999</v>
      </c>
      <c r="F396">
        <f t="shared" si="25"/>
        <v>180</v>
      </c>
      <c r="G396">
        <f t="shared" si="26"/>
        <v>180</v>
      </c>
      <c r="H396">
        <f t="shared" si="27"/>
        <v>33</v>
      </c>
      <c r="I396" s="116">
        <f t="shared" si="29"/>
        <v>36495</v>
      </c>
      <c r="J396">
        <f t="shared" si="28"/>
        <v>2.1803319249999999</v>
      </c>
      <c r="L396" s="116"/>
      <c r="N396" s="96"/>
    </row>
    <row r="397" spans="4:14" x14ac:dyDescent="0.25">
      <c r="D397" s="115">
        <v>36373</v>
      </c>
      <c r="E397" s="53">
        <v>2.1074136999999999</v>
      </c>
      <c r="F397">
        <f t="shared" si="25"/>
        <v>210</v>
      </c>
      <c r="G397">
        <f t="shared" si="26"/>
        <v>210</v>
      </c>
      <c r="H397">
        <f t="shared" si="27"/>
        <v>33</v>
      </c>
      <c r="I397" s="116">
        <f t="shared" si="29"/>
        <v>36495</v>
      </c>
      <c r="J397">
        <f t="shared" si="28"/>
        <v>2.1803319249999999</v>
      </c>
      <c r="L397" s="116"/>
      <c r="N397" s="96"/>
    </row>
    <row r="398" spans="4:14" x14ac:dyDescent="0.25">
      <c r="D398" s="115">
        <v>36404</v>
      </c>
      <c r="E398" s="53">
        <v>2.0832918999999999</v>
      </c>
      <c r="F398">
        <f t="shared" si="25"/>
        <v>240</v>
      </c>
      <c r="G398">
        <f t="shared" si="26"/>
        <v>240</v>
      </c>
      <c r="H398">
        <f t="shared" si="27"/>
        <v>33</v>
      </c>
      <c r="I398" s="116">
        <f t="shared" si="29"/>
        <v>36495</v>
      </c>
      <c r="J398">
        <f t="shared" si="28"/>
        <v>2.1803319249999999</v>
      </c>
      <c r="L398" s="116"/>
      <c r="N398" s="96"/>
    </row>
    <row r="399" spans="4:14" x14ac:dyDescent="0.25">
      <c r="D399" s="115">
        <v>36434</v>
      </c>
      <c r="E399" s="53">
        <v>2.0639533000000001</v>
      </c>
      <c r="F399">
        <f t="shared" si="25"/>
        <v>270</v>
      </c>
      <c r="G399">
        <f t="shared" si="26"/>
        <v>270</v>
      </c>
      <c r="H399">
        <f t="shared" si="27"/>
        <v>33</v>
      </c>
      <c r="I399" s="116">
        <f t="shared" si="29"/>
        <v>36495</v>
      </c>
      <c r="J399">
        <f t="shared" si="28"/>
        <v>2.1803319249999999</v>
      </c>
      <c r="L399" s="116"/>
      <c r="N399" s="96"/>
    </row>
    <row r="400" spans="4:14" x14ac:dyDescent="0.25">
      <c r="D400" s="115">
        <v>36465</v>
      </c>
      <c r="E400" s="53">
        <v>2.1623250999999999</v>
      </c>
      <c r="F400">
        <f t="shared" si="25"/>
        <v>300</v>
      </c>
      <c r="G400">
        <f t="shared" si="26"/>
        <v>300</v>
      </c>
      <c r="H400">
        <f t="shared" si="27"/>
        <v>33</v>
      </c>
      <c r="I400" s="116">
        <f t="shared" si="29"/>
        <v>36495</v>
      </c>
      <c r="J400">
        <f t="shared" si="28"/>
        <v>2.1803319249999999</v>
      </c>
      <c r="L400" s="116"/>
      <c r="N400" s="96"/>
    </row>
    <row r="401" spans="4:14" x14ac:dyDescent="0.25">
      <c r="D401" s="115">
        <v>36495</v>
      </c>
      <c r="E401" s="53">
        <v>2.1818507999999999</v>
      </c>
      <c r="F401">
        <f t="shared" ref="F401:F464" si="30">FLOOR(DAYS360(DATE(YEAR(D401),1,1),D401),30)</f>
        <v>330</v>
      </c>
      <c r="G401">
        <f t="shared" si="26"/>
        <v>330</v>
      </c>
      <c r="H401">
        <f t="shared" si="27"/>
        <v>33</v>
      </c>
      <c r="I401" s="116">
        <f t="shared" si="29"/>
        <v>36495</v>
      </c>
      <c r="J401">
        <f t="shared" si="28"/>
        <v>2.1803319249999999</v>
      </c>
      <c r="L401" s="116"/>
      <c r="N401" s="96"/>
    </row>
    <row r="402" spans="4:14" x14ac:dyDescent="0.25">
      <c r="D402" s="115">
        <v>36526</v>
      </c>
      <c r="E402" s="53">
        <v>2.3501949999999998</v>
      </c>
      <c r="F402">
        <f t="shared" si="30"/>
        <v>0</v>
      </c>
      <c r="G402">
        <f t="shared" ref="G402:G465" si="31">MOD(F402, 360/$G$12)</f>
        <v>0</v>
      </c>
      <c r="H402">
        <f t="shared" ref="H402:H465" si="32">IF(G402&gt;G401,H401,H401+1)</f>
        <v>34</v>
      </c>
      <c r="I402" s="116">
        <f t="shared" si="29"/>
        <v>36861</v>
      </c>
      <c r="J402">
        <f t="shared" ref="J402:J465" si="33">AVERAGEIF($H$17:$H$675,H402,$E$17:$E$675)</f>
        <v>2.6893860833333325</v>
      </c>
      <c r="L402" s="116"/>
      <c r="N402" s="96"/>
    </row>
    <row r="403" spans="4:14" x14ac:dyDescent="0.25">
      <c r="D403" s="115">
        <v>36557</v>
      </c>
      <c r="E403" s="53">
        <v>2.3950909</v>
      </c>
      <c r="F403">
        <f t="shared" si="30"/>
        <v>30</v>
      </c>
      <c r="G403">
        <f t="shared" si="31"/>
        <v>30</v>
      </c>
      <c r="H403">
        <f t="shared" si="32"/>
        <v>34</v>
      </c>
      <c r="I403" s="116">
        <f t="shared" ref="I403:I466" si="34">EDATE(I402,(H403-H402)*(12/$G$12))</f>
        <v>36861</v>
      </c>
      <c r="J403">
        <f t="shared" si="33"/>
        <v>2.6893860833333325</v>
      </c>
      <c r="L403" s="116"/>
      <c r="N403" s="96"/>
    </row>
    <row r="404" spans="4:14" x14ac:dyDescent="0.25">
      <c r="D404" s="115">
        <v>36586</v>
      </c>
      <c r="E404" s="53">
        <v>2.4989588999999999</v>
      </c>
      <c r="F404">
        <f t="shared" si="30"/>
        <v>60</v>
      </c>
      <c r="G404">
        <f t="shared" si="31"/>
        <v>60</v>
      </c>
      <c r="H404">
        <f t="shared" si="32"/>
        <v>34</v>
      </c>
      <c r="I404" s="116">
        <f t="shared" si="34"/>
        <v>36861</v>
      </c>
      <c r="J404">
        <f t="shared" si="33"/>
        <v>2.6893860833333325</v>
      </c>
      <c r="L404" s="116"/>
      <c r="N404" s="96"/>
    </row>
    <row r="405" spans="4:14" x14ac:dyDescent="0.25">
      <c r="D405" s="115">
        <v>36617</v>
      </c>
      <c r="E405" s="53">
        <v>2.4247193999999999</v>
      </c>
      <c r="F405">
        <f t="shared" si="30"/>
        <v>90</v>
      </c>
      <c r="G405">
        <f t="shared" si="31"/>
        <v>90</v>
      </c>
      <c r="H405">
        <f t="shared" si="32"/>
        <v>34</v>
      </c>
      <c r="I405" s="116">
        <f t="shared" si="34"/>
        <v>36861</v>
      </c>
      <c r="J405">
        <f t="shared" si="33"/>
        <v>2.6893860833333325</v>
      </c>
      <c r="L405" s="116"/>
      <c r="N405" s="96"/>
    </row>
    <row r="406" spans="4:14" x14ac:dyDescent="0.25">
      <c r="D406" s="115">
        <v>36647</v>
      </c>
      <c r="E406" s="53">
        <v>2.5736327000000001</v>
      </c>
      <c r="F406">
        <f t="shared" si="30"/>
        <v>120</v>
      </c>
      <c r="G406">
        <f t="shared" si="31"/>
        <v>120</v>
      </c>
      <c r="H406">
        <f t="shared" si="32"/>
        <v>34</v>
      </c>
      <c r="I406" s="116">
        <f t="shared" si="34"/>
        <v>36861</v>
      </c>
      <c r="J406">
        <f t="shared" si="33"/>
        <v>2.6893860833333325</v>
      </c>
      <c r="L406" s="116"/>
      <c r="N406" s="96"/>
    </row>
    <row r="407" spans="4:14" x14ac:dyDescent="0.25">
      <c r="D407" s="115">
        <v>36678</v>
      </c>
      <c r="E407" s="53">
        <v>2.7153641999999998</v>
      </c>
      <c r="F407">
        <f t="shared" si="30"/>
        <v>150</v>
      </c>
      <c r="G407">
        <f t="shared" si="31"/>
        <v>150</v>
      </c>
      <c r="H407">
        <f t="shared" si="32"/>
        <v>34</v>
      </c>
      <c r="I407" s="116">
        <f t="shared" si="34"/>
        <v>36861</v>
      </c>
      <c r="J407">
        <f t="shared" si="33"/>
        <v>2.6893860833333325</v>
      </c>
      <c r="L407" s="116"/>
      <c r="N407" s="96"/>
    </row>
    <row r="408" spans="4:14" x14ac:dyDescent="0.25">
      <c r="D408" s="115">
        <v>36708</v>
      </c>
      <c r="E408" s="53">
        <v>2.7240004999999998</v>
      </c>
      <c r="F408">
        <f t="shared" si="30"/>
        <v>180</v>
      </c>
      <c r="G408">
        <f t="shared" si="31"/>
        <v>180</v>
      </c>
      <c r="H408">
        <f t="shared" si="32"/>
        <v>34</v>
      </c>
      <c r="I408" s="116">
        <f t="shared" si="34"/>
        <v>36861</v>
      </c>
      <c r="J408">
        <f t="shared" si="33"/>
        <v>2.6893860833333325</v>
      </c>
      <c r="L408" s="116"/>
      <c r="N408" s="96"/>
    </row>
    <row r="409" spans="4:14" x14ac:dyDescent="0.25">
      <c r="D409" s="115">
        <v>36739</v>
      </c>
      <c r="E409" s="53">
        <v>2.8853852</v>
      </c>
      <c r="F409">
        <f t="shared" si="30"/>
        <v>210</v>
      </c>
      <c r="G409">
        <f t="shared" si="31"/>
        <v>210</v>
      </c>
      <c r="H409">
        <f t="shared" si="32"/>
        <v>34</v>
      </c>
      <c r="I409" s="116">
        <f t="shared" si="34"/>
        <v>36861</v>
      </c>
      <c r="J409">
        <f t="shared" si="33"/>
        <v>2.6893860833333325</v>
      </c>
      <c r="L409" s="116"/>
      <c r="N409" s="96"/>
    </row>
    <row r="410" spans="4:14" x14ac:dyDescent="0.25">
      <c r="D410" s="115">
        <v>36770</v>
      </c>
      <c r="E410" s="53">
        <v>2.9087960000000002</v>
      </c>
      <c r="F410">
        <f t="shared" si="30"/>
        <v>240</v>
      </c>
      <c r="G410">
        <f t="shared" si="31"/>
        <v>240</v>
      </c>
      <c r="H410">
        <f t="shared" si="32"/>
        <v>34</v>
      </c>
      <c r="I410" s="116">
        <f t="shared" si="34"/>
        <v>36861</v>
      </c>
      <c r="J410">
        <f t="shared" si="33"/>
        <v>2.6893860833333325</v>
      </c>
      <c r="L410" s="116"/>
      <c r="N410" s="96"/>
    </row>
    <row r="411" spans="4:14" x14ac:dyDescent="0.25">
      <c r="D411" s="115">
        <v>36800</v>
      </c>
      <c r="E411" s="53">
        <v>2.9310364999999998</v>
      </c>
      <c r="F411">
        <f t="shared" si="30"/>
        <v>270</v>
      </c>
      <c r="G411">
        <f t="shared" si="31"/>
        <v>270</v>
      </c>
      <c r="H411">
        <f t="shared" si="32"/>
        <v>34</v>
      </c>
      <c r="I411" s="116">
        <f t="shared" si="34"/>
        <v>36861</v>
      </c>
      <c r="J411">
        <f t="shared" si="33"/>
        <v>2.6893860833333325</v>
      </c>
      <c r="L411" s="116"/>
      <c r="N411" s="96"/>
    </row>
    <row r="412" spans="4:14" x14ac:dyDescent="0.25">
      <c r="D412" s="115">
        <v>36831</v>
      </c>
      <c r="E412" s="53">
        <v>2.8816134</v>
      </c>
      <c r="F412">
        <f t="shared" si="30"/>
        <v>300</v>
      </c>
      <c r="G412">
        <f t="shared" si="31"/>
        <v>300</v>
      </c>
      <c r="H412">
        <f t="shared" si="32"/>
        <v>34</v>
      </c>
      <c r="I412" s="116">
        <f t="shared" si="34"/>
        <v>36861</v>
      </c>
      <c r="J412">
        <f t="shared" si="33"/>
        <v>2.6893860833333325</v>
      </c>
      <c r="L412" s="116"/>
      <c r="N412" s="96"/>
    </row>
    <row r="413" spans="4:14" x14ac:dyDescent="0.25">
      <c r="D413" s="115">
        <v>36861</v>
      </c>
      <c r="E413" s="53">
        <v>2.9838402999999998</v>
      </c>
      <c r="F413">
        <f t="shared" si="30"/>
        <v>330</v>
      </c>
      <c r="G413">
        <f t="shared" si="31"/>
        <v>330</v>
      </c>
      <c r="H413">
        <f t="shared" si="32"/>
        <v>34</v>
      </c>
      <c r="I413" s="116">
        <f t="shared" si="34"/>
        <v>36861</v>
      </c>
      <c r="J413">
        <f t="shared" si="33"/>
        <v>2.6893860833333325</v>
      </c>
      <c r="L413" s="116"/>
      <c r="N413" s="96"/>
    </row>
    <row r="414" spans="4:14" x14ac:dyDescent="0.25">
      <c r="D414" s="115">
        <v>36892</v>
      </c>
      <c r="E414" s="53">
        <v>2.8896430999999998</v>
      </c>
      <c r="F414">
        <f t="shared" si="30"/>
        <v>0</v>
      </c>
      <c r="G414">
        <f t="shared" si="31"/>
        <v>0</v>
      </c>
      <c r="H414">
        <f t="shared" si="32"/>
        <v>35</v>
      </c>
      <c r="I414" s="116">
        <f t="shared" si="34"/>
        <v>37226</v>
      </c>
      <c r="J414">
        <f t="shared" si="33"/>
        <v>3.2341506916666671</v>
      </c>
      <c r="L414" s="116"/>
      <c r="N414" s="96"/>
    </row>
    <row r="415" spans="4:14" x14ac:dyDescent="0.25">
      <c r="D415" s="115">
        <v>36923</v>
      </c>
      <c r="E415" s="53">
        <v>2.9893325000000002</v>
      </c>
      <c r="F415">
        <f t="shared" si="30"/>
        <v>30</v>
      </c>
      <c r="G415">
        <f t="shared" si="31"/>
        <v>30</v>
      </c>
      <c r="H415">
        <f t="shared" si="32"/>
        <v>35</v>
      </c>
      <c r="I415" s="116">
        <f t="shared" si="34"/>
        <v>37226</v>
      </c>
      <c r="J415">
        <f t="shared" si="33"/>
        <v>3.2341506916666671</v>
      </c>
      <c r="L415" s="116"/>
      <c r="N415" s="96"/>
    </row>
    <row r="416" spans="4:14" x14ac:dyDescent="0.25">
      <c r="D416" s="115">
        <v>36951</v>
      </c>
      <c r="E416" s="53">
        <v>2.9711853000000001</v>
      </c>
      <c r="F416">
        <f t="shared" si="30"/>
        <v>60</v>
      </c>
      <c r="G416">
        <f t="shared" si="31"/>
        <v>60</v>
      </c>
      <c r="H416">
        <f t="shared" si="32"/>
        <v>35</v>
      </c>
      <c r="I416" s="116">
        <f t="shared" si="34"/>
        <v>37226</v>
      </c>
      <c r="J416">
        <f t="shared" si="33"/>
        <v>3.2341506916666671</v>
      </c>
      <c r="L416" s="116"/>
      <c r="N416" s="96"/>
    </row>
    <row r="417" spans="4:14" x14ac:dyDescent="0.25">
      <c r="D417" s="115">
        <v>36982</v>
      </c>
      <c r="E417" s="53">
        <v>3.1007641000000001</v>
      </c>
      <c r="F417">
        <f t="shared" si="30"/>
        <v>90</v>
      </c>
      <c r="G417">
        <f t="shared" si="31"/>
        <v>90</v>
      </c>
      <c r="H417">
        <f t="shared" si="32"/>
        <v>35</v>
      </c>
      <c r="I417" s="116">
        <f t="shared" si="34"/>
        <v>37226</v>
      </c>
      <c r="J417">
        <f t="shared" si="33"/>
        <v>3.2341506916666671</v>
      </c>
      <c r="L417" s="116"/>
      <c r="N417" s="96"/>
    </row>
    <row r="418" spans="4:14" x14ac:dyDescent="0.25">
      <c r="D418" s="115">
        <v>37012</v>
      </c>
      <c r="E418" s="53">
        <v>3.0843327</v>
      </c>
      <c r="F418">
        <f t="shared" si="30"/>
        <v>120</v>
      </c>
      <c r="G418">
        <f t="shared" si="31"/>
        <v>120</v>
      </c>
      <c r="H418">
        <f t="shared" si="32"/>
        <v>35</v>
      </c>
      <c r="I418" s="116">
        <f t="shared" si="34"/>
        <v>37226</v>
      </c>
      <c r="J418">
        <f t="shared" si="33"/>
        <v>3.2341506916666671</v>
      </c>
      <c r="L418" s="116"/>
      <c r="N418" s="96"/>
    </row>
    <row r="419" spans="4:14" x14ac:dyDescent="0.25">
      <c r="D419" s="115">
        <v>37043</v>
      </c>
      <c r="E419" s="53">
        <v>3.2118098000000002</v>
      </c>
      <c r="F419">
        <f t="shared" si="30"/>
        <v>150</v>
      </c>
      <c r="G419">
        <f t="shared" si="31"/>
        <v>150</v>
      </c>
      <c r="H419">
        <f t="shared" si="32"/>
        <v>35</v>
      </c>
      <c r="I419" s="116">
        <f t="shared" si="34"/>
        <v>37226</v>
      </c>
      <c r="J419">
        <f t="shared" si="33"/>
        <v>3.2341506916666671</v>
      </c>
      <c r="L419" s="116"/>
      <c r="N419" s="96"/>
    </row>
    <row r="420" spans="4:14" x14ac:dyDescent="0.25">
      <c r="D420" s="115">
        <v>37073</v>
      </c>
      <c r="E420" s="53">
        <v>3.2190557000000002</v>
      </c>
      <c r="F420">
        <f t="shared" si="30"/>
        <v>180</v>
      </c>
      <c r="G420">
        <f t="shared" si="31"/>
        <v>180</v>
      </c>
      <c r="H420">
        <f t="shared" si="32"/>
        <v>35</v>
      </c>
      <c r="I420" s="116">
        <f t="shared" si="34"/>
        <v>37226</v>
      </c>
      <c r="J420">
        <f t="shared" si="33"/>
        <v>3.2341506916666671</v>
      </c>
      <c r="L420" s="116"/>
      <c r="N420" s="96"/>
    </row>
    <row r="421" spans="4:14" x14ac:dyDescent="0.25">
      <c r="D421" s="115">
        <v>37104</v>
      </c>
      <c r="E421" s="53">
        <v>3.2635089000000002</v>
      </c>
      <c r="F421">
        <f t="shared" si="30"/>
        <v>210</v>
      </c>
      <c r="G421">
        <f t="shared" si="31"/>
        <v>210</v>
      </c>
      <c r="H421">
        <f t="shared" si="32"/>
        <v>35</v>
      </c>
      <c r="I421" s="116">
        <f t="shared" si="34"/>
        <v>37226</v>
      </c>
      <c r="J421">
        <f t="shared" si="33"/>
        <v>3.2341506916666671</v>
      </c>
      <c r="L421" s="116"/>
      <c r="N421" s="96"/>
    </row>
    <row r="422" spans="4:14" x14ac:dyDescent="0.25">
      <c r="D422" s="115">
        <v>37135</v>
      </c>
      <c r="E422" s="53">
        <v>3.3990087</v>
      </c>
      <c r="F422">
        <f t="shared" si="30"/>
        <v>240</v>
      </c>
      <c r="G422">
        <f t="shared" si="31"/>
        <v>240</v>
      </c>
      <c r="H422">
        <f t="shared" si="32"/>
        <v>35</v>
      </c>
      <c r="I422" s="116">
        <f t="shared" si="34"/>
        <v>37226</v>
      </c>
      <c r="J422">
        <f t="shared" si="33"/>
        <v>3.2341506916666671</v>
      </c>
      <c r="L422" s="116"/>
      <c r="N422" s="96"/>
    </row>
    <row r="423" spans="4:14" x14ac:dyDescent="0.25">
      <c r="D423" s="115">
        <v>37165</v>
      </c>
      <c r="E423" s="53">
        <v>3.4934371</v>
      </c>
      <c r="F423">
        <f t="shared" si="30"/>
        <v>270</v>
      </c>
      <c r="G423">
        <f t="shared" si="31"/>
        <v>270</v>
      </c>
      <c r="H423">
        <f t="shared" si="32"/>
        <v>35</v>
      </c>
      <c r="I423" s="116">
        <f t="shared" si="34"/>
        <v>37226</v>
      </c>
      <c r="J423">
        <f t="shared" si="33"/>
        <v>3.2341506916666671</v>
      </c>
      <c r="L423" s="116"/>
      <c r="N423" s="96"/>
    </row>
    <row r="424" spans="4:14" x14ac:dyDescent="0.25">
      <c r="D424" s="115">
        <v>37196</v>
      </c>
      <c r="E424" s="53">
        <v>3.6122717</v>
      </c>
      <c r="F424">
        <f t="shared" si="30"/>
        <v>300</v>
      </c>
      <c r="G424">
        <f t="shared" si="31"/>
        <v>300</v>
      </c>
      <c r="H424">
        <f t="shared" si="32"/>
        <v>35</v>
      </c>
      <c r="I424" s="116">
        <f t="shared" si="34"/>
        <v>37226</v>
      </c>
      <c r="J424">
        <f t="shared" si="33"/>
        <v>3.2341506916666671</v>
      </c>
      <c r="L424" s="116"/>
      <c r="N424" s="96"/>
    </row>
    <row r="425" spans="4:14" x14ac:dyDescent="0.25">
      <c r="D425" s="115">
        <v>37226</v>
      </c>
      <c r="E425" s="53">
        <v>3.5754587</v>
      </c>
      <c r="F425">
        <f t="shared" si="30"/>
        <v>330</v>
      </c>
      <c r="G425">
        <f t="shared" si="31"/>
        <v>330</v>
      </c>
      <c r="H425">
        <f t="shared" si="32"/>
        <v>35</v>
      </c>
      <c r="I425" s="116">
        <f t="shared" si="34"/>
        <v>37226</v>
      </c>
      <c r="J425">
        <f t="shared" si="33"/>
        <v>3.2341506916666671</v>
      </c>
      <c r="L425" s="116"/>
      <c r="N425" s="96"/>
    </row>
    <row r="426" spans="4:14" x14ac:dyDescent="0.25">
      <c r="D426" s="115">
        <v>37257</v>
      </c>
      <c r="E426" s="53">
        <v>3.5684398000000002</v>
      </c>
      <c r="F426">
        <f t="shared" si="30"/>
        <v>0</v>
      </c>
      <c r="G426">
        <f t="shared" si="31"/>
        <v>0</v>
      </c>
      <c r="H426">
        <f t="shared" si="32"/>
        <v>36</v>
      </c>
      <c r="I426" s="116">
        <f t="shared" si="34"/>
        <v>37591</v>
      </c>
      <c r="J426">
        <f t="shared" si="33"/>
        <v>3.2359565583333332</v>
      </c>
      <c r="L426" s="116"/>
      <c r="N426" s="96"/>
    </row>
    <row r="427" spans="4:14" x14ac:dyDescent="0.25">
      <c r="D427" s="115">
        <v>37288</v>
      </c>
      <c r="E427" s="53">
        <v>3.5387816999999999</v>
      </c>
      <c r="F427">
        <f t="shared" si="30"/>
        <v>30</v>
      </c>
      <c r="G427">
        <f t="shared" si="31"/>
        <v>30</v>
      </c>
      <c r="H427">
        <f t="shared" si="32"/>
        <v>36</v>
      </c>
      <c r="I427" s="116">
        <f t="shared" si="34"/>
        <v>37591</v>
      </c>
      <c r="J427">
        <f t="shared" si="33"/>
        <v>3.2359565583333332</v>
      </c>
      <c r="L427" s="116"/>
      <c r="N427" s="96"/>
    </row>
    <row r="428" spans="4:14" x14ac:dyDescent="0.25">
      <c r="D428" s="115">
        <v>37316</v>
      </c>
      <c r="E428" s="53">
        <v>3.4801449999999998</v>
      </c>
      <c r="F428">
        <f t="shared" si="30"/>
        <v>60</v>
      </c>
      <c r="G428">
        <f t="shared" si="31"/>
        <v>60</v>
      </c>
      <c r="H428">
        <f t="shared" si="32"/>
        <v>36</v>
      </c>
      <c r="I428" s="116">
        <f t="shared" si="34"/>
        <v>37591</v>
      </c>
      <c r="J428">
        <f t="shared" si="33"/>
        <v>3.2359565583333332</v>
      </c>
      <c r="L428" s="116"/>
      <c r="N428" s="96"/>
    </row>
    <row r="429" spans="4:14" x14ac:dyDescent="0.25">
      <c r="D429" s="115">
        <v>37347</v>
      </c>
      <c r="E429" s="53">
        <v>3.4775060999999998</v>
      </c>
      <c r="F429">
        <f t="shared" si="30"/>
        <v>90</v>
      </c>
      <c r="G429">
        <f t="shared" si="31"/>
        <v>90</v>
      </c>
      <c r="H429">
        <f t="shared" si="32"/>
        <v>36</v>
      </c>
      <c r="I429" s="116">
        <f t="shared" si="34"/>
        <v>37591</v>
      </c>
      <c r="J429">
        <f t="shared" si="33"/>
        <v>3.2359565583333332</v>
      </c>
      <c r="L429" s="116"/>
      <c r="N429" s="96"/>
    </row>
    <row r="430" spans="4:14" x14ac:dyDescent="0.25">
      <c r="D430" s="115">
        <v>37377</v>
      </c>
      <c r="E430" s="53">
        <v>3.4632676999999998</v>
      </c>
      <c r="F430">
        <f t="shared" si="30"/>
        <v>120</v>
      </c>
      <c r="G430">
        <f t="shared" si="31"/>
        <v>120</v>
      </c>
      <c r="H430">
        <f t="shared" si="32"/>
        <v>36</v>
      </c>
      <c r="I430" s="116">
        <f t="shared" si="34"/>
        <v>37591</v>
      </c>
      <c r="J430">
        <f t="shared" si="33"/>
        <v>3.2359565583333332</v>
      </c>
      <c r="L430" s="116"/>
      <c r="N430" s="96"/>
    </row>
    <row r="431" spans="4:14" x14ac:dyDescent="0.25">
      <c r="D431" s="115">
        <v>37408</v>
      </c>
      <c r="E431" s="53">
        <v>3.2512148999999999</v>
      </c>
      <c r="F431">
        <f t="shared" si="30"/>
        <v>150</v>
      </c>
      <c r="G431">
        <f t="shared" si="31"/>
        <v>150</v>
      </c>
      <c r="H431">
        <f t="shared" si="32"/>
        <v>36</v>
      </c>
      <c r="I431" s="116">
        <f t="shared" si="34"/>
        <v>37591</v>
      </c>
      <c r="J431">
        <f t="shared" si="33"/>
        <v>3.2359565583333332</v>
      </c>
      <c r="L431" s="116"/>
      <c r="N431" s="96"/>
    </row>
    <row r="432" spans="4:14" x14ac:dyDescent="0.25">
      <c r="D432" s="115">
        <v>37438</v>
      </c>
      <c r="E432" s="53">
        <v>3.2740984000000002</v>
      </c>
      <c r="F432">
        <f t="shared" si="30"/>
        <v>180</v>
      </c>
      <c r="G432">
        <f t="shared" si="31"/>
        <v>180</v>
      </c>
      <c r="H432">
        <f t="shared" si="32"/>
        <v>36</v>
      </c>
      <c r="I432" s="116">
        <f t="shared" si="34"/>
        <v>37591</v>
      </c>
      <c r="J432">
        <f t="shared" si="33"/>
        <v>3.2359565583333332</v>
      </c>
      <c r="L432" s="116"/>
      <c r="N432" s="96"/>
    </row>
    <row r="433" spans="4:14" x14ac:dyDescent="0.25">
      <c r="D433" s="115">
        <v>37469</v>
      </c>
      <c r="E433" s="53">
        <v>3.1567968999999998</v>
      </c>
      <c r="F433">
        <f t="shared" si="30"/>
        <v>210</v>
      </c>
      <c r="G433">
        <f t="shared" si="31"/>
        <v>210</v>
      </c>
      <c r="H433">
        <f t="shared" si="32"/>
        <v>36</v>
      </c>
      <c r="I433" s="116">
        <f t="shared" si="34"/>
        <v>37591</v>
      </c>
      <c r="J433">
        <f t="shared" si="33"/>
        <v>3.2359565583333332</v>
      </c>
      <c r="L433" s="116"/>
      <c r="N433" s="96"/>
    </row>
    <row r="434" spans="4:14" x14ac:dyDescent="0.25">
      <c r="D434" s="115">
        <v>37500</v>
      </c>
      <c r="E434" s="53">
        <v>3.0374650999999999</v>
      </c>
      <c r="F434">
        <f t="shared" si="30"/>
        <v>240</v>
      </c>
      <c r="G434">
        <f t="shared" si="31"/>
        <v>240</v>
      </c>
      <c r="H434">
        <f t="shared" si="32"/>
        <v>36</v>
      </c>
      <c r="I434" s="116">
        <f t="shared" si="34"/>
        <v>37591</v>
      </c>
      <c r="J434">
        <f t="shared" si="33"/>
        <v>3.2359565583333332</v>
      </c>
      <c r="L434" s="116"/>
      <c r="N434" s="96"/>
    </row>
    <row r="435" spans="4:14" x14ac:dyDescent="0.25">
      <c r="D435" s="115">
        <v>37530</v>
      </c>
      <c r="E435" s="53">
        <v>2.9477484999999999</v>
      </c>
      <c r="F435">
        <f t="shared" si="30"/>
        <v>270</v>
      </c>
      <c r="G435">
        <f t="shared" si="31"/>
        <v>270</v>
      </c>
      <c r="H435">
        <f t="shared" si="32"/>
        <v>36</v>
      </c>
      <c r="I435" s="116">
        <f t="shared" si="34"/>
        <v>37591</v>
      </c>
      <c r="J435">
        <f t="shared" si="33"/>
        <v>3.2359565583333332</v>
      </c>
      <c r="L435" s="116"/>
      <c r="N435" s="96"/>
    </row>
    <row r="436" spans="4:14" x14ac:dyDescent="0.25">
      <c r="D436" s="115">
        <v>37561</v>
      </c>
      <c r="E436" s="53">
        <v>2.8341831000000002</v>
      </c>
      <c r="F436">
        <f t="shared" si="30"/>
        <v>300</v>
      </c>
      <c r="G436">
        <f t="shared" si="31"/>
        <v>300</v>
      </c>
      <c r="H436">
        <f t="shared" si="32"/>
        <v>36</v>
      </c>
      <c r="I436" s="116">
        <f t="shared" si="34"/>
        <v>37591</v>
      </c>
      <c r="J436">
        <f t="shared" si="33"/>
        <v>3.2359565583333332</v>
      </c>
      <c r="L436" s="116"/>
      <c r="N436" s="96"/>
    </row>
    <row r="437" spans="4:14" x14ac:dyDescent="0.25">
      <c r="D437" s="115">
        <v>37591</v>
      </c>
      <c r="E437" s="53">
        <v>2.8018315</v>
      </c>
      <c r="F437">
        <f t="shared" si="30"/>
        <v>330</v>
      </c>
      <c r="G437">
        <f t="shared" si="31"/>
        <v>330</v>
      </c>
      <c r="H437">
        <f t="shared" si="32"/>
        <v>36</v>
      </c>
      <c r="I437" s="116">
        <f t="shared" si="34"/>
        <v>37591</v>
      </c>
      <c r="J437">
        <f t="shared" si="33"/>
        <v>3.2359565583333332</v>
      </c>
      <c r="L437" s="116"/>
      <c r="N437" s="96"/>
    </row>
    <row r="438" spans="4:14" x14ac:dyDescent="0.25">
      <c r="D438" s="115">
        <v>37622</v>
      </c>
      <c r="E438" s="53">
        <v>2.7875530999999998</v>
      </c>
      <c r="F438">
        <f t="shared" si="30"/>
        <v>0</v>
      </c>
      <c r="G438">
        <f t="shared" si="31"/>
        <v>0</v>
      </c>
      <c r="H438">
        <f t="shared" si="32"/>
        <v>37</v>
      </c>
      <c r="I438" s="116">
        <f t="shared" si="34"/>
        <v>37956</v>
      </c>
      <c r="J438">
        <f t="shared" si="33"/>
        <v>2.3300123500000001</v>
      </c>
      <c r="L438" s="116"/>
      <c r="N438" s="96"/>
    </row>
    <row r="439" spans="4:14" x14ac:dyDescent="0.25">
      <c r="D439" s="115">
        <v>37653</v>
      </c>
      <c r="E439" s="53">
        <v>2.7046594000000002</v>
      </c>
      <c r="F439">
        <f t="shared" si="30"/>
        <v>30</v>
      </c>
      <c r="G439">
        <f t="shared" si="31"/>
        <v>30</v>
      </c>
      <c r="H439">
        <f t="shared" si="32"/>
        <v>37</v>
      </c>
      <c r="I439" s="116">
        <f t="shared" si="34"/>
        <v>37956</v>
      </c>
      <c r="J439">
        <f t="shared" si="33"/>
        <v>2.3300123500000001</v>
      </c>
      <c r="L439" s="116"/>
      <c r="N439" s="96"/>
    </row>
    <row r="440" spans="4:14" x14ac:dyDescent="0.25">
      <c r="D440" s="115">
        <v>37681</v>
      </c>
      <c r="E440" s="53">
        <v>2.6277872000000002</v>
      </c>
      <c r="F440">
        <f t="shared" si="30"/>
        <v>60</v>
      </c>
      <c r="G440">
        <f t="shared" si="31"/>
        <v>60</v>
      </c>
      <c r="H440">
        <f t="shared" si="32"/>
        <v>37</v>
      </c>
      <c r="I440" s="116">
        <f t="shared" si="34"/>
        <v>37956</v>
      </c>
      <c r="J440">
        <f t="shared" si="33"/>
        <v>2.3300123500000001</v>
      </c>
      <c r="L440" s="116"/>
      <c r="N440" s="96"/>
    </row>
    <row r="441" spans="4:14" x14ac:dyDescent="0.25">
      <c r="D441" s="115">
        <v>37712</v>
      </c>
      <c r="E441" s="53">
        <v>2.4593490999999998</v>
      </c>
      <c r="F441">
        <f t="shared" si="30"/>
        <v>90</v>
      </c>
      <c r="G441">
        <f t="shared" si="31"/>
        <v>90</v>
      </c>
      <c r="H441">
        <f t="shared" si="32"/>
        <v>37</v>
      </c>
      <c r="I441" s="116">
        <f t="shared" si="34"/>
        <v>37956</v>
      </c>
      <c r="J441">
        <f t="shared" si="33"/>
        <v>2.3300123500000001</v>
      </c>
      <c r="L441" s="116"/>
      <c r="N441" s="96"/>
    </row>
    <row r="442" spans="4:14" x14ac:dyDescent="0.25">
      <c r="D442" s="115">
        <v>37742</v>
      </c>
      <c r="E442" s="53">
        <v>2.3483407000000001</v>
      </c>
      <c r="F442">
        <f t="shared" si="30"/>
        <v>120</v>
      </c>
      <c r="G442">
        <f t="shared" si="31"/>
        <v>120</v>
      </c>
      <c r="H442">
        <f t="shared" si="32"/>
        <v>37</v>
      </c>
      <c r="I442" s="116">
        <f t="shared" si="34"/>
        <v>37956</v>
      </c>
      <c r="J442">
        <f t="shared" si="33"/>
        <v>2.3300123500000001</v>
      </c>
      <c r="L442" s="116"/>
      <c r="N442" s="96"/>
    </row>
    <row r="443" spans="4:14" x14ac:dyDescent="0.25">
      <c r="D443" s="115">
        <v>37773</v>
      </c>
      <c r="E443" s="53">
        <v>2.27155</v>
      </c>
      <c r="F443">
        <f t="shared" si="30"/>
        <v>150</v>
      </c>
      <c r="G443">
        <f t="shared" si="31"/>
        <v>150</v>
      </c>
      <c r="H443">
        <f t="shared" si="32"/>
        <v>37</v>
      </c>
      <c r="I443" s="116">
        <f t="shared" si="34"/>
        <v>37956</v>
      </c>
      <c r="J443">
        <f t="shared" si="33"/>
        <v>2.3300123500000001</v>
      </c>
      <c r="L443" s="116"/>
      <c r="N443" s="96"/>
    </row>
    <row r="444" spans="4:14" x14ac:dyDescent="0.25">
      <c r="D444" s="115">
        <v>37803</v>
      </c>
      <c r="E444" s="53">
        <v>2.2372079999999999</v>
      </c>
      <c r="F444">
        <f t="shared" si="30"/>
        <v>180</v>
      </c>
      <c r="G444">
        <f t="shared" si="31"/>
        <v>180</v>
      </c>
      <c r="H444">
        <f t="shared" si="32"/>
        <v>37</v>
      </c>
      <c r="I444" s="116">
        <f t="shared" si="34"/>
        <v>37956</v>
      </c>
      <c r="J444">
        <f t="shared" si="33"/>
        <v>2.3300123500000001</v>
      </c>
      <c r="L444" s="116"/>
      <c r="N444" s="96"/>
    </row>
    <row r="445" spans="4:14" x14ac:dyDescent="0.25">
      <c r="D445" s="115">
        <v>37834</v>
      </c>
      <c r="E445" s="53">
        <v>2.1655338</v>
      </c>
      <c r="F445">
        <f t="shared" si="30"/>
        <v>210</v>
      </c>
      <c r="G445">
        <f t="shared" si="31"/>
        <v>210</v>
      </c>
      <c r="H445">
        <f t="shared" si="32"/>
        <v>37</v>
      </c>
      <c r="I445" s="116">
        <f t="shared" si="34"/>
        <v>37956</v>
      </c>
      <c r="J445">
        <f t="shared" si="33"/>
        <v>2.3300123500000001</v>
      </c>
      <c r="L445" s="116"/>
      <c r="N445" s="96"/>
    </row>
    <row r="446" spans="4:14" x14ac:dyDescent="0.25">
      <c r="D446" s="115">
        <v>37865</v>
      </c>
      <c r="E446" s="53">
        <v>2.1842475000000001</v>
      </c>
      <c r="F446">
        <f t="shared" si="30"/>
        <v>240</v>
      </c>
      <c r="G446">
        <f t="shared" si="31"/>
        <v>240</v>
      </c>
      <c r="H446">
        <f t="shared" si="32"/>
        <v>37</v>
      </c>
      <c r="I446" s="116">
        <f t="shared" si="34"/>
        <v>37956</v>
      </c>
      <c r="J446">
        <f t="shared" si="33"/>
        <v>2.3300123500000001</v>
      </c>
      <c r="L446" s="116"/>
      <c r="N446" s="96"/>
    </row>
    <row r="447" spans="4:14" x14ac:dyDescent="0.25">
      <c r="D447" s="115">
        <v>37895</v>
      </c>
      <c r="E447" s="53">
        <v>2.1611132999999998</v>
      </c>
      <c r="F447">
        <f t="shared" si="30"/>
        <v>270</v>
      </c>
      <c r="G447">
        <f t="shared" si="31"/>
        <v>270</v>
      </c>
      <c r="H447">
        <f t="shared" si="32"/>
        <v>37</v>
      </c>
      <c r="I447" s="116">
        <f t="shared" si="34"/>
        <v>37956</v>
      </c>
      <c r="J447">
        <f t="shared" si="33"/>
        <v>2.3300123500000001</v>
      </c>
      <c r="L447" s="116"/>
      <c r="N447" s="96"/>
    </row>
    <row r="448" spans="4:14" x14ac:dyDescent="0.25">
      <c r="D448" s="115">
        <v>37926</v>
      </c>
      <c r="E448" s="53">
        <v>2.0365931000000002</v>
      </c>
      <c r="F448">
        <f t="shared" si="30"/>
        <v>300</v>
      </c>
      <c r="G448">
        <f t="shared" si="31"/>
        <v>300</v>
      </c>
      <c r="H448">
        <f t="shared" si="32"/>
        <v>37</v>
      </c>
      <c r="I448" s="116">
        <f t="shared" si="34"/>
        <v>37956</v>
      </c>
      <c r="J448">
        <f t="shared" si="33"/>
        <v>2.3300123500000001</v>
      </c>
      <c r="L448" s="116"/>
      <c r="N448" s="96"/>
    </row>
    <row r="449" spans="4:14" x14ac:dyDescent="0.25">
      <c r="D449" s="115">
        <v>37956</v>
      </c>
      <c r="E449" s="53">
        <v>1.976213</v>
      </c>
      <c r="F449">
        <f t="shared" si="30"/>
        <v>330</v>
      </c>
      <c r="G449">
        <f t="shared" si="31"/>
        <v>330</v>
      </c>
      <c r="H449">
        <f t="shared" si="32"/>
        <v>37</v>
      </c>
      <c r="I449" s="116">
        <f t="shared" si="34"/>
        <v>37956</v>
      </c>
      <c r="J449">
        <f t="shared" si="33"/>
        <v>2.3300123500000001</v>
      </c>
      <c r="L449" s="116"/>
      <c r="N449" s="96"/>
    </row>
    <row r="450" spans="4:14" x14ac:dyDescent="0.25">
      <c r="D450" s="115">
        <v>37987</v>
      </c>
      <c r="E450" s="53">
        <v>1.9607228999999999</v>
      </c>
      <c r="F450">
        <f t="shared" si="30"/>
        <v>0</v>
      </c>
      <c r="G450">
        <f t="shared" si="31"/>
        <v>0</v>
      </c>
      <c r="H450">
        <f t="shared" si="32"/>
        <v>38</v>
      </c>
      <c r="I450" s="116">
        <f t="shared" si="34"/>
        <v>38322</v>
      </c>
      <c r="J450">
        <f t="shared" si="33"/>
        <v>2.2195945999999998</v>
      </c>
      <c r="L450" s="116"/>
      <c r="N450" s="96"/>
    </row>
    <row r="451" spans="4:14" x14ac:dyDescent="0.25">
      <c r="D451" s="115">
        <v>38018</v>
      </c>
      <c r="E451" s="53">
        <v>2.0481367000000001</v>
      </c>
      <c r="F451">
        <f t="shared" si="30"/>
        <v>30</v>
      </c>
      <c r="G451">
        <f t="shared" si="31"/>
        <v>30</v>
      </c>
      <c r="H451">
        <f t="shared" si="32"/>
        <v>38</v>
      </c>
      <c r="I451" s="116">
        <f t="shared" si="34"/>
        <v>38322</v>
      </c>
      <c r="J451">
        <f t="shared" si="33"/>
        <v>2.2195945999999998</v>
      </c>
      <c r="L451" s="116"/>
      <c r="N451" s="96"/>
    </row>
    <row r="452" spans="4:14" x14ac:dyDescent="0.25">
      <c r="D452" s="115">
        <v>38047</v>
      </c>
      <c r="E452" s="53">
        <v>2.1370610999999999</v>
      </c>
      <c r="F452">
        <f t="shared" si="30"/>
        <v>60</v>
      </c>
      <c r="G452">
        <f t="shared" si="31"/>
        <v>60</v>
      </c>
      <c r="H452">
        <f t="shared" si="32"/>
        <v>38</v>
      </c>
      <c r="I452" s="116">
        <f t="shared" si="34"/>
        <v>38322</v>
      </c>
      <c r="J452">
        <f t="shared" si="33"/>
        <v>2.2195945999999998</v>
      </c>
      <c r="L452" s="116"/>
      <c r="N452" s="96"/>
    </row>
    <row r="453" spans="4:14" x14ac:dyDescent="0.25">
      <c r="D453" s="115">
        <v>38078</v>
      </c>
      <c r="E453" s="53">
        <v>2.2577612999999999</v>
      </c>
      <c r="F453">
        <f t="shared" si="30"/>
        <v>90</v>
      </c>
      <c r="G453">
        <f t="shared" si="31"/>
        <v>90</v>
      </c>
      <c r="H453">
        <f t="shared" si="32"/>
        <v>38</v>
      </c>
      <c r="I453" s="116">
        <f t="shared" si="34"/>
        <v>38322</v>
      </c>
      <c r="J453">
        <f t="shared" si="33"/>
        <v>2.2195945999999998</v>
      </c>
      <c r="L453" s="116"/>
      <c r="N453" s="96"/>
    </row>
    <row r="454" spans="4:14" x14ac:dyDescent="0.25">
      <c r="D454" s="115">
        <v>38108</v>
      </c>
      <c r="E454" s="53">
        <v>2.2378638</v>
      </c>
      <c r="F454">
        <f t="shared" si="30"/>
        <v>120</v>
      </c>
      <c r="G454">
        <f t="shared" si="31"/>
        <v>120</v>
      </c>
      <c r="H454">
        <f t="shared" si="32"/>
        <v>38</v>
      </c>
      <c r="I454" s="116">
        <f t="shared" si="34"/>
        <v>38322</v>
      </c>
      <c r="J454">
        <f t="shared" si="33"/>
        <v>2.2195945999999998</v>
      </c>
      <c r="L454" s="116"/>
      <c r="N454" s="96"/>
    </row>
    <row r="455" spans="4:14" x14ac:dyDescent="0.25">
      <c r="D455" s="115">
        <v>38139</v>
      </c>
      <c r="E455" s="53">
        <v>2.3794884000000001</v>
      </c>
      <c r="F455">
        <f t="shared" si="30"/>
        <v>150</v>
      </c>
      <c r="G455">
        <f t="shared" si="31"/>
        <v>150</v>
      </c>
      <c r="H455">
        <f t="shared" si="32"/>
        <v>38</v>
      </c>
      <c r="I455" s="116">
        <f t="shared" si="34"/>
        <v>38322</v>
      </c>
      <c r="J455">
        <f t="shared" si="33"/>
        <v>2.2195945999999998</v>
      </c>
      <c r="L455" s="116"/>
      <c r="N455" s="96"/>
    </row>
    <row r="456" spans="4:14" x14ac:dyDescent="0.25">
      <c r="D456" s="115">
        <v>38169</v>
      </c>
      <c r="E456" s="53">
        <v>2.2638524000000002</v>
      </c>
      <c r="F456">
        <f t="shared" si="30"/>
        <v>180</v>
      </c>
      <c r="G456">
        <f t="shared" si="31"/>
        <v>180</v>
      </c>
      <c r="H456">
        <f t="shared" si="32"/>
        <v>38</v>
      </c>
      <c r="I456" s="116">
        <f t="shared" si="34"/>
        <v>38322</v>
      </c>
      <c r="J456">
        <f t="shared" si="33"/>
        <v>2.2195945999999998</v>
      </c>
      <c r="L456" s="116"/>
      <c r="N456" s="96"/>
    </row>
    <row r="457" spans="4:14" x14ac:dyDescent="0.25">
      <c r="D457" s="115">
        <v>38200</v>
      </c>
      <c r="E457" s="53">
        <v>2.2577292</v>
      </c>
      <c r="F457">
        <f t="shared" si="30"/>
        <v>210</v>
      </c>
      <c r="G457">
        <f t="shared" si="31"/>
        <v>210</v>
      </c>
      <c r="H457">
        <f t="shared" si="32"/>
        <v>38</v>
      </c>
      <c r="I457" s="116">
        <f t="shared" si="34"/>
        <v>38322</v>
      </c>
      <c r="J457">
        <f t="shared" si="33"/>
        <v>2.2195945999999998</v>
      </c>
      <c r="L457" s="116"/>
      <c r="N457" s="96"/>
    </row>
    <row r="458" spans="4:14" x14ac:dyDescent="0.25">
      <c r="D458" s="115">
        <v>38231</v>
      </c>
      <c r="E458" s="53">
        <v>2.2402009999999999</v>
      </c>
      <c r="F458">
        <f t="shared" si="30"/>
        <v>240</v>
      </c>
      <c r="G458">
        <f t="shared" si="31"/>
        <v>240</v>
      </c>
      <c r="H458">
        <f t="shared" si="32"/>
        <v>38</v>
      </c>
      <c r="I458" s="116">
        <f t="shared" si="34"/>
        <v>38322</v>
      </c>
      <c r="J458">
        <f t="shared" si="33"/>
        <v>2.2195945999999998</v>
      </c>
      <c r="L458" s="116"/>
      <c r="N458" s="96"/>
    </row>
    <row r="459" spans="4:14" x14ac:dyDescent="0.25">
      <c r="D459" s="115">
        <v>38261</v>
      </c>
      <c r="E459" s="53">
        <v>2.2372193999999999</v>
      </c>
      <c r="F459">
        <f t="shared" si="30"/>
        <v>270</v>
      </c>
      <c r="G459">
        <f t="shared" si="31"/>
        <v>270</v>
      </c>
      <c r="H459">
        <f t="shared" si="32"/>
        <v>38</v>
      </c>
      <c r="I459" s="116">
        <f t="shared" si="34"/>
        <v>38322</v>
      </c>
      <c r="J459">
        <f t="shared" si="33"/>
        <v>2.2195945999999998</v>
      </c>
      <c r="L459" s="116"/>
      <c r="N459" s="96"/>
    </row>
    <row r="460" spans="4:14" x14ac:dyDescent="0.25">
      <c r="D460" s="115">
        <v>38292</v>
      </c>
      <c r="E460" s="53">
        <v>2.3012131</v>
      </c>
      <c r="F460">
        <f t="shared" si="30"/>
        <v>300</v>
      </c>
      <c r="G460">
        <f t="shared" si="31"/>
        <v>300</v>
      </c>
      <c r="H460">
        <f t="shared" si="32"/>
        <v>38</v>
      </c>
      <c r="I460" s="116">
        <f t="shared" si="34"/>
        <v>38322</v>
      </c>
      <c r="J460">
        <f t="shared" si="33"/>
        <v>2.2195945999999998</v>
      </c>
      <c r="L460" s="116"/>
      <c r="N460" s="96"/>
    </row>
    <row r="461" spans="4:14" x14ac:dyDescent="0.25">
      <c r="D461" s="115">
        <v>38322</v>
      </c>
      <c r="E461" s="53">
        <v>2.3138858999999998</v>
      </c>
      <c r="F461">
        <f t="shared" si="30"/>
        <v>330</v>
      </c>
      <c r="G461">
        <f t="shared" si="31"/>
        <v>330</v>
      </c>
      <c r="H461">
        <f t="shared" si="32"/>
        <v>38</v>
      </c>
      <c r="I461" s="116">
        <f t="shared" si="34"/>
        <v>38322</v>
      </c>
      <c r="J461">
        <f t="shared" si="33"/>
        <v>2.2195945999999998</v>
      </c>
      <c r="L461" s="116"/>
      <c r="N461" s="96"/>
    </row>
    <row r="462" spans="4:14" x14ac:dyDescent="0.25">
      <c r="D462" s="115">
        <v>38353</v>
      </c>
      <c r="E462" s="53">
        <v>2.3158903</v>
      </c>
      <c r="F462">
        <f t="shared" si="30"/>
        <v>0</v>
      </c>
      <c r="G462">
        <f t="shared" si="31"/>
        <v>0</v>
      </c>
      <c r="H462">
        <f t="shared" si="32"/>
        <v>39</v>
      </c>
      <c r="I462" s="116">
        <f t="shared" si="34"/>
        <v>38687</v>
      </c>
      <c r="J462">
        <f t="shared" si="33"/>
        <v>2.3142403083333334</v>
      </c>
      <c r="L462" s="116"/>
      <c r="N462" s="96"/>
    </row>
    <row r="463" spans="4:14" x14ac:dyDescent="0.25">
      <c r="D463" s="115">
        <v>38384</v>
      </c>
      <c r="E463" s="53">
        <v>2.2862448999999998</v>
      </c>
      <c r="F463">
        <f t="shared" si="30"/>
        <v>30</v>
      </c>
      <c r="G463">
        <f t="shared" si="31"/>
        <v>30</v>
      </c>
      <c r="H463">
        <f t="shared" si="32"/>
        <v>39</v>
      </c>
      <c r="I463" s="116">
        <f t="shared" si="34"/>
        <v>38687</v>
      </c>
      <c r="J463">
        <f t="shared" si="33"/>
        <v>2.3142403083333334</v>
      </c>
      <c r="L463" s="116"/>
      <c r="N463" s="96"/>
    </row>
    <row r="464" spans="4:14" x14ac:dyDescent="0.25">
      <c r="D464" s="115">
        <v>38412</v>
      </c>
      <c r="E464" s="53">
        <v>2.2461525999999998</v>
      </c>
      <c r="F464">
        <f t="shared" si="30"/>
        <v>60</v>
      </c>
      <c r="G464">
        <f t="shared" si="31"/>
        <v>60</v>
      </c>
      <c r="H464">
        <f t="shared" si="32"/>
        <v>39</v>
      </c>
      <c r="I464" s="116">
        <f t="shared" si="34"/>
        <v>38687</v>
      </c>
      <c r="J464">
        <f t="shared" si="33"/>
        <v>2.3142403083333334</v>
      </c>
      <c r="L464" s="116"/>
      <c r="N464" s="96"/>
    </row>
    <row r="465" spans="4:14" x14ac:dyDescent="0.25">
      <c r="D465" s="115">
        <v>38443</v>
      </c>
      <c r="E465" s="53">
        <v>2.2397222999999999</v>
      </c>
      <c r="F465">
        <f t="shared" ref="F465:F528" si="35">FLOOR(DAYS360(DATE(YEAR(D465),1,1),D465),30)</f>
        <v>90</v>
      </c>
      <c r="G465">
        <f t="shared" si="31"/>
        <v>90</v>
      </c>
      <c r="H465">
        <f t="shared" si="32"/>
        <v>39</v>
      </c>
      <c r="I465" s="116">
        <f t="shared" si="34"/>
        <v>38687</v>
      </c>
      <c r="J465">
        <f t="shared" si="33"/>
        <v>2.3142403083333334</v>
      </c>
      <c r="L465" s="116"/>
      <c r="N465" s="96"/>
    </row>
    <row r="466" spans="4:14" x14ac:dyDescent="0.25">
      <c r="D466" s="115">
        <v>38473</v>
      </c>
      <c r="E466" s="53">
        <v>2.3579552000000001</v>
      </c>
      <c r="F466">
        <f t="shared" si="35"/>
        <v>120</v>
      </c>
      <c r="G466">
        <f t="shared" ref="G466:G529" si="36">MOD(F466, 360/$G$12)</f>
        <v>120</v>
      </c>
      <c r="H466">
        <f t="shared" ref="H466:H529" si="37">IF(G466&gt;G465,H465,H465+1)</f>
        <v>39</v>
      </c>
      <c r="I466" s="116">
        <f t="shared" si="34"/>
        <v>38687</v>
      </c>
      <c r="J466">
        <f t="shared" ref="J466:J529" si="38">AVERAGEIF($H$17:$H$675,H466,$E$17:$E$675)</f>
        <v>2.3142403083333334</v>
      </c>
      <c r="L466" s="116"/>
      <c r="N466" s="96"/>
    </row>
    <row r="467" spans="4:14" x14ac:dyDescent="0.25">
      <c r="D467" s="115">
        <v>38504</v>
      </c>
      <c r="E467" s="53">
        <v>2.1993551999999998</v>
      </c>
      <c r="F467">
        <f t="shared" si="35"/>
        <v>150</v>
      </c>
      <c r="G467">
        <f t="shared" si="36"/>
        <v>150</v>
      </c>
      <c r="H467">
        <f t="shared" si="37"/>
        <v>39</v>
      </c>
      <c r="I467" s="116">
        <f t="shared" ref="I467:I530" si="39">EDATE(I466,(H467-H466)*(12/$G$12))</f>
        <v>38687</v>
      </c>
      <c r="J467">
        <f t="shared" si="38"/>
        <v>2.3142403083333334</v>
      </c>
      <c r="L467" s="116"/>
      <c r="N467" s="96"/>
    </row>
    <row r="468" spans="4:14" x14ac:dyDescent="0.25">
      <c r="D468" s="115">
        <v>38534</v>
      </c>
      <c r="E468" s="53">
        <v>2.3010793999999999</v>
      </c>
      <c r="F468">
        <f t="shared" si="35"/>
        <v>180</v>
      </c>
      <c r="G468">
        <f t="shared" si="36"/>
        <v>180</v>
      </c>
      <c r="H468">
        <f t="shared" si="37"/>
        <v>39</v>
      </c>
      <c r="I468" s="116">
        <f t="shared" si="39"/>
        <v>38687</v>
      </c>
      <c r="J468">
        <f t="shared" si="38"/>
        <v>2.3142403083333334</v>
      </c>
      <c r="L468" s="116"/>
      <c r="N468" s="96"/>
    </row>
    <row r="469" spans="4:14" x14ac:dyDescent="0.25">
      <c r="D469" s="115">
        <v>38565</v>
      </c>
      <c r="E469" s="53">
        <v>2.2644058999999999</v>
      </c>
      <c r="F469">
        <f t="shared" si="35"/>
        <v>210</v>
      </c>
      <c r="G469">
        <f t="shared" si="36"/>
        <v>210</v>
      </c>
      <c r="H469">
        <f t="shared" si="37"/>
        <v>39</v>
      </c>
      <c r="I469" s="116">
        <f t="shared" si="39"/>
        <v>38687</v>
      </c>
      <c r="J469">
        <f t="shared" si="38"/>
        <v>2.3142403083333334</v>
      </c>
      <c r="L469" s="116"/>
      <c r="N469" s="96"/>
    </row>
    <row r="470" spans="4:14" x14ac:dyDescent="0.25">
      <c r="D470" s="115">
        <v>38596</v>
      </c>
      <c r="E470" s="53">
        <v>2.3340762000000002</v>
      </c>
      <c r="F470">
        <f t="shared" si="35"/>
        <v>240</v>
      </c>
      <c r="G470">
        <f t="shared" si="36"/>
        <v>240</v>
      </c>
      <c r="H470">
        <f t="shared" si="37"/>
        <v>39</v>
      </c>
      <c r="I470" s="116">
        <f t="shared" si="39"/>
        <v>38687</v>
      </c>
      <c r="J470">
        <f t="shared" si="38"/>
        <v>2.3142403083333334</v>
      </c>
      <c r="L470" s="116"/>
      <c r="N470" s="96"/>
    </row>
    <row r="471" spans="4:14" x14ac:dyDescent="0.25">
      <c r="D471" s="115">
        <v>38626</v>
      </c>
      <c r="E471" s="53">
        <v>2.3253024</v>
      </c>
      <c r="F471">
        <f t="shared" si="35"/>
        <v>270</v>
      </c>
      <c r="G471">
        <f t="shared" si="36"/>
        <v>270</v>
      </c>
      <c r="H471">
        <f t="shared" si="37"/>
        <v>39</v>
      </c>
      <c r="I471" s="116">
        <f t="shared" si="39"/>
        <v>38687</v>
      </c>
      <c r="J471">
        <f t="shared" si="38"/>
        <v>2.3142403083333334</v>
      </c>
      <c r="L471" s="116"/>
      <c r="N471" s="96"/>
    </row>
    <row r="472" spans="4:14" x14ac:dyDescent="0.25">
      <c r="D472" s="115">
        <v>38657</v>
      </c>
      <c r="E472" s="53">
        <v>2.4316658000000002</v>
      </c>
      <c r="F472">
        <f t="shared" si="35"/>
        <v>300</v>
      </c>
      <c r="G472">
        <f t="shared" si="36"/>
        <v>300</v>
      </c>
      <c r="H472">
        <f t="shared" si="37"/>
        <v>39</v>
      </c>
      <c r="I472" s="116">
        <f t="shared" si="39"/>
        <v>38687</v>
      </c>
      <c r="J472">
        <f t="shared" si="38"/>
        <v>2.3142403083333334</v>
      </c>
      <c r="L472" s="116"/>
      <c r="N472" s="96"/>
    </row>
    <row r="473" spans="4:14" x14ac:dyDescent="0.25">
      <c r="D473" s="115">
        <v>38687</v>
      </c>
      <c r="E473" s="53">
        <v>2.4690335000000001</v>
      </c>
      <c r="F473">
        <f t="shared" si="35"/>
        <v>330</v>
      </c>
      <c r="G473">
        <f t="shared" si="36"/>
        <v>330</v>
      </c>
      <c r="H473">
        <f t="shared" si="37"/>
        <v>39</v>
      </c>
      <c r="I473" s="116">
        <f t="shared" si="39"/>
        <v>38687</v>
      </c>
      <c r="J473">
        <f t="shared" si="38"/>
        <v>2.3142403083333334</v>
      </c>
      <c r="L473" s="116"/>
      <c r="N473" s="96"/>
    </row>
    <row r="474" spans="4:14" x14ac:dyDescent="0.25">
      <c r="D474" s="115">
        <v>38718</v>
      </c>
      <c r="E474" s="53">
        <v>2.4510190999999999</v>
      </c>
      <c r="F474">
        <f t="shared" si="35"/>
        <v>0</v>
      </c>
      <c r="G474">
        <f t="shared" si="36"/>
        <v>0</v>
      </c>
      <c r="H474">
        <f t="shared" si="37"/>
        <v>40</v>
      </c>
      <c r="I474" s="116">
        <f t="shared" si="39"/>
        <v>39052</v>
      </c>
      <c r="J474">
        <f t="shared" si="38"/>
        <v>2.9271037416666665</v>
      </c>
      <c r="L474" s="116"/>
      <c r="N474" s="96"/>
    </row>
    <row r="475" spans="4:14" x14ac:dyDescent="0.25">
      <c r="D475" s="115">
        <v>38749</v>
      </c>
      <c r="E475" s="53">
        <v>2.4992554</v>
      </c>
      <c r="F475">
        <f t="shared" si="35"/>
        <v>30</v>
      </c>
      <c r="G475">
        <f t="shared" si="36"/>
        <v>30</v>
      </c>
      <c r="H475">
        <f t="shared" si="37"/>
        <v>40</v>
      </c>
      <c r="I475" s="116">
        <f t="shared" si="39"/>
        <v>39052</v>
      </c>
      <c r="J475">
        <f t="shared" si="38"/>
        <v>2.9271037416666665</v>
      </c>
      <c r="L475" s="116"/>
      <c r="N475" s="96"/>
    </row>
    <row r="476" spans="4:14" x14ac:dyDescent="0.25">
      <c r="D476" s="115">
        <v>38777</v>
      </c>
      <c r="E476" s="53">
        <v>2.5812189999999999</v>
      </c>
      <c r="F476">
        <f t="shared" si="35"/>
        <v>60</v>
      </c>
      <c r="G476">
        <f t="shared" si="36"/>
        <v>60</v>
      </c>
      <c r="H476">
        <f t="shared" si="37"/>
        <v>40</v>
      </c>
      <c r="I476" s="116">
        <f t="shared" si="39"/>
        <v>39052</v>
      </c>
      <c r="J476">
        <f t="shared" si="38"/>
        <v>2.9271037416666665</v>
      </c>
      <c r="L476" s="116"/>
      <c r="N476" s="96"/>
    </row>
    <row r="477" spans="4:14" x14ac:dyDescent="0.25">
      <c r="D477" s="115">
        <v>38808</v>
      </c>
      <c r="E477" s="53">
        <v>2.6806926</v>
      </c>
      <c r="F477">
        <f t="shared" si="35"/>
        <v>90</v>
      </c>
      <c r="G477">
        <f t="shared" si="36"/>
        <v>90</v>
      </c>
      <c r="H477">
        <f t="shared" si="37"/>
        <v>40</v>
      </c>
      <c r="I477" s="116">
        <f t="shared" si="39"/>
        <v>39052</v>
      </c>
      <c r="J477">
        <f t="shared" si="38"/>
        <v>2.9271037416666665</v>
      </c>
      <c r="L477" s="116"/>
      <c r="N477" s="96"/>
    </row>
    <row r="478" spans="4:14" x14ac:dyDescent="0.25">
      <c r="D478" s="115">
        <v>38838</v>
      </c>
      <c r="E478" s="53">
        <v>2.7839594999999999</v>
      </c>
      <c r="F478">
        <f t="shared" si="35"/>
        <v>120</v>
      </c>
      <c r="G478">
        <f t="shared" si="36"/>
        <v>120</v>
      </c>
      <c r="H478">
        <f t="shared" si="37"/>
        <v>40</v>
      </c>
      <c r="I478" s="116">
        <f t="shared" si="39"/>
        <v>39052</v>
      </c>
      <c r="J478">
        <f t="shared" si="38"/>
        <v>2.9271037416666665</v>
      </c>
      <c r="L478" s="116"/>
      <c r="N478" s="96"/>
    </row>
    <row r="479" spans="4:14" x14ac:dyDescent="0.25">
      <c r="D479" s="115">
        <v>38869</v>
      </c>
      <c r="E479" s="53">
        <v>3.0344297999999998</v>
      </c>
      <c r="F479">
        <f t="shared" si="35"/>
        <v>150</v>
      </c>
      <c r="G479">
        <f t="shared" si="36"/>
        <v>150</v>
      </c>
      <c r="H479">
        <f t="shared" si="37"/>
        <v>40</v>
      </c>
      <c r="I479" s="116">
        <f t="shared" si="39"/>
        <v>39052</v>
      </c>
      <c r="J479">
        <f t="shared" si="38"/>
        <v>2.9271037416666665</v>
      </c>
      <c r="L479" s="116"/>
      <c r="N479" s="96"/>
    </row>
    <row r="480" spans="4:14" x14ac:dyDescent="0.25">
      <c r="D480" s="115">
        <v>38899</v>
      </c>
      <c r="E480" s="53">
        <v>3.0939988</v>
      </c>
      <c r="F480">
        <f t="shared" si="35"/>
        <v>180</v>
      </c>
      <c r="G480">
        <f t="shared" si="36"/>
        <v>180</v>
      </c>
      <c r="H480">
        <f t="shared" si="37"/>
        <v>40</v>
      </c>
      <c r="I480" s="116">
        <f t="shared" si="39"/>
        <v>39052</v>
      </c>
      <c r="J480">
        <f t="shared" si="38"/>
        <v>2.9271037416666665</v>
      </c>
      <c r="L480" s="116"/>
      <c r="N480" s="96"/>
    </row>
    <row r="481" spans="4:14" x14ac:dyDescent="0.25">
      <c r="D481" s="115">
        <v>38930</v>
      </c>
      <c r="E481" s="53">
        <v>3.2251143999999998</v>
      </c>
      <c r="F481">
        <f t="shared" si="35"/>
        <v>210</v>
      </c>
      <c r="G481">
        <f t="shared" si="36"/>
        <v>210</v>
      </c>
      <c r="H481">
        <f t="shared" si="37"/>
        <v>40</v>
      </c>
      <c r="I481" s="116">
        <f t="shared" si="39"/>
        <v>39052</v>
      </c>
      <c r="J481">
        <f t="shared" si="38"/>
        <v>2.9271037416666665</v>
      </c>
      <c r="L481" s="116"/>
      <c r="N481" s="96"/>
    </row>
    <row r="482" spans="4:14" x14ac:dyDescent="0.25">
      <c r="D482" s="115">
        <v>38961</v>
      </c>
      <c r="E482" s="53">
        <v>3.2120120000000001</v>
      </c>
      <c r="F482">
        <f t="shared" si="35"/>
        <v>240</v>
      </c>
      <c r="G482">
        <f t="shared" si="36"/>
        <v>240</v>
      </c>
      <c r="H482">
        <f t="shared" si="37"/>
        <v>40</v>
      </c>
      <c r="I482" s="116">
        <f t="shared" si="39"/>
        <v>39052</v>
      </c>
      <c r="J482">
        <f t="shared" si="38"/>
        <v>2.9271037416666665</v>
      </c>
      <c r="L482" s="116"/>
      <c r="N482" s="96"/>
    </row>
    <row r="483" spans="4:14" x14ac:dyDescent="0.25">
      <c r="D483" s="115">
        <v>38991</v>
      </c>
      <c r="E483" s="53">
        <v>3.2911245999999998</v>
      </c>
      <c r="F483">
        <f t="shared" si="35"/>
        <v>270</v>
      </c>
      <c r="G483">
        <f t="shared" si="36"/>
        <v>270</v>
      </c>
      <c r="H483">
        <f t="shared" si="37"/>
        <v>40</v>
      </c>
      <c r="I483" s="116">
        <f t="shared" si="39"/>
        <v>39052</v>
      </c>
      <c r="J483">
        <f t="shared" si="38"/>
        <v>2.9271037416666665</v>
      </c>
      <c r="L483" s="116"/>
      <c r="N483" s="96"/>
    </row>
    <row r="484" spans="4:14" x14ac:dyDescent="0.25">
      <c r="D484" s="115">
        <v>39022</v>
      </c>
      <c r="E484" s="53">
        <v>3.1482614</v>
      </c>
      <c r="F484">
        <f t="shared" si="35"/>
        <v>300</v>
      </c>
      <c r="G484">
        <f t="shared" si="36"/>
        <v>300</v>
      </c>
      <c r="H484">
        <f t="shared" si="37"/>
        <v>40</v>
      </c>
      <c r="I484" s="116">
        <f t="shared" si="39"/>
        <v>39052</v>
      </c>
      <c r="J484">
        <f t="shared" si="38"/>
        <v>2.9271037416666665</v>
      </c>
      <c r="L484" s="116"/>
      <c r="N484" s="96"/>
    </row>
    <row r="485" spans="4:14" x14ac:dyDescent="0.25">
      <c r="D485" s="115">
        <v>39052</v>
      </c>
      <c r="E485" s="53">
        <v>3.1241582999999999</v>
      </c>
      <c r="F485">
        <f t="shared" si="35"/>
        <v>330</v>
      </c>
      <c r="G485">
        <f t="shared" si="36"/>
        <v>330</v>
      </c>
      <c r="H485">
        <f t="shared" si="37"/>
        <v>40</v>
      </c>
      <c r="I485" s="116">
        <f t="shared" si="39"/>
        <v>39052</v>
      </c>
      <c r="J485">
        <f t="shared" si="38"/>
        <v>2.9271037416666665</v>
      </c>
      <c r="L485" s="116"/>
      <c r="N485" s="96"/>
    </row>
    <row r="486" spans="4:14" x14ac:dyDescent="0.25">
      <c r="D486" s="115">
        <v>39083</v>
      </c>
      <c r="E486" s="53">
        <v>3.1457342000000001</v>
      </c>
      <c r="F486">
        <f t="shared" si="35"/>
        <v>0</v>
      </c>
      <c r="G486">
        <f t="shared" si="36"/>
        <v>0</v>
      </c>
      <c r="H486">
        <f t="shared" si="37"/>
        <v>41</v>
      </c>
      <c r="I486" s="116">
        <f t="shared" si="39"/>
        <v>39417</v>
      </c>
      <c r="J486">
        <f t="shared" si="38"/>
        <v>2.7630326000000003</v>
      </c>
      <c r="L486" s="116"/>
      <c r="N486" s="96"/>
    </row>
    <row r="487" spans="4:14" x14ac:dyDescent="0.25">
      <c r="D487" s="115">
        <v>39114</v>
      </c>
      <c r="E487" s="53">
        <v>3.1615579999999999</v>
      </c>
      <c r="F487">
        <f t="shared" si="35"/>
        <v>30</v>
      </c>
      <c r="G487">
        <f t="shared" si="36"/>
        <v>30</v>
      </c>
      <c r="H487">
        <f t="shared" si="37"/>
        <v>41</v>
      </c>
      <c r="I487" s="116">
        <f t="shared" si="39"/>
        <v>39417</v>
      </c>
      <c r="J487">
        <f t="shared" si="38"/>
        <v>2.7630326000000003</v>
      </c>
      <c r="L487" s="116"/>
      <c r="N487" s="96"/>
    </row>
    <row r="488" spans="4:14" x14ac:dyDescent="0.25">
      <c r="D488" s="115">
        <v>39142</v>
      </c>
      <c r="E488" s="53">
        <v>3.1090013999999999</v>
      </c>
      <c r="F488">
        <f t="shared" si="35"/>
        <v>60</v>
      </c>
      <c r="G488">
        <f t="shared" si="36"/>
        <v>60</v>
      </c>
      <c r="H488">
        <f t="shared" si="37"/>
        <v>41</v>
      </c>
      <c r="I488" s="116">
        <f t="shared" si="39"/>
        <v>39417</v>
      </c>
      <c r="J488">
        <f t="shared" si="38"/>
        <v>2.7630326000000003</v>
      </c>
      <c r="L488" s="116"/>
      <c r="N488" s="96"/>
    </row>
    <row r="489" spans="4:14" x14ac:dyDescent="0.25">
      <c r="D489" s="115">
        <v>39173</v>
      </c>
      <c r="E489" s="53">
        <v>2.9667028000000002</v>
      </c>
      <c r="F489">
        <f t="shared" si="35"/>
        <v>90</v>
      </c>
      <c r="G489">
        <f t="shared" si="36"/>
        <v>90</v>
      </c>
      <c r="H489">
        <f t="shared" si="37"/>
        <v>41</v>
      </c>
      <c r="I489" s="116">
        <f t="shared" si="39"/>
        <v>39417</v>
      </c>
      <c r="J489">
        <f t="shared" si="38"/>
        <v>2.7630326000000003</v>
      </c>
      <c r="L489" s="116"/>
      <c r="N489" s="96"/>
    </row>
    <row r="490" spans="4:14" x14ac:dyDescent="0.25">
      <c r="D490" s="115">
        <v>39203</v>
      </c>
      <c r="E490" s="53">
        <v>2.7833239999999999</v>
      </c>
      <c r="F490">
        <f t="shared" si="35"/>
        <v>120</v>
      </c>
      <c r="G490">
        <f t="shared" si="36"/>
        <v>120</v>
      </c>
      <c r="H490">
        <f t="shared" si="37"/>
        <v>41</v>
      </c>
      <c r="I490" s="116">
        <f t="shared" si="39"/>
        <v>39417</v>
      </c>
      <c r="J490">
        <f t="shared" si="38"/>
        <v>2.7630326000000003</v>
      </c>
      <c r="L490" s="116"/>
      <c r="N490" s="96"/>
    </row>
    <row r="491" spans="4:14" x14ac:dyDescent="0.25">
      <c r="D491" s="115">
        <v>39234</v>
      </c>
      <c r="E491" s="53">
        <v>2.6305790999999998</v>
      </c>
      <c r="F491">
        <f t="shared" si="35"/>
        <v>150</v>
      </c>
      <c r="G491">
        <f t="shared" si="36"/>
        <v>150</v>
      </c>
      <c r="H491">
        <f t="shared" si="37"/>
        <v>41</v>
      </c>
      <c r="I491" s="116">
        <f t="shared" si="39"/>
        <v>39417</v>
      </c>
      <c r="J491">
        <f t="shared" si="38"/>
        <v>2.7630326000000003</v>
      </c>
      <c r="L491" s="116"/>
      <c r="N491" s="96"/>
    </row>
    <row r="492" spans="4:14" x14ac:dyDescent="0.25">
      <c r="D492" s="115">
        <v>39264</v>
      </c>
      <c r="E492" s="53">
        <v>2.5346411</v>
      </c>
      <c r="F492">
        <f t="shared" si="35"/>
        <v>180</v>
      </c>
      <c r="G492">
        <f t="shared" si="36"/>
        <v>180</v>
      </c>
      <c r="H492">
        <f t="shared" si="37"/>
        <v>41</v>
      </c>
      <c r="I492" s="116">
        <f t="shared" si="39"/>
        <v>39417</v>
      </c>
      <c r="J492">
        <f t="shared" si="38"/>
        <v>2.7630326000000003</v>
      </c>
      <c r="L492" s="116"/>
      <c r="N492" s="96"/>
    </row>
    <row r="493" spans="4:14" x14ac:dyDescent="0.25">
      <c r="D493" s="115">
        <v>39295</v>
      </c>
      <c r="E493" s="53">
        <v>2.4685402000000001</v>
      </c>
      <c r="F493">
        <f t="shared" si="35"/>
        <v>210</v>
      </c>
      <c r="G493">
        <f t="shared" si="36"/>
        <v>210</v>
      </c>
      <c r="H493">
        <f t="shared" si="37"/>
        <v>41</v>
      </c>
      <c r="I493" s="116">
        <f t="shared" si="39"/>
        <v>39417</v>
      </c>
      <c r="J493">
        <f t="shared" si="38"/>
        <v>2.7630326000000003</v>
      </c>
      <c r="L493" s="116"/>
      <c r="N493" s="96"/>
    </row>
    <row r="494" spans="4:14" x14ac:dyDescent="0.25">
      <c r="D494" s="115">
        <v>39326</v>
      </c>
      <c r="E494" s="53">
        <v>2.4838822999999999</v>
      </c>
      <c r="F494">
        <f t="shared" si="35"/>
        <v>240</v>
      </c>
      <c r="G494">
        <f t="shared" si="36"/>
        <v>240</v>
      </c>
      <c r="H494">
        <f t="shared" si="37"/>
        <v>41</v>
      </c>
      <c r="I494" s="116">
        <f t="shared" si="39"/>
        <v>39417</v>
      </c>
      <c r="J494">
        <f t="shared" si="38"/>
        <v>2.7630326000000003</v>
      </c>
      <c r="L494" s="116"/>
      <c r="N494" s="96"/>
    </row>
    <row r="495" spans="4:14" x14ac:dyDescent="0.25">
      <c r="D495" s="115">
        <v>39356</v>
      </c>
      <c r="E495" s="53">
        <v>2.5033248000000001</v>
      </c>
      <c r="F495">
        <f t="shared" si="35"/>
        <v>270</v>
      </c>
      <c r="G495">
        <f t="shared" si="36"/>
        <v>270</v>
      </c>
      <c r="H495">
        <f t="shared" si="37"/>
        <v>41</v>
      </c>
      <c r="I495" s="116">
        <f t="shared" si="39"/>
        <v>39417</v>
      </c>
      <c r="J495">
        <f t="shared" si="38"/>
        <v>2.7630326000000003</v>
      </c>
      <c r="L495" s="116"/>
      <c r="N495" s="96"/>
    </row>
    <row r="496" spans="4:14" x14ac:dyDescent="0.25">
      <c r="D496" s="115">
        <v>39387</v>
      </c>
      <c r="E496" s="53">
        <v>2.6563696999999999</v>
      </c>
      <c r="F496">
        <f t="shared" si="35"/>
        <v>300</v>
      </c>
      <c r="G496">
        <f t="shared" si="36"/>
        <v>300</v>
      </c>
      <c r="H496">
        <f t="shared" si="37"/>
        <v>41</v>
      </c>
      <c r="I496" s="116">
        <f t="shared" si="39"/>
        <v>39417</v>
      </c>
      <c r="J496">
        <f t="shared" si="38"/>
        <v>2.7630326000000003</v>
      </c>
      <c r="L496" s="116"/>
      <c r="N496" s="96"/>
    </row>
    <row r="497" spans="4:14" x14ac:dyDescent="0.25">
      <c r="D497" s="115">
        <v>39417</v>
      </c>
      <c r="E497" s="53">
        <v>2.7127336</v>
      </c>
      <c r="F497">
        <f t="shared" si="35"/>
        <v>330</v>
      </c>
      <c r="G497">
        <f t="shared" si="36"/>
        <v>330</v>
      </c>
      <c r="H497">
        <f t="shared" si="37"/>
        <v>41</v>
      </c>
      <c r="I497" s="116">
        <f t="shared" si="39"/>
        <v>39417</v>
      </c>
      <c r="J497">
        <f t="shared" si="38"/>
        <v>2.7630326000000003</v>
      </c>
      <c r="L497" s="116"/>
      <c r="N497" s="96"/>
    </row>
    <row r="498" spans="4:14" x14ac:dyDescent="0.25">
      <c r="D498" s="115">
        <v>39448</v>
      </c>
      <c r="E498" s="53">
        <v>2.7470403999999999</v>
      </c>
      <c r="F498">
        <f t="shared" si="35"/>
        <v>0</v>
      </c>
      <c r="G498">
        <f t="shared" si="36"/>
        <v>0</v>
      </c>
      <c r="H498">
        <f t="shared" si="37"/>
        <v>42</v>
      </c>
      <c r="I498" s="116">
        <f t="shared" si="39"/>
        <v>39783</v>
      </c>
      <c r="J498">
        <f t="shared" si="38"/>
        <v>2.8358705749999999</v>
      </c>
      <c r="L498" s="116"/>
      <c r="N498" s="96"/>
    </row>
    <row r="499" spans="4:14" x14ac:dyDescent="0.25">
      <c r="D499" s="115">
        <v>39479</v>
      </c>
      <c r="E499" s="53">
        <v>2.6165653</v>
      </c>
      <c r="F499">
        <f t="shared" si="35"/>
        <v>30</v>
      </c>
      <c r="G499">
        <f t="shared" si="36"/>
        <v>30</v>
      </c>
      <c r="H499">
        <f t="shared" si="37"/>
        <v>42</v>
      </c>
      <c r="I499" s="116">
        <f t="shared" si="39"/>
        <v>39783</v>
      </c>
      <c r="J499">
        <f t="shared" si="38"/>
        <v>2.8358705749999999</v>
      </c>
      <c r="L499" s="116"/>
      <c r="N499" s="96"/>
    </row>
    <row r="500" spans="4:14" x14ac:dyDescent="0.25">
      <c r="D500" s="115">
        <v>39508</v>
      </c>
      <c r="E500" s="53">
        <v>2.6887664</v>
      </c>
      <c r="F500">
        <f t="shared" si="35"/>
        <v>60</v>
      </c>
      <c r="G500">
        <f t="shared" si="36"/>
        <v>60</v>
      </c>
      <c r="H500">
        <f t="shared" si="37"/>
        <v>42</v>
      </c>
      <c r="I500" s="116">
        <f t="shared" si="39"/>
        <v>39783</v>
      </c>
      <c r="J500">
        <f t="shared" si="38"/>
        <v>2.8358705749999999</v>
      </c>
      <c r="L500" s="116"/>
      <c r="N500" s="96"/>
    </row>
    <row r="501" spans="4:14" x14ac:dyDescent="0.25">
      <c r="D501" s="115">
        <v>39539</v>
      </c>
      <c r="E501" s="53">
        <v>2.7251102999999999</v>
      </c>
      <c r="F501">
        <f t="shared" si="35"/>
        <v>90</v>
      </c>
      <c r="G501">
        <f t="shared" si="36"/>
        <v>90</v>
      </c>
      <c r="H501">
        <f t="shared" si="37"/>
        <v>42</v>
      </c>
      <c r="I501" s="116">
        <f t="shared" si="39"/>
        <v>39783</v>
      </c>
      <c r="J501">
        <f t="shared" si="38"/>
        <v>2.8358705749999999</v>
      </c>
      <c r="L501" s="116"/>
      <c r="N501" s="96"/>
    </row>
    <row r="502" spans="4:14" x14ac:dyDescent="0.25">
      <c r="D502" s="115">
        <v>39569</v>
      </c>
      <c r="E502" s="53">
        <v>2.7937419000000001</v>
      </c>
      <c r="F502">
        <f t="shared" si="35"/>
        <v>120</v>
      </c>
      <c r="G502">
        <f t="shared" si="36"/>
        <v>120</v>
      </c>
      <c r="H502">
        <f t="shared" si="37"/>
        <v>42</v>
      </c>
      <c r="I502" s="116">
        <f t="shared" si="39"/>
        <v>39783</v>
      </c>
      <c r="J502">
        <f t="shared" si="38"/>
        <v>2.8358705749999999</v>
      </c>
      <c r="L502" s="116"/>
      <c r="N502" s="96"/>
    </row>
    <row r="503" spans="4:14" x14ac:dyDescent="0.25">
      <c r="D503" s="115">
        <v>39600</v>
      </c>
      <c r="E503" s="53">
        <v>2.9376962</v>
      </c>
      <c r="F503">
        <f t="shared" si="35"/>
        <v>150</v>
      </c>
      <c r="G503">
        <f t="shared" si="36"/>
        <v>150</v>
      </c>
      <c r="H503">
        <f t="shared" si="37"/>
        <v>42</v>
      </c>
      <c r="I503" s="116">
        <f t="shared" si="39"/>
        <v>39783</v>
      </c>
      <c r="J503">
        <f t="shared" si="38"/>
        <v>2.8358705749999999</v>
      </c>
      <c r="L503" s="116"/>
      <c r="N503" s="96"/>
    </row>
    <row r="504" spans="4:14" x14ac:dyDescent="0.25">
      <c r="D504" s="115">
        <v>39630</v>
      </c>
      <c r="E504" s="53">
        <v>3.0142541999999999</v>
      </c>
      <c r="F504">
        <f t="shared" si="35"/>
        <v>180</v>
      </c>
      <c r="G504">
        <f t="shared" si="36"/>
        <v>180</v>
      </c>
      <c r="H504">
        <f t="shared" si="37"/>
        <v>42</v>
      </c>
      <c r="I504" s="116">
        <f t="shared" si="39"/>
        <v>39783</v>
      </c>
      <c r="J504">
        <f t="shared" si="38"/>
        <v>2.8358705749999999</v>
      </c>
      <c r="L504" s="116"/>
      <c r="N504" s="96"/>
    </row>
    <row r="505" spans="4:14" x14ac:dyDescent="0.25">
      <c r="D505" s="115">
        <v>39661</v>
      </c>
      <c r="E505" s="53">
        <v>3.0845058999999999</v>
      </c>
      <c r="F505">
        <f t="shared" si="35"/>
        <v>210</v>
      </c>
      <c r="G505">
        <f t="shared" si="36"/>
        <v>210</v>
      </c>
      <c r="H505">
        <f t="shared" si="37"/>
        <v>42</v>
      </c>
      <c r="I505" s="116">
        <f t="shared" si="39"/>
        <v>39783</v>
      </c>
      <c r="J505">
        <f t="shared" si="38"/>
        <v>2.8358705749999999</v>
      </c>
      <c r="L505" s="116"/>
      <c r="N505" s="96"/>
    </row>
    <row r="506" spans="4:14" x14ac:dyDescent="0.25">
      <c r="D506" s="115">
        <v>39692</v>
      </c>
      <c r="E506" s="53">
        <v>3.0766784999999999</v>
      </c>
      <c r="F506">
        <f t="shared" si="35"/>
        <v>240</v>
      </c>
      <c r="G506">
        <f t="shared" si="36"/>
        <v>240</v>
      </c>
      <c r="H506">
        <f t="shared" si="37"/>
        <v>42</v>
      </c>
      <c r="I506" s="116">
        <f t="shared" si="39"/>
        <v>39783</v>
      </c>
      <c r="J506">
        <f t="shared" si="38"/>
        <v>2.8358705749999999</v>
      </c>
      <c r="L506" s="116"/>
      <c r="N506" s="96"/>
    </row>
    <row r="507" spans="4:14" x14ac:dyDescent="0.25">
      <c r="D507" s="115">
        <v>39722</v>
      </c>
      <c r="E507" s="53">
        <v>2.9291949000000002</v>
      </c>
      <c r="F507">
        <f t="shared" si="35"/>
        <v>270</v>
      </c>
      <c r="G507">
        <f t="shared" si="36"/>
        <v>270</v>
      </c>
      <c r="H507">
        <f t="shared" si="37"/>
        <v>42</v>
      </c>
      <c r="I507" s="116">
        <f t="shared" si="39"/>
        <v>39783</v>
      </c>
      <c r="J507">
        <f t="shared" si="38"/>
        <v>2.8358705749999999</v>
      </c>
      <c r="L507" s="116"/>
      <c r="N507" s="96"/>
    </row>
    <row r="508" spans="4:14" x14ac:dyDescent="0.25">
      <c r="D508" s="115">
        <v>39753</v>
      </c>
      <c r="E508" s="53">
        <v>2.7864624</v>
      </c>
      <c r="F508">
        <f t="shared" si="35"/>
        <v>300</v>
      </c>
      <c r="G508">
        <f t="shared" si="36"/>
        <v>300</v>
      </c>
      <c r="H508">
        <f t="shared" si="37"/>
        <v>42</v>
      </c>
      <c r="I508" s="116">
        <f t="shared" si="39"/>
        <v>39783</v>
      </c>
      <c r="J508">
        <f t="shared" si="38"/>
        <v>2.8358705749999999</v>
      </c>
      <c r="L508" s="116"/>
      <c r="N508" s="96"/>
    </row>
    <row r="509" spans="4:14" x14ac:dyDescent="0.25">
      <c r="D509" s="115">
        <v>39783</v>
      </c>
      <c r="E509" s="53">
        <v>2.6304305000000001</v>
      </c>
      <c r="F509">
        <f t="shared" si="35"/>
        <v>330</v>
      </c>
      <c r="G509">
        <f t="shared" si="36"/>
        <v>330</v>
      </c>
      <c r="H509">
        <f t="shared" si="37"/>
        <v>42</v>
      </c>
      <c r="I509" s="116">
        <f t="shared" si="39"/>
        <v>39783</v>
      </c>
      <c r="J509">
        <f t="shared" si="38"/>
        <v>2.8358705749999999</v>
      </c>
      <c r="L509" s="116"/>
      <c r="N509" s="96"/>
    </row>
    <row r="510" spans="4:14" x14ac:dyDescent="0.25">
      <c r="D510" s="115">
        <v>39814</v>
      </c>
      <c r="E510" s="53">
        <v>2.5522480999999999</v>
      </c>
      <c r="F510">
        <f t="shared" si="35"/>
        <v>0</v>
      </c>
      <c r="G510">
        <f t="shared" si="36"/>
        <v>0</v>
      </c>
      <c r="H510">
        <f t="shared" si="37"/>
        <v>43</v>
      </c>
      <c r="I510" s="116">
        <f t="shared" si="39"/>
        <v>40148</v>
      </c>
      <c r="J510">
        <f t="shared" si="38"/>
        <v>1.9872083500000002</v>
      </c>
      <c r="L510" s="116"/>
      <c r="N510" s="96"/>
    </row>
    <row r="511" spans="4:14" x14ac:dyDescent="0.25">
      <c r="D511" s="115">
        <v>39845</v>
      </c>
      <c r="E511" s="53">
        <v>2.5594948999999998</v>
      </c>
      <c r="F511">
        <f t="shared" si="35"/>
        <v>30</v>
      </c>
      <c r="G511">
        <f t="shared" si="36"/>
        <v>30</v>
      </c>
      <c r="H511">
        <f t="shared" si="37"/>
        <v>43</v>
      </c>
      <c r="I511" s="116">
        <f t="shared" si="39"/>
        <v>40148</v>
      </c>
      <c r="J511">
        <f t="shared" si="38"/>
        <v>1.9872083500000002</v>
      </c>
      <c r="L511" s="116"/>
      <c r="N511" s="96"/>
    </row>
    <row r="512" spans="4:14" x14ac:dyDescent="0.25">
      <c r="D512" s="115">
        <v>39873</v>
      </c>
      <c r="E512" s="53">
        <v>2.4535819000000001</v>
      </c>
      <c r="F512">
        <f t="shared" si="35"/>
        <v>60</v>
      </c>
      <c r="G512">
        <f t="shared" si="36"/>
        <v>60</v>
      </c>
      <c r="H512">
        <f t="shared" si="37"/>
        <v>43</v>
      </c>
      <c r="I512" s="116">
        <f t="shared" si="39"/>
        <v>40148</v>
      </c>
      <c r="J512">
        <f t="shared" si="38"/>
        <v>1.9872083500000002</v>
      </c>
      <c r="L512" s="116"/>
      <c r="N512" s="96"/>
    </row>
    <row r="513" spans="4:14" x14ac:dyDescent="0.25">
      <c r="D513" s="115">
        <v>39904</v>
      </c>
      <c r="E513" s="53">
        <v>2.3761456999999999</v>
      </c>
      <c r="F513">
        <f t="shared" si="35"/>
        <v>90</v>
      </c>
      <c r="G513">
        <f t="shared" si="36"/>
        <v>90</v>
      </c>
      <c r="H513">
        <f t="shared" si="37"/>
        <v>43</v>
      </c>
      <c r="I513" s="116">
        <f t="shared" si="39"/>
        <v>40148</v>
      </c>
      <c r="J513">
        <f t="shared" si="38"/>
        <v>1.9872083500000002</v>
      </c>
      <c r="L513" s="116"/>
      <c r="N513" s="96"/>
    </row>
    <row r="514" spans="4:14" x14ac:dyDescent="0.25">
      <c r="D514" s="115">
        <v>39934</v>
      </c>
      <c r="E514" s="53">
        <v>2.2888288000000001</v>
      </c>
      <c r="F514">
        <f t="shared" si="35"/>
        <v>120</v>
      </c>
      <c r="G514">
        <f t="shared" si="36"/>
        <v>120</v>
      </c>
      <c r="H514">
        <f t="shared" si="37"/>
        <v>43</v>
      </c>
      <c r="I514" s="116">
        <f t="shared" si="39"/>
        <v>40148</v>
      </c>
      <c r="J514">
        <f t="shared" si="38"/>
        <v>1.9872083500000002</v>
      </c>
      <c r="L514" s="116"/>
      <c r="N514" s="96"/>
    </row>
    <row r="515" spans="4:14" x14ac:dyDescent="0.25">
      <c r="D515" s="115">
        <v>39965</v>
      </c>
      <c r="E515" s="53">
        <v>2.0898948000000002</v>
      </c>
      <c r="F515">
        <f t="shared" si="35"/>
        <v>150</v>
      </c>
      <c r="G515">
        <f t="shared" si="36"/>
        <v>150</v>
      </c>
      <c r="H515">
        <f t="shared" si="37"/>
        <v>43</v>
      </c>
      <c r="I515" s="116">
        <f t="shared" si="39"/>
        <v>40148</v>
      </c>
      <c r="J515">
        <f t="shared" si="38"/>
        <v>1.9872083500000002</v>
      </c>
      <c r="L515" s="116"/>
      <c r="N515" s="96"/>
    </row>
    <row r="516" spans="4:14" x14ac:dyDescent="0.25">
      <c r="D516" s="115">
        <v>39995</v>
      </c>
      <c r="E516" s="53">
        <v>1.9228669</v>
      </c>
      <c r="F516">
        <f t="shared" si="35"/>
        <v>180</v>
      </c>
      <c r="G516">
        <f t="shared" si="36"/>
        <v>180</v>
      </c>
      <c r="H516">
        <f t="shared" si="37"/>
        <v>43</v>
      </c>
      <c r="I516" s="116">
        <f t="shared" si="39"/>
        <v>40148</v>
      </c>
      <c r="J516">
        <f t="shared" si="38"/>
        <v>1.9872083500000002</v>
      </c>
      <c r="L516" s="116"/>
      <c r="N516" s="96"/>
    </row>
    <row r="517" spans="4:14" x14ac:dyDescent="0.25">
      <c r="D517" s="115">
        <v>40026</v>
      </c>
      <c r="E517" s="53">
        <v>1.7701932</v>
      </c>
      <c r="F517">
        <f t="shared" si="35"/>
        <v>210</v>
      </c>
      <c r="G517">
        <f t="shared" si="36"/>
        <v>210</v>
      </c>
      <c r="H517">
        <f t="shared" si="37"/>
        <v>43</v>
      </c>
      <c r="I517" s="116">
        <f t="shared" si="39"/>
        <v>40148</v>
      </c>
      <c r="J517">
        <f t="shared" si="38"/>
        <v>1.9872083500000002</v>
      </c>
      <c r="L517" s="116"/>
      <c r="N517" s="96"/>
    </row>
    <row r="518" spans="4:14" x14ac:dyDescent="0.25">
      <c r="D518" s="115">
        <v>40057</v>
      </c>
      <c r="E518" s="53">
        <v>1.6158958000000001</v>
      </c>
      <c r="F518">
        <f t="shared" si="35"/>
        <v>240</v>
      </c>
      <c r="G518">
        <f t="shared" si="36"/>
        <v>240</v>
      </c>
      <c r="H518">
        <f t="shared" si="37"/>
        <v>43</v>
      </c>
      <c r="I518" s="116">
        <f t="shared" si="39"/>
        <v>40148</v>
      </c>
      <c r="J518">
        <f t="shared" si="38"/>
        <v>1.9872083500000002</v>
      </c>
      <c r="L518" s="116"/>
      <c r="N518" s="96"/>
    </row>
    <row r="519" spans="4:14" x14ac:dyDescent="0.25">
      <c r="D519" s="115">
        <v>40087</v>
      </c>
      <c r="E519" s="53">
        <v>1.5209969000000001</v>
      </c>
      <c r="F519">
        <f t="shared" si="35"/>
        <v>270</v>
      </c>
      <c r="G519">
        <f t="shared" si="36"/>
        <v>270</v>
      </c>
      <c r="H519">
        <f t="shared" si="37"/>
        <v>43</v>
      </c>
      <c r="I519" s="116">
        <f t="shared" si="39"/>
        <v>40148</v>
      </c>
      <c r="J519">
        <f t="shared" si="38"/>
        <v>1.9872083500000002</v>
      </c>
      <c r="L519" s="116"/>
      <c r="N519" s="96"/>
    </row>
    <row r="520" spans="4:14" x14ac:dyDescent="0.25">
      <c r="D520" s="115">
        <v>40118</v>
      </c>
      <c r="E520" s="53">
        <v>1.3714917</v>
      </c>
      <c r="F520">
        <f t="shared" si="35"/>
        <v>300</v>
      </c>
      <c r="G520">
        <f t="shared" si="36"/>
        <v>300</v>
      </c>
      <c r="H520">
        <f t="shared" si="37"/>
        <v>43</v>
      </c>
      <c r="I520" s="116">
        <f t="shared" si="39"/>
        <v>40148</v>
      </c>
      <c r="J520">
        <f t="shared" si="38"/>
        <v>1.9872083500000002</v>
      </c>
      <c r="L520" s="116"/>
      <c r="N520" s="96"/>
    </row>
    <row r="521" spans="4:14" x14ac:dyDescent="0.25">
      <c r="D521" s="115">
        <v>40148</v>
      </c>
      <c r="E521" s="53">
        <v>1.3248614999999999</v>
      </c>
      <c r="F521">
        <f t="shared" si="35"/>
        <v>330</v>
      </c>
      <c r="G521">
        <f t="shared" si="36"/>
        <v>330</v>
      </c>
      <c r="H521">
        <f t="shared" si="37"/>
        <v>43</v>
      </c>
      <c r="I521" s="116">
        <f t="shared" si="39"/>
        <v>40148</v>
      </c>
      <c r="J521">
        <f t="shared" si="38"/>
        <v>1.9872083500000002</v>
      </c>
      <c r="L521" s="116"/>
      <c r="N521" s="96"/>
    </row>
    <row r="522" spans="4:14" x14ac:dyDescent="0.25">
      <c r="D522" s="115">
        <v>40179</v>
      </c>
      <c r="E522" s="53">
        <v>1.1770019</v>
      </c>
      <c r="F522">
        <f t="shared" si="35"/>
        <v>0</v>
      </c>
      <c r="G522">
        <f t="shared" si="36"/>
        <v>0</v>
      </c>
      <c r="H522">
        <f t="shared" si="37"/>
        <v>44</v>
      </c>
      <c r="I522" s="116">
        <f t="shared" si="39"/>
        <v>40513</v>
      </c>
      <c r="J522">
        <f t="shared" si="38"/>
        <v>0.83963542833333349</v>
      </c>
      <c r="L522" s="116"/>
      <c r="N522" s="96"/>
    </row>
    <row r="523" spans="4:14" x14ac:dyDescent="0.25">
      <c r="D523" s="115">
        <v>40210</v>
      </c>
      <c r="E523" s="53">
        <v>1.0548474000000001</v>
      </c>
      <c r="F523">
        <f t="shared" si="35"/>
        <v>30</v>
      </c>
      <c r="G523">
        <f t="shared" si="36"/>
        <v>30</v>
      </c>
      <c r="H523">
        <f t="shared" si="37"/>
        <v>44</v>
      </c>
      <c r="I523" s="116">
        <f t="shared" si="39"/>
        <v>40513</v>
      </c>
      <c r="J523">
        <f t="shared" si="38"/>
        <v>0.83963542833333349</v>
      </c>
      <c r="L523" s="116"/>
      <c r="N523" s="96"/>
    </row>
    <row r="524" spans="4:14" x14ac:dyDescent="0.25">
      <c r="D524" s="115">
        <v>40238</v>
      </c>
      <c r="E524" s="53">
        <v>0.93183853000000005</v>
      </c>
      <c r="F524">
        <f t="shared" si="35"/>
        <v>60</v>
      </c>
      <c r="G524">
        <f t="shared" si="36"/>
        <v>60</v>
      </c>
      <c r="H524">
        <f t="shared" si="37"/>
        <v>44</v>
      </c>
      <c r="I524" s="116">
        <f t="shared" si="39"/>
        <v>40513</v>
      </c>
      <c r="J524">
        <f t="shared" si="38"/>
        <v>0.83963542833333349</v>
      </c>
      <c r="L524" s="116"/>
      <c r="N524" s="96"/>
    </row>
    <row r="525" spans="4:14" x14ac:dyDescent="0.25">
      <c r="D525" s="115">
        <v>40269</v>
      </c>
      <c r="E525" s="53">
        <v>0.87602977999999998</v>
      </c>
      <c r="F525">
        <f t="shared" si="35"/>
        <v>90</v>
      </c>
      <c r="G525">
        <f t="shared" si="36"/>
        <v>90</v>
      </c>
      <c r="H525">
        <f t="shared" si="37"/>
        <v>44</v>
      </c>
      <c r="I525" s="116">
        <f t="shared" si="39"/>
        <v>40513</v>
      </c>
      <c r="J525">
        <f t="shared" si="38"/>
        <v>0.83963542833333349</v>
      </c>
      <c r="L525" s="116"/>
      <c r="N525" s="96"/>
    </row>
    <row r="526" spans="4:14" x14ac:dyDescent="0.25">
      <c r="D526" s="115">
        <v>40299</v>
      </c>
      <c r="E526" s="53">
        <v>0.79986780000000002</v>
      </c>
      <c r="F526">
        <f t="shared" si="35"/>
        <v>120</v>
      </c>
      <c r="G526">
        <f t="shared" si="36"/>
        <v>120</v>
      </c>
      <c r="H526">
        <f t="shared" si="37"/>
        <v>44</v>
      </c>
      <c r="I526" s="116">
        <f t="shared" si="39"/>
        <v>40513</v>
      </c>
      <c r="J526">
        <f t="shared" si="38"/>
        <v>0.83963542833333349</v>
      </c>
      <c r="L526" s="116"/>
      <c r="N526" s="96"/>
    </row>
    <row r="527" spans="4:14" x14ac:dyDescent="0.25">
      <c r="D527" s="115">
        <v>40330</v>
      </c>
      <c r="E527" s="53">
        <v>0.78483473000000004</v>
      </c>
      <c r="F527">
        <f t="shared" si="35"/>
        <v>150</v>
      </c>
      <c r="G527">
        <f t="shared" si="36"/>
        <v>150</v>
      </c>
      <c r="H527">
        <f t="shared" si="37"/>
        <v>44</v>
      </c>
      <c r="I527" s="116">
        <f t="shared" si="39"/>
        <v>40513</v>
      </c>
      <c r="J527">
        <f t="shared" si="38"/>
        <v>0.83963542833333349</v>
      </c>
      <c r="L527" s="116"/>
      <c r="N527" s="96"/>
    </row>
    <row r="528" spans="4:14" x14ac:dyDescent="0.25">
      <c r="D528" s="115">
        <v>40360</v>
      </c>
      <c r="E528" s="53">
        <v>0.74959321999999995</v>
      </c>
      <c r="F528">
        <f t="shared" si="35"/>
        <v>180</v>
      </c>
      <c r="G528">
        <f t="shared" si="36"/>
        <v>180</v>
      </c>
      <c r="H528">
        <f t="shared" si="37"/>
        <v>44</v>
      </c>
      <c r="I528" s="116">
        <f t="shared" si="39"/>
        <v>40513</v>
      </c>
      <c r="J528">
        <f t="shared" si="38"/>
        <v>0.83963542833333349</v>
      </c>
      <c r="L528" s="116"/>
      <c r="N528" s="96"/>
    </row>
    <row r="529" spans="4:14" x14ac:dyDescent="0.25">
      <c r="D529" s="115">
        <v>40391</v>
      </c>
      <c r="E529" s="53">
        <v>0.69562860999999998</v>
      </c>
      <c r="F529">
        <f t="shared" ref="F529:F592" si="40">FLOOR(DAYS360(DATE(YEAR(D529),1,1),D529),30)</f>
        <v>210</v>
      </c>
      <c r="G529">
        <f t="shared" si="36"/>
        <v>210</v>
      </c>
      <c r="H529">
        <f t="shared" si="37"/>
        <v>44</v>
      </c>
      <c r="I529" s="116">
        <f t="shared" si="39"/>
        <v>40513</v>
      </c>
      <c r="J529">
        <f t="shared" si="38"/>
        <v>0.83963542833333349</v>
      </c>
      <c r="L529" s="116"/>
      <c r="N529" s="96"/>
    </row>
    <row r="530" spans="4:14" x14ac:dyDescent="0.25">
      <c r="D530" s="115">
        <v>40422</v>
      </c>
      <c r="E530" s="53">
        <v>0.66761360000000003</v>
      </c>
      <c r="F530">
        <f t="shared" si="40"/>
        <v>240</v>
      </c>
      <c r="G530">
        <f t="shared" ref="G530:G593" si="41">MOD(F530, 360/$G$12)</f>
        <v>240</v>
      </c>
      <c r="H530">
        <f t="shared" ref="H530:H593" si="42">IF(G530&gt;G529,H529,H529+1)</f>
        <v>44</v>
      </c>
      <c r="I530" s="116">
        <f t="shared" si="39"/>
        <v>40513</v>
      </c>
      <c r="J530">
        <f t="shared" ref="J530:J593" si="43">AVERAGEIF($H$17:$H$675,H530,$E$17:$E$675)</f>
        <v>0.83963542833333349</v>
      </c>
      <c r="L530" s="116"/>
      <c r="N530" s="96"/>
    </row>
    <row r="531" spans="4:14" x14ac:dyDescent="0.25">
      <c r="D531" s="115">
        <v>40452</v>
      </c>
      <c r="E531" s="53">
        <v>0.67526624000000002</v>
      </c>
      <c r="F531">
        <f t="shared" si="40"/>
        <v>270</v>
      </c>
      <c r="G531">
        <f t="shared" si="41"/>
        <v>270</v>
      </c>
      <c r="H531">
        <f t="shared" si="42"/>
        <v>44</v>
      </c>
      <c r="I531" s="116">
        <f t="shared" ref="I531:I594" si="44">EDATE(I530,(H531-H530)*(12/$G$12))</f>
        <v>40513</v>
      </c>
      <c r="J531">
        <f t="shared" si="43"/>
        <v>0.83963542833333349</v>
      </c>
      <c r="L531" s="116"/>
      <c r="N531" s="96"/>
    </row>
    <row r="532" spans="4:14" x14ac:dyDescent="0.25">
      <c r="D532" s="115">
        <v>40483</v>
      </c>
      <c r="E532" s="53">
        <v>0.82600200999999995</v>
      </c>
      <c r="F532">
        <f t="shared" si="40"/>
        <v>300</v>
      </c>
      <c r="G532">
        <f t="shared" si="41"/>
        <v>300</v>
      </c>
      <c r="H532">
        <f t="shared" si="42"/>
        <v>44</v>
      </c>
      <c r="I532" s="116">
        <f t="shared" si="44"/>
        <v>40513</v>
      </c>
      <c r="J532">
        <f t="shared" si="43"/>
        <v>0.83963542833333349</v>
      </c>
      <c r="L532" s="116"/>
      <c r="N532" s="96"/>
    </row>
    <row r="533" spans="4:14" x14ac:dyDescent="0.25">
      <c r="D533" s="115">
        <v>40513</v>
      </c>
      <c r="E533" s="53">
        <v>0.83710132000000004</v>
      </c>
      <c r="F533">
        <f t="shared" si="40"/>
        <v>330</v>
      </c>
      <c r="G533">
        <f t="shared" si="41"/>
        <v>330</v>
      </c>
      <c r="H533">
        <f t="shared" si="42"/>
        <v>44</v>
      </c>
      <c r="I533" s="116">
        <f t="shared" si="44"/>
        <v>40513</v>
      </c>
      <c r="J533">
        <f t="shared" si="43"/>
        <v>0.83963542833333349</v>
      </c>
      <c r="L533" s="116"/>
      <c r="N533" s="96"/>
    </row>
    <row r="534" spans="4:14" x14ac:dyDescent="0.25">
      <c r="D534" s="115">
        <v>40544</v>
      </c>
      <c r="E534" s="53">
        <v>0.96003713000000002</v>
      </c>
      <c r="F534">
        <f t="shared" si="40"/>
        <v>0</v>
      </c>
      <c r="G534">
        <f t="shared" si="41"/>
        <v>0</v>
      </c>
      <c r="H534">
        <f t="shared" si="42"/>
        <v>45</v>
      </c>
      <c r="I534" s="116">
        <f t="shared" si="44"/>
        <v>40878</v>
      </c>
      <c r="J534">
        <f t="shared" si="43"/>
        <v>1.4652805608333332</v>
      </c>
      <c r="L534" s="116"/>
      <c r="N534" s="96"/>
    </row>
    <row r="535" spans="4:14" x14ac:dyDescent="0.25">
      <c r="D535" s="115">
        <v>40575</v>
      </c>
      <c r="E535" s="53">
        <v>1.1238816</v>
      </c>
      <c r="F535">
        <f t="shared" si="40"/>
        <v>30</v>
      </c>
      <c r="G535">
        <f t="shared" si="41"/>
        <v>30</v>
      </c>
      <c r="H535">
        <f t="shared" si="42"/>
        <v>45</v>
      </c>
      <c r="I535" s="116">
        <f t="shared" si="44"/>
        <v>40878</v>
      </c>
      <c r="J535">
        <f t="shared" si="43"/>
        <v>1.4652805608333332</v>
      </c>
      <c r="L535" s="116"/>
      <c r="N535" s="96"/>
    </row>
    <row r="536" spans="4:14" x14ac:dyDescent="0.25">
      <c r="D536" s="115">
        <v>40603</v>
      </c>
      <c r="E536" s="53">
        <v>1.1861014000000001</v>
      </c>
      <c r="F536">
        <f t="shared" si="40"/>
        <v>60</v>
      </c>
      <c r="G536">
        <f t="shared" si="41"/>
        <v>60</v>
      </c>
      <c r="H536">
        <f t="shared" si="42"/>
        <v>45</v>
      </c>
      <c r="I536" s="116">
        <f t="shared" si="44"/>
        <v>40878</v>
      </c>
      <c r="J536">
        <f t="shared" si="43"/>
        <v>1.4652805608333332</v>
      </c>
      <c r="L536" s="116"/>
      <c r="N536" s="96"/>
    </row>
    <row r="537" spans="4:14" x14ac:dyDescent="0.25">
      <c r="D537" s="115">
        <v>40634</v>
      </c>
      <c r="E537" s="53">
        <v>1.2155499999999999</v>
      </c>
      <c r="F537">
        <f t="shared" si="40"/>
        <v>90</v>
      </c>
      <c r="G537">
        <f t="shared" si="41"/>
        <v>90</v>
      </c>
      <c r="H537">
        <f t="shared" si="42"/>
        <v>45</v>
      </c>
      <c r="I537" s="116">
        <f t="shared" si="44"/>
        <v>40878</v>
      </c>
      <c r="J537">
        <f t="shared" si="43"/>
        <v>1.4652805608333332</v>
      </c>
      <c r="L537" s="116"/>
      <c r="N537" s="96"/>
    </row>
    <row r="538" spans="4:14" x14ac:dyDescent="0.25">
      <c r="D538" s="115">
        <v>40664</v>
      </c>
      <c r="E538" s="53">
        <v>1.2613949</v>
      </c>
      <c r="F538">
        <f t="shared" si="40"/>
        <v>120</v>
      </c>
      <c r="G538">
        <f t="shared" si="41"/>
        <v>120</v>
      </c>
      <c r="H538">
        <f t="shared" si="42"/>
        <v>45</v>
      </c>
      <c r="I538" s="116">
        <f t="shared" si="44"/>
        <v>40878</v>
      </c>
      <c r="J538">
        <f t="shared" si="43"/>
        <v>1.4652805608333332</v>
      </c>
      <c r="L538" s="116"/>
      <c r="N538" s="96"/>
    </row>
    <row r="539" spans="4:14" x14ac:dyDescent="0.25">
      <c r="D539" s="115">
        <v>40695</v>
      </c>
      <c r="E539" s="53">
        <v>1.2990531999999999</v>
      </c>
      <c r="F539">
        <f t="shared" si="40"/>
        <v>150</v>
      </c>
      <c r="G539">
        <f t="shared" si="41"/>
        <v>150</v>
      </c>
      <c r="H539">
        <f t="shared" si="42"/>
        <v>45</v>
      </c>
      <c r="I539" s="116">
        <f t="shared" si="44"/>
        <v>40878</v>
      </c>
      <c r="J539">
        <f t="shared" si="43"/>
        <v>1.4652805608333332</v>
      </c>
      <c r="L539" s="116"/>
      <c r="N539" s="96"/>
    </row>
    <row r="540" spans="4:14" x14ac:dyDescent="0.25">
      <c r="D540" s="115">
        <v>40725</v>
      </c>
      <c r="E540" s="53">
        <v>1.4236275</v>
      </c>
      <c r="F540">
        <f t="shared" si="40"/>
        <v>180</v>
      </c>
      <c r="G540">
        <f t="shared" si="41"/>
        <v>180</v>
      </c>
      <c r="H540">
        <f t="shared" si="42"/>
        <v>45</v>
      </c>
      <c r="I540" s="116">
        <f t="shared" si="44"/>
        <v>40878</v>
      </c>
      <c r="J540">
        <f t="shared" si="43"/>
        <v>1.4652805608333332</v>
      </c>
      <c r="L540" s="116"/>
      <c r="N540" s="96"/>
    </row>
    <row r="541" spans="4:14" x14ac:dyDescent="0.25">
      <c r="D541" s="115">
        <v>40756</v>
      </c>
      <c r="E541" s="53">
        <v>1.6569750999999999</v>
      </c>
      <c r="F541">
        <f t="shared" si="40"/>
        <v>210</v>
      </c>
      <c r="G541">
        <f t="shared" si="41"/>
        <v>210</v>
      </c>
      <c r="H541">
        <f t="shared" si="42"/>
        <v>45</v>
      </c>
      <c r="I541" s="116">
        <f t="shared" si="44"/>
        <v>40878</v>
      </c>
      <c r="J541">
        <f t="shared" si="43"/>
        <v>1.4652805608333332</v>
      </c>
      <c r="L541" s="116"/>
      <c r="N541" s="96"/>
    </row>
    <row r="542" spans="4:14" x14ac:dyDescent="0.25">
      <c r="D542" s="115">
        <v>40787</v>
      </c>
      <c r="E542" s="53">
        <v>1.7268144999999999</v>
      </c>
      <c r="F542">
        <f t="shared" si="40"/>
        <v>240</v>
      </c>
      <c r="G542">
        <f t="shared" si="41"/>
        <v>240</v>
      </c>
      <c r="H542">
        <f t="shared" si="42"/>
        <v>45</v>
      </c>
      <c r="I542" s="116">
        <f t="shared" si="44"/>
        <v>40878</v>
      </c>
      <c r="J542">
        <f t="shared" si="43"/>
        <v>1.4652805608333332</v>
      </c>
      <c r="L542" s="116"/>
      <c r="N542" s="96"/>
    </row>
    <row r="543" spans="4:14" x14ac:dyDescent="0.25">
      <c r="D543" s="115">
        <v>40817</v>
      </c>
      <c r="E543" s="53">
        <v>1.8413647</v>
      </c>
      <c r="F543">
        <f t="shared" si="40"/>
        <v>270</v>
      </c>
      <c r="G543">
        <f t="shared" si="41"/>
        <v>270</v>
      </c>
      <c r="H543">
        <f t="shared" si="42"/>
        <v>45</v>
      </c>
      <c r="I543" s="116">
        <f t="shared" si="44"/>
        <v>40878</v>
      </c>
      <c r="J543">
        <f t="shared" si="43"/>
        <v>1.4652805608333332</v>
      </c>
      <c r="L543" s="116"/>
      <c r="N543" s="96"/>
    </row>
    <row r="544" spans="4:14" x14ac:dyDescent="0.25">
      <c r="D544" s="115">
        <v>40848</v>
      </c>
      <c r="E544" s="53">
        <v>1.8407168</v>
      </c>
      <c r="F544">
        <f t="shared" si="40"/>
        <v>300</v>
      </c>
      <c r="G544">
        <f t="shared" si="41"/>
        <v>300</v>
      </c>
      <c r="H544">
        <f t="shared" si="42"/>
        <v>45</v>
      </c>
      <c r="I544" s="116">
        <f t="shared" si="44"/>
        <v>40878</v>
      </c>
      <c r="J544">
        <f t="shared" si="43"/>
        <v>1.4652805608333332</v>
      </c>
      <c r="L544" s="116"/>
      <c r="N544" s="96"/>
    </row>
    <row r="545" spans="4:14" x14ac:dyDescent="0.25">
      <c r="D545" s="115">
        <v>40878</v>
      </c>
      <c r="E545" s="53">
        <v>2.0478499000000001</v>
      </c>
      <c r="F545">
        <f t="shared" si="40"/>
        <v>330</v>
      </c>
      <c r="G545">
        <f t="shared" si="41"/>
        <v>330</v>
      </c>
      <c r="H545">
        <f t="shared" si="42"/>
        <v>45</v>
      </c>
      <c r="I545" s="116">
        <f t="shared" si="44"/>
        <v>40878</v>
      </c>
      <c r="J545">
        <f t="shared" si="43"/>
        <v>1.4652805608333332</v>
      </c>
      <c r="L545" s="116"/>
      <c r="N545" s="96"/>
    </row>
    <row r="546" spans="4:14" x14ac:dyDescent="0.25">
      <c r="D546" s="115">
        <v>40909</v>
      </c>
      <c r="E546" s="53">
        <v>2.1159284999999999</v>
      </c>
      <c r="F546">
        <f t="shared" si="40"/>
        <v>0</v>
      </c>
      <c r="G546">
        <f t="shared" si="41"/>
        <v>0</v>
      </c>
      <c r="H546">
        <f t="shared" si="42"/>
        <v>46</v>
      </c>
      <c r="I546" s="116">
        <f t="shared" si="44"/>
        <v>41244</v>
      </c>
      <c r="J546">
        <f t="shared" si="43"/>
        <v>2.1707786666666671</v>
      </c>
      <c r="L546" s="116"/>
      <c r="N546" s="96"/>
    </row>
    <row r="547" spans="4:14" x14ac:dyDescent="0.25">
      <c r="D547" s="115">
        <v>40940</v>
      </c>
      <c r="E547" s="53">
        <v>2.0181912</v>
      </c>
      <c r="F547">
        <f t="shared" si="40"/>
        <v>30</v>
      </c>
      <c r="G547">
        <f t="shared" si="41"/>
        <v>30</v>
      </c>
      <c r="H547">
        <f t="shared" si="42"/>
        <v>46</v>
      </c>
      <c r="I547" s="116">
        <f t="shared" si="44"/>
        <v>41244</v>
      </c>
      <c r="J547">
        <f t="shared" si="43"/>
        <v>2.1707786666666671</v>
      </c>
      <c r="L547" s="116"/>
      <c r="N547" s="96"/>
    </row>
    <row r="548" spans="4:14" x14ac:dyDescent="0.25">
      <c r="D548" s="115">
        <v>40969</v>
      </c>
      <c r="E548" s="53">
        <v>2.1247577</v>
      </c>
      <c r="F548">
        <f t="shared" si="40"/>
        <v>60</v>
      </c>
      <c r="G548">
        <f t="shared" si="41"/>
        <v>60</v>
      </c>
      <c r="H548">
        <f t="shared" si="42"/>
        <v>46</v>
      </c>
      <c r="I548" s="116">
        <f t="shared" si="44"/>
        <v>41244</v>
      </c>
      <c r="J548">
        <f t="shared" si="43"/>
        <v>2.1707786666666671</v>
      </c>
      <c r="L548" s="116"/>
      <c r="N548" s="96"/>
    </row>
    <row r="549" spans="4:14" x14ac:dyDescent="0.25">
      <c r="D549" s="115">
        <v>41000</v>
      </c>
      <c r="E549" s="53">
        <v>2.1937928000000002</v>
      </c>
      <c r="F549">
        <f t="shared" si="40"/>
        <v>90</v>
      </c>
      <c r="G549">
        <f t="shared" si="41"/>
        <v>90</v>
      </c>
      <c r="H549">
        <f t="shared" si="42"/>
        <v>46</v>
      </c>
      <c r="I549" s="116">
        <f t="shared" si="44"/>
        <v>41244</v>
      </c>
      <c r="J549">
        <f t="shared" si="43"/>
        <v>2.1707786666666671</v>
      </c>
      <c r="L549" s="116"/>
      <c r="N549" s="96"/>
    </row>
    <row r="550" spans="4:14" x14ac:dyDescent="0.25">
      <c r="D550" s="115">
        <v>41030</v>
      </c>
      <c r="E550" s="53">
        <v>2.1896843000000001</v>
      </c>
      <c r="F550">
        <f t="shared" si="40"/>
        <v>120</v>
      </c>
      <c r="G550">
        <f t="shared" si="41"/>
        <v>120</v>
      </c>
      <c r="H550">
        <f t="shared" si="42"/>
        <v>46</v>
      </c>
      <c r="I550" s="116">
        <f t="shared" si="44"/>
        <v>41244</v>
      </c>
      <c r="J550">
        <f t="shared" si="43"/>
        <v>2.1707786666666671</v>
      </c>
      <c r="L550" s="116"/>
      <c r="N550" s="96"/>
    </row>
    <row r="551" spans="4:14" x14ac:dyDescent="0.25">
      <c r="D551" s="115">
        <v>41061</v>
      </c>
      <c r="E551" s="53">
        <v>2.2407468000000001</v>
      </c>
      <c r="F551">
        <f t="shared" si="40"/>
        <v>150</v>
      </c>
      <c r="G551">
        <f t="shared" si="41"/>
        <v>150</v>
      </c>
      <c r="H551">
        <f t="shared" si="42"/>
        <v>46</v>
      </c>
      <c r="I551" s="116">
        <f t="shared" si="44"/>
        <v>41244</v>
      </c>
      <c r="J551">
        <f t="shared" si="43"/>
        <v>2.1707786666666671</v>
      </c>
      <c r="L551" s="116"/>
      <c r="N551" s="96"/>
    </row>
    <row r="552" spans="4:14" x14ac:dyDescent="0.25">
      <c r="D552" s="115">
        <v>41091</v>
      </c>
      <c r="E552" s="53">
        <v>2.2616531000000002</v>
      </c>
      <c r="F552">
        <f t="shared" si="40"/>
        <v>180</v>
      </c>
      <c r="G552">
        <f t="shared" si="41"/>
        <v>180</v>
      </c>
      <c r="H552">
        <f t="shared" si="42"/>
        <v>46</v>
      </c>
      <c r="I552" s="116">
        <f t="shared" si="44"/>
        <v>41244</v>
      </c>
      <c r="J552">
        <f t="shared" si="43"/>
        <v>2.1707786666666671</v>
      </c>
      <c r="L552" s="116"/>
      <c r="N552" s="96"/>
    </row>
    <row r="553" spans="4:14" x14ac:dyDescent="0.25">
      <c r="D553" s="115">
        <v>41122</v>
      </c>
      <c r="E553" s="53">
        <v>2.1718632000000002</v>
      </c>
      <c r="F553">
        <f t="shared" si="40"/>
        <v>210</v>
      </c>
      <c r="G553">
        <f t="shared" si="41"/>
        <v>210</v>
      </c>
      <c r="H553">
        <f t="shared" si="42"/>
        <v>46</v>
      </c>
      <c r="I553" s="116">
        <f t="shared" si="44"/>
        <v>41244</v>
      </c>
      <c r="J553">
        <f t="shared" si="43"/>
        <v>2.1707786666666671</v>
      </c>
      <c r="L553" s="116"/>
      <c r="N553" s="96"/>
    </row>
    <row r="554" spans="4:14" x14ac:dyDescent="0.25">
      <c r="D554" s="115">
        <v>41153</v>
      </c>
      <c r="E554" s="53">
        <v>2.2199385</v>
      </c>
      <c r="F554">
        <f t="shared" si="40"/>
        <v>240</v>
      </c>
      <c r="G554">
        <f t="shared" si="41"/>
        <v>240</v>
      </c>
      <c r="H554">
        <f t="shared" si="42"/>
        <v>46</v>
      </c>
      <c r="I554" s="116">
        <f t="shared" si="44"/>
        <v>41244</v>
      </c>
      <c r="J554">
        <f t="shared" si="43"/>
        <v>2.1707786666666671</v>
      </c>
      <c r="L554" s="116"/>
      <c r="N554" s="96"/>
    </row>
    <row r="555" spans="4:14" x14ac:dyDescent="0.25">
      <c r="D555" s="115">
        <v>41183</v>
      </c>
      <c r="E555" s="53">
        <v>2.2070704999999999</v>
      </c>
      <c r="F555">
        <f t="shared" si="40"/>
        <v>270</v>
      </c>
      <c r="G555">
        <f t="shared" si="41"/>
        <v>270</v>
      </c>
      <c r="H555">
        <f t="shared" si="42"/>
        <v>46</v>
      </c>
      <c r="I555" s="116">
        <f t="shared" si="44"/>
        <v>41244</v>
      </c>
      <c r="J555">
        <f t="shared" si="43"/>
        <v>2.1707786666666671</v>
      </c>
      <c r="L555" s="116"/>
      <c r="N555" s="96"/>
    </row>
    <row r="556" spans="4:14" x14ac:dyDescent="0.25">
      <c r="D556" s="115">
        <v>41214</v>
      </c>
      <c r="E556" s="53">
        <v>2.1959868999999999</v>
      </c>
      <c r="F556">
        <f t="shared" si="40"/>
        <v>300</v>
      </c>
      <c r="G556">
        <f t="shared" si="41"/>
        <v>300</v>
      </c>
      <c r="H556">
        <f t="shared" si="42"/>
        <v>46</v>
      </c>
      <c r="I556" s="116">
        <f t="shared" si="44"/>
        <v>41244</v>
      </c>
      <c r="J556">
        <f t="shared" si="43"/>
        <v>2.1707786666666671</v>
      </c>
      <c r="L556" s="116"/>
      <c r="N556" s="96"/>
    </row>
    <row r="557" spans="4:14" x14ac:dyDescent="0.25">
      <c r="D557" s="115">
        <v>41244</v>
      </c>
      <c r="E557" s="53">
        <v>2.1097305</v>
      </c>
      <c r="F557">
        <f t="shared" si="40"/>
        <v>330</v>
      </c>
      <c r="G557">
        <f t="shared" si="41"/>
        <v>330</v>
      </c>
      <c r="H557">
        <f t="shared" si="42"/>
        <v>46</v>
      </c>
      <c r="I557" s="116">
        <f t="shared" si="44"/>
        <v>41244</v>
      </c>
      <c r="J557">
        <f t="shared" si="43"/>
        <v>2.1707786666666671</v>
      </c>
      <c r="L557" s="116"/>
      <c r="N557" s="96"/>
    </row>
    <row r="558" spans="4:14" x14ac:dyDescent="0.25">
      <c r="D558" s="115">
        <v>41275</v>
      </c>
      <c r="E558" s="53">
        <v>2.0682971000000001</v>
      </c>
      <c r="F558">
        <f t="shared" si="40"/>
        <v>0</v>
      </c>
      <c r="G558">
        <f t="shared" si="41"/>
        <v>0</v>
      </c>
      <c r="H558">
        <f t="shared" si="42"/>
        <v>47</v>
      </c>
      <c r="I558" s="116">
        <f t="shared" si="44"/>
        <v>41609</v>
      </c>
      <c r="J558">
        <f t="shared" si="43"/>
        <v>1.9449664416666668</v>
      </c>
      <c r="L558" s="116"/>
      <c r="N558" s="96"/>
    </row>
    <row r="559" spans="4:14" x14ac:dyDescent="0.25">
      <c r="D559" s="115">
        <v>41306</v>
      </c>
      <c r="E559" s="53">
        <v>2.1460170000000001</v>
      </c>
      <c r="F559">
        <f t="shared" si="40"/>
        <v>30</v>
      </c>
      <c r="G559">
        <f t="shared" si="41"/>
        <v>30</v>
      </c>
      <c r="H559">
        <f t="shared" si="42"/>
        <v>47</v>
      </c>
      <c r="I559" s="116">
        <f t="shared" si="44"/>
        <v>41609</v>
      </c>
      <c r="J559">
        <f t="shared" si="43"/>
        <v>1.9449664416666668</v>
      </c>
      <c r="L559" s="116"/>
      <c r="N559" s="96"/>
    </row>
    <row r="560" spans="4:14" x14ac:dyDescent="0.25">
      <c r="D560" s="115">
        <v>41334</v>
      </c>
      <c r="E560" s="53">
        <v>2.0999024999999998</v>
      </c>
      <c r="F560">
        <f t="shared" si="40"/>
        <v>60</v>
      </c>
      <c r="G560">
        <f t="shared" si="41"/>
        <v>60</v>
      </c>
      <c r="H560">
        <f t="shared" si="42"/>
        <v>47</v>
      </c>
      <c r="I560" s="116">
        <f t="shared" si="44"/>
        <v>41609</v>
      </c>
      <c r="J560">
        <f t="shared" si="43"/>
        <v>1.9449664416666668</v>
      </c>
      <c r="L560" s="116"/>
      <c r="N560" s="96"/>
    </row>
    <row r="561" spans="4:14" x14ac:dyDescent="0.25">
      <c r="D561" s="115">
        <v>41365</v>
      </c>
      <c r="E561" s="53">
        <v>1.9354319</v>
      </c>
      <c r="F561">
        <f t="shared" si="40"/>
        <v>90</v>
      </c>
      <c r="G561">
        <f t="shared" si="41"/>
        <v>90</v>
      </c>
      <c r="H561">
        <f t="shared" si="42"/>
        <v>47</v>
      </c>
      <c r="I561" s="116">
        <f t="shared" si="44"/>
        <v>41609</v>
      </c>
      <c r="J561">
        <f t="shared" si="43"/>
        <v>1.9449664416666668</v>
      </c>
      <c r="L561" s="116"/>
      <c r="N561" s="96"/>
    </row>
    <row r="562" spans="4:14" x14ac:dyDescent="0.25">
      <c r="D562" s="115">
        <v>41395</v>
      </c>
      <c r="E562" s="53">
        <v>1.907797</v>
      </c>
      <c r="F562">
        <f t="shared" si="40"/>
        <v>120</v>
      </c>
      <c r="G562">
        <f t="shared" si="41"/>
        <v>120</v>
      </c>
      <c r="H562">
        <f t="shared" si="42"/>
        <v>47</v>
      </c>
      <c r="I562" s="116">
        <f t="shared" si="44"/>
        <v>41609</v>
      </c>
      <c r="J562">
        <f t="shared" si="43"/>
        <v>1.9449664416666668</v>
      </c>
      <c r="L562" s="116"/>
      <c r="N562" s="96"/>
    </row>
    <row r="563" spans="4:14" x14ac:dyDescent="0.25">
      <c r="D563" s="115">
        <v>41426</v>
      </c>
      <c r="E563" s="53">
        <v>1.8766189</v>
      </c>
      <c r="F563">
        <f t="shared" si="40"/>
        <v>150</v>
      </c>
      <c r="G563">
        <f t="shared" si="41"/>
        <v>150</v>
      </c>
      <c r="H563">
        <f t="shared" si="42"/>
        <v>47</v>
      </c>
      <c r="I563" s="116">
        <f t="shared" si="44"/>
        <v>41609</v>
      </c>
      <c r="J563">
        <f t="shared" si="43"/>
        <v>1.9449664416666668</v>
      </c>
      <c r="L563" s="116"/>
      <c r="N563" s="96"/>
    </row>
    <row r="564" spans="4:14" x14ac:dyDescent="0.25">
      <c r="D564" s="115">
        <v>41456</v>
      </c>
      <c r="E564" s="53">
        <v>1.8678790000000001</v>
      </c>
      <c r="F564">
        <f t="shared" si="40"/>
        <v>180</v>
      </c>
      <c r="G564">
        <f t="shared" si="41"/>
        <v>180</v>
      </c>
      <c r="H564">
        <f t="shared" si="42"/>
        <v>47</v>
      </c>
      <c r="I564" s="116">
        <f t="shared" si="44"/>
        <v>41609</v>
      </c>
      <c r="J564">
        <f t="shared" si="43"/>
        <v>1.9449664416666668</v>
      </c>
      <c r="L564" s="116"/>
      <c r="N564" s="96"/>
    </row>
    <row r="565" spans="4:14" x14ac:dyDescent="0.25">
      <c r="D565" s="115">
        <v>41487</v>
      </c>
      <c r="E565" s="53">
        <v>1.9142201999999999</v>
      </c>
      <c r="F565">
        <f t="shared" si="40"/>
        <v>210</v>
      </c>
      <c r="G565">
        <f t="shared" si="41"/>
        <v>210</v>
      </c>
      <c r="H565">
        <f t="shared" si="42"/>
        <v>47</v>
      </c>
      <c r="I565" s="116">
        <f t="shared" si="44"/>
        <v>41609</v>
      </c>
      <c r="J565">
        <f t="shared" si="43"/>
        <v>1.9449664416666668</v>
      </c>
      <c r="L565" s="116"/>
      <c r="N565" s="96"/>
    </row>
    <row r="566" spans="4:14" x14ac:dyDescent="0.25">
      <c r="D566" s="115">
        <v>41518</v>
      </c>
      <c r="E566" s="53">
        <v>1.8904211</v>
      </c>
      <c r="F566">
        <f t="shared" si="40"/>
        <v>240</v>
      </c>
      <c r="G566">
        <f t="shared" si="41"/>
        <v>240</v>
      </c>
      <c r="H566">
        <f t="shared" si="42"/>
        <v>47</v>
      </c>
      <c r="I566" s="116">
        <f t="shared" si="44"/>
        <v>41609</v>
      </c>
      <c r="J566">
        <f t="shared" si="43"/>
        <v>1.9449664416666668</v>
      </c>
      <c r="L566" s="116"/>
      <c r="N566" s="96"/>
    </row>
    <row r="567" spans="4:14" x14ac:dyDescent="0.25">
      <c r="D567" s="115">
        <v>41548</v>
      </c>
      <c r="E567" s="53">
        <v>1.8687355999999999</v>
      </c>
      <c r="F567">
        <f t="shared" si="40"/>
        <v>270</v>
      </c>
      <c r="G567">
        <f t="shared" si="41"/>
        <v>270</v>
      </c>
      <c r="H567">
        <f t="shared" si="42"/>
        <v>47</v>
      </c>
      <c r="I567" s="116">
        <f t="shared" si="44"/>
        <v>41609</v>
      </c>
      <c r="J567">
        <f t="shared" si="43"/>
        <v>1.9449664416666668</v>
      </c>
      <c r="L567" s="116"/>
      <c r="N567" s="96"/>
    </row>
    <row r="568" spans="4:14" x14ac:dyDescent="0.25">
      <c r="D568" s="115">
        <v>41579</v>
      </c>
      <c r="E568" s="53">
        <v>1.8930866</v>
      </c>
      <c r="F568">
        <f t="shared" si="40"/>
        <v>300</v>
      </c>
      <c r="G568">
        <f t="shared" si="41"/>
        <v>300</v>
      </c>
      <c r="H568">
        <f t="shared" si="42"/>
        <v>47</v>
      </c>
      <c r="I568" s="116">
        <f t="shared" si="44"/>
        <v>41609</v>
      </c>
      <c r="J568">
        <f t="shared" si="43"/>
        <v>1.9449664416666668</v>
      </c>
      <c r="L568" s="116"/>
      <c r="N568" s="96"/>
    </row>
    <row r="569" spans="4:14" x14ac:dyDescent="0.25">
      <c r="D569" s="115">
        <v>41609</v>
      </c>
      <c r="E569" s="53">
        <v>1.8711903999999999</v>
      </c>
      <c r="F569">
        <f t="shared" si="40"/>
        <v>330</v>
      </c>
      <c r="G569">
        <f t="shared" si="41"/>
        <v>330</v>
      </c>
      <c r="H569">
        <f t="shared" si="42"/>
        <v>47</v>
      </c>
      <c r="I569" s="116">
        <f t="shared" si="44"/>
        <v>41609</v>
      </c>
      <c r="J569">
        <f t="shared" si="43"/>
        <v>1.9449664416666668</v>
      </c>
      <c r="L569" s="116"/>
      <c r="N569" s="96"/>
    </row>
    <row r="570" spans="4:14" x14ac:dyDescent="0.25">
      <c r="D570" s="115">
        <v>41640</v>
      </c>
      <c r="E570" s="53">
        <v>1.8218144999999999</v>
      </c>
      <c r="F570">
        <f t="shared" si="40"/>
        <v>0</v>
      </c>
      <c r="G570">
        <f t="shared" si="41"/>
        <v>0</v>
      </c>
      <c r="H570">
        <f t="shared" si="42"/>
        <v>48</v>
      </c>
      <c r="I570" s="116">
        <f t="shared" si="44"/>
        <v>41974</v>
      </c>
      <c r="J570">
        <f t="shared" si="43"/>
        <v>1.9772887499999998</v>
      </c>
      <c r="L570" s="116"/>
      <c r="N570" s="96"/>
    </row>
    <row r="571" spans="4:14" x14ac:dyDescent="0.25">
      <c r="D571" s="115">
        <v>41671</v>
      </c>
      <c r="E571" s="53">
        <v>1.7891862999999999</v>
      </c>
      <c r="F571">
        <f t="shared" si="40"/>
        <v>30</v>
      </c>
      <c r="G571">
        <f t="shared" si="41"/>
        <v>30</v>
      </c>
      <c r="H571">
        <f t="shared" si="42"/>
        <v>48</v>
      </c>
      <c r="I571" s="116">
        <f t="shared" si="44"/>
        <v>41974</v>
      </c>
      <c r="J571">
        <f t="shared" si="43"/>
        <v>1.9772887499999998</v>
      </c>
      <c r="L571" s="116"/>
      <c r="N571" s="96"/>
    </row>
    <row r="572" spans="4:14" x14ac:dyDescent="0.25">
      <c r="D572" s="115">
        <v>41699</v>
      </c>
      <c r="E572" s="53">
        <v>1.8208567</v>
      </c>
      <c r="F572">
        <f t="shared" si="40"/>
        <v>60</v>
      </c>
      <c r="G572">
        <f t="shared" si="41"/>
        <v>60</v>
      </c>
      <c r="H572">
        <f t="shared" si="42"/>
        <v>48</v>
      </c>
      <c r="I572" s="116">
        <f t="shared" si="44"/>
        <v>41974</v>
      </c>
      <c r="J572">
        <f t="shared" si="43"/>
        <v>1.9772887499999998</v>
      </c>
      <c r="L572" s="116"/>
      <c r="N572" s="96"/>
    </row>
    <row r="573" spans="4:14" x14ac:dyDescent="0.25">
      <c r="D573" s="115">
        <v>41730</v>
      </c>
      <c r="E573" s="53">
        <v>2.0251611999999999</v>
      </c>
      <c r="F573">
        <f t="shared" si="40"/>
        <v>90</v>
      </c>
      <c r="G573">
        <f t="shared" si="41"/>
        <v>90</v>
      </c>
      <c r="H573">
        <f t="shared" si="42"/>
        <v>48</v>
      </c>
      <c r="I573" s="116">
        <f t="shared" si="44"/>
        <v>41974</v>
      </c>
      <c r="J573">
        <f t="shared" si="43"/>
        <v>1.9772887499999998</v>
      </c>
      <c r="L573" s="116"/>
      <c r="N573" s="96"/>
    </row>
    <row r="574" spans="4:14" x14ac:dyDescent="0.25">
      <c r="D574" s="115">
        <v>41760</v>
      </c>
      <c r="E574" s="53">
        <v>2.1282345</v>
      </c>
      <c r="F574">
        <f t="shared" si="40"/>
        <v>120</v>
      </c>
      <c r="G574">
        <f t="shared" si="41"/>
        <v>120</v>
      </c>
      <c r="H574">
        <f t="shared" si="42"/>
        <v>48</v>
      </c>
      <c r="I574" s="116">
        <f t="shared" si="44"/>
        <v>41974</v>
      </c>
      <c r="J574">
        <f t="shared" si="43"/>
        <v>1.9772887499999998</v>
      </c>
      <c r="L574" s="116"/>
      <c r="N574" s="96"/>
    </row>
    <row r="575" spans="4:14" x14ac:dyDescent="0.25">
      <c r="D575" s="115">
        <v>41791</v>
      </c>
      <c r="E575" s="53">
        <v>2.1433409000000001</v>
      </c>
      <c r="F575">
        <f t="shared" si="40"/>
        <v>150</v>
      </c>
      <c r="G575">
        <f t="shared" si="41"/>
        <v>150</v>
      </c>
      <c r="H575">
        <f t="shared" si="42"/>
        <v>48</v>
      </c>
      <c r="I575" s="116">
        <f t="shared" si="44"/>
        <v>41974</v>
      </c>
      <c r="J575">
        <f t="shared" si="43"/>
        <v>1.9772887499999998</v>
      </c>
      <c r="L575" s="116"/>
      <c r="N575" s="96"/>
    </row>
    <row r="576" spans="4:14" x14ac:dyDescent="0.25">
      <c r="D576" s="115">
        <v>41821</v>
      </c>
      <c r="E576" s="53">
        <v>2.1008094000000002</v>
      </c>
      <c r="F576">
        <f t="shared" si="40"/>
        <v>180</v>
      </c>
      <c r="G576">
        <f t="shared" si="41"/>
        <v>180</v>
      </c>
      <c r="H576">
        <f t="shared" si="42"/>
        <v>48</v>
      </c>
      <c r="I576" s="116">
        <f t="shared" si="44"/>
        <v>41974</v>
      </c>
      <c r="J576">
        <f t="shared" si="43"/>
        <v>1.9772887499999998</v>
      </c>
      <c r="L576" s="116"/>
      <c r="N576" s="96"/>
    </row>
    <row r="577" spans="4:14" x14ac:dyDescent="0.25">
      <c r="D577" s="115">
        <v>41852</v>
      </c>
      <c r="E577" s="53">
        <v>1.9625041999999999</v>
      </c>
      <c r="F577">
        <f t="shared" si="40"/>
        <v>210</v>
      </c>
      <c r="G577">
        <f t="shared" si="41"/>
        <v>210</v>
      </c>
      <c r="H577">
        <f t="shared" si="42"/>
        <v>48</v>
      </c>
      <c r="I577" s="116">
        <f t="shared" si="44"/>
        <v>41974</v>
      </c>
      <c r="J577">
        <f t="shared" si="43"/>
        <v>1.9772887499999998</v>
      </c>
      <c r="L577" s="116"/>
      <c r="N577" s="96"/>
    </row>
    <row r="578" spans="4:14" x14ac:dyDescent="0.25">
      <c r="D578" s="115">
        <v>41883</v>
      </c>
      <c r="E578" s="53">
        <v>1.9540470000000001</v>
      </c>
      <c r="F578">
        <f t="shared" si="40"/>
        <v>240</v>
      </c>
      <c r="G578">
        <f t="shared" si="41"/>
        <v>240</v>
      </c>
      <c r="H578">
        <f t="shared" si="42"/>
        <v>48</v>
      </c>
      <c r="I578" s="116">
        <f t="shared" si="44"/>
        <v>41974</v>
      </c>
      <c r="J578">
        <f t="shared" si="43"/>
        <v>1.9772887499999998</v>
      </c>
      <c r="L578" s="116"/>
      <c r="N578" s="96"/>
    </row>
    <row r="579" spans="4:14" x14ac:dyDescent="0.25">
      <c r="D579" s="115">
        <v>41913</v>
      </c>
      <c r="E579" s="53">
        <v>2.0060186999999998</v>
      </c>
      <c r="F579">
        <f t="shared" si="40"/>
        <v>270</v>
      </c>
      <c r="G579">
        <f t="shared" si="41"/>
        <v>270</v>
      </c>
      <c r="H579">
        <f t="shared" si="42"/>
        <v>48</v>
      </c>
      <c r="I579" s="116">
        <f t="shared" si="44"/>
        <v>41974</v>
      </c>
      <c r="J579">
        <f t="shared" si="43"/>
        <v>1.9772887499999998</v>
      </c>
      <c r="L579" s="116"/>
      <c r="N579" s="96"/>
    </row>
    <row r="580" spans="4:14" x14ac:dyDescent="0.25">
      <c r="D580" s="115">
        <v>41944</v>
      </c>
      <c r="E580" s="53">
        <v>2.0043657000000001</v>
      </c>
      <c r="F580">
        <f t="shared" si="40"/>
        <v>300</v>
      </c>
      <c r="G580">
        <f t="shared" si="41"/>
        <v>300</v>
      </c>
      <c r="H580">
        <f t="shared" si="42"/>
        <v>48</v>
      </c>
      <c r="I580" s="116">
        <f t="shared" si="44"/>
        <v>41974</v>
      </c>
      <c r="J580">
        <f t="shared" si="43"/>
        <v>1.9772887499999998</v>
      </c>
      <c r="L580" s="116"/>
      <c r="N580" s="96"/>
    </row>
    <row r="581" spans="4:14" x14ac:dyDescent="0.25">
      <c r="D581" s="115">
        <v>41974</v>
      </c>
      <c r="E581" s="53">
        <v>1.9711259000000001</v>
      </c>
      <c r="F581">
        <f t="shared" si="40"/>
        <v>330</v>
      </c>
      <c r="G581">
        <f t="shared" si="41"/>
        <v>330</v>
      </c>
      <c r="H581">
        <f t="shared" si="42"/>
        <v>48</v>
      </c>
      <c r="I581" s="116">
        <f t="shared" si="44"/>
        <v>41974</v>
      </c>
      <c r="J581">
        <f t="shared" si="43"/>
        <v>1.9772887499999998</v>
      </c>
      <c r="L581" s="116"/>
      <c r="N581" s="96"/>
    </row>
    <row r="582" spans="4:14" x14ac:dyDescent="0.25">
      <c r="D582" s="115">
        <v>42005</v>
      </c>
      <c r="E582" s="53">
        <v>1.9856529999999999</v>
      </c>
      <c r="F582">
        <f t="shared" si="40"/>
        <v>0</v>
      </c>
      <c r="G582">
        <f t="shared" si="41"/>
        <v>0</v>
      </c>
      <c r="H582">
        <f t="shared" si="42"/>
        <v>49</v>
      </c>
      <c r="I582" s="116">
        <f t="shared" si="44"/>
        <v>42339</v>
      </c>
      <c r="J582">
        <f t="shared" si="43"/>
        <v>2.1673172916666665</v>
      </c>
      <c r="L582" s="116"/>
      <c r="N582" s="96"/>
    </row>
    <row r="583" spans="4:14" x14ac:dyDescent="0.25">
      <c r="D583" s="115">
        <v>42036</v>
      </c>
      <c r="E583" s="53">
        <v>1.9819969</v>
      </c>
      <c r="F583">
        <f t="shared" si="40"/>
        <v>30</v>
      </c>
      <c r="G583">
        <f t="shared" si="41"/>
        <v>30</v>
      </c>
      <c r="H583">
        <f t="shared" si="42"/>
        <v>49</v>
      </c>
      <c r="I583" s="116">
        <f t="shared" si="44"/>
        <v>42339</v>
      </c>
      <c r="J583">
        <f t="shared" si="43"/>
        <v>2.1673172916666665</v>
      </c>
      <c r="L583" s="116"/>
      <c r="N583" s="96"/>
    </row>
    <row r="584" spans="4:14" x14ac:dyDescent="0.25">
      <c r="D584" s="115">
        <v>42064</v>
      </c>
      <c r="E584" s="53">
        <v>1.9991371</v>
      </c>
      <c r="F584">
        <f t="shared" si="40"/>
        <v>60</v>
      </c>
      <c r="G584">
        <f t="shared" si="41"/>
        <v>60</v>
      </c>
      <c r="H584">
        <f t="shared" si="42"/>
        <v>49</v>
      </c>
      <c r="I584" s="116">
        <f t="shared" si="44"/>
        <v>42339</v>
      </c>
      <c r="J584">
        <f t="shared" si="43"/>
        <v>2.1673172916666665</v>
      </c>
      <c r="L584" s="116"/>
      <c r="N584" s="96"/>
    </row>
    <row r="585" spans="4:14" x14ac:dyDescent="0.25">
      <c r="D585" s="115">
        <v>42095</v>
      </c>
      <c r="E585" s="53">
        <v>2.0631235999999999</v>
      </c>
      <c r="F585">
        <f t="shared" si="40"/>
        <v>90</v>
      </c>
      <c r="G585">
        <f t="shared" si="41"/>
        <v>90</v>
      </c>
      <c r="H585">
        <f t="shared" si="42"/>
        <v>49</v>
      </c>
      <c r="I585" s="116">
        <f t="shared" si="44"/>
        <v>42339</v>
      </c>
      <c r="J585">
        <f t="shared" si="43"/>
        <v>2.1673172916666665</v>
      </c>
      <c r="L585" s="116"/>
      <c r="N585" s="96"/>
    </row>
    <row r="586" spans="4:14" x14ac:dyDescent="0.25">
      <c r="D586" s="115">
        <v>42125</v>
      </c>
      <c r="E586" s="53">
        <v>2.0668869000000001</v>
      </c>
      <c r="F586">
        <f t="shared" si="40"/>
        <v>120</v>
      </c>
      <c r="G586">
        <f t="shared" si="41"/>
        <v>120</v>
      </c>
      <c r="H586">
        <f t="shared" si="42"/>
        <v>49</v>
      </c>
      <c r="I586" s="116">
        <f t="shared" si="44"/>
        <v>42339</v>
      </c>
      <c r="J586">
        <f t="shared" si="43"/>
        <v>2.1673172916666665</v>
      </c>
      <c r="L586" s="116"/>
      <c r="N586" s="96"/>
    </row>
    <row r="587" spans="4:14" x14ac:dyDescent="0.25">
      <c r="D587" s="115">
        <v>42156</v>
      </c>
      <c r="E587" s="53">
        <v>2.1147326</v>
      </c>
      <c r="F587">
        <f t="shared" si="40"/>
        <v>150</v>
      </c>
      <c r="G587">
        <f t="shared" si="41"/>
        <v>150</v>
      </c>
      <c r="H587">
        <f t="shared" si="42"/>
        <v>49</v>
      </c>
      <c r="I587" s="116">
        <f t="shared" si="44"/>
        <v>42339</v>
      </c>
      <c r="J587">
        <f t="shared" si="43"/>
        <v>2.1673172916666665</v>
      </c>
      <c r="L587" s="116"/>
      <c r="N587" s="96"/>
    </row>
    <row r="588" spans="4:14" x14ac:dyDescent="0.25">
      <c r="D588" s="115">
        <v>42186</v>
      </c>
      <c r="E588" s="53">
        <v>2.1414477000000001</v>
      </c>
      <c r="F588">
        <f t="shared" si="40"/>
        <v>180</v>
      </c>
      <c r="G588">
        <f t="shared" si="41"/>
        <v>180</v>
      </c>
      <c r="H588">
        <f t="shared" si="42"/>
        <v>49</v>
      </c>
      <c r="I588" s="116">
        <f t="shared" si="44"/>
        <v>42339</v>
      </c>
      <c r="J588">
        <f t="shared" si="43"/>
        <v>2.1673172916666665</v>
      </c>
      <c r="L588" s="116"/>
      <c r="N588" s="96"/>
    </row>
    <row r="589" spans="4:14" x14ac:dyDescent="0.25">
      <c r="D589" s="115">
        <v>42217</v>
      </c>
      <c r="E589" s="53">
        <v>2.1802397999999998</v>
      </c>
      <c r="F589">
        <f t="shared" si="40"/>
        <v>210</v>
      </c>
      <c r="G589">
        <f t="shared" si="41"/>
        <v>210</v>
      </c>
      <c r="H589">
        <f t="shared" si="42"/>
        <v>49</v>
      </c>
      <c r="I589" s="116">
        <f t="shared" si="44"/>
        <v>42339</v>
      </c>
      <c r="J589">
        <f t="shared" si="43"/>
        <v>2.1673172916666665</v>
      </c>
      <c r="L589" s="116"/>
      <c r="N589" s="96"/>
    </row>
    <row r="590" spans="4:14" x14ac:dyDescent="0.25">
      <c r="D590" s="115">
        <v>42248</v>
      </c>
      <c r="E590" s="53">
        <v>2.2794310000000002</v>
      </c>
      <c r="F590">
        <f t="shared" si="40"/>
        <v>240</v>
      </c>
      <c r="G590">
        <f t="shared" si="41"/>
        <v>240</v>
      </c>
      <c r="H590">
        <f t="shared" si="42"/>
        <v>49</v>
      </c>
      <c r="I590" s="116">
        <f t="shared" si="44"/>
        <v>42339</v>
      </c>
      <c r="J590">
        <f t="shared" si="43"/>
        <v>2.1673172916666665</v>
      </c>
      <c r="L590" s="116"/>
      <c r="N590" s="96"/>
    </row>
    <row r="591" spans="4:14" x14ac:dyDescent="0.25">
      <c r="D591" s="115">
        <v>42278</v>
      </c>
      <c r="E591" s="53">
        <v>2.3462109</v>
      </c>
      <c r="F591">
        <f t="shared" si="40"/>
        <v>270</v>
      </c>
      <c r="G591">
        <f t="shared" si="41"/>
        <v>270</v>
      </c>
      <c r="H591">
        <f t="shared" si="42"/>
        <v>49</v>
      </c>
      <c r="I591" s="116">
        <f t="shared" si="44"/>
        <v>42339</v>
      </c>
      <c r="J591">
        <f t="shared" si="43"/>
        <v>2.1673172916666665</v>
      </c>
      <c r="L591" s="116"/>
      <c r="N591" s="96"/>
    </row>
    <row r="592" spans="4:14" x14ac:dyDescent="0.25">
      <c r="D592" s="115">
        <v>42309</v>
      </c>
      <c r="E592" s="53">
        <v>2.4052606000000001</v>
      </c>
      <c r="F592">
        <f t="shared" si="40"/>
        <v>300</v>
      </c>
      <c r="G592">
        <f t="shared" si="41"/>
        <v>300</v>
      </c>
      <c r="H592">
        <f t="shared" si="42"/>
        <v>49</v>
      </c>
      <c r="I592" s="116">
        <f t="shared" si="44"/>
        <v>42339</v>
      </c>
      <c r="J592">
        <f t="shared" si="43"/>
        <v>2.1673172916666665</v>
      </c>
      <c r="L592" s="116"/>
      <c r="N592" s="96"/>
    </row>
    <row r="593" spans="4:14" x14ac:dyDescent="0.25">
      <c r="D593" s="115">
        <v>42339</v>
      </c>
      <c r="E593" s="53">
        <v>2.4436874</v>
      </c>
      <c r="F593">
        <f t="shared" ref="F593:F656" si="45">FLOOR(DAYS360(DATE(YEAR(D593),1,1),D593),30)</f>
        <v>330</v>
      </c>
      <c r="G593">
        <f t="shared" si="41"/>
        <v>330</v>
      </c>
      <c r="H593">
        <f t="shared" si="42"/>
        <v>49</v>
      </c>
      <c r="I593" s="116">
        <f t="shared" si="44"/>
        <v>42339</v>
      </c>
      <c r="J593">
        <f t="shared" si="43"/>
        <v>2.1673172916666665</v>
      </c>
      <c r="L593" s="116"/>
      <c r="N593" s="96"/>
    </row>
    <row r="594" spans="4:14" x14ac:dyDescent="0.25">
      <c r="D594" s="115">
        <v>42370</v>
      </c>
      <c r="E594" s="53">
        <v>2.4667222</v>
      </c>
      <c r="F594">
        <f t="shared" si="45"/>
        <v>0</v>
      </c>
      <c r="G594">
        <f t="shared" ref="G594:G657" si="46">MOD(F594, 360/$G$12)</f>
        <v>0</v>
      </c>
      <c r="H594">
        <f t="shared" ref="H594:H657" si="47">IF(G594&gt;G593,H593,H593+1)</f>
        <v>50</v>
      </c>
      <c r="I594" s="116">
        <f t="shared" si="44"/>
        <v>42705</v>
      </c>
      <c r="J594">
        <f t="shared" ref="J594:J657" si="48">AVERAGEIF($H$17:$H$675,H594,$E$17:$E$675)</f>
        <v>2.5651574416666669</v>
      </c>
      <c r="L594" s="116"/>
      <c r="N594" s="96"/>
    </row>
    <row r="595" spans="4:14" x14ac:dyDescent="0.25">
      <c r="D595" s="115">
        <v>42401</v>
      </c>
      <c r="E595" s="53">
        <v>2.5442092000000001</v>
      </c>
      <c r="F595">
        <f t="shared" si="45"/>
        <v>30</v>
      </c>
      <c r="G595">
        <f t="shared" si="46"/>
        <v>30</v>
      </c>
      <c r="H595">
        <f t="shared" si="47"/>
        <v>50</v>
      </c>
      <c r="I595" s="116">
        <f t="shared" ref="I595:I658" si="49">EDATE(I594,(H595-H594)*(12/$G$12))</f>
        <v>42705</v>
      </c>
      <c r="J595">
        <f t="shared" si="48"/>
        <v>2.5651574416666669</v>
      </c>
      <c r="L595" s="116"/>
      <c r="N595" s="96"/>
    </row>
    <row r="596" spans="4:14" x14ac:dyDescent="0.25">
      <c r="D596" s="115">
        <v>42430</v>
      </c>
      <c r="E596" s="53">
        <v>2.5318779999999999</v>
      </c>
      <c r="F596">
        <f t="shared" si="45"/>
        <v>60</v>
      </c>
      <c r="G596">
        <f t="shared" si="46"/>
        <v>60</v>
      </c>
      <c r="H596">
        <f t="shared" si="47"/>
        <v>50</v>
      </c>
      <c r="I596" s="116">
        <f t="shared" si="49"/>
        <v>42705</v>
      </c>
      <c r="J596">
        <f t="shared" si="48"/>
        <v>2.5651574416666669</v>
      </c>
      <c r="L596" s="116"/>
      <c r="N596" s="96"/>
    </row>
    <row r="597" spans="4:14" x14ac:dyDescent="0.25">
      <c r="D597" s="115">
        <v>42461</v>
      </c>
      <c r="E597" s="53">
        <v>2.5379960000000001</v>
      </c>
      <c r="F597">
        <f t="shared" si="45"/>
        <v>90</v>
      </c>
      <c r="G597">
        <f t="shared" si="46"/>
        <v>90</v>
      </c>
      <c r="H597">
        <f t="shared" si="47"/>
        <v>50</v>
      </c>
      <c r="I597" s="116">
        <f t="shared" si="49"/>
        <v>42705</v>
      </c>
      <c r="J597">
        <f t="shared" si="48"/>
        <v>2.5651574416666669</v>
      </c>
      <c r="L597" s="116"/>
      <c r="N597" s="96"/>
    </row>
    <row r="598" spans="4:14" x14ac:dyDescent="0.25">
      <c r="D598" s="115">
        <v>42491</v>
      </c>
      <c r="E598" s="53">
        <v>2.5711572</v>
      </c>
      <c r="F598">
        <f t="shared" si="45"/>
        <v>120</v>
      </c>
      <c r="G598">
        <f t="shared" si="46"/>
        <v>120</v>
      </c>
      <c r="H598">
        <f t="shared" si="47"/>
        <v>50</v>
      </c>
      <c r="I598" s="116">
        <f t="shared" si="49"/>
        <v>42705</v>
      </c>
      <c r="J598">
        <f t="shared" si="48"/>
        <v>2.5651574416666669</v>
      </c>
      <c r="L598" s="116"/>
      <c r="N598" s="96"/>
    </row>
    <row r="599" spans="4:14" x14ac:dyDescent="0.25">
      <c r="D599" s="115">
        <v>42522</v>
      </c>
      <c r="E599" s="53">
        <v>2.5689022000000001</v>
      </c>
      <c r="F599">
        <f t="shared" si="45"/>
        <v>150</v>
      </c>
      <c r="G599">
        <f t="shared" si="46"/>
        <v>150</v>
      </c>
      <c r="H599">
        <f t="shared" si="47"/>
        <v>50</v>
      </c>
      <c r="I599" s="116">
        <f t="shared" si="49"/>
        <v>42705</v>
      </c>
      <c r="J599">
        <f t="shared" si="48"/>
        <v>2.5651574416666669</v>
      </c>
      <c r="L599" s="116"/>
      <c r="N599" s="96"/>
    </row>
    <row r="600" spans="4:14" x14ac:dyDescent="0.25">
      <c r="D600" s="115">
        <v>42552</v>
      </c>
      <c r="E600" s="53">
        <v>2.5758511999999998</v>
      </c>
      <c r="F600">
        <f t="shared" si="45"/>
        <v>180</v>
      </c>
      <c r="G600">
        <f t="shared" si="46"/>
        <v>180</v>
      </c>
      <c r="H600">
        <f t="shared" si="47"/>
        <v>50</v>
      </c>
      <c r="I600" s="116">
        <f t="shared" si="49"/>
        <v>42705</v>
      </c>
      <c r="J600">
        <f t="shared" si="48"/>
        <v>2.5651574416666669</v>
      </c>
      <c r="L600" s="116"/>
      <c r="N600" s="96"/>
    </row>
    <row r="601" spans="4:14" x14ac:dyDescent="0.25">
      <c r="D601" s="115">
        <v>42583</v>
      </c>
      <c r="E601" s="53">
        <v>2.7228064000000001</v>
      </c>
      <c r="F601">
        <f t="shared" si="45"/>
        <v>210</v>
      </c>
      <c r="G601">
        <f t="shared" si="46"/>
        <v>210</v>
      </c>
      <c r="H601">
        <f t="shared" si="47"/>
        <v>50</v>
      </c>
      <c r="I601" s="116">
        <f t="shared" si="49"/>
        <v>42705</v>
      </c>
      <c r="J601">
        <f t="shared" si="48"/>
        <v>2.5651574416666669</v>
      </c>
      <c r="L601" s="116"/>
      <c r="N601" s="96"/>
    </row>
    <row r="602" spans="4:14" x14ac:dyDescent="0.25">
      <c r="D602" s="115">
        <v>42614</v>
      </c>
      <c r="E602" s="53">
        <v>2.6321032</v>
      </c>
      <c r="F602">
        <f t="shared" si="45"/>
        <v>240</v>
      </c>
      <c r="G602">
        <f t="shared" si="46"/>
        <v>240</v>
      </c>
      <c r="H602">
        <f t="shared" si="47"/>
        <v>50</v>
      </c>
      <c r="I602" s="116">
        <f t="shared" si="49"/>
        <v>42705</v>
      </c>
      <c r="J602">
        <f t="shared" si="48"/>
        <v>2.5651574416666669</v>
      </c>
      <c r="L602" s="116"/>
      <c r="N602" s="96"/>
    </row>
    <row r="603" spans="4:14" x14ac:dyDescent="0.25">
      <c r="D603" s="115">
        <v>42644</v>
      </c>
      <c r="E603" s="53">
        <v>2.5095184000000001</v>
      </c>
      <c r="F603">
        <f t="shared" si="45"/>
        <v>270</v>
      </c>
      <c r="G603">
        <f t="shared" si="46"/>
        <v>270</v>
      </c>
      <c r="H603">
        <f t="shared" si="47"/>
        <v>50</v>
      </c>
      <c r="I603" s="116">
        <f t="shared" si="49"/>
        <v>42705</v>
      </c>
      <c r="J603">
        <f t="shared" si="48"/>
        <v>2.5651574416666669</v>
      </c>
      <c r="L603" s="116"/>
      <c r="N603" s="96"/>
    </row>
    <row r="604" spans="4:14" x14ac:dyDescent="0.25">
      <c r="D604" s="115">
        <v>42675</v>
      </c>
      <c r="E604" s="53">
        <v>2.5258012999999999</v>
      </c>
      <c r="F604">
        <f t="shared" si="45"/>
        <v>300</v>
      </c>
      <c r="G604">
        <f t="shared" si="46"/>
        <v>300</v>
      </c>
      <c r="H604">
        <f t="shared" si="47"/>
        <v>50</v>
      </c>
      <c r="I604" s="116">
        <f t="shared" si="49"/>
        <v>42705</v>
      </c>
      <c r="J604">
        <f t="shared" si="48"/>
        <v>2.5651574416666669</v>
      </c>
      <c r="L604" s="116"/>
      <c r="N604" s="96"/>
    </row>
    <row r="605" spans="4:14" x14ac:dyDescent="0.25">
      <c r="D605" s="115">
        <v>42705</v>
      </c>
      <c r="E605" s="53">
        <v>2.5949439999999999</v>
      </c>
      <c r="F605">
        <f t="shared" si="45"/>
        <v>330</v>
      </c>
      <c r="G605">
        <f t="shared" si="46"/>
        <v>330</v>
      </c>
      <c r="H605">
        <f t="shared" si="47"/>
        <v>50</v>
      </c>
      <c r="I605" s="116">
        <f t="shared" si="49"/>
        <v>42705</v>
      </c>
      <c r="J605">
        <f t="shared" si="48"/>
        <v>2.5651574416666669</v>
      </c>
      <c r="L605" s="116"/>
      <c r="N605" s="96"/>
    </row>
    <row r="606" spans="4:14" x14ac:dyDescent="0.25">
      <c r="D606" s="115">
        <v>42736</v>
      </c>
      <c r="E606" s="53">
        <v>2.661562</v>
      </c>
      <c r="F606">
        <f t="shared" si="45"/>
        <v>0</v>
      </c>
      <c r="G606">
        <f t="shared" si="46"/>
        <v>0</v>
      </c>
      <c r="H606">
        <f t="shared" si="47"/>
        <v>51</v>
      </c>
      <c r="I606" s="116">
        <f t="shared" si="49"/>
        <v>43070</v>
      </c>
      <c r="J606">
        <f t="shared" si="48"/>
        <v>2.2593830833333333</v>
      </c>
      <c r="L606" s="116"/>
      <c r="N606" s="96"/>
    </row>
    <row r="607" spans="4:14" x14ac:dyDescent="0.25">
      <c r="D607" s="115">
        <v>42767</v>
      </c>
      <c r="E607" s="53">
        <v>2.6744599999999998</v>
      </c>
      <c r="F607">
        <f t="shared" si="45"/>
        <v>30</v>
      </c>
      <c r="G607">
        <f t="shared" si="46"/>
        <v>30</v>
      </c>
      <c r="H607">
        <f t="shared" si="47"/>
        <v>51</v>
      </c>
      <c r="I607" s="116">
        <f t="shared" si="49"/>
        <v>43070</v>
      </c>
      <c r="J607">
        <f t="shared" si="48"/>
        <v>2.2593830833333333</v>
      </c>
      <c r="L607" s="116"/>
      <c r="N607" s="96"/>
    </row>
    <row r="608" spans="4:14" x14ac:dyDescent="0.25">
      <c r="D608" s="115">
        <v>42795</v>
      </c>
      <c r="E608" s="53">
        <v>2.453344</v>
      </c>
      <c r="F608">
        <f t="shared" si="45"/>
        <v>60</v>
      </c>
      <c r="G608">
        <f t="shared" si="46"/>
        <v>60</v>
      </c>
      <c r="H608">
        <f t="shared" si="47"/>
        <v>51</v>
      </c>
      <c r="I608" s="116">
        <f t="shared" si="49"/>
        <v>43070</v>
      </c>
      <c r="J608">
        <f t="shared" si="48"/>
        <v>2.2593830833333333</v>
      </c>
      <c r="L608" s="116"/>
      <c r="N608" s="96"/>
    </row>
    <row r="609" spans="4:14" x14ac:dyDescent="0.25">
      <c r="D609" s="115">
        <v>42826</v>
      </c>
      <c r="E609" s="53">
        <v>2.25217</v>
      </c>
      <c r="F609">
        <f t="shared" si="45"/>
        <v>90</v>
      </c>
      <c r="G609">
        <f t="shared" si="46"/>
        <v>90</v>
      </c>
      <c r="H609">
        <f t="shared" si="47"/>
        <v>51</v>
      </c>
      <c r="I609" s="116">
        <f t="shared" si="49"/>
        <v>43070</v>
      </c>
      <c r="J609">
        <f t="shared" si="48"/>
        <v>2.2593830833333333</v>
      </c>
      <c r="L609" s="116"/>
      <c r="N609" s="96"/>
    </row>
    <row r="610" spans="4:14" x14ac:dyDescent="0.25">
      <c r="D610" s="115">
        <v>42856</v>
      </c>
      <c r="E610" s="53">
        <v>2.1559110000000001</v>
      </c>
      <c r="F610">
        <f t="shared" si="45"/>
        <v>120</v>
      </c>
      <c r="G610">
        <f t="shared" si="46"/>
        <v>120</v>
      </c>
      <c r="H610">
        <f t="shared" si="47"/>
        <v>51</v>
      </c>
      <c r="I610" s="116">
        <f t="shared" si="49"/>
        <v>43070</v>
      </c>
      <c r="J610">
        <f t="shared" si="48"/>
        <v>2.2593830833333333</v>
      </c>
      <c r="L610" s="116"/>
      <c r="N610" s="96"/>
    </row>
    <row r="611" spans="4:14" x14ac:dyDescent="0.25">
      <c r="D611" s="115">
        <v>42887</v>
      </c>
      <c r="E611" s="53">
        <v>2.1385299999999998</v>
      </c>
      <c r="F611">
        <f t="shared" si="45"/>
        <v>150</v>
      </c>
      <c r="G611">
        <f t="shared" si="46"/>
        <v>150</v>
      </c>
      <c r="H611">
        <f t="shared" si="47"/>
        <v>51</v>
      </c>
      <c r="I611" s="116">
        <f t="shared" si="49"/>
        <v>43070</v>
      </c>
      <c r="J611">
        <f t="shared" si="48"/>
        <v>2.2593830833333333</v>
      </c>
      <c r="L611" s="116"/>
      <c r="N611" s="96"/>
    </row>
    <row r="612" spans="4:14" x14ac:dyDescent="0.25">
      <c r="D612" s="115">
        <v>42917</v>
      </c>
      <c r="E612" s="53">
        <v>2.1467689999999999</v>
      </c>
      <c r="F612">
        <f t="shared" si="45"/>
        <v>180</v>
      </c>
      <c r="G612">
        <f t="shared" si="46"/>
        <v>180</v>
      </c>
      <c r="H612">
        <f t="shared" si="47"/>
        <v>51</v>
      </c>
      <c r="I612" s="116">
        <f t="shared" si="49"/>
        <v>43070</v>
      </c>
      <c r="J612">
        <f t="shared" si="48"/>
        <v>2.2593830833333333</v>
      </c>
      <c r="L612" s="116"/>
      <c r="N612" s="96"/>
    </row>
    <row r="613" spans="4:14" x14ac:dyDescent="0.25">
      <c r="D613" s="115">
        <v>42948</v>
      </c>
      <c r="E613" s="53">
        <v>2.0898319999999999</v>
      </c>
      <c r="F613">
        <f t="shared" si="45"/>
        <v>210</v>
      </c>
      <c r="G613">
        <f t="shared" si="46"/>
        <v>210</v>
      </c>
      <c r="H613">
        <f t="shared" si="47"/>
        <v>51</v>
      </c>
      <c r="I613" s="116">
        <f t="shared" si="49"/>
        <v>43070</v>
      </c>
      <c r="J613">
        <f t="shared" si="48"/>
        <v>2.2593830833333333</v>
      </c>
      <c r="L613" s="116"/>
      <c r="N613" s="96"/>
    </row>
    <row r="614" spans="4:14" x14ac:dyDescent="0.25">
      <c r="D614" s="115">
        <v>42979</v>
      </c>
      <c r="E614" s="53">
        <v>2.106697</v>
      </c>
      <c r="F614">
        <f t="shared" si="45"/>
        <v>240</v>
      </c>
      <c r="G614">
        <f t="shared" si="46"/>
        <v>240</v>
      </c>
      <c r="H614">
        <f t="shared" si="47"/>
        <v>51</v>
      </c>
      <c r="I614" s="116">
        <f t="shared" si="49"/>
        <v>43070</v>
      </c>
      <c r="J614">
        <f t="shared" si="48"/>
        <v>2.2593830833333333</v>
      </c>
      <c r="L614" s="116"/>
      <c r="N614" s="96"/>
    </row>
    <row r="615" spans="4:14" x14ac:dyDescent="0.25">
      <c r="D615" s="115">
        <v>43009</v>
      </c>
      <c r="E615" s="53">
        <v>2.1928190000000001</v>
      </c>
      <c r="F615">
        <f t="shared" si="45"/>
        <v>270</v>
      </c>
      <c r="G615">
        <f t="shared" si="46"/>
        <v>270</v>
      </c>
      <c r="H615">
        <f t="shared" si="47"/>
        <v>51</v>
      </c>
      <c r="I615" s="116">
        <f t="shared" si="49"/>
        <v>43070</v>
      </c>
      <c r="J615">
        <f t="shared" si="48"/>
        <v>2.2593830833333333</v>
      </c>
      <c r="L615" s="116"/>
      <c r="N615" s="96"/>
    </row>
    <row r="616" spans="4:14" x14ac:dyDescent="0.25">
      <c r="D616" s="115">
        <v>43040</v>
      </c>
      <c r="E616" s="53">
        <v>2.1150310000000001</v>
      </c>
      <c r="F616">
        <f t="shared" si="45"/>
        <v>300</v>
      </c>
      <c r="G616">
        <f t="shared" si="46"/>
        <v>300</v>
      </c>
      <c r="H616">
        <f t="shared" si="47"/>
        <v>51</v>
      </c>
      <c r="I616" s="116">
        <f t="shared" si="49"/>
        <v>43070</v>
      </c>
      <c r="J616">
        <f t="shared" si="48"/>
        <v>2.2593830833333333</v>
      </c>
      <c r="L616" s="116"/>
      <c r="N616" s="96"/>
    </row>
    <row r="617" spans="4:14" x14ac:dyDescent="0.25">
      <c r="D617" s="115">
        <v>43070</v>
      </c>
      <c r="E617" s="53">
        <v>2.1254719999999998</v>
      </c>
      <c r="F617">
        <f t="shared" si="45"/>
        <v>330</v>
      </c>
      <c r="G617">
        <f t="shared" si="46"/>
        <v>330</v>
      </c>
      <c r="H617">
        <f t="shared" si="47"/>
        <v>51</v>
      </c>
      <c r="I617" s="116">
        <f t="shared" si="49"/>
        <v>43070</v>
      </c>
      <c r="J617">
        <f t="shared" si="48"/>
        <v>2.2593830833333333</v>
      </c>
      <c r="L617" s="116"/>
      <c r="N617" s="96"/>
    </row>
    <row r="618" spans="4:14" x14ac:dyDescent="0.25">
      <c r="D618" s="115">
        <v>43101</v>
      </c>
      <c r="E618" s="53">
        <v>2.1668289999999999</v>
      </c>
      <c r="F618">
        <f t="shared" si="45"/>
        <v>0</v>
      </c>
      <c r="G618">
        <f t="shared" si="46"/>
        <v>0</v>
      </c>
      <c r="H618">
        <f t="shared" si="47"/>
        <v>52</v>
      </c>
      <c r="I618" s="116">
        <f t="shared" si="49"/>
        <v>43435</v>
      </c>
      <c r="J618">
        <f t="shared" si="48"/>
        <v>2.41924275</v>
      </c>
      <c r="L618" s="116"/>
      <c r="N618" s="96"/>
    </row>
    <row r="619" spans="4:14" x14ac:dyDescent="0.25">
      <c r="D619" s="115">
        <v>43132</v>
      </c>
      <c r="E619" s="53">
        <v>2.129934</v>
      </c>
      <c r="F619">
        <f t="shared" si="45"/>
        <v>30</v>
      </c>
      <c r="G619">
        <f t="shared" si="46"/>
        <v>30</v>
      </c>
      <c r="H619">
        <f t="shared" si="47"/>
        <v>52</v>
      </c>
      <c r="I619" s="116">
        <f t="shared" si="49"/>
        <v>43435</v>
      </c>
      <c r="J619">
        <f t="shared" si="48"/>
        <v>2.41924275</v>
      </c>
      <c r="L619" s="116"/>
      <c r="N619" s="96"/>
    </row>
    <row r="620" spans="4:14" x14ac:dyDescent="0.25">
      <c r="D620" s="115">
        <v>43160</v>
      </c>
      <c r="E620" s="53">
        <v>2.3596110000000001</v>
      </c>
      <c r="F620">
        <f t="shared" si="45"/>
        <v>60</v>
      </c>
      <c r="G620">
        <f t="shared" si="46"/>
        <v>60</v>
      </c>
      <c r="H620">
        <f t="shared" si="47"/>
        <v>52</v>
      </c>
      <c r="I620" s="116">
        <f t="shared" si="49"/>
        <v>43435</v>
      </c>
      <c r="J620">
        <f t="shared" si="48"/>
        <v>2.41924275</v>
      </c>
      <c r="L620" s="116"/>
      <c r="N620" s="96"/>
    </row>
    <row r="621" spans="4:14" x14ac:dyDescent="0.25">
      <c r="D621" s="115">
        <v>43191</v>
      </c>
      <c r="E621" s="53">
        <v>2.4921470000000001</v>
      </c>
      <c r="F621">
        <f t="shared" si="45"/>
        <v>90</v>
      </c>
      <c r="G621">
        <f t="shared" si="46"/>
        <v>90</v>
      </c>
      <c r="H621">
        <f t="shared" si="47"/>
        <v>52</v>
      </c>
      <c r="I621" s="116">
        <f t="shared" si="49"/>
        <v>43435</v>
      </c>
      <c r="J621">
        <f t="shared" si="48"/>
        <v>2.41924275</v>
      </c>
      <c r="L621" s="116"/>
      <c r="N621" s="96"/>
    </row>
    <row r="622" spans="4:14" x14ac:dyDescent="0.25">
      <c r="D622" s="115">
        <v>43221</v>
      </c>
      <c r="E622" s="53">
        <v>2.5449639999999998</v>
      </c>
      <c r="F622">
        <f t="shared" si="45"/>
        <v>120</v>
      </c>
      <c r="G622">
        <f t="shared" si="46"/>
        <v>120</v>
      </c>
      <c r="H622">
        <f t="shared" si="47"/>
        <v>52</v>
      </c>
      <c r="I622" s="116">
        <f t="shared" si="49"/>
        <v>43435</v>
      </c>
      <c r="J622">
        <f t="shared" si="48"/>
        <v>2.41924275</v>
      </c>
      <c r="L622" s="116"/>
      <c r="N622" s="96"/>
    </row>
    <row r="623" spans="4:14" x14ac:dyDescent="0.25">
      <c r="D623" s="115">
        <v>43252</v>
      </c>
      <c r="E623" s="53">
        <v>2.558656</v>
      </c>
      <c r="F623">
        <f t="shared" si="45"/>
        <v>150</v>
      </c>
      <c r="G623">
        <f t="shared" si="46"/>
        <v>150</v>
      </c>
      <c r="H623">
        <f t="shared" si="47"/>
        <v>52</v>
      </c>
      <c r="I623" s="116">
        <f t="shared" si="49"/>
        <v>43435</v>
      </c>
      <c r="J623">
        <f t="shared" si="48"/>
        <v>2.41924275</v>
      </c>
      <c r="L623" s="116"/>
      <c r="N623" s="96"/>
    </row>
    <row r="624" spans="4:14" x14ac:dyDescent="0.25">
      <c r="D624" s="115">
        <v>43282</v>
      </c>
      <c r="E624" s="53">
        <v>2.5315409999999998</v>
      </c>
      <c r="F624">
        <f t="shared" si="45"/>
        <v>180</v>
      </c>
      <c r="G624">
        <f t="shared" si="46"/>
        <v>180</v>
      </c>
      <c r="H624">
        <f t="shared" si="47"/>
        <v>52</v>
      </c>
      <c r="I624" s="116">
        <f t="shared" si="49"/>
        <v>43435</v>
      </c>
      <c r="J624">
        <f t="shared" si="48"/>
        <v>2.41924275</v>
      </c>
      <c r="L624" s="116"/>
      <c r="N624" s="96"/>
    </row>
    <row r="625" spans="4:14" x14ac:dyDescent="0.25">
      <c r="D625" s="115">
        <v>43313</v>
      </c>
      <c r="E625" s="53">
        <v>2.430733</v>
      </c>
      <c r="F625">
        <f t="shared" si="45"/>
        <v>210</v>
      </c>
      <c r="G625">
        <f t="shared" si="46"/>
        <v>210</v>
      </c>
      <c r="H625">
        <f t="shared" si="47"/>
        <v>52</v>
      </c>
      <c r="I625" s="116">
        <f t="shared" si="49"/>
        <v>43435</v>
      </c>
      <c r="J625">
        <f t="shared" si="48"/>
        <v>2.41924275</v>
      </c>
      <c r="L625" s="116"/>
      <c r="N625" s="96"/>
    </row>
    <row r="626" spans="4:14" x14ac:dyDescent="0.25">
      <c r="D626" s="115">
        <v>43344</v>
      </c>
      <c r="E626" s="53">
        <v>2.475069</v>
      </c>
      <c r="F626">
        <f t="shared" si="45"/>
        <v>240</v>
      </c>
      <c r="G626">
        <f t="shared" si="46"/>
        <v>240</v>
      </c>
      <c r="H626">
        <f t="shared" si="47"/>
        <v>52</v>
      </c>
      <c r="I626" s="116">
        <f t="shared" si="49"/>
        <v>43435</v>
      </c>
      <c r="J626">
        <f t="shared" si="48"/>
        <v>2.41924275</v>
      </c>
      <c r="L626" s="116"/>
      <c r="N626" s="96"/>
    </row>
    <row r="627" spans="4:14" x14ac:dyDescent="0.25">
      <c r="D627" s="115">
        <v>43374</v>
      </c>
      <c r="E627" s="53">
        <v>2.4198460000000002</v>
      </c>
      <c r="F627">
        <f t="shared" si="45"/>
        <v>270</v>
      </c>
      <c r="G627">
        <f t="shared" si="46"/>
        <v>270</v>
      </c>
      <c r="H627">
        <f t="shared" si="47"/>
        <v>52</v>
      </c>
      <c r="I627" s="116">
        <f t="shared" si="49"/>
        <v>43435</v>
      </c>
      <c r="J627">
        <f t="shared" si="48"/>
        <v>2.41924275</v>
      </c>
      <c r="L627" s="116"/>
      <c r="N627" s="96"/>
    </row>
    <row r="628" spans="4:14" x14ac:dyDescent="0.25">
      <c r="D628" s="115">
        <v>43405</v>
      </c>
      <c r="E628" s="53">
        <v>2.4725990000000002</v>
      </c>
      <c r="F628">
        <f t="shared" si="45"/>
        <v>300</v>
      </c>
      <c r="G628">
        <f t="shared" si="46"/>
        <v>300</v>
      </c>
      <c r="H628">
        <f t="shared" si="47"/>
        <v>52</v>
      </c>
      <c r="I628" s="116">
        <f t="shared" si="49"/>
        <v>43435</v>
      </c>
      <c r="J628">
        <f t="shared" si="48"/>
        <v>2.41924275</v>
      </c>
      <c r="L628" s="116"/>
      <c r="N628" s="96"/>
    </row>
    <row r="629" spans="4:14" x14ac:dyDescent="0.25">
      <c r="D629" s="115">
        <v>43435</v>
      </c>
      <c r="E629" s="53">
        <v>2.4489839999999998</v>
      </c>
      <c r="F629">
        <f t="shared" si="45"/>
        <v>330</v>
      </c>
      <c r="G629">
        <f t="shared" si="46"/>
        <v>330</v>
      </c>
      <c r="H629">
        <f t="shared" si="47"/>
        <v>52</v>
      </c>
      <c r="I629" s="116">
        <f t="shared" si="49"/>
        <v>43435</v>
      </c>
      <c r="J629">
        <f t="shared" si="48"/>
        <v>2.41924275</v>
      </c>
      <c r="L629" s="116"/>
      <c r="N629" s="96"/>
    </row>
    <row r="630" spans="4:14" x14ac:dyDescent="0.25">
      <c r="D630" s="115">
        <v>43466</v>
      </c>
      <c r="E630" s="53">
        <v>2.3783439999999998</v>
      </c>
      <c r="F630">
        <f t="shared" si="45"/>
        <v>0</v>
      </c>
      <c r="G630">
        <f t="shared" si="46"/>
        <v>0</v>
      </c>
      <c r="H630">
        <f t="shared" si="47"/>
        <v>53</v>
      </c>
      <c r="I630" s="116">
        <f t="shared" si="49"/>
        <v>43800</v>
      </c>
      <c r="J630">
        <f t="shared" si="48"/>
        <v>2.5271332499999999</v>
      </c>
      <c r="L630" s="116"/>
      <c r="N630" s="96"/>
    </row>
    <row r="631" spans="4:14" x14ac:dyDescent="0.25">
      <c r="D631" s="115">
        <v>43497</v>
      </c>
      <c r="E631" s="53">
        <v>2.3739789999999998</v>
      </c>
      <c r="F631">
        <f t="shared" si="45"/>
        <v>30</v>
      </c>
      <c r="G631">
        <f t="shared" si="46"/>
        <v>30</v>
      </c>
      <c r="H631">
        <f t="shared" si="47"/>
        <v>53</v>
      </c>
      <c r="I631" s="116">
        <f t="shared" si="49"/>
        <v>43800</v>
      </c>
      <c r="J631">
        <f t="shared" si="48"/>
        <v>2.5271332499999999</v>
      </c>
      <c r="L631" s="116"/>
      <c r="N631" s="96"/>
    </row>
    <row r="632" spans="4:14" x14ac:dyDescent="0.25">
      <c r="D632" s="115">
        <v>43525</v>
      </c>
      <c r="E632" s="53">
        <v>2.3939180000000002</v>
      </c>
      <c r="F632">
        <f t="shared" si="45"/>
        <v>60</v>
      </c>
      <c r="G632">
        <f t="shared" si="46"/>
        <v>60</v>
      </c>
      <c r="H632">
        <f t="shared" si="47"/>
        <v>53</v>
      </c>
      <c r="I632" s="116">
        <f t="shared" si="49"/>
        <v>43800</v>
      </c>
      <c r="J632">
        <f t="shared" si="48"/>
        <v>2.5271332499999999</v>
      </c>
      <c r="L632" s="116"/>
      <c r="N632" s="96"/>
    </row>
    <row r="633" spans="4:14" x14ac:dyDescent="0.25">
      <c r="D633" s="115">
        <v>43556</v>
      </c>
      <c r="E633" s="53">
        <v>2.4109590000000001</v>
      </c>
      <c r="F633">
        <f t="shared" si="45"/>
        <v>90</v>
      </c>
      <c r="G633">
        <f t="shared" si="46"/>
        <v>90</v>
      </c>
      <c r="H633">
        <f t="shared" si="47"/>
        <v>53</v>
      </c>
      <c r="I633" s="116">
        <f t="shared" si="49"/>
        <v>43800</v>
      </c>
      <c r="J633">
        <f t="shared" si="48"/>
        <v>2.5271332499999999</v>
      </c>
      <c r="L633" s="116"/>
      <c r="N633" s="96"/>
    </row>
    <row r="634" spans="4:14" x14ac:dyDescent="0.25">
      <c r="D634" s="115">
        <v>43586</v>
      </c>
      <c r="E634" s="53">
        <v>2.3996200000000001</v>
      </c>
      <c r="F634">
        <f t="shared" si="45"/>
        <v>120</v>
      </c>
      <c r="G634">
        <f t="shared" si="46"/>
        <v>120</v>
      </c>
      <c r="H634">
        <f t="shared" si="47"/>
        <v>53</v>
      </c>
      <c r="I634" s="116">
        <f t="shared" si="49"/>
        <v>43800</v>
      </c>
      <c r="J634">
        <f t="shared" si="48"/>
        <v>2.5271332499999999</v>
      </c>
      <c r="L634" s="116"/>
      <c r="N634" s="96"/>
    </row>
    <row r="635" spans="4:14" x14ac:dyDescent="0.25">
      <c r="D635" s="115">
        <v>43617</v>
      </c>
      <c r="E635" s="53">
        <v>2.431727</v>
      </c>
      <c r="F635">
        <f t="shared" si="45"/>
        <v>150</v>
      </c>
      <c r="G635">
        <f t="shared" si="46"/>
        <v>150</v>
      </c>
      <c r="H635">
        <f t="shared" si="47"/>
        <v>53</v>
      </c>
      <c r="I635" s="116">
        <f t="shared" si="49"/>
        <v>43800</v>
      </c>
      <c r="J635">
        <f t="shared" si="48"/>
        <v>2.5271332499999999</v>
      </c>
      <c r="L635" s="116"/>
      <c r="N635" s="96"/>
    </row>
    <row r="636" spans="4:14" x14ac:dyDescent="0.25">
      <c r="D636" s="115">
        <v>43647</v>
      </c>
      <c r="E636" s="53">
        <v>2.4679319999999998</v>
      </c>
      <c r="F636">
        <f t="shared" si="45"/>
        <v>180</v>
      </c>
      <c r="G636">
        <f t="shared" si="46"/>
        <v>180</v>
      </c>
      <c r="H636">
        <f t="shared" si="47"/>
        <v>53</v>
      </c>
      <c r="I636" s="116">
        <f t="shared" si="49"/>
        <v>43800</v>
      </c>
      <c r="J636">
        <f t="shared" si="48"/>
        <v>2.5271332499999999</v>
      </c>
      <c r="L636" s="116"/>
      <c r="N636" s="96"/>
    </row>
    <row r="637" spans="4:14" x14ac:dyDescent="0.25">
      <c r="D637" s="115">
        <v>43678</v>
      </c>
      <c r="E637" s="53">
        <v>2.6333950000000002</v>
      </c>
      <c r="F637">
        <f t="shared" si="45"/>
        <v>210</v>
      </c>
      <c r="G637">
        <f t="shared" si="46"/>
        <v>210</v>
      </c>
      <c r="H637">
        <f t="shared" si="47"/>
        <v>53</v>
      </c>
      <c r="I637" s="116">
        <f t="shared" si="49"/>
        <v>43800</v>
      </c>
      <c r="J637">
        <f t="shared" si="48"/>
        <v>2.5271332499999999</v>
      </c>
      <c r="L637" s="116"/>
      <c r="N637" s="96"/>
    </row>
    <row r="638" spans="4:14" x14ac:dyDescent="0.25">
      <c r="D638" s="115">
        <v>43709</v>
      </c>
      <c r="E638" s="53">
        <v>2.6165590000000001</v>
      </c>
      <c r="F638">
        <f t="shared" si="45"/>
        <v>240</v>
      </c>
      <c r="G638">
        <f t="shared" si="46"/>
        <v>240</v>
      </c>
      <c r="H638">
        <f t="shared" si="47"/>
        <v>53</v>
      </c>
      <c r="I638" s="116">
        <f t="shared" si="49"/>
        <v>43800</v>
      </c>
      <c r="J638">
        <f t="shared" si="48"/>
        <v>2.5271332499999999</v>
      </c>
      <c r="L638" s="116"/>
      <c r="N638" s="96"/>
    </row>
    <row r="639" spans="4:14" x14ac:dyDescent="0.25">
      <c r="D639" s="115">
        <v>43739</v>
      </c>
      <c r="E639" s="53">
        <v>2.7342</v>
      </c>
      <c r="F639">
        <f t="shared" si="45"/>
        <v>270</v>
      </c>
      <c r="G639">
        <f t="shared" si="46"/>
        <v>270</v>
      </c>
      <c r="H639">
        <f t="shared" si="47"/>
        <v>53</v>
      </c>
      <c r="I639" s="116">
        <f t="shared" si="49"/>
        <v>43800</v>
      </c>
      <c r="J639">
        <f t="shared" si="48"/>
        <v>2.5271332499999999</v>
      </c>
      <c r="L639" s="116"/>
      <c r="N639" s="96"/>
    </row>
    <row r="640" spans="4:14" x14ac:dyDescent="0.25">
      <c r="D640" s="115">
        <v>43770</v>
      </c>
      <c r="E640" s="53">
        <v>2.7604630000000001</v>
      </c>
      <c r="F640">
        <f t="shared" si="45"/>
        <v>300</v>
      </c>
      <c r="G640">
        <f t="shared" si="46"/>
        <v>300</v>
      </c>
      <c r="H640">
        <f t="shared" si="47"/>
        <v>53</v>
      </c>
      <c r="I640" s="116">
        <f t="shared" si="49"/>
        <v>43800</v>
      </c>
      <c r="J640">
        <f t="shared" si="48"/>
        <v>2.5271332499999999</v>
      </c>
      <c r="L640" s="116"/>
      <c r="N640" s="96"/>
    </row>
    <row r="641" spans="4:14" x14ac:dyDescent="0.25">
      <c r="D641" s="115">
        <v>43800</v>
      </c>
      <c r="E641" s="53">
        <v>2.7245029999999999</v>
      </c>
      <c r="F641">
        <f t="shared" si="45"/>
        <v>330</v>
      </c>
      <c r="G641">
        <f t="shared" si="46"/>
        <v>330</v>
      </c>
      <c r="H641">
        <f t="shared" si="47"/>
        <v>53</v>
      </c>
      <c r="I641" s="116">
        <f t="shared" si="49"/>
        <v>43800</v>
      </c>
      <c r="J641">
        <f t="shared" si="48"/>
        <v>2.5271332499999999</v>
      </c>
      <c r="L641" s="116"/>
      <c r="N641" s="96"/>
    </row>
    <row r="642" spans="4:14" x14ac:dyDescent="0.25">
      <c r="D642" s="115">
        <v>43831</v>
      </c>
      <c r="E642" s="53">
        <v>2.788599</v>
      </c>
      <c r="F642">
        <f t="shared" si="45"/>
        <v>0</v>
      </c>
      <c r="G642">
        <f t="shared" si="46"/>
        <v>0</v>
      </c>
      <c r="H642">
        <f t="shared" si="47"/>
        <v>54</v>
      </c>
      <c r="I642" s="116">
        <f t="shared" si="49"/>
        <v>44166</v>
      </c>
      <c r="J642">
        <f t="shared" si="48"/>
        <v>2.2242969166666668</v>
      </c>
      <c r="L642" s="116"/>
      <c r="N642" s="96"/>
    </row>
    <row r="643" spans="4:14" x14ac:dyDescent="0.25">
      <c r="D643" s="115">
        <v>43862</v>
      </c>
      <c r="E643" s="53">
        <v>2.8126549999999999</v>
      </c>
      <c r="F643">
        <f t="shared" si="45"/>
        <v>30</v>
      </c>
      <c r="G643">
        <f t="shared" si="46"/>
        <v>30</v>
      </c>
      <c r="H643">
        <f t="shared" si="47"/>
        <v>54</v>
      </c>
      <c r="I643" s="116">
        <f t="shared" si="49"/>
        <v>44166</v>
      </c>
      <c r="J643">
        <f t="shared" si="48"/>
        <v>2.2242969166666668</v>
      </c>
      <c r="L643" s="116"/>
      <c r="N643" s="96"/>
    </row>
    <row r="644" spans="4:14" x14ac:dyDescent="0.25">
      <c r="D644" s="115">
        <v>43891</v>
      </c>
      <c r="E644" s="53">
        <v>2.6410680000000002</v>
      </c>
      <c r="F644">
        <f t="shared" si="45"/>
        <v>60</v>
      </c>
      <c r="G644">
        <f t="shared" si="46"/>
        <v>60</v>
      </c>
      <c r="H644">
        <f t="shared" si="47"/>
        <v>54</v>
      </c>
      <c r="I644" s="116">
        <f t="shared" si="49"/>
        <v>44166</v>
      </c>
      <c r="J644">
        <f t="shared" si="48"/>
        <v>2.2242969166666668</v>
      </c>
      <c r="L644" s="116"/>
      <c r="N644" s="96"/>
    </row>
    <row r="645" spans="4:14" x14ac:dyDescent="0.25">
      <c r="D645" s="115">
        <v>43922</v>
      </c>
      <c r="E645" s="53">
        <v>2.233555</v>
      </c>
      <c r="F645">
        <f t="shared" si="45"/>
        <v>90</v>
      </c>
      <c r="G645">
        <f t="shared" si="46"/>
        <v>90</v>
      </c>
      <c r="H645">
        <f t="shared" si="47"/>
        <v>54</v>
      </c>
      <c r="I645" s="116">
        <f t="shared" si="49"/>
        <v>44166</v>
      </c>
      <c r="J645">
        <f t="shared" si="48"/>
        <v>2.2242969166666668</v>
      </c>
      <c r="L645" s="116"/>
      <c r="N645" s="96"/>
    </row>
    <row r="646" spans="4:14" x14ac:dyDescent="0.25">
      <c r="D646" s="115">
        <v>43952</v>
      </c>
      <c r="E646" s="53">
        <v>2.0857570000000001</v>
      </c>
      <c r="F646">
        <f t="shared" si="45"/>
        <v>120</v>
      </c>
      <c r="G646">
        <f t="shared" si="46"/>
        <v>120</v>
      </c>
      <c r="H646">
        <f t="shared" si="47"/>
        <v>54</v>
      </c>
      <c r="I646" s="116">
        <f t="shared" si="49"/>
        <v>44166</v>
      </c>
      <c r="J646">
        <f t="shared" si="48"/>
        <v>2.2242969166666668</v>
      </c>
      <c r="L646" s="116"/>
      <c r="N646" s="96"/>
    </row>
    <row r="647" spans="4:14" x14ac:dyDescent="0.25">
      <c r="D647" s="115">
        <v>43983</v>
      </c>
      <c r="E647" s="53">
        <v>2.0643790000000002</v>
      </c>
      <c r="F647">
        <f t="shared" si="45"/>
        <v>150</v>
      </c>
      <c r="G647">
        <f t="shared" si="46"/>
        <v>150</v>
      </c>
      <c r="H647">
        <f t="shared" si="47"/>
        <v>54</v>
      </c>
      <c r="I647" s="116">
        <f t="shared" si="49"/>
        <v>44166</v>
      </c>
      <c r="J647">
        <f t="shared" si="48"/>
        <v>2.2242969166666668</v>
      </c>
      <c r="L647" s="116"/>
      <c r="N647" s="96"/>
    </row>
    <row r="648" spans="4:14" x14ac:dyDescent="0.25">
      <c r="D648" s="115">
        <v>44013</v>
      </c>
      <c r="E648" s="53">
        <v>2.3506909999999999</v>
      </c>
      <c r="F648">
        <f t="shared" si="45"/>
        <v>180</v>
      </c>
      <c r="G648">
        <f t="shared" si="46"/>
        <v>180</v>
      </c>
      <c r="H648">
        <f t="shared" si="47"/>
        <v>54</v>
      </c>
      <c r="I648" s="116">
        <f t="shared" si="49"/>
        <v>44166</v>
      </c>
      <c r="J648">
        <f t="shared" si="48"/>
        <v>2.2242969166666668</v>
      </c>
      <c r="L648" s="116"/>
      <c r="N648" s="96"/>
    </row>
    <row r="649" spans="4:14" x14ac:dyDescent="0.25">
      <c r="D649" s="115">
        <v>44044</v>
      </c>
      <c r="E649" s="53">
        <v>2.297196</v>
      </c>
      <c r="F649">
        <f t="shared" si="45"/>
        <v>210</v>
      </c>
      <c r="G649">
        <f t="shared" si="46"/>
        <v>210</v>
      </c>
      <c r="H649">
        <f t="shared" si="47"/>
        <v>54</v>
      </c>
      <c r="I649" s="116">
        <f t="shared" si="49"/>
        <v>44166</v>
      </c>
      <c r="J649">
        <f t="shared" si="48"/>
        <v>2.2242969166666668</v>
      </c>
      <c r="L649" s="116"/>
      <c r="N649" s="96"/>
    </row>
    <row r="650" spans="4:14" x14ac:dyDescent="0.25">
      <c r="D650" s="115">
        <v>44075</v>
      </c>
      <c r="E650" s="53">
        <v>2.0881949999999998</v>
      </c>
      <c r="F650">
        <f t="shared" si="45"/>
        <v>240</v>
      </c>
      <c r="G650">
        <f t="shared" si="46"/>
        <v>240</v>
      </c>
      <c r="H650">
        <f t="shared" si="47"/>
        <v>54</v>
      </c>
      <c r="I650" s="116">
        <f t="shared" si="49"/>
        <v>44166</v>
      </c>
      <c r="J650">
        <f t="shared" si="48"/>
        <v>2.2242969166666668</v>
      </c>
      <c r="L650" s="116"/>
      <c r="N650" s="96"/>
    </row>
    <row r="651" spans="4:14" x14ac:dyDescent="0.25">
      <c r="D651" s="115">
        <v>44105</v>
      </c>
      <c r="E651" s="53">
        <v>1.8483080000000001</v>
      </c>
      <c r="F651">
        <f t="shared" si="45"/>
        <v>270</v>
      </c>
      <c r="G651">
        <f t="shared" si="46"/>
        <v>270</v>
      </c>
      <c r="H651">
        <f t="shared" si="47"/>
        <v>54</v>
      </c>
      <c r="I651" s="116">
        <f t="shared" si="49"/>
        <v>44166</v>
      </c>
      <c r="J651">
        <f t="shared" si="48"/>
        <v>2.2242969166666668</v>
      </c>
      <c r="L651" s="116"/>
      <c r="N651" s="96"/>
    </row>
    <row r="652" spans="4:14" x14ac:dyDescent="0.25">
      <c r="D652" s="115">
        <v>44136</v>
      </c>
      <c r="E652" s="53">
        <v>1.786708</v>
      </c>
      <c r="F652">
        <f t="shared" si="45"/>
        <v>300</v>
      </c>
      <c r="G652">
        <f t="shared" si="46"/>
        <v>300</v>
      </c>
      <c r="H652">
        <f t="shared" si="47"/>
        <v>54</v>
      </c>
      <c r="I652" s="116">
        <f t="shared" si="49"/>
        <v>44166</v>
      </c>
      <c r="J652">
        <f t="shared" si="48"/>
        <v>2.2242969166666668</v>
      </c>
      <c r="L652" s="116"/>
      <c r="N652" s="96"/>
    </row>
    <row r="653" spans="4:14" x14ac:dyDescent="0.25">
      <c r="D653" s="115">
        <v>44166</v>
      </c>
      <c r="E653" s="53">
        <v>1.6944520000000001</v>
      </c>
      <c r="F653">
        <f t="shared" si="45"/>
        <v>330</v>
      </c>
      <c r="G653">
        <f t="shared" si="46"/>
        <v>330</v>
      </c>
      <c r="H653">
        <f t="shared" si="47"/>
        <v>54</v>
      </c>
      <c r="I653" s="116">
        <f t="shared" si="49"/>
        <v>44166</v>
      </c>
      <c r="J653">
        <f t="shared" si="48"/>
        <v>2.2242969166666668</v>
      </c>
      <c r="L653" s="116"/>
      <c r="N653" s="96"/>
    </row>
    <row r="654" spans="4:14" x14ac:dyDescent="0.25">
      <c r="D654" s="115">
        <v>44197</v>
      </c>
      <c r="E654" s="53">
        <v>1.504532</v>
      </c>
      <c r="F654">
        <f t="shared" si="45"/>
        <v>0</v>
      </c>
      <c r="G654">
        <f t="shared" si="46"/>
        <v>0</v>
      </c>
      <c r="H654">
        <f t="shared" si="47"/>
        <v>55</v>
      </c>
      <c r="I654" s="116">
        <f t="shared" si="49"/>
        <v>44531</v>
      </c>
      <c r="J654">
        <f t="shared" si="48"/>
        <v>2.4396640833333336</v>
      </c>
      <c r="L654" s="116"/>
      <c r="N654" s="96"/>
    </row>
    <row r="655" spans="4:14" x14ac:dyDescent="0.25">
      <c r="D655" s="115">
        <v>44228</v>
      </c>
      <c r="E655" s="53">
        <v>1.5207839999999999</v>
      </c>
      <c r="F655">
        <f t="shared" si="45"/>
        <v>30</v>
      </c>
      <c r="G655">
        <f t="shared" si="46"/>
        <v>30</v>
      </c>
      <c r="H655">
        <f t="shared" si="47"/>
        <v>55</v>
      </c>
      <c r="I655" s="116">
        <f t="shared" si="49"/>
        <v>44531</v>
      </c>
      <c r="J655">
        <f t="shared" si="48"/>
        <v>2.4396640833333336</v>
      </c>
      <c r="L655" s="116"/>
      <c r="N655" s="96"/>
    </row>
    <row r="656" spans="4:14" x14ac:dyDescent="0.25">
      <c r="D656" s="115">
        <v>44256</v>
      </c>
      <c r="E656" s="53">
        <v>1.6946730000000001</v>
      </c>
      <c r="F656">
        <f t="shared" si="45"/>
        <v>60</v>
      </c>
      <c r="G656">
        <f t="shared" si="46"/>
        <v>60</v>
      </c>
      <c r="H656">
        <f t="shared" si="47"/>
        <v>55</v>
      </c>
      <c r="I656" s="116">
        <f t="shared" si="49"/>
        <v>44531</v>
      </c>
      <c r="J656">
        <f t="shared" si="48"/>
        <v>2.4396640833333336</v>
      </c>
      <c r="L656" s="116"/>
      <c r="N656" s="96"/>
    </row>
    <row r="657" spans="4:14" x14ac:dyDescent="0.25">
      <c r="D657" s="115">
        <v>44287</v>
      </c>
      <c r="E657" s="53">
        <v>2.284027</v>
      </c>
      <c r="F657">
        <f t="shared" ref="F657:F675" si="50">FLOOR(DAYS360(DATE(YEAR(D657),1,1),D657),30)</f>
        <v>90</v>
      </c>
      <c r="G657">
        <f t="shared" si="46"/>
        <v>90</v>
      </c>
      <c r="H657">
        <f t="shared" si="47"/>
        <v>55</v>
      </c>
      <c r="I657" s="116">
        <f t="shared" si="49"/>
        <v>44531</v>
      </c>
      <c r="J657">
        <f t="shared" si="48"/>
        <v>2.4396640833333336</v>
      </c>
      <c r="L657" s="116"/>
      <c r="N657" s="96"/>
    </row>
    <row r="658" spans="4:14" x14ac:dyDescent="0.25">
      <c r="D658" s="115">
        <v>44317</v>
      </c>
      <c r="E658" s="53">
        <v>2.6238959999999998</v>
      </c>
      <c r="F658">
        <f t="shared" si="50"/>
        <v>120</v>
      </c>
      <c r="G658">
        <f t="shared" ref="G658:G675" si="51">MOD(F658, 360/$G$12)</f>
        <v>120</v>
      </c>
      <c r="H658">
        <f t="shared" ref="H658:H675" si="52">IF(G658&gt;G657,H657,H657+1)</f>
        <v>55</v>
      </c>
      <c r="I658" s="116">
        <f t="shared" si="49"/>
        <v>44531</v>
      </c>
      <c r="J658">
        <f t="shared" ref="J658:J675" si="53">AVERAGEIF($H$17:$H$675,H658,$E$17:$E$675)</f>
        <v>2.4396640833333336</v>
      </c>
      <c r="L658" s="116"/>
      <c r="N658" s="96"/>
    </row>
    <row r="659" spans="4:14" x14ac:dyDescent="0.25">
      <c r="D659" s="115">
        <v>44348</v>
      </c>
      <c r="E659" s="53">
        <v>2.6046320000000001</v>
      </c>
      <c r="F659">
        <f t="shared" si="50"/>
        <v>150</v>
      </c>
      <c r="G659">
        <f t="shared" si="51"/>
        <v>150</v>
      </c>
      <c r="H659">
        <f t="shared" si="52"/>
        <v>55</v>
      </c>
      <c r="I659" s="116">
        <f t="shared" ref="I659:I675" si="54">EDATE(I658,(H659-H658)*(12/$G$12))</f>
        <v>44531</v>
      </c>
      <c r="J659">
        <f t="shared" si="53"/>
        <v>2.4396640833333336</v>
      </c>
      <c r="L659" s="116"/>
      <c r="N659" s="96"/>
    </row>
    <row r="660" spans="4:14" x14ac:dyDescent="0.25">
      <c r="D660" s="115">
        <v>44378</v>
      </c>
      <c r="E660" s="53">
        <v>2.3257340000000002</v>
      </c>
      <c r="F660">
        <f t="shared" si="50"/>
        <v>180</v>
      </c>
      <c r="G660">
        <f t="shared" si="51"/>
        <v>180</v>
      </c>
      <c r="H660">
        <f t="shared" si="52"/>
        <v>55</v>
      </c>
      <c r="I660" s="116">
        <f t="shared" si="54"/>
        <v>44531</v>
      </c>
      <c r="J660">
        <f t="shared" si="53"/>
        <v>2.4396640833333336</v>
      </c>
      <c r="L660" s="116"/>
      <c r="N660" s="96"/>
    </row>
    <row r="661" spans="4:14" x14ac:dyDescent="0.25">
      <c r="D661" s="115">
        <v>44409</v>
      </c>
      <c r="E661" s="53">
        <v>2.3531650000000002</v>
      </c>
      <c r="F661">
        <f t="shared" si="50"/>
        <v>210</v>
      </c>
      <c r="G661">
        <f t="shared" si="51"/>
        <v>210</v>
      </c>
      <c r="H661">
        <f t="shared" si="52"/>
        <v>55</v>
      </c>
      <c r="I661" s="116">
        <f t="shared" si="54"/>
        <v>44531</v>
      </c>
      <c r="J661">
        <f t="shared" si="53"/>
        <v>2.4396640833333336</v>
      </c>
      <c r="L661" s="116"/>
      <c r="N661" s="96"/>
    </row>
    <row r="662" spans="4:14" x14ac:dyDescent="0.25">
      <c r="D662" s="115">
        <v>44440</v>
      </c>
      <c r="E662" s="53">
        <v>2.6495060000000001</v>
      </c>
      <c r="F662">
        <f t="shared" si="50"/>
        <v>240</v>
      </c>
      <c r="G662">
        <f t="shared" si="51"/>
        <v>240</v>
      </c>
      <c r="H662">
        <f t="shared" si="52"/>
        <v>55</v>
      </c>
      <c r="I662" s="116">
        <f t="shared" si="54"/>
        <v>44531</v>
      </c>
      <c r="J662">
        <f t="shared" si="53"/>
        <v>2.4396640833333336</v>
      </c>
      <c r="L662" s="116"/>
      <c r="N662" s="96"/>
    </row>
    <row r="663" spans="4:14" x14ac:dyDescent="0.25">
      <c r="D663" s="115">
        <v>44470</v>
      </c>
      <c r="E663" s="53">
        <v>3.0429400000000002</v>
      </c>
      <c r="F663">
        <f t="shared" si="50"/>
        <v>270</v>
      </c>
      <c r="G663">
        <f t="shared" si="51"/>
        <v>270</v>
      </c>
      <c r="H663">
        <f t="shared" si="52"/>
        <v>55</v>
      </c>
      <c r="I663" s="116">
        <f t="shared" si="54"/>
        <v>44531</v>
      </c>
      <c r="J663">
        <f t="shared" si="53"/>
        <v>2.4396640833333336</v>
      </c>
      <c r="L663" s="116"/>
      <c r="N663" s="96"/>
    </row>
    <row r="664" spans="4:14" x14ac:dyDescent="0.25">
      <c r="D664" s="115">
        <v>44501</v>
      </c>
      <c r="E664" s="53">
        <v>3.2050689999999999</v>
      </c>
      <c r="F664">
        <f t="shared" si="50"/>
        <v>300</v>
      </c>
      <c r="G664">
        <f t="shared" si="51"/>
        <v>300</v>
      </c>
      <c r="H664">
        <f t="shared" si="52"/>
        <v>55</v>
      </c>
      <c r="I664" s="116">
        <f t="shared" si="54"/>
        <v>44531</v>
      </c>
      <c r="J664">
        <f t="shared" si="53"/>
        <v>2.4396640833333336</v>
      </c>
      <c r="L664" s="116"/>
      <c r="N664" s="96"/>
    </row>
    <row r="665" spans="4:14" x14ac:dyDescent="0.25">
      <c r="D665" s="115">
        <v>44531</v>
      </c>
      <c r="E665" s="53">
        <v>3.4670109999999998</v>
      </c>
      <c r="F665">
        <f t="shared" si="50"/>
        <v>330</v>
      </c>
      <c r="G665">
        <f t="shared" si="51"/>
        <v>330</v>
      </c>
      <c r="H665">
        <f t="shared" si="52"/>
        <v>55</v>
      </c>
      <c r="I665" s="116">
        <f t="shared" si="54"/>
        <v>44531</v>
      </c>
      <c r="J665">
        <f t="shared" si="53"/>
        <v>2.4396640833333336</v>
      </c>
      <c r="L665" s="116"/>
      <c r="N665" s="96"/>
    </row>
    <row r="666" spans="4:14" x14ac:dyDescent="0.25">
      <c r="D666" s="115">
        <v>44562</v>
      </c>
      <c r="E666" s="53">
        <v>3.9829876419999999</v>
      </c>
      <c r="F666">
        <f t="shared" si="50"/>
        <v>0</v>
      </c>
      <c r="G666">
        <f t="shared" si="51"/>
        <v>0</v>
      </c>
      <c r="H666">
        <f t="shared" si="52"/>
        <v>56</v>
      </c>
      <c r="I666" s="116">
        <f t="shared" si="54"/>
        <v>44896</v>
      </c>
      <c r="J666">
        <f t="shared" si="53"/>
        <v>5.2339308022999997</v>
      </c>
      <c r="L666" s="116"/>
      <c r="N666" s="96"/>
    </row>
    <row r="667" spans="4:14" x14ac:dyDescent="0.25">
      <c r="D667" s="115">
        <v>44593</v>
      </c>
      <c r="E667" s="53">
        <v>4.2978577610000004</v>
      </c>
      <c r="F667">
        <f t="shared" si="50"/>
        <v>30</v>
      </c>
      <c r="G667">
        <f t="shared" si="51"/>
        <v>30</v>
      </c>
      <c r="H667">
        <f t="shared" si="52"/>
        <v>56</v>
      </c>
      <c r="I667" s="116">
        <f t="shared" si="54"/>
        <v>44896</v>
      </c>
      <c r="J667">
        <f t="shared" si="53"/>
        <v>5.2339308022999997</v>
      </c>
      <c r="L667" s="116"/>
      <c r="N667" s="96"/>
    </row>
    <row r="668" spans="4:14" x14ac:dyDescent="0.25">
      <c r="D668" s="115">
        <v>44621</v>
      </c>
      <c r="E668" s="53">
        <v>4.5518145560000001</v>
      </c>
      <c r="F668">
        <f t="shared" si="50"/>
        <v>60</v>
      </c>
      <c r="G668">
        <f t="shared" si="51"/>
        <v>60</v>
      </c>
      <c r="H668">
        <f t="shared" si="52"/>
        <v>56</v>
      </c>
      <c r="I668" s="116">
        <f t="shared" si="54"/>
        <v>44896</v>
      </c>
      <c r="J668">
        <f t="shared" si="53"/>
        <v>5.2339308022999997</v>
      </c>
      <c r="L668" s="116"/>
      <c r="N668" s="96"/>
    </row>
    <row r="669" spans="4:14" x14ac:dyDescent="0.25">
      <c r="D669" s="115">
        <v>44652</v>
      </c>
      <c r="E669" s="53">
        <v>4.7235379220000002</v>
      </c>
      <c r="F669">
        <f t="shared" si="50"/>
        <v>90</v>
      </c>
      <c r="G669">
        <f t="shared" si="51"/>
        <v>90</v>
      </c>
      <c r="H669">
        <f t="shared" si="52"/>
        <v>56</v>
      </c>
      <c r="I669" s="116">
        <f t="shared" si="54"/>
        <v>44896</v>
      </c>
      <c r="J669">
        <f t="shared" si="53"/>
        <v>5.2339308022999997</v>
      </c>
      <c r="L669" s="116"/>
      <c r="N669" s="96"/>
    </row>
    <row r="670" spans="4:14" x14ac:dyDescent="0.25">
      <c r="D670" s="115">
        <v>44682</v>
      </c>
      <c r="E670" s="53">
        <v>4.9755754469999998</v>
      </c>
      <c r="F670">
        <f t="shared" si="50"/>
        <v>120</v>
      </c>
      <c r="G670">
        <f t="shared" si="51"/>
        <v>120</v>
      </c>
      <c r="H670">
        <f t="shared" si="52"/>
        <v>56</v>
      </c>
      <c r="I670" s="116">
        <f t="shared" si="54"/>
        <v>44896</v>
      </c>
      <c r="J670">
        <f t="shared" si="53"/>
        <v>5.2339308022999997</v>
      </c>
      <c r="L670" s="116"/>
      <c r="N670" s="96"/>
    </row>
    <row r="671" spans="4:14" x14ac:dyDescent="0.25">
      <c r="D671" s="115">
        <v>44713</v>
      </c>
      <c r="E671" s="53">
        <v>5.4259634019999998</v>
      </c>
      <c r="F671">
        <f t="shared" si="50"/>
        <v>150</v>
      </c>
      <c r="G671">
        <f t="shared" si="51"/>
        <v>150</v>
      </c>
      <c r="H671">
        <f t="shared" si="52"/>
        <v>56</v>
      </c>
      <c r="I671" s="116">
        <f t="shared" si="54"/>
        <v>44896</v>
      </c>
      <c r="J671">
        <f t="shared" si="53"/>
        <v>5.2339308022999997</v>
      </c>
      <c r="L671" s="116"/>
      <c r="N671" s="96"/>
    </row>
    <row r="672" spans="4:14" x14ac:dyDescent="0.25">
      <c r="D672" s="115">
        <v>44743</v>
      </c>
      <c r="E672" s="53">
        <v>5.6294651030000002</v>
      </c>
      <c r="F672">
        <f t="shared" si="50"/>
        <v>180</v>
      </c>
      <c r="G672">
        <f t="shared" si="51"/>
        <v>180</v>
      </c>
      <c r="H672">
        <f t="shared" si="52"/>
        <v>56</v>
      </c>
      <c r="I672" s="116">
        <f t="shared" si="54"/>
        <v>44896</v>
      </c>
      <c r="J672">
        <f t="shared" si="53"/>
        <v>5.2339308022999997</v>
      </c>
      <c r="L672" s="116"/>
      <c r="N672" s="96"/>
    </row>
    <row r="673" spans="4:14" x14ac:dyDescent="0.25">
      <c r="D673" s="115">
        <v>44774</v>
      </c>
      <c r="E673" s="53">
        <v>5.9905443189999996</v>
      </c>
      <c r="F673">
        <f t="shared" si="50"/>
        <v>210</v>
      </c>
      <c r="G673">
        <f t="shared" si="51"/>
        <v>210</v>
      </c>
      <c r="H673">
        <f t="shared" si="52"/>
        <v>56</v>
      </c>
      <c r="I673" s="116">
        <f t="shared" si="54"/>
        <v>44896</v>
      </c>
      <c r="J673">
        <f t="shared" si="53"/>
        <v>5.2339308022999997</v>
      </c>
      <c r="L673" s="116"/>
      <c r="N673" s="96"/>
    </row>
    <row r="674" spans="4:14" x14ac:dyDescent="0.25">
      <c r="D674" s="115">
        <v>44805</v>
      </c>
      <c r="E674" s="53">
        <v>6.3937354089999996</v>
      </c>
      <c r="F674">
        <f t="shared" si="50"/>
        <v>240</v>
      </c>
      <c r="G674">
        <f t="shared" si="51"/>
        <v>240</v>
      </c>
      <c r="H674">
        <f t="shared" si="52"/>
        <v>56</v>
      </c>
      <c r="I674" s="116">
        <f t="shared" si="54"/>
        <v>44896</v>
      </c>
      <c r="J674">
        <f t="shared" si="53"/>
        <v>5.2339308022999997</v>
      </c>
      <c r="L674" s="116"/>
      <c r="N674" s="96"/>
    </row>
    <row r="675" spans="4:14" x14ac:dyDescent="0.25">
      <c r="D675" s="115">
        <v>44835</v>
      </c>
      <c r="E675" s="53">
        <v>6.367826462</v>
      </c>
      <c r="F675">
        <f t="shared" si="50"/>
        <v>270</v>
      </c>
      <c r="G675">
        <f t="shared" si="51"/>
        <v>270</v>
      </c>
      <c r="H675">
        <f t="shared" si="52"/>
        <v>56</v>
      </c>
      <c r="I675" s="116">
        <f t="shared" si="54"/>
        <v>44896</v>
      </c>
      <c r="J675">
        <f t="shared" si="53"/>
        <v>5.2339308022999997</v>
      </c>
      <c r="L675" s="116"/>
      <c r="N675" s="96"/>
    </row>
  </sheetData>
  <mergeCells count="1">
    <mergeCell ref="L15:M15"/>
  </mergeCells>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5BB8E-3E21-49CE-B84E-ECA3BB73B922}">
  <sheetPr codeName="Planilha62">
    <tabColor theme="9" tint="0.59999389629810485"/>
  </sheetPr>
  <dimension ref="A1:S96"/>
  <sheetViews>
    <sheetView showGridLines="0" workbookViewId="0">
      <selection activeCell="B12" sqref="B12"/>
    </sheetView>
  </sheetViews>
  <sheetFormatPr defaultColWidth="8.85546875" defaultRowHeight="18.75" x14ac:dyDescent="0.3"/>
  <cols>
    <col min="1" max="1" width="12.7109375" style="17" customWidth="1"/>
    <col min="2" max="2" width="42.7109375" customWidth="1"/>
    <col min="3" max="3" width="9.7109375" customWidth="1"/>
    <col min="4" max="4" width="8.85546875" customWidth="1"/>
    <col min="5" max="5" width="10" bestFit="1" customWidth="1"/>
    <col min="11" max="11" width="12.42578125" style="15" bestFit="1" customWidth="1"/>
    <col min="12" max="19" width="8.85546875" style="15"/>
  </cols>
  <sheetData>
    <row r="1" spans="1:19" x14ac:dyDescent="0.3">
      <c r="A1" s="16" t="s">
        <v>595</v>
      </c>
      <c r="K1" s="14"/>
      <c r="L1" s="14"/>
      <c r="M1" s="14"/>
      <c r="N1" s="14"/>
      <c r="O1" s="14"/>
      <c r="P1" s="14"/>
      <c r="Q1" s="14"/>
      <c r="R1" s="14"/>
      <c r="S1" s="14"/>
    </row>
    <row r="2" spans="1:19" x14ac:dyDescent="0.3">
      <c r="A2" s="17" t="s">
        <v>596</v>
      </c>
      <c r="K2" s="14"/>
      <c r="L2" s="14"/>
      <c r="M2" s="14"/>
      <c r="N2" s="14"/>
      <c r="O2" s="14"/>
      <c r="P2" s="14"/>
      <c r="Q2" s="14"/>
      <c r="R2" s="14"/>
      <c r="S2" s="14"/>
    </row>
    <row r="3" spans="1:19" x14ac:dyDescent="0.3">
      <c r="M3" s="27"/>
    </row>
    <row r="4" spans="1:19" ht="15.75" x14ac:dyDescent="0.25">
      <c r="A4" s="2" t="s">
        <v>15</v>
      </c>
      <c r="B4" s="2" t="s">
        <v>16</v>
      </c>
      <c r="C4" s="2"/>
      <c r="M4" s="27"/>
    </row>
    <row r="5" spans="1:19" ht="18.75" customHeight="1" x14ac:dyDescent="0.25">
      <c r="A5" s="23" t="s">
        <v>22</v>
      </c>
      <c r="B5" s="26" t="s">
        <v>849</v>
      </c>
      <c r="C5" s="26"/>
      <c r="M5" s="27"/>
    </row>
    <row r="6" spans="1:19" ht="15.75" x14ac:dyDescent="0.25">
      <c r="A6" s="23" t="s">
        <v>598</v>
      </c>
      <c r="B6" s="26" t="s">
        <v>602</v>
      </c>
      <c r="C6" s="26"/>
      <c r="M6" s="27"/>
    </row>
    <row r="7" spans="1:19" ht="15.75" x14ac:dyDescent="0.25">
      <c r="A7" s="23"/>
      <c r="B7" s="26"/>
      <c r="C7" s="26"/>
      <c r="M7" s="27"/>
    </row>
    <row r="8" spans="1:19" x14ac:dyDescent="0.3">
      <c r="M8" s="27"/>
    </row>
    <row r="9" spans="1:19" x14ac:dyDescent="0.3">
      <c r="D9" s="1" t="s">
        <v>17</v>
      </c>
      <c r="E9" s="13" t="s">
        <v>22</v>
      </c>
      <c r="F9" s="12">
        <v>1</v>
      </c>
      <c r="G9" s="12">
        <v>2</v>
      </c>
      <c r="H9" s="12">
        <v>3</v>
      </c>
      <c r="I9" s="12">
        <v>4</v>
      </c>
      <c r="K9" s="63" cm="1">
        <f t="array" ref="K9">_xlfn.LAMBDA(_xlpm.matrix,_xlop.norm,_xlfn.LET(
_xlpm.norm,IF(_xlfn.ISOMITTED(_xlpm.norm), 1, _xlpm.norm),
SUM(ABS(_xlpm.matrix)^_xlpm.norm)^(1/_xlpm.norm)
))($F$9:$I$12,$F$14)</f>
        <v>15.297058540778355</v>
      </c>
      <c r="L9" s="63"/>
      <c r="M9" s="63"/>
      <c r="N9" s="63"/>
    </row>
    <row r="10" spans="1:19" x14ac:dyDescent="0.3">
      <c r="F10" s="12">
        <v>5</v>
      </c>
      <c r="G10" s="12">
        <v>5</v>
      </c>
      <c r="H10" s="12">
        <v>6</v>
      </c>
      <c r="I10" s="12">
        <v>7</v>
      </c>
      <c r="K10" s="63"/>
      <c r="L10" s="63"/>
      <c r="M10" s="63"/>
      <c r="N10" s="63"/>
    </row>
    <row r="11" spans="1:19" x14ac:dyDescent="0.3">
      <c r="F11" s="12">
        <v>1</v>
      </c>
      <c r="G11" s="12">
        <v>4</v>
      </c>
      <c r="H11" s="12">
        <v>2</v>
      </c>
      <c r="I11" s="12">
        <v>3</v>
      </c>
      <c r="K11" s="63"/>
      <c r="L11" s="63"/>
      <c r="M11" s="63"/>
      <c r="N11" s="63"/>
    </row>
    <row r="12" spans="1:19" x14ac:dyDescent="0.3">
      <c r="F12" s="12">
        <v>5</v>
      </c>
      <c r="G12" s="12">
        <v>3</v>
      </c>
      <c r="H12" s="12">
        <v>2</v>
      </c>
      <c r="I12" s="12">
        <v>1</v>
      </c>
      <c r="K12" s="63"/>
      <c r="L12" s="63"/>
      <c r="M12" s="63"/>
      <c r="N12" s="63"/>
    </row>
    <row r="13" spans="1:19" s="21" customFormat="1" x14ac:dyDescent="0.3">
      <c r="A13" s="17"/>
      <c r="B13"/>
      <c r="C13"/>
      <c r="D13"/>
      <c r="E13"/>
      <c r="F13"/>
      <c r="G13"/>
      <c r="H13"/>
      <c r="I13"/>
      <c r="J13"/>
      <c r="K13" s="27"/>
      <c r="L13" s="15"/>
      <c r="M13" s="27"/>
      <c r="N13" s="15"/>
      <c r="O13" s="15"/>
      <c r="P13" s="15"/>
      <c r="Q13" s="15"/>
      <c r="R13" s="15"/>
      <c r="S13" s="15"/>
    </row>
    <row r="14" spans="1:19" s="21" customFormat="1" x14ac:dyDescent="0.3">
      <c r="A14" s="17"/>
      <c r="B14"/>
      <c r="C14"/>
      <c r="D14"/>
      <c r="E14" s="13" t="s">
        <v>597</v>
      </c>
      <c r="F14" s="12">
        <v>2</v>
      </c>
      <c r="G14"/>
      <c r="H14"/>
      <c r="I14"/>
      <c r="J14"/>
      <c r="K14" s="27"/>
      <c r="L14" s="15"/>
      <c r="M14" s="27"/>
      <c r="N14" s="15"/>
      <c r="O14" s="15"/>
      <c r="P14" s="15"/>
      <c r="Q14" s="15"/>
      <c r="R14" s="15"/>
      <c r="S14" s="15"/>
    </row>
    <row r="15" spans="1:19" s="21" customFormat="1" x14ac:dyDescent="0.3">
      <c r="A15" s="17"/>
      <c r="B15"/>
      <c r="C15"/>
      <c r="D15"/>
      <c r="E15"/>
      <c r="F15"/>
      <c r="G15"/>
      <c r="H15"/>
      <c r="I15"/>
      <c r="J15"/>
      <c r="K15" s="27"/>
      <c r="L15" s="15"/>
      <c r="M15" s="27"/>
      <c r="N15" s="15"/>
      <c r="O15" s="15"/>
      <c r="P15" s="15"/>
      <c r="Q15" s="15"/>
      <c r="R15" s="15"/>
      <c r="S15" s="15"/>
    </row>
    <row r="16" spans="1:19" s="21" customFormat="1" x14ac:dyDescent="0.3">
      <c r="A16" s="17"/>
      <c r="B16"/>
      <c r="C16"/>
      <c r="D16"/>
      <c r="E16"/>
      <c r="F16"/>
      <c r="G16"/>
      <c r="H16"/>
      <c r="I16"/>
      <c r="J16"/>
      <c r="K16" s="27"/>
      <c r="L16" s="15"/>
      <c r="M16" s="27"/>
      <c r="N16" s="15"/>
      <c r="O16" s="15"/>
      <c r="P16" s="15"/>
      <c r="Q16" s="15"/>
      <c r="R16" s="15"/>
      <c r="S16" s="15"/>
    </row>
    <row r="17" spans="1:19" s="21" customFormat="1" x14ac:dyDescent="0.3">
      <c r="A17" s="17"/>
      <c r="B17"/>
      <c r="C17"/>
      <c r="D17" s="1" t="s">
        <v>17</v>
      </c>
      <c r="E17" s="13" t="s">
        <v>22</v>
      </c>
      <c r="F17" s="12">
        <v>1</v>
      </c>
      <c r="G17" s="12">
        <v>2</v>
      </c>
      <c r="H17" s="12">
        <v>3</v>
      </c>
      <c r="I17" s="12">
        <v>4</v>
      </c>
      <c r="J17"/>
      <c r="K17" s="63" cm="1">
        <f t="array" ref="K17">MNORM($F$17:$I$20,$F$22)</f>
        <v>7.0000629268576393</v>
      </c>
      <c r="L17" s="15"/>
      <c r="M17" s="27"/>
      <c r="N17" s="15"/>
      <c r="O17" s="15"/>
      <c r="P17" s="15"/>
      <c r="Q17" s="15"/>
      <c r="R17" s="15"/>
      <c r="S17" s="15"/>
    </row>
    <row r="18" spans="1:19" s="21" customFormat="1" x14ac:dyDescent="0.3">
      <c r="A18" s="17"/>
      <c r="B18"/>
      <c r="C18"/>
      <c r="D18"/>
      <c r="E18"/>
      <c r="F18" s="12">
        <v>5</v>
      </c>
      <c r="G18" s="12">
        <v>5</v>
      </c>
      <c r="H18" s="12">
        <v>6</v>
      </c>
      <c r="I18" s="12">
        <v>7</v>
      </c>
      <c r="J18"/>
      <c r="K18" s="27"/>
      <c r="L18" s="15"/>
      <c r="M18" s="27"/>
      <c r="N18" s="15"/>
      <c r="O18" s="15"/>
      <c r="P18" s="15"/>
      <c r="Q18" s="15"/>
      <c r="R18" s="15"/>
      <c r="S18" s="15"/>
    </row>
    <row r="19" spans="1:19" s="21" customFormat="1" x14ac:dyDescent="0.3">
      <c r="A19" s="17"/>
      <c r="B19"/>
      <c r="C19"/>
      <c r="D19"/>
      <c r="E19"/>
      <c r="F19" s="12">
        <v>1</v>
      </c>
      <c r="G19" s="12">
        <v>4</v>
      </c>
      <c r="H19" s="12">
        <v>2</v>
      </c>
      <c r="I19" s="12">
        <v>3</v>
      </c>
      <c r="J19"/>
      <c r="K19" s="27"/>
      <c r="L19" s="15"/>
      <c r="M19" s="27"/>
      <c r="N19" s="15"/>
      <c r="O19" s="15"/>
      <c r="P19" s="15"/>
      <c r="Q19" s="15"/>
      <c r="R19" s="15"/>
      <c r="S19" s="15"/>
    </row>
    <row r="20" spans="1:19" s="21" customFormat="1" x14ac:dyDescent="0.3">
      <c r="A20" s="17"/>
      <c r="B20"/>
      <c r="C20"/>
      <c r="D20"/>
      <c r="E20"/>
      <c r="F20" s="12">
        <v>5</v>
      </c>
      <c r="G20" s="12">
        <v>3</v>
      </c>
      <c r="H20" s="12">
        <v>2</v>
      </c>
      <c r="I20" s="12">
        <v>1</v>
      </c>
      <c r="J20"/>
      <c r="K20" s="27"/>
      <c r="L20" s="15"/>
      <c r="M20" s="27"/>
      <c r="N20" s="15"/>
      <c r="O20" s="15"/>
      <c r="P20" s="15"/>
      <c r="Q20" s="15"/>
      <c r="R20" s="15"/>
      <c r="S20" s="15"/>
    </row>
    <row r="21" spans="1:19" s="21" customFormat="1" x14ac:dyDescent="0.3">
      <c r="A21" s="17"/>
      <c r="B21"/>
      <c r="C21"/>
      <c r="D21"/>
      <c r="E21"/>
      <c r="F21"/>
      <c r="G21"/>
      <c r="H21"/>
      <c r="I21"/>
      <c r="J21"/>
      <c r="K21" s="27"/>
      <c r="L21" s="15"/>
      <c r="M21" s="27"/>
      <c r="N21" s="15"/>
      <c r="O21" s="15"/>
      <c r="P21" s="15"/>
      <c r="Q21" s="15"/>
      <c r="R21" s="15"/>
      <c r="S21" s="15"/>
    </row>
    <row r="22" spans="1:19" s="21" customFormat="1" x14ac:dyDescent="0.3">
      <c r="A22" s="17"/>
      <c r="B22"/>
      <c r="C22"/>
      <c r="D22"/>
      <c r="E22" s="13" t="s">
        <v>597</v>
      </c>
      <c r="F22" s="12">
        <v>50</v>
      </c>
      <c r="G22"/>
      <c r="H22"/>
      <c r="I22"/>
      <c r="J22"/>
      <c r="K22" s="27"/>
      <c r="L22" s="15"/>
      <c r="M22" s="27"/>
      <c r="N22" s="15"/>
      <c r="O22" s="15"/>
      <c r="P22" s="15"/>
      <c r="Q22" s="15"/>
      <c r="R22" s="15"/>
      <c r="S22" s="15"/>
    </row>
    <row r="23" spans="1:19" s="21" customFormat="1" x14ac:dyDescent="0.3">
      <c r="A23" s="17"/>
      <c r="B23"/>
      <c r="C23"/>
      <c r="D23"/>
      <c r="E23"/>
      <c r="F23"/>
      <c r="G23"/>
      <c r="H23"/>
      <c r="I23"/>
      <c r="J23"/>
      <c r="K23" s="27"/>
      <c r="L23" s="15"/>
      <c r="M23" s="27"/>
      <c r="N23" s="15"/>
      <c r="O23" s="15"/>
      <c r="P23" s="15"/>
      <c r="Q23" s="15"/>
      <c r="R23" s="15"/>
      <c r="S23" s="15"/>
    </row>
    <row r="24" spans="1:19" s="21" customFormat="1" x14ac:dyDescent="0.3">
      <c r="A24" s="17"/>
      <c r="B24"/>
      <c r="C24"/>
      <c r="D24"/>
      <c r="E24"/>
      <c r="F24"/>
      <c r="G24"/>
      <c r="H24"/>
      <c r="I24"/>
      <c r="J24"/>
      <c r="K24" s="27"/>
      <c r="L24" s="15"/>
      <c r="M24" s="27"/>
      <c r="N24" s="15"/>
      <c r="O24" s="15"/>
      <c r="P24" s="15"/>
      <c r="Q24" s="15"/>
      <c r="R24" s="15"/>
      <c r="S24" s="15"/>
    </row>
    <row r="25" spans="1:19" s="21" customFormat="1" x14ac:dyDescent="0.3">
      <c r="A25" s="17"/>
      <c r="B25"/>
      <c r="C25"/>
      <c r="D25"/>
      <c r="E25"/>
      <c r="F25"/>
      <c r="G25"/>
      <c r="H25"/>
      <c r="I25"/>
      <c r="J25"/>
      <c r="K25" s="27"/>
      <c r="L25" s="15"/>
      <c r="M25" s="27"/>
      <c r="N25" s="15"/>
      <c r="O25" s="15"/>
      <c r="P25" s="15"/>
      <c r="Q25" s="15"/>
      <c r="R25" s="15"/>
      <c r="S25" s="15"/>
    </row>
    <row r="26" spans="1:19" s="21" customFormat="1" x14ac:dyDescent="0.3">
      <c r="A26" s="17"/>
      <c r="B26"/>
      <c r="C26"/>
      <c r="D26"/>
      <c r="E26"/>
      <c r="F26"/>
      <c r="G26"/>
      <c r="H26"/>
      <c r="I26"/>
      <c r="J26"/>
      <c r="K26" s="27"/>
      <c r="L26" s="15"/>
      <c r="M26" s="27"/>
      <c r="N26" s="15"/>
      <c r="O26" s="15"/>
      <c r="P26" s="15"/>
      <c r="Q26" s="15"/>
      <c r="R26" s="15"/>
      <c r="S26" s="15"/>
    </row>
    <row r="27" spans="1:19" s="21" customFormat="1" x14ac:dyDescent="0.3">
      <c r="A27" s="17"/>
      <c r="B27"/>
      <c r="C27"/>
      <c r="D27"/>
      <c r="E27"/>
      <c r="F27"/>
      <c r="G27"/>
      <c r="H27"/>
      <c r="I27"/>
      <c r="J27"/>
      <c r="K27" s="27"/>
      <c r="L27" s="15"/>
      <c r="M27" s="27"/>
      <c r="N27" s="15"/>
      <c r="O27" s="15"/>
      <c r="P27" s="15"/>
      <c r="Q27" s="15"/>
      <c r="R27" s="15"/>
      <c r="S27" s="15"/>
    </row>
    <row r="28" spans="1:19" s="21" customFormat="1" x14ac:dyDescent="0.3">
      <c r="A28" s="17"/>
      <c r="B28"/>
      <c r="C28"/>
      <c r="D28"/>
      <c r="E28"/>
      <c r="F28"/>
      <c r="G28"/>
      <c r="H28"/>
      <c r="I28"/>
      <c r="J28"/>
      <c r="K28" s="27"/>
      <c r="L28" s="15"/>
      <c r="M28" s="27"/>
      <c r="N28" s="15"/>
      <c r="O28" s="15"/>
      <c r="P28" s="15"/>
      <c r="Q28" s="15"/>
      <c r="R28" s="15"/>
      <c r="S28" s="15"/>
    </row>
    <row r="29" spans="1:19" s="21" customFormat="1" x14ac:dyDescent="0.3">
      <c r="A29" s="17"/>
      <c r="B29"/>
      <c r="C29"/>
      <c r="D29"/>
      <c r="E29"/>
      <c r="F29"/>
      <c r="G29"/>
      <c r="H29"/>
      <c r="I29"/>
      <c r="J29"/>
      <c r="K29" s="27"/>
      <c r="L29" s="15"/>
      <c r="M29" s="27"/>
      <c r="N29" s="15"/>
      <c r="O29" s="15"/>
      <c r="P29" s="15"/>
      <c r="Q29" s="15"/>
      <c r="R29" s="15"/>
      <c r="S29" s="15"/>
    </row>
    <row r="30" spans="1:19" s="21" customFormat="1" x14ac:dyDescent="0.3">
      <c r="A30" s="17"/>
      <c r="B30"/>
      <c r="C30"/>
      <c r="D30"/>
      <c r="E30"/>
      <c r="F30"/>
      <c r="G30"/>
      <c r="H30"/>
      <c r="I30"/>
      <c r="J30"/>
      <c r="K30" s="27"/>
      <c r="L30" s="15"/>
      <c r="M30" s="27"/>
      <c r="N30" s="15"/>
      <c r="O30" s="15"/>
      <c r="P30" s="15"/>
      <c r="Q30" s="15"/>
      <c r="R30" s="15"/>
      <c r="S30" s="15"/>
    </row>
    <row r="31" spans="1:19" s="21" customFormat="1" x14ac:dyDescent="0.3">
      <c r="A31" s="17"/>
      <c r="B31"/>
      <c r="C31"/>
      <c r="D31"/>
      <c r="E31"/>
      <c r="F31"/>
      <c r="G31"/>
      <c r="H31"/>
      <c r="I31"/>
      <c r="J31"/>
      <c r="K31" s="27"/>
      <c r="L31" s="15"/>
      <c r="M31" s="27"/>
      <c r="N31" s="15"/>
      <c r="O31" s="15"/>
      <c r="P31" s="15"/>
      <c r="Q31" s="15"/>
      <c r="R31" s="15"/>
      <c r="S31" s="15"/>
    </row>
    <row r="32" spans="1:19" s="21" customFormat="1" x14ac:dyDescent="0.3">
      <c r="A32" s="17"/>
      <c r="B32"/>
      <c r="C32"/>
      <c r="D32"/>
      <c r="E32"/>
      <c r="F32"/>
      <c r="G32"/>
      <c r="H32"/>
      <c r="I32"/>
      <c r="J32"/>
      <c r="K32" s="27"/>
      <c r="L32" s="15"/>
      <c r="M32" s="27"/>
      <c r="N32" s="15"/>
      <c r="O32" s="15"/>
      <c r="P32" s="15"/>
      <c r="Q32" s="15"/>
      <c r="R32" s="15"/>
      <c r="S32" s="15"/>
    </row>
    <row r="33" spans="1:19" s="21" customFormat="1" x14ac:dyDescent="0.3">
      <c r="A33" s="17"/>
      <c r="B33"/>
      <c r="C33"/>
      <c r="D33"/>
      <c r="E33"/>
      <c r="F33"/>
      <c r="G33"/>
      <c r="H33"/>
      <c r="I33"/>
      <c r="J33"/>
      <c r="K33" s="27"/>
      <c r="L33" s="15"/>
      <c r="M33" s="27"/>
      <c r="N33" s="15"/>
      <c r="O33" s="15"/>
      <c r="P33" s="15"/>
      <c r="Q33" s="15"/>
      <c r="R33" s="15"/>
      <c r="S33" s="15"/>
    </row>
    <row r="34" spans="1:19" s="21" customFormat="1" x14ac:dyDescent="0.3">
      <c r="A34" s="17"/>
      <c r="B34"/>
      <c r="C34"/>
      <c r="D34"/>
      <c r="E34"/>
      <c r="F34"/>
      <c r="G34"/>
      <c r="H34"/>
      <c r="I34"/>
      <c r="J34"/>
      <c r="K34" s="27"/>
      <c r="L34" s="15"/>
      <c r="M34" s="27"/>
      <c r="N34" s="15"/>
      <c r="O34" s="15"/>
      <c r="P34" s="15"/>
      <c r="Q34" s="15"/>
      <c r="R34" s="15"/>
      <c r="S34" s="15"/>
    </row>
    <row r="35" spans="1:19" s="21" customFormat="1" x14ac:dyDescent="0.3">
      <c r="A35" s="17"/>
      <c r="B35"/>
      <c r="C35"/>
      <c r="D35"/>
      <c r="E35"/>
      <c r="F35"/>
      <c r="G35"/>
      <c r="H35"/>
      <c r="I35"/>
      <c r="J35"/>
      <c r="K35" s="27"/>
      <c r="L35" s="15"/>
      <c r="M35" s="27"/>
      <c r="N35" s="15"/>
      <c r="O35" s="15"/>
      <c r="P35" s="15"/>
      <c r="Q35" s="15"/>
      <c r="R35" s="15"/>
      <c r="S35" s="15"/>
    </row>
    <row r="36" spans="1:19" s="21" customFormat="1" x14ac:dyDescent="0.3">
      <c r="A36" s="17"/>
      <c r="B36"/>
      <c r="C36"/>
      <c r="D36"/>
      <c r="E36"/>
      <c r="F36"/>
      <c r="G36"/>
      <c r="H36"/>
      <c r="I36"/>
      <c r="J36"/>
      <c r="K36" s="27"/>
      <c r="L36" s="15"/>
      <c r="M36" s="27"/>
      <c r="N36" s="15"/>
      <c r="O36" s="15"/>
      <c r="P36" s="15"/>
      <c r="Q36" s="15"/>
      <c r="R36" s="15"/>
      <c r="S36" s="15"/>
    </row>
    <row r="37" spans="1:19" s="21" customFormat="1" x14ac:dyDescent="0.3">
      <c r="A37" s="17"/>
      <c r="B37"/>
      <c r="C37"/>
      <c r="D37"/>
      <c r="E37"/>
      <c r="F37"/>
      <c r="G37"/>
      <c r="H37"/>
      <c r="I37"/>
      <c r="J37"/>
      <c r="K37" s="27"/>
      <c r="L37" s="15"/>
      <c r="M37" s="27"/>
      <c r="N37" s="15"/>
      <c r="O37" s="15"/>
      <c r="P37" s="15"/>
      <c r="Q37" s="15"/>
      <c r="R37" s="15"/>
      <c r="S37" s="15"/>
    </row>
    <row r="38" spans="1:19" s="21" customFormat="1" x14ac:dyDescent="0.3">
      <c r="A38" s="17"/>
      <c r="B38"/>
      <c r="C38"/>
      <c r="D38"/>
      <c r="E38"/>
      <c r="F38"/>
      <c r="G38"/>
      <c r="H38"/>
      <c r="I38"/>
      <c r="J38"/>
      <c r="K38" s="27"/>
      <c r="L38" s="15"/>
      <c r="M38" s="27"/>
      <c r="N38" s="15"/>
      <c r="O38" s="15"/>
      <c r="P38" s="15"/>
      <c r="Q38" s="15"/>
      <c r="R38" s="15"/>
      <c r="S38" s="15"/>
    </row>
    <row r="39" spans="1:19" s="21" customFormat="1" x14ac:dyDescent="0.3">
      <c r="A39" s="17"/>
      <c r="B39"/>
      <c r="C39"/>
      <c r="D39"/>
      <c r="E39"/>
      <c r="F39"/>
      <c r="G39"/>
      <c r="H39"/>
      <c r="I39"/>
      <c r="J39"/>
      <c r="K39" s="27"/>
      <c r="L39" s="15"/>
      <c r="M39" s="27"/>
      <c r="N39" s="15"/>
      <c r="O39" s="15"/>
      <c r="P39" s="15"/>
      <c r="Q39" s="15"/>
      <c r="R39" s="15"/>
      <c r="S39" s="15"/>
    </row>
    <row r="40" spans="1:19" s="21" customFormat="1" x14ac:dyDescent="0.3">
      <c r="A40" s="17"/>
      <c r="B40"/>
      <c r="C40"/>
      <c r="D40"/>
      <c r="E40"/>
      <c r="F40"/>
      <c r="G40"/>
      <c r="H40"/>
      <c r="I40"/>
      <c r="J40"/>
      <c r="K40" s="27"/>
      <c r="L40" s="15"/>
      <c r="M40" s="27"/>
      <c r="N40" s="15"/>
      <c r="O40" s="15"/>
      <c r="P40" s="15"/>
      <c r="Q40" s="15"/>
      <c r="R40" s="15"/>
      <c r="S40" s="15"/>
    </row>
    <row r="41" spans="1:19" s="21" customFormat="1" x14ac:dyDescent="0.3">
      <c r="A41" s="17"/>
      <c r="B41"/>
      <c r="C41"/>
      <c r="D41"/>
      <c r="E41"/>
      <c r="F41"/>
      <c r="G41"/>
      <c r="H41"/>
      <c r="I41"/>
      <c r="J41"/>
      <c r="K41" s="27"/>
      <c r="L41" s="15"/>
      <c r="M41" s="27"/>
      <c r="N41" s="15"/>
      <c r="O41" s="15"/>
      <c r="P41" s="15"/>
      <c r="Q41" s="15"/>
      <c r="R41" s="15"/>
      <c r="S41" s="15"/>
    </row>
    <row r="42" spans="1:19" s="21" customFormat="1" x14ac:dyDescent="0.3">
      <c r="A42" s="17"/>
      <c r="B42"/>
      <c r="C42"/>
      <c r="D42"/>
      <c r="E42"/>
      <c r="F42"/>
      <c r="G42"/>
      <c r="H42"/>
      <c r="I42"/>
      <c r="J42"/>
      <c r="K42" s="27"/>
      <c r="L42" s="15"/>
      <c r="M42" s="27"/>
      <c r="N42" s="15"/>
      <c r="O42" s="15"/>
      <c r="P42" s="15"/>
      <c r="Q42" s="15"/>
      <c r="R42" s="15"/>
      <c r="S42" s="15"/>
    </row>
    <row r="43" spans="1:19" s="21" customFormat="1" x14ac:dyDescent="0.3">
      <c r="A43" s="17"/>
      <c r="B43"/>
      <c r="C43"/>
      <c r="D43"/>
      <c r="E43"/>
      <c r="F43"/>
      <c r="G43"/>
      <c r="H43"/>
      <c r="I43"/>
      <c r="J43"/>
      <c r="K43" s="27"/>
      <c r="L43" s="15"/>
      <c r="M43" s="27"/>
      <c r="N43" s="15"/>
      <c r="O43" s="15"/>
      <c r="P43" s="15"/>
      <c r="Q43" s="15"/>
      <c r="R43" s="15"/>
      <c r="S43" s="15"/>
    </row>
    <row r="44" spans="1:19" s="21" customFormat="1" x14ac:dyDescent="0.3">
      <c r="A44" s="17"/>
      <c r="B44"/>
      <c r="C44"/>
      <c r="D44"/>
      <c r="E44"/>
      <c r="F44"/>
      <c r="G44"/>
      <c r="H44"/>
      <c r="I44"/>
      <c r="J44"/>
      <c r="K44" s="27"/>
      <c r="L44" s="15"/>
      <c r="M44" s="27"/>
      <c r="N44" s="15"/>
      <c r="O44" s="15"/>
      <c r="P44" s="15"/>
      <c r="Q44" s="15"/>
      <c r="R44" s="15"/>
      <c r="S44" s="15"/>
    </row>
    <row r="45" spans="1:19" s="21" customFormat="1" x14ac:dyDescent="0.3">
      <c r="A45" s="17"/>
      <c r="B45"/>
      <c r="C45"/>
      <c r="D45"/>
      <c r="E45"/>
      <c r="F45"/>
      <c r="G45"/>
      <c r="H45"/>
      <c r="I45"/>
      <c r="J45"/>
      <c r="K45" s="27"/>
      <c r="L45" s="15"/>
      <c r="M45" s="27"/>
      <c r="N45" s="15"/>
      <c r="O45" s="15"/>
      <c r="P45" s="15"/>
      <c r="Q45" s="15"/>
      <c r="R45" s="15"/>
      <c r="S45" s="15"/>
    </row>
    <row r="46" spans="1:19" s="21" customFormat="1" x14ac:dyDescent="0.3">
      <c r="A46" s="17"/>
      <c r="B46"/>
      <c r="C46"/>
      <c r="D46"/>
      <c r="E46"/>
      <c r="F46"/>
      <c r="G46"/>
      <c r="H46"/>
      <c r="I46"/>
      <c r="J46"/>
      <c r="K46" s="27"/>
      <c r="L46" s="15"/>
      <c r="M46" s="27"/>
      <c r="N46" s="15"/>
      <c r="O46" s="15"/>
      <c r="P46" s="15"/>
      <c r="Q46" s="15"/>
      <c r="R46" s="15"/>
      <c r="S46" s="15"/>
    </row>
    <row r="47" spans="1:19" s="21" customFormat="1" x14ac:dyDescent="0.3">
      <c r="A47" s="17"/>
      <c r="B47"/>
      <c r="C47"/>
      <c r="D47"/>
      <c r="E47"/>
      <c r="F47"/>
      <c r="G47"/>
      <c r="H47"/>
      <c r="I47"/>
      <c r="J47"/>
      <c r="K47" s="27"/>
      <c r="L47" s="15"/>
      <c r="M47" s="27"/>
      <c r="N47" s="15"/>
      <c r="O47" s="15"/>
      <c r="P47" s="15"/>
      <c r="Q47" s="15"/>
      <c r="R47" s="15"/>
      <c r="S47" s="15"/>
    </row>
    <row r="48" spans="1:19" s="21" customFormat="1" x14ac:dyDescent="0.3">
      <c r="A48" s="17"/>
      <c r="B48"/>
      <c r="C48"/>
      <c r="D48"/>
      <c r="E48"/>
      <c r="F48"/>
      <c r="G48"/>
      <c r="H48"/>
      <c r="I48"/>
      <c r="J48"/>
      <c r="K48" s="27"/>
      <c r="L48" s="15"/>
      <c r="M48" s="27"/>
      <c r="N48" s="15"/>
      <c r="O48" s="15"/>
      <c r="P48" s="15"/>
      <c r="Q48" s="15"/>
      <c r="R48" s="15"/>
      <c r="S48" s="15"/>
    </row>
    <row r="49" spans="1:19" s="21" customFormat="1" x14ac:dyDescent="0.3">
      <c r="A49" s="17"/>
      <c r="B49"/>
      <c r="C49"/>
      <c r="D49"/>
      <c r="E49"/>
      <c r="F49"/>
      <c r="G49"/>
      <c r="H49"/>
      <c r="I49"/>
      <c r="J49"/>
      <c r="K49" s="27"/>
      <c r="L49" s="15"/>
      <c r="M49" s="27"/>
      <c r="N49" s="15"/>
      <c r="O49" s="15"/>
      <c r="P49" s="15"/>
      <c r="Q49" s="15"/>
      <c r="R49" s="15"/>
      <c r="S49" s="15"/>
    </row>
    <row r="50" spans="1:19" s="21" customFormat="1" x14ac:dyDescent="0.3">
      <c r="A50" s="17"/>
      <c r="B50"/>
      <c r="C50"/>
      <c r="D50"/>
      <c r="E50"/>
      <c r="F50"/>
      <c r="G50"/>
      <c r="H50"/>
      <c r="I50"/>
      <c r="J50"/>
      <c r="K50" s="27"/>
      <c r="L50" s="15"/>
      <c r="M50" s="27"/>
      <c r="N50" s="15"/>
      <c r="O50" s="15"/>
      <c r="P50" s="15"/>
      <c r="Q50" s="15"/>
      <c r="R50" s="15"/>
      <c r="S50" s="15"/>
    </row>
    <row r="51" spans="1:19" s="21" customFormat="1" x14ac:dyDescent="0.3">
      <c r="A51" s="17"/>
      <c r="B51"/>
      <c r="C51"/>
      <c r="D51"/>
      <c r="E51"/>
      <c r="F51"/>
      <c r="G51"/>
      <c r="H51"/>
      <c r="I51"/>
      <c r="J51"/>
      <c r="K51" s="27"/>
      <c r="L51" s="15"/>
      <c r="M51" s="27"/>
      <c r="N51" s="15"/>
      <c r="O51" s="15"/>
      <c r="P51" s="15"/>
      <c r="Q51" s="15"/>
      <c r="R51" s="15"/>
      <c r="S51" s="15"/>
    </row>
    <row r="52" spans="1:19" s="21" customFormat="1" x14ac:dyDescent="0.3">
      <c r="A52" s="17"/>
      <c r="B52"/>
      <c r="C52"/>
      <c r="D52"/>
      <c r="E52"/>
      <c r="F52"/>
      <c r="G52"/>
      <c r="H52"/>
      <c r="I52"/>
      <c r="J52"/>
      <c r="K52" s="27"/>
      <c r="L52" s="15"/>
      <c r="M52" s="27"/>
      <c r="N52" s="15"/>
      <c r="O52" s="15"/>
      <c r="P52" s="15"/>
      <c r="Q52" s="15"/>
      <c r="R52" s="15"/>
      <c r="S52" s="15"/>
    </row>
    <row r="53" spans="1:19" s="21" customFormat="1" x14ac:dyDescent="0.3">
      <c r="A53" s="17"/>
      <c r="B53"/>
      <c r="C53"/>
      <c r="D53"/>
      <c r="E53"/>
      <c r="F53"/>
      <c r="G53"/>
      <c r="H53"/>
      <c r="I53"/>
      <c r="J53"/>
      <c r="K53" s="27"/>
      <c r="L53" s="15"/>
      <c r="M53" s="27"/>
      <c r="N53" s="15"/>
      <c r="O53" s="15"/>
      <c r="P53" s="15"/>
      <c r="Q53" s="15"/>
      <c r="R53" s="15"/>
      <c r="S53" s="15"/>
    </row>
    <row r="54" spans="1:19" s="21" customFormat="1" x14ac:dyDescent="0.3">
      <c r="A54" s="17"/>
      <c r="B54"/>
      <c r="C54"/>
      <c r="D54"/>
      <c r="E54"/>
      <c r="F54"/>
      <c r="G54"/>
      <c r="H54"/>
      <c r="I54"/>
      <c r="J54"/>
      <c r="K54" s="27"/>
      <c r="L54" s="15"/>
      <c r="M54" s="27"/>
      <c r="N54" s="15"/>
      <c r="O54" s="15"/>
      <c r="P54" s="15"/>
      <c r="Q54" s="15"/>
      <c r="R54" s="15"/>
      <c r="S54" s="15"/>
    </row>
    <row r="55" spans="1:19" s="21" customFormat="1" x14ac:dyDescent="0.3">
      <c r="A55" s="17"/>
      <c r="B55"/>
      <c r="C55"/>
      <c r="D55"/>
      <c r="E55"/>
      <c r="F55"/>
      <c r="G55"/>
      <c r="H55"/>
      <c r="I55"/>
      <c r="J55"/>
      <c r="K55" s="27"/>
      <c r="L55" s="15"/>
      <c r="M55" s="27"/>
      <c r="N55" s="15"/>
      <c r="O55" s="15"/>
      <c r="P55" s="15"/>
      <c r="Q55" s="15"/>
      <c r="R55" s="15"/>
      <c r="S55" s="15"/>
    </row>
    <row r="56" spans="1:19" s="21" customFormat="1" x14ac:dyDescent="0.3">
      <c r="A56" s="17"/>
      <c r="B56"/>
      <c r="C56"/>
      <c r="D56"/>
      <c r="E56"/>
      <c r="F56"/>
      <c r="G56"/>
      <c r="H56"/>
      <c r="I56"/>
      <c r="J56"/>
      <c r="K56" s="27"/>
      <c r="L56" s="15"/>
      <c r="M56" s="27"/>
      <c r="N56" s="15"/>
      <c r="O56" s="15"/>
      <c r="P56" s="15"/>
      <c r="Q56" s="15"/>
      <c r="R56" s="15"/>
      <c r="S56" s="15"/>
    </row>
    <row r="57" spans="1:19" s="21" customFormat="1" x14ac:dyDescent="0.3">
      <c r="A57" s="17"/>
      <c r="B57"/>
      <c r="C57"/>
      <c r="D57"/>
      <c r="E57"/>
      <c r="F57"/>
      <c r="G57"/>
      <c r="H57"/>
      <c r="I57"/>
      <c r="J57"/>
      <c r="K57" s="27"/>
      <c r="L57" s="15"/>
      <c r="M57" s="27"/>
      <c r="N57" s="15"/>
      <c r="O57" s="15"/>
      <c r="P57" s="15"/>
      <c r="Q57" s="15"/>
      <c r="R57" s="15"/>
      <c r="S57" s="15"/>
    </row>
    <row r="58" spans="1:19" s="21" customFormat="1" x14ac:dyDescent="0.3">
      <c r="A58" s="17"/>
      <c r="B58"/>
      <c r="C58"/>
      <c r="D58"/>
      <c r="E58"/>
      <c r="F58"/>
      <c r="G58"/>
      <c r="H58"/>
      <c r="I58"/>
      <c r="J58"/>
      <c r="K58" s="27"/>
      <c r="L58" s="15"/>
      <c r="M58" s="27"/>
      <c r="N58" s="15"/>
      <c r="O58" s="15"/>
      <c r="P58" s="15"/>
      <c r="Q58" s="15"/>
      <c r="R58" s="15"/>
      <c r="S58" s="15"/>
    </row>
    <row r="59" spans="1:19" s="21" customFormat="1" x14ac:dyDescent="0.3">
      <c r="A59" s="17"/>
      <c r="B59"/>
      <c r="C59"/>
      <c r="D59"/>
      <c r="E59"/>
      <c r="F59"/>
      <c r="G59"/>
      <c r="H59"/>
      <c r="I59"/>
      <c r="J59"/>
      <c r="K59" s="27"/>
      <c r="L59" s="15"/>
      <c r="M59" s="27"/>
      <c r="N59" s="15"/>
      <c r="O59" s="15"/>
      <c r="P59" s="15"/>
      <c r="Q59" s="15"/>
      <c r="R59" s="15"/>
      <c r="S59" s="15"/>
    </row>
    <row r="60" spans="1:19" s="21" customFormat="1" x14ac:dyDescent="0.3">
      <c r="A60" s="17"/>
      <c r="B60"/>
      <c r="C60"/>
      <c r="D60"/>
      <c r="E60"/>
      <c r="F60"/>
      <c r="G60"/>
      <c r="H60"/>
      <c r="I60"/>
      <c r="J60"/>
      <c r="K60" s="27"/>
      <c r="L60" s="15"/>
      <c r="M60" s="27"/>
      <c r="N60" s="15"/>
      <c r="O60" s="15"/>
      <c r="P60" s="15"/>
      <c r="Q60" s="15"/>
      <c r="R60" s="15"/>
      <c r="S60" s="15"/>
    </row>
    <row r="61" spans="1:19" s="21" customFormat="1" x14ac:dyDescent="0.3">
      <c r="A61" s="17"/>
      <c r="B61"/>
      <c r="C61"/>
      <c r="D61"/>
      <c r="E61"/>
      <c r="F61"/>
      <c r="G61"/>
      <c r="H61"/>
      <c r="I61"/>
      <c r="J61"/>
      <c r="K61" s="27"/>
      <c r="L61" s="15"/>
      <c r="M61" s="27"/>
      <c r="N61" s="15"/>
      <c r="O61" s="15"/>
      <c r="P61" s="15"/>
      <c r="Q61" s="15"/>
      <c r="R61" s="15"/>
      <c r="S61" s="15"/>
    </row>
    <row r="62" spans="1:19" s="21" customFormat="1" x14ac:dyDescent="0.3">
      <c r="A62" s="17"/>
      <c r="B62"/>
      <c r="C62"/>
      <c r="D62"/>
      <c r="E62"/>
      <c r="F62"/>
      <c r="G62"/>
      <c r="H62"/>
      <c r="I62"/>
      <c r="J62"/>
      <c r="K62" s="27"/>
      <c r="L62" s="15"/>
      <c r="M62" s="27"/>
      <c r="N62" s="15"/>
      <c r="O62" s="15"/>
      <c r="P62" s="15"/>
      <c r="Q62" s="15"/>
      <c r="R62" s="15"/>
      <c r="S62" s="15"/>
    </row>
    <row r="63" spans="1:19" s="21" customFormat="1" x14ac:dyDescent="0.3">
      <c r="A63" s="17"/>
      <c r="B63"/>
      <c r="C63"/>
      <c r="D63"/>
      <c r="E63"/>
      <c r="F63"/>
      <c r="G63"/>
      <c r="H63"/>
      <c r="I63"/>
      <c r="J63"/>
      <c r="K63" s="27"/>
      <c r="L63" s="15"/>
      <c r="M63" s="27"/>
      <c r="N63" s="15"/>
      <c r="O63" s="15"/>
      <c r="P63" s="15"/>
      <c r="Q63" s="15"/>
      <c r="R63" s="15"/>
      <c r="S63" s="15"/>
    </row>
    <row r="64" spans="1:19" s="21" customFormat="1" x14ac:dyDescent="0.3">
      <c r="A64" s="17"/>
      <c r="B64"/>
      <c r="C64"/>
      <c r="D64"/>
      <c r="E64"/>
      <c r="F64"/>
      <c r="G64"/>
      <c r="H64"/>
      <c r="I64"/>
      <c r="J64"/>
      <c r="K64" s="27"/>
      <c r="L64" s="15"/>
      <c r="M64" s="27"/>
      <c r="N64" s="15"/>
      <c r="O64" s="15"/>
      <c r="P64" s="15"/>
      <c r="Q64" s="15"/>
      <c r="R64" s="15"/>
      <c r="S64" s="15"/>
    </row>
    <row r="65" spans="1:19" s="21" customFormat="1" x14ac:dyDescent="0.3">
      <c r="A65" s="17"/>
      <c r="B65"/>
      <c r="C65"/>
      <c r="D65"/>
      <c r="E65"/>
      <c r="F65"/>
      <c r="G65"/>
      <c r="H65"/>
      <c r="I65"/>
      <c r="J65"/>
      <c r="K65" s="27"/>
      <c r="L65" s="15"/>
      <c r="M65" s="27"/>
      <c r="N65" s="15"/>
      <c r="O65" s="15"/>
      <c r="P65" s="15"/>
      <c r="Q65" s="15"/>
      <c r="R65" s="15"/>
      <c r="S65" s="15"/>
    </row>
    <row r="66" spans="1:19" s="21" customFormat="1" x14ac:dyDescent="0.3">
      <c r="A66" s="17"/>
      <c r="B66"/>
      <c r="C66"/>
      <c r="D66"/>
      <c r="E66"/>
      <c r="F66"/>
      <c r="G66"/>
      <c r="H66"/>
      <c r="I66"/>
      <c r="J66"/>
      <c r="K66" s="27"/>
      <c r="L66" s="15"/>
      <c r="M66" s="27"/>
      <c r="N66" s="15"/>
      <c r="O66" s="15"/>
      <c r="P66" s="15"/>
      <c r="Q66" s="15"/>
      <c r="R66" s="15"/>
      <c r="S66" s="15"/>
    </row>
    <row r="67" spans="1:19" s="21" customFormat="1" x14ac:dyDescent="0.3">
      <c r="A67" s="17"/>
      <c r="B67"/>
      <c r="C67"/>
      <c r="D67"/>
      <c r="E67"/>
      <c r="F67"/>
      <c r="G67"/>
      <c r="H67"/>
      <c r="I67"/>
      <c r="J67"/>
      <c r="K67" s="27"/>
      <c r="L67" s="15"/>
      <c r="M67" s="27"/>
      <c r="N67" s="15"/>
      <c r="O67" s="15"/>
      <c r="P67" s="15"/>
      <c r="Q67" s="15"/>
      <c r="R67" s="15"/>
      <c r="S67" s="15"/>
    </row>
    <row r="68" spans="1:19" s="21" customFormat="1" x14ac:dyDescent="0.3">
      <c r="A68" s="17"/>
      <c r="B68"/>
      <c r="C68"/>
      <c r="D68"/>
      <c r="E68"/>
      <c r="F68"/>
      <c r="G68"/>
      <c r="H68"/>
      <c r="I68"/>
      <c r="J68"/>
      <c r="K68" s="27"/>
      <c r="L68" s="15"/>
      <c r="M68" s="27"/>
      <c r="N68" s="15"/>
      <c r="O68" s="15"/>
      <c r="P68" s="15"/>
      <c r="Q68" s="15"/>
      <c r="R68" s="15"/>
      <c r="S68" s="15"/>
    </row>
    <row r="69" spans="1:19" s="21" customFormat="1" x14ac:dyDescent="0.3">
      <c r="A69" s="17"/>
      <c r="B69"/>
      <c r="C69"/>
      <c r="D69"/>
      <c r="E69"/>
      <c r="F69"/>
      <c r="G69"/>
      <c r="H69"/>
      <c r="I69"/>
      <c r="J69"/>
      <c r="K69" s="27"/>
      <c r="L69" s="15"/>
      <c r="M69" s="27"/>
      <c r="N69" s="15"/>
      <c r="O69" s="15"/>
      <c r="P69" s="15"/>
      <c r="Q69" s="15"/>
      <c r="R69" s="15"/>
      <c r="S69" s="15"/>
    </row>
    <row r="70" spans="1:19" s="21" customFormat="1" x14ac:dyDescent="0.3">
      <c r="A70" s="17"/>
      <c r="B70"/>
      <c r="C70"/>
      <c r="D70"/>
      <c r="E70"/>
      <c r="F70"/>
      <c r="G70"/>
      <c r="H70"/>
      <c r="I70"/>
      <c r="J70"/>
      <c r="K70" s="27"/>
      <c r="L70" s="15"/>
      <c r="M70" s="27"/>
      <c r="N70" s="15"/>
      <c r="O70" s="15"/>
      <c r="P70" s="15"/>
      <c r="Q70" s="15"/>
      <c r="R70" s="15"/>
      <c r="S70" s="15"/>
    </row>
    <row r="71" spans="1:19" s="21" customFormat="1" x14ac:dyDescent="0.3">
      <c r="A71" s="17"/>
      <c r="B71"/>
      <c r="C71"/>
      <c r="D71"/>
      <c r="E71"/>
      <c r="F71"/>
      <c r="G71"/>
      <c r="H71"/>
      <c r="I71"/>
      <c r="J71"/>
      <c r="K71" s="27"/>
      <c r="L71" s="15"/>
      <c r="M71" s="27"/>
      <c r="N71" s="15"/>
      <c r="O71" s="15"/>
      <c r="P71" s="15"/>
      <c r="Q71" s="15"/>
      <c r="R71" s="15"/>
      <c r="S71" s="15"/>
    </row>
    <row r="72" spans="1:19" s="21" customFormat="1" x14ac:dyDescent="0.3">
      <c r="A72" s="17"/>
      <c r="B72"/>
      <c r="C72"/>
      <c r="D72"/>
      <c r="E72"/>
      <c r="F72"/>
      <c r="G72"/>
      <c r="H72"/>
      <c r="I72"/>
      <c r="J72"/>
      <c r="K72" s="27"/>
      <c r="L72" s="15"/>
      <c r="M72" s="27"/>
      <c r="N72" s="15"/>
      <c r="O72" s="15"/>
      <c r="P72" s="15"/>
      <c r="Q72" s="15"/>
      <c r="R72" s="15"/>
      <c r="S72" s="15"/>
    </row>
    <row r="73" spans="1:19" s="21" customFormat="1" x14ac:dyDescent="0.3">
      <c r="A73" s="17"/>
      <c r="B73"/>
      <c r="C73"/>
      <c r="D73"/>
      <c r="E73"/>
      <c r="F73"/>
      <c r="G73"/>
      <c r="H73"/>
      <c r="I73"/>
      <c r="J73"/>
      <c r="K73" s="27"/>
      <c r="L73" s="15"/>
      <c r="M73" s="27"/>
      <c r="N73" s="15"/>
      <c r="O73" s="15"/>
      <c r="P73" s="15"/>
      <c r="Q73" s="15"/>
      <c r="R73" s="15"/>
      <c r="S73" s="15"/>
    </row>
    <row r="74" spans="1:19" s="21" customFormat="1" x14ac:dyDescent="0.3">
      <c r="A74" s="17"/>
      <c r="B74"/>
      <c r="C74"/>
      <c r="D74"/>
      <c r="E74"/>
      <c r="F74"/>
      <c r="G74"/>
      <c r="H74"/>
      <c r="I74"/>
      <c r="J74"/>
      <c r="K74" s="27"/>
      <c r="L74" s="15"/>
      <c r="M74" s="27"/>
      <c r="N74" s="15"/>
      <c r="O74" s="15"/>
      <c r="P74" s="15"/>
      <c r="Q74" s="15"/>
      <c r="R74" s="15"/>
      <c r="S74" s="15"/>
    </row>
    <row r="75" spans="1:19" s="21" customFormat="1" x14ac:dyDescent="0.3">
      <c r="A75" s="17"/>
      <c r="B75"/>
      <c r="C75"/>
      <c r="D75"/>
      <c r="E75"/>
      <c r="F75"/>
      <c r="G75"/>
      <c r="H75"/>
      <c r="I75"/>
      <c r="J75"/>
      <c r="K75" s="27"/>
      <c r="L75" s="15"/>
      <c r="M75" s="27"/>
      <c r="N75" s="15"/>
      <c r="O75" s="15"/>
      <c r="P75" s="15"/>
      <c r="Q75" s="15"/>
      <c r="R75" s="15"/>
      <c r="S75" s="15"/>
    </row>
    <row r="76" spans="1:19" s="21" customFormat="1" x14ac:dyDescent="0.3">
      <c r="A76" s="17"/>
      <c r="B76"/>
      <c r="C76"/>
      <c r="D76"/>
      <c r="E76"/>
      <c r="F76"/>
      <c r="G76"/>
      <c r="H76"/>
      <c r="I76"/>
      <c r="J76"/>
      <c r="K76" s="27"/>
      <c r="L76" s="15"/>
      <c r="M76" s="27"/>
      <c r="N76" s="15"/>
      <c r="O76" s="15"/>
      <c r="P76" s="15"/>
      <c r="Q76" s="15"/>
      <c r="R76" s="15"/>
      <c r="S76" s="15"/>
    </row>
    <row r="77" spans="1:19" s="21" customFormat="1" x14ac:dyDescent="0.3">
      <c r="A77" s="17"/>
      <c r="B77"/>
      <c r="C77"/>
      <c r="D77"/>
      <c r="E77"/>
      <c r="F77"/>
      <c r="G77"/>
      <c r="H77"/>
      <c r="I77"/>
      <c r="J77"/>
      <c r="K77" s="27"/>
      <c r="L77" s="15"/>
      <c r="M77" s="27"/>
      <c r="N77" s="15"/>
      <c r="O77" s="15"/>
      <c r="P77" s="15"/>
      <c r="Q77" s="15"/>
      <c r="R77" s="15"/>
      <c r="S77" s="15"/>
    </row>
    <row r="78" spans="1:19" s="21" customFormat="1" x14ac:dyDescent="0.3">
      <c r="A78" s="17"/>
      <c r="B78"/>
      <c r="C78"/>
      <c r="D78"/>
      <c r="E78"/>
      <c r="F78"/>
      <c r="G78"/>
      <c r="H78"/>
      <c r="I78"/>
      <c r="J78"/>
      <c r="K78" s="27"/>
      <c r="L78" s="15"/>
      <c r="M78" s="27"/>
      <c r="N78" s="15"/>
      <c r="O78" s="15"/>
      <c r="P78" s="15"/>
      <c r="Q78" s="15"/>
      <c r="R78" s="15"/>
      <c r="S78" s="15"/>
    </row>
    <row r="79" spans="1:19" s="21" customFormat="1" x14ac:dyDescent="0.3">
      <c r="A79" s="17"/>
      <c r="B79"/>
      <c r="C79"/>
      <c r="D79"/>
      <c r="E79"/>
      <c r="F79"/>
      <c r="G79"/>
      <c r="H79"/>
      <c r="I79"/>
      <c r="J79"/>
      <c r="K79" s="27"/>
      <c r="L79" s="15"/>
      <c r="M79" s="27"/>
      <c r="N79" s="15"/>
      <c r="O79" s="15"/>
      <c r="P79" s="15"/>
      <c r="Q79" s="15"/>
      <c r="R79" s="15"/>
      <c r="S79" s="15"/>
    </row>
    <row r="80" spans="1:19" s="21" customFormat="1" x14ac:dyDescent="0.3">
      <c r="A80" s="17"/>
      <c r="B80"/>
      <c r="C80"/>
      <c r="D80"/>
      <c r="E80"/>
      <c r="F80"/>
      <c r="G80"/>
      <c r="H80"/>
      <c r="I80"/>
      <c r="J80"/>
      <c r="K80" s="27"/>
      <c r="L80" s="15"/>
      <c r="M80" s="27"/>
      <c r="N80" s="15"/>
      <c r="O80" s="15"/>
      <c r="P80" s="15"/>
      <c r="Q80" s="15"/>
      <c r="R80" s="15"/>
      <c r="S80" s="15"/>
    </row>
    <row r="81" spans="1:19" s="21" customFormat="1" x14ac:dyDescent="0.3">
      <c r="A81" s="17"/>
      <c r="B81"/>
      <c r="C81"/>
      <c r="D81"/>
      <c r="E81"/>
      <c r="F81"/>
      <c r="G81"/>
      <c r="H81"/>
      <c r="I81"/>
      <c r="J81"/>
      <c r="K81" s="27"/>
      <c r="L81" s="15"/>
      <c r="M81" s="27"/>
      <c r="N81" s="15"/>
      <c r="O81" s="15"/>
      <c r="P81" s="15"/>
      <c r="Q81" s="15"/>
      <c r="R81" s="15"/>
      <c r="S81" s="15"/>
    </row>
    <row r="82" spans="1:19" s="21" customFormat="1" x14ac:dyDescent="0.3">
      <c r="A82" s="17"/>
      <c r="B82"/>
      <c r="C82"/>
      <c r="D82"/>
      <c r="E82"/>
      <c r="F82"/>
      <c r="G82"/>
      <c r="H82"/>
      <c r="I82"/>
      <c r="J82"/>
      <c r="K82" s="27"/>
      <c r="L82" s="15"/>
      <c r="M82" s="27"/>
      <c r="N82" s="15"/>
      <c r="O82" s="15"/>
      <c r="P82" s="15"/>
      <c r="Q82" s="15"/>
      <c r="R82" s="15"/>
      <c r="S82" s="15"/>
    </row>
    <row r="83" spans="1:19" s="21" customFormat="1" x14ac:dyDescent="0.3">
      <c r="A83" s="17"/>
      <c r="B83"/>
      <c r="C83"/>
      <c r="D83"/>
      <c r="E83"/>
      <c r="F83"/>
      <c r="G83"/>
      <c r="H83"/>
      <c r="I83"/>
      <c r="J83"/>
      <c r="K83" s="27"/>
      <c r="L83" s="15"/>
      <c r="M83" s="27"/>
      <c r="N83" s="15"/>
      <c r="O83" s="15"/>
      <c r="P83" s="15"/>
      <c r="Q83" s="15"/>
      <c r="R83" s="15"/>
      <c r="S83" s="15"/>
    </row>
    <row r="84" spans="1:19" s="21" customFormat="1" x14ac:dyDescent="0.3">
      <c r="A84" s="17"/>
      <c r="B84"/>
      <c r="C84"/>
      <c r="D84"/>
      <c r="E84"/>
      <c r="F84"/>
      <c r="G84"/>
      <c r="H84"/>
      <c r="I84"/>
      <c r="J84"/>
      <c r="K84" s="27"/>
      <c r="L84" s="15"/>
      <c r="M84" s="27"/>
      <c r="N84" s="15"/>
      <c r="O84" s="15"/>
      <c r="P84" s="15"/>
      <c r="Q84" s="15"/>
      <c r="R84" s="15"/>
      <c r="S84" s="15"/>
    </row>
    <row r="85" spans="1:19" s="21" customFormat="1" x14ac:dyDescent="0.3">
      <c r="A85" s="17"/>
      <c r="B85"/>
      <c r="C85"/>
      <c r="D85"/>
      <c r="E85"/>
      <c r="F85"/>
      <c r="G85"/>
      <c r="H85"/>
      <c r="I85"/>
      <c r="J85"/>
      <c r="K85" s="27"/>
      <c r="L85" s="15"/>
      <c r="M85" s="27"/>
      <c r="N85" s="15"/>
      <c r="O85" s="15"/>
      <c r="P85" s="15"/>
      <c r="Q85" s="15"/>
      <c r="R85" s="15"/>
      <c r="S85" s="15"/>
    </row>
    <row r="86" spans="1:19" s="21" customFormat="1" x14ac:dyDescent="0.3">
      <c r="A86" s="17"/>
      <c r="B86"/>
      <c r="C86"/>
      <c r="D86"/>
      <c r="E86"/>
      <c r="F86"/>
      <c r="G86"/>
      <c r="H86"/>
      <c r="I86"/>
      <c r="J86"/>
      <c r="K86" s="27"/>
      <c r="L86" s="15"/>
      <c r="M86" s="27"/>
      <c r="N86" s="15"/>
      <c r="O86" s="15"/>
      <c r="P86" s="15"/>
      <c r="Q86" s="15"/>
      <c r="R86" s="15"/>
      <c r="S86" s="15"/>
    </row>
    <row r="87" spans="1:19" s="21" customFormat="1" x14ac:dyDescent="0.3">
      <c r="A87" s="17"/>
      <c r="B87"/>
      <c r="C87"/>
      <c r="D87"/>
      <c r="E87"/>
      <c r="F87"/>
      <c r="G87"/>
      <c r="H87"/>
      <c r="I87"/>
      <c r="J87"/>
      <c r="K87" s="27"/>
      <c r="L87" s="15"/>
      <c r="M87" s="27"/>
      <c r="N87" s="15"/>
      <c r="O87" s="15"/>
      <c r="P87" s="15"/>
      <c r="Q87" s="15"/>
      <c r="R87" s="15"/>
      <c r="S87" s="15"/>
    </row>
    <row r="88" spans="1:19" s="21" customFormat="1" x14ac:dyDescent="0.3">
      <c r="A88" s="17"/>
      <c r="B88"/>
      <c r="C88"/>
      <c r="D88"/>
      <c r="E88"/>
      <c r="F88"/>
      <c r="G88"/>
      <c r="H88"/>
      <c r="I88"/>
      <c r="J88"/>
      <c r="K88" s="27"/>
      <c r="L88" s="15"/>
      <c r="M88" s="27"/>
      <c r="N88" s="15"/>
      <c r="O88" s="15"/>
      <c r="P88" s="15"/>
      <c r="Q88" s="15"/>
      <c r="R88" s="15"/>
      <c r="S88" s="15"/>
    </row>
    <row r="89" spans="1:19" s="21" customFormat="1" x14ac:dyDescent="0.3">
      <c r="A89" s="17"/>
      <c r="B89"/>
      <c r="C89"/>
      <c r="D89"/>
      <c r="E89"/>
      <c r="F89"/>
      <c r="G89"/>
      <c r="H89"/>
      <c r="I89"/>
      <c r="J89"/>
      <c r="K89" s="27"/>
      <c r="L89" s="15"/>
      <c r="M89" s="27"/>
      <c r="N89" s="15"/>
      <c r="O89" s="15"/>
      <c r="P89" s="15"/>
      <c r="Q89" s="15"/>
      <c r="R89" s="15"/>
      <c r="S89" s="15"/>
    </row>
    <row r="90" spans="1:19" s="21" customFormat="1" x14ac:dyDescent="0.3">
      <c r="A90" s="17"/>
      <c r="B90"/>
      <c r="C90"/>
      <c r="D90"/>
      <c r="E90"/>
      <c r="F90"/>
      <c r="G90"/>
      <c r="H90"/>
      <c r="I90"/>
      <c r="J90"/>
      <c r="K90" s="27"/>
      <c r="L90" s="15"/>
      <c r="M90" s="27"/>
      <c r="N90" s="15"/>
      <c r="O90" s="15"/>
      <c r="P90" s="15"/>
      <c r="Q90" s="15"/>
      <c r="R90" s="15"/>
      <c r="S90" s="15"/>
    </row>
    <row r="91" spans="1:19" s="21" customFormat="1" x14ac:dyDescent="0.3">
      <c r="A91" s="17"/>
      <c r="B91"/>
      <c r="C91"/>
      <c r="D91"/>
      <c r="E91"/>
      <c r="F91"/>
      <c r="G91"/>
      <c r="H91"/>
      <c r="I91"/>
      <c r="J91"/>
      <c r="K91" s="27"/>
      <c r="L91" s="15"/>
      <c r="M91" s="27"/>
      <c r="N91" s="15"/>
      <c r="O91" s="15"/>
      <c r="P91" s="15"/>
      <c r="Q91" s="15"/>
      <c r="R91" s="15"/>
      <c r="S91" s="15"/>
    </row>
    <row r="92" spans="1:19" s="21" customFormat="1" x14ac:dyDescent="0.3">
      <c r="A92" s="17"/>
      <c r="B92"/>
      <c r="C92"/>
      <c r="D92"/>
      <c r="E92"/>
      <c r="F92"/>
      <c r="G92"/>
      <c r="H92"/>
      <c r="I92"/>
      <c r="J92"/>
      <c r="K92" s="27"/>
      <c r="L92" s="15"/>
      <c r="M92" s="27"/>
      <c r="N92" s="15"/>
      <c r="O92" s="15"/>
      <c r="P92" s="15"/>
      <c r="Q92" s="15"/>
      <c r="R92" s="15"/>
      <c r="S92" s="15"/>
    </row>
    <row r="93" spans="1:19" s="21" customFormat="1" x14ac:dyDescent="0.3">
      <c r="A93" s="17"/>
      <c r="B93"/>
      <c r="C93"/>
      <c r="D93"/>
      <c r="E93"/>
      <c r="F93"/>
      <c r="G93"/>
      <c r="H93"/>
      <c r="I93"/>
      <c r="J93"/>
      <c r="K93" s="27"/>
      <c r="L93" s="15"/>
      <c r="M93" s="27"/>
      <c r="N93" s="15"/>
      <c r="O93" s="15"/>
      <c r="P93" s="15"/>
      <c r="Q93" s="15"/>
      <c r="R93" s="15"/>
      <c r="S93" s="15"/>
    </row>
    <row r="94" spans="1:19" s="21" customFormat="1" x14ac:dyDescent="0.3">
      <c r="A94" s="17"/>
      <c r="B94"/>
      <c r="C94"/>
      <c r="D94"/>
      <c r="E94"/>
      <c r="F94"/>
      <c r="G94"/>
      <c r="H94"/>
      <c r="I94"/>
      <c r="J94"/>
      <c r="K94" s="27"/>
      <c r="L94" s="15"/>
      <c r="M94" s="27"/>
      <c r="N94" s="15"/>
      <c r="O94" s="15"/>
      <c r="P94" s="15"/>
      <c r="Q94" s="15"/>
      <c r="R94" s="15"/>
      <c r="S94" s="15"/>
    </row>
    <row r="95" spans="1:19" s="21" customFormat="1" x14ac:dyDescent="0.3">
      <c r="A95" s="17"/>
      <c r="B95"/>
      <c r="C95"/>
      <c r="D95"/>
      <c r="E95"/>
      <c r="F95"/>
      <c r="G95"/>
      <c r="H95"/>
      <c r="I95"/>
      <c r="J95"/>
      <c r="K95" s="27"/>
      <c r="L95" s="15"/>
      <c r="M95" s="27"/>
      <c r="N95" s="15"/>
      <c r="O95" s="15"/>
      <c r="P95" s="15"/>
      <c r="Q95" s="15"/>
      <c r="R95" s="15"/>
      <c r="S95" s="15"/>
    </row>
    <row r="96" spans="1:19" s="21" customFormat="1" x14ac:dyDescent="0.3">
      <c r="A96" s="17"/>
      <c r="B96"/>
      <c r="C96"/>
      <c r="D96"/>
      <c r="E96"/>
      <c r="F96"/>
      <c r="G96"/>
      <c r="H96"/>
      <c r="I96"/>
      <c r="J96"/>
      <c r="K96" s="27"/>
      <c r="L96" s="15"/>
      <c r="M96" s="27"/>
      <c r="N96" s="15"/>
      <c r="O96" s="15"/>
      <c r="P96" s="15"/>
      <c r="Q96" s="15"/>
      <c r="R96" s="15"/>
      <c r="S96" s="15"/>
    </row>
  </sheetData>
  <pageMargins left="0.511811024" right="0.511811024" top="0.78740157499999996" bottom="0.78740157499999996" header="0.31496062000000002" footer="0.3149606200000000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09BDF-682E-42D3-AD73-D52DE853B002}">
  <sheetPr codeName="Planilha63">
    <tabColor theme="9" tint="0.59999389629810485"/>
  </sheetPr>
  <dimension ref="A1:T104"/>
  <sheetViews>
    <sheetView showGridLines="0" workbookViewId="0">
      <selection activeCell="I14" sqref="I14"/>
    </sheetView>
  </sheetViews>
  <sheetFormatPr defaultColWidth="8.85546875" defaultRowHeight="18.75" x14ac:dyDescent="0.3"/>
  <cols>
    <col min="1" max="1" width="12.7109375" style="17" customWidth="1"/>
    <col min="2" max="3" width="26.28515625" customWidth="1"/>
    <col min="4" max="4" width="8.85546875" customWidth="1"/>
    <col min="5" max="5" width="10.7109375" bestFit="1" customWidth="1"/>
    <col min="8" max="8" width="12.42578125" style="15" bestFit="1" customWidth="1"/>
    <col min="9" max="20" width="8.85546875" style="15"/>
  </cols>
  <sheetData>
    <row r="1" spans="1:20" x14ac:dyDescent="0.3">
      <c r="A1" s="16" t="s">
        <v>613</v>
      </c>
      <c r="H1" s="14"/>
      <c r="I1" s="14"/>
      <c r="J1" s="14"/>
      <c r="K1" s="14"/>
      <c r="L1" s="14"/>
      <c r="M1" s="14"/>
      <c r="N1" s="14"/>
      <c r="O1" s="14"/>
      <c r="P1" s="14"/>
      <c r="Q1" s="14"/>
      <c r="R1" s="14"/>
      <c r="S1" s="14"/>
      <c r="T1" s="14"/>
    </row>
    <row r="2" spans="1:20" x14ac:dyDescent="0.3">
      <c r="A2" s="17" t="s">
        <v>640</v>
      </c>
      <c r="H2" s="14"/>
      <c r="I2" s="14"/>
      <c r="J2" s="14"/>
      <c r="K2" s="14"/>
      <c r="L2" s="14"/>
      <c r="M2" s="14"/>
      <c r="N2" s="14"/>
      <c r="O2" s="14"/>
      <c r="P2" s="14"/>
      <c r="Q2" s="14"/>
      <c r="R2" s="14"/>
      <c r="S2" s="14"/>
      <c r="T2" s="14"/>
    </row>
    <row r="3" spans="1:20" x14ac:dyDescent="0.3">
      <c r="J3" s="27"/>
    </row>
    <row r="4" spans="1:20" ht="15.75" x14ac:dyDescent="0.25">
      <c r="A4" s="2" t="s">
        <v>15</v>
      </c>
      <c r="B4" s="2" t="s">
        <v>16</v>
      </c>
      <c r="C4" s="2"/>
      <c r="J4" s="27"/>
    </row>
    <row r="5" spans="1:20" ht="15.75" x14ac:dyDescent="0.25">
      <c r="A5" s="23" t="s">
        <v>608</v>
      </c>
      <c r="B5" s="26" t="s">
        <v>614</v>
      </c>
      <c r="C5" s="26"/>
      <c r="J5" s="27"/>
    </row>
    <row r="6" spans="1:20" ht="15.75" x14ac:dyDescent="0.25">
      <c r="A6" s="23"/>
      <c r="B6" s="26"/>
      <c r="C6" s="26"/>
      <c r="J6" s="27"/>
    </row>
    <row r="7" spans="1:20" ht="15.75" x14ac:dyDescent="0.25">
      <c r="A7" s="2" t="s">
        <v>321</v>
      </c>
    </row>
    <row r="8" spans="1:20" ht="35.25" customHeight="1" x14ac:dyDescent="0.25">
      <c r="A8" s="130" t="s">
        <v>625</v>
      </c>
      <c r="B8" s="130"/>
      <c r="C8" s="130"/>
      <c r="D8" s="130"/>
      <c r="E8" s="130"/>
      <c r="F8" s="130"/>
      <c r="G8" s="26"/>
    </row>
    <row r="9" spans="1:20" x14ac:dyDescent="0.3">
      <c r="H9" s="119" t="s">
        <v>617</v>
      </c>
      <c r="J9" s="27"/>
    </row>
    <row r="10" spans="1:20" x14ac:dyDescent="0.3">
      <c r="D10" s="1" t="s">
        <v>17</v>
      </c>
      <c r="E10" s="13" t="s">
        <v>608</v>
      </c>
      <c r="F10" s="12" t="s">
        <v>615</v>
      </c>
      <c r="H10" s="117" t="s">
        <v>616</v>
      </c>
      <c r="J10" s="27"/>
    </row>
    <row r="11" spans="1:20" x14ac:dyDescent="0.3">
      <c r="H11" s="28"/>
      <c r="J11" s="27"/>
    </row>
    <row r="12" spans="1:20" s="21" customFormat="1" x14ac:dyDescent="0.3">
      <c r="A12" s="17"/>
      <c r="B12"/>
      <c r="C12"/>
      <c r="D12" s="1" t="s">
        <v>17</v>
      </c>
      <c r="E12" s="13" t="s">
        <v>608</v>
      </c>
      <c r="F12" s="12" t="s">
        <v>615</v>
      </c>
      <c r="G12"/>
      <c r="H12" s="28" cm="1">
        <f t="array" ref="H12">EVALS($F$12)</f>
        <v>2</v>
      </c>
      <c r="I12" s="15"/>
      <c r="J12" s="27"/>
      <c r="K12" s="15"/>
      <c r="L12" s="15"/>
      <c r="M12" s="15"/>
      <c r="N12" s="15"/>
      <c r="O12" s="15"/>
      <c r="P12" s="15"/>
      <c r="Q12" s="15"/>
      <c r="R12" s="15"/>
      <c r="S12" s="15"/>
      <c r="T12" s="15"/>
    </row>
    <row r="13" spans="1:20" s="21" customFormat="1" x14ac:dyDescent="0.3">
      <c r="A13" s="17"/>
      <c r="B13"/>
      <c r="C13"/>
      <c r="D13"/>
      <c r="E13"/>
      <c r="F13"/>
      <c r="G13"/>
      <c r="H13" s="27"/>
      <c r="I13" s="15"/>
      <c r="J13" s="27"/>
      <c r="K13" s="15"/>
      <c r="L13" s="15"/>
      <c r="M13" s="15"/>
      <c r="N13" s="15"/>
      <c r="O13" s="15"/>
      <c r="P13" s="15"/>
      <c r="Q13" s="15"/>
      <c r="R13" s="15"/>
      <c r="S13" s="15"/>
      <c r="T13" s="15"/>
    </row>
    <row r="14" spans="1:20" s="21" customFormat="1" x14ac:dyDescent="0.3">
      <c r="A14" s="17"/>
      <c r="B14"/>
      <c r="C14"/>
      <c r="D14"/>
      <c r="E14"/>
      <c r="F14"/>
      <c r="G14"/>
      <c r="H14" s="27"/>
      <c r="I14" s="15"/>
      <c r="J14" s="27"/>
      <c r="K14" s="15"/>
      <c r="L14" s="15"/>
      <c r="M14" s="15"/>
      <c r="N14" s="15"/>
      <c r="O14" s="15"/>
      <c r="P14" s="15"/>
      <c r="Q14" s="15"/>
      <c r="R14" s="15"/>
      <c r="S14" s="15"/>
      <c r="T14" s="15"/>
    </row>
    <row r="15" spans="1:20" s="21" customFormat="1" x14ac:dyDescent="0.3">
      <c r="A15" s="17"/>
      <c r="B15"/>
      <c r="C15"/>
      <c r="D15"/>
      <c r="E15"/>
      <c r="F15"/>
      <c r="G15"/>
      <c r="H15" s="27"/>
      <c r="I15" s="15"/>
      <c r="J15" s="27"/>
      <c r="K15" s="15"/>
      <c r="L15" s="15"/>
      <c r="M15" s="15"/>
      <c r="N15" s="15"/>
      <c r="O15" s="15"/>
      <c r="P15" s="15"/>
      <c r="Q15" s="15"/>
      <c r="R15" s="15"/>
      <c r="S15" s="15"/>
      <c r="T15" s="15"/>
    </row>
    <row r="16" spans="1:20" s="21" customFormat="1" x14ac:dyDescent="0.3">
      <c r="A16" s="17"/>
      <c r="B16"/>
      <c r="C16"/>
      <c r="D16"/>
      <c r="E16"/>
      <c r="F16"/>
      <c r="G16"/>
      <c r="H16" s="27"/>
      <c r="I16" s="15"/>
      <c r="J16" s="27"/>
      <c r="K16" s="15"/>
      <c r="L16" s="15"/>
      <c r="M16" s="15"/>
      <c r="N16" s="15"/>
      <c r="O16" s="15"/>
      <c r="P16" s="15"/>
      <c r="Q16" s="15"/>
      <c r="R16" s="15"/>
      <c r="S16" s="15"/>
      <c r="T16" s="15"/>
    </row>
    <row r="17" spans="1:20" s="21" customFormat="1" x14ac:dyDescent="0.3">
      <c r="A17" s="17"/>
      <c r="B17"/>
      <c r="C17"/>
      <c r="D17"/>
      <c r="E17"/>
      <c r="F17"/>
      <c r="G17"/>
      <c r="H17" s="27"/>
      <c r="I17" s="15"/>
      <c r="J17" s="27"/>
      <c r="K17" s="15"/>
      <c r="L17" s="15"/>
      <c r="M17" s="15"/>
      <c r="N17" s="15"/>
      <c r="O17" s="15"/>
      <c r="P17" s="15"/>
      <c r="Q17" s="15"/>
      <c r="R17" s="15"/>
      <c r="S17" s="15"/>
      <c r="T17" s="15"/>
    </row>
    <row r="18" spans="1:20" s="21" customFormat="1" x14ac:dyDescent="0.3">
      <c r="A18" s="17"/>
      <c r="B18"/>
      <c r="C18"/>
      <c r="D18"/>
      <c r="E18"/>
      <c r="F18"/>
      <c r="G18"/>
      <c r="H18" s="27"/>
      <c r="I18" s="15"/>
      <c r="J18" s="27"/>
      <c r="K18" s="15"/>
      <c r="L18" s="15"/>
      <c r="M18" s="15"/>
      <c r="N18" s="15"/>
      <c r="O18" s="15"/>
      <c r="P18" s="15"/>
      <c r="Q18" s="15"/>
      <c r="R18" s="15"/>
      <c r="S18" s="15"/>
      <c r="T18" s="15"/>
    </row>
    <row r="19" spans="1:20" s="21" customFormat="1" x14ac:dyDescent="0.3">
      <c r="A19" s="17"/>
      <c r="B19"/>
      <c r="C19"/>
      <c r="D19"/>
      <c r="E19"/>
      <c r="F19"/>
      <c r="G19"/>
      <c r="H19" s="27"/>
      <c r="I19" s="15"/>
      <c r="J19" s="27"/>
      <c r="K19" s="15"/>
      <c r="L19" s="15"/>
      <c r="M19" s="15"/>
      <c r="N19" s="15"/>
      <c r="O19" s="15"/>
      <c r="P19" s="15"/>
      <c r="Q19" s="15"/>
      <c r="R19" s="15"/>
      <c r="S19" s="15"/>
      <c r="T19" s="15"/>
    </row>
    <row r="20" spans="1:20" s="21" customFormat="1" x14ac:dyDescent="0.3">
      <c r="A20" s="17"/>
      <c r="B20"/>
      <c r="C20"/>
      <c r="D20"/>
      <c r="E20"/>
      <c r="F20"/>
      <c r="G20"/>
      <c r="H20" s="27"/>
      <c r="I20" s="15"/>
      <c r="J20" s="27"/>
      <c r="K20" s="15"/>
      <c r="L20" s="15"/>
      <c r="M20" s="15"/>
      <c r="N20" s="15"/>
      <c r="O20" s="15"/>
      <c r="P20" s="15"/>
      <c r="Q20" s="15"/>
      <c r="R20" s="15"/>
      <c r="S20" s="15"/>
      <c r="T20" s="15"/>
    </row>
    <row r="21" spans="1:20" s="21" customFormat="1" x14ac:dyDescent="0.3">
      <c r="A21" s="17"/>
      <c r="B21"/>
      <c r="C21"/>
      <c r="D21"/>
      <c r="E21"/>
      <c r="F21"/>
      <c r="G21"/>
      <c r="H21" s="27"/>
      <c r="I21" s="15"/>
      <c r="J21" s="27"/>
      <c r="K21" s="15"/>
      <c r="L21" s="15"/>
      <c r="M21" s="15"/>
      <c r="N21" s="15"/>
      <c r="O21" s="15"/>
      <c r="P21" s="15"/>
      <c r="Q21" s="15"/>
      <c r="R21" s="15"/>
      <c r="S21" s="15"/>
      <c r="T21" s="15"/>
    </row>
    <row r="22" spans="1:20" s="21" customFormat="1" x14ac:dyDescent="0.3">
      <c r="A22" s="17"/>
      <c r="B22"/>
      <c r="C22"/>
      <c r="D22"/>
      <c r="E22"/>
      <c r="F22"/>
      <c r="G22"/>
      <c r="H22" s="27"/>
      <c r="I22" s="15"/>
      <c r="J22" s="27"/>
      <c r="K22" s="15"/>
      <c r="L22" s="15"/>
      <c r="M22" s="15"/>
      <c r="N22" s="15"/>
      <c r="O22" s="15"/>
      <c r="P22" s="15"/>
      <c r="Q22" s="15"/>
      <c r="R22" s="15"/>
      <c r="S22" s="15"/>
      <c r="T22" s="15"/>
    </row>
    <row r="23" spans="1:20" s="21" customFormat="1" x14ac:dyDescent="0.3">
      <c r="A23" s="17"/>
      <c r="B23"/>
      <c r="C23"/>
      <c r="D23"/>
      <c r="E23"/>
      <c r="F23"/>
      <c r="G23"/>
      <c r="H23" s="27"/>
      <c r="I23" s="15"/>
      <c r="J23" s="27"/>
      <c r="K23" s="15"/>
      <c r="L23" s="15"/>
      <c r="M23" s="15"/>
      <c r="N23" s="15"/>
      <c r="O23" s="15"/>
      <c r="P23" s="15"/>
      <c r="Q23" s="15"/>
      <c r="R23" s="15"/>
      <c r="S23" s="15"/>
      <c r="T23" s="15"/>
    </row>
    <row r="24" spans="1:20" s="21" customFormat="1" x14ac:dyDescent="0.3">
      <c r="A24" s="17"/>
      <c r="B24"/>
      <c r="C24"/>
      <c r="D24"/>
      <c r="E24"/>
      <c r="F24"/>
      <c r="G24"/>
      <c r="H24" s="27"/>
      <c r="I24" s="15"/>
      <c r="J24" s="27"/>
      <c r="K24" s="15"/>
      <c r="L24" s="15"/>
      <c r="M24" s="15"/>
      <c r="N24" s="15"/>
      <c r="O24" s="15"/>
      <c r="P24" s="15"/>
      <c r="Q24" s="15"/>
      <c r="R24" s="15"/>
      <c r="S24" s="15"/>
      <c r="T24" s="15"/>
    </row>
    <row r="25" spans="1:20" s="21" customFormat="1" x14ac:dyDescent="0.3">
      <c r="A25" s="17"/>
      <c r="B25"/>
      <c r="C25"/>
      <c r="D25"/>
      <c r="E25"/>
      <c r="F25"/>
      <c r="G25"/>
      <c r="H25" s="27"/>
      <c r="I25" s="15"/>
      <c r="J25" s="27"/>
      <c r="K25" s="15"/>
      <c r="L25" s="15"/>
      <c r="M25" s="15"/>
      <c r="N25" s="15"/>
      <c r="O25" s="15"/>
      <c r="P25" s="15"/>
      <c r="Q25" s="15"/>
      <c r="R25" s="15"/>
      <c r="S25" s="15"/>
      <c r="T25" s="15"/>
    </row>
    <row r="26" spans="1:20" s="21" customFormat="1" x14ac:dyDescent="0.3">
      <c r="A26" s="17"/>
      <c r="B26"/>
      <c r="C26"/>
      <c r="D26"/>
      <c r="E26"/>
      <c r="F26"/>
      <c r="G26"/>
      <c r="H26" s="27"/>
      <c r="I26" s="15"/>
      <c r="J26" s="27"/>
      <c r="K26" s="15"/>
      <c r="L26" s="15"/>
      <c r="M26" s="15"/>
      <c r="N26" s="15"/>
      <c r="O26" s="15"/>
      <c r="P26" s="15"/>
      <c r="Q26" s="15"/>
      <c r="R26" s="15"/>
      <c r="S26" s="15"/>
      <c r="T26" s="15"/>
    </row>
    <row r="27" spans="1:20" s="21" customFormat="1" x14ac:dyDescent="0.3">
      <c r="A27" s="17"/>
      <c r="B27"/>
      <c r="C27"/>
      <c r="D27"/>
      <c r="E27"/>
      <c r="F27"/>
      <c r="G27"/>
      <c r="H27" s="27"/>
      <c r="I27" s="15"/>
      <c r="J27" s="27"/>
      <c r="K27" s="15"/>
      <c r="L27" s="15"/>
      <c r="M27" s="15"/>
      <c r="N27" s="15"/>
      <c r="O27" s="15"/>
      <c r="P27" s="15"/>
      <c r="Q27" s="15"/>
      <c r="R27" s="15"/>
      <c r="S27" s="15"/>
      <c r="T27" s="15"/>
    </row>
    <row r="28" spans="1:20" s="21" customFormat="1" x14ac:dyDescent="0.3">
      <c r="A28" s="17"/>
      <c r="B28"/>
      <c r="C28"/>
      <c r="D28"/>
      <c r="E28"/>
      <c r="F28"/>
      <c r="G28"/>
      <c r="H28" s="27"/>
      <c r="I28" s="15"/>
      <c r="J28" s="27"/>
      <c r="K28" s="15"/>
      <c r="L28" s="15"/>
      <c r="M28" s="15"/>
      <c r="N28" s="15"/>
      <c r="O28" s="15"/>
      <c r="P28" s="15"/>
      <c r="Q28" s="15"/>
      <c r="R28" s="15"/>
      <c r="S28" s="15"/>
      <c r="T28" s="15"/>
    </row>
    <row r="29" spans="1:20" s="21" customFormat="1" x14ac:dyDescent="0.3">
      <c r="A29" s="17"/>
      <c r="B29"/>
      <c r="C29"/>
      <c r="D29"/>
      <c r="E29"/>
      <c r="F29"/>
      <c r="G29"/>
      <c r="H29" s="27"/>
      <c r="I29" s="15"/>
      <c r="J29" s="27"/>
      <c r="K29" s="15"/>
      <c r="L29" s="15"/>
      <c r="M29" s="15"/>
      <c r="N29" s="15"/>
      <c r="O29" s="15"/>
      <c r="P29" s="15"/>
      <c r="Q29" s="15"/>
      <c r="R29" s="15"/>
      <c r="S29" s="15"/>
      <c r="T29" s="15"/>
    </row>
    <row r="30" spans="1:20" s="21" customFormat="1" x14ac:dyDescent="0.3">
      <c r="A30" s="17"/>
      <c r="B30"/>
      <c r="C30"/>
      <c r="D30"/>
      <c r="E30"/>
      <c r="F30"/>
      <c r="G30"/>
      <c r="H30" s="27"/>
      <c r="I30" s="15"/>
      <c r="J30" s="27"/>
      <c r="K30" s="15"/>
      <c r="L30" s="15"/>
      <c r="M30" s="15"/>
      <c r="N30" s="15"/>
      <c r="O30" s="15"/>
      <c r="P30" s="15"/>
      <c r="Q30" s="15"/>
      <c r="R30" s="15"/>
      <c r="S30" s="15"/>
      <c r="T30" s="15"/>
    </row>
    <row r="31" spans="1:20" s="21" customFormat="1" x14ac:dyDescent="0.3">
      <c r="A31" s="17"/>
      <c r="B31"/>
      <c r="C31"/>
      <c r="D31"/>
      <c r="E31"/>
      <c r="F31"/>
      <c r="G31"/>
      <c r="H31" s="27"/>
      <c r="I31" s="15"/>
      <c r="J31" s="27"/>
      <c r="K31" s="15"/>
      <c r="L31" s="15"/>
      <c r="M31" s="15"/>
      <c r="N31" s="15"/>
      <c r="O31" s="15"/>
      <c r="P31" s="15"/>
      <c r="Q31" s="15"/>
      <c r="R31" s="15"/>
      <c r="S31" s="15"/>
      <c r="T31" s="15"/>
    </row>
    <row r="32" spans="1:20" s="21" customFormat="1" x14ac:dyDescent="0.3">
      <c r="A32" s="17"/>
      <c r="B32"/>
      <c r="C32"/>
      <c r="D32"/>
      <c r="E32"/>
      <c r="F32"/>
      <c r="G32"/>
      <c r="H32" s="27"/>
      <c r="I32" s="15"/>
      <c r="J32" s="27"/>
      <c r="K32" s="15"/>
      <c r="L32" s="15"/>
      <c r="M32" s="15"/>
      <c r="N32" s="15"/>
      <c r="O32" s="15"/>
      <c r="P32" s="15"/>
      <c r="Q32" s="15"/>
      <c r="R32" s="15"/>
      <c r="S32" s="15"/>
      <c r="T32" s="15"/>
    </row>
    <row r="33" spans="1:20" s="21" customFormat="1" x14ac:dyDescent="0.3">
      <c r="A33" s="17"/>
      <c r="B33"/>
      <c r="C33"/>
      <c r="D33"/>
      <c r="E33"/>
      <c r="F33"/>
      <c r="G33"/>
      <c r="H33" s="27"/>
      <c r="I33" s="15"/>
      <c r="J33" s="27"/>
      <c r="K33" s="15"/>
      <c r="L33" s="15"/>
      <c r="M33" s="15"/>
      <c r="N33" s="15"/>
      <c r="O33" s="15"/>
      <c r="P33" s="15"/>
      <c r="Q33" s="15"/>
      <c r="R33" s="15"/>
      <c r="S33" s="15"/>
      <c r="T33" s="15"/>
    </row>
    <row r="34" spans="1:20" s="21" customFormat="1" x14ac:dyDescent="0.3">
      <c r="A34" s="17"/>
      <c r="B34"/>
      <c r="C34"/>
      <c r="D34"/>
      <c r="E34"/>
      <c r="F34"/>
      <c r="G34"/>
      <c r="H34" s="27"/>
      <c r="I34" s="15"/>
      <c r="J34" s="27"/>
      <c r="K34" s="15"/>
      <c r="L34" s="15"/>
      <c r="M34" s="15"/>
      <c r="N34" s="15"/>
      <c r="O34" s="15"/>
      <c r="P34" s="15"/>
      <c r="Q34" s="15"/>
      <c r="R34" s="15"/>
      <c r="S34" s="15"/>
      <c r="T34" s="15"/>
    </row>
    <row r="35" spans="1:20" s="21" customFormat="1" x14ac:dyDescent="0.3">
      <c r="A35" s="17"/>
      <c r="B35"/>
      <c r="C35"/>
      <c r="D35"/>
      <c r="E35"/>
      <c r="F35"/>
      <c r="G35"/>
      <c r="H35" s="27"/>
      <c r="I35" s="15"/>
      <c r="J35" s="27"/>
      <c r="K35" s="15"/>
      <c r="L35" s="15"/>
      <c r="M35" s="15"/>
      <c r="N35" s="15"/>
      <c r="O35" s="15"/>
      <c r="P35" s="15"/>
      <c r="Q35" s="15"/>
      <c r="R35" s="15"/>
      <c r="S35" s="15"/>
      <c r="T35" s="15"/>
    </row>
    <row r="36" spans="1:20" s="21" customFormat="1" x14ac:dyDescent="0.3">
      <c r="A36" s="17"/>
      <c r="B36"/>
      <c r="C36"/>
      <c r="D36"/>
      <c r="E36"/>
      <c r="F36"/>
      <c r="G36"/>
      <c r="H36" s="27"/>
      <c r="I36" s="15"/>
      <c r="J36" s="27"/>
      <c r="K36" s="15"/>
      <c r="L36" s="15"/>
      <c r="M36" s="15"/>
      <c r="N36" s="15"/>
      <c r="O36" s="15"/>
      <c r="P36" s="15"/>
      <c r="Q36" s="15"/>
      <c r="R36" s="15"/>
      <c r="S36" s="15"/>
      <c r="T36" s="15"/>
    </row>
    <row r="37" spans="1:20" s="21" customFormat="1" x14ac:dyDescent="0.3">
      <c r="A37" s="17"/>
      <c r="B37"/>
      <c r="C37"/>
      <c r="D37"/>
      <c r="E37"/>
      <c r="F37"/>
      <c r="G37"/>
      <c r="H37" s="27"/>
      <c r="I37" s="15"/>
      <c r="J37" s="27"/>
      <c r="K37" s="15"/>
      <c r="L37" s="15"/>
      <c r="M37" s="15"/>
      <c r="N37" s="15"/>
      <c r="O37" s="15"/>
      <c r="P37" s="15"/>
      <c r="Q37" s="15"/>
      <c r="R37" s="15"/>
      <c r="S37" s="15"/>
      <c r="T37" s="15"/>
    </row>
    <row r="38" spans="1:20" s="21" customFormat="1" x14ac:dyDescent="0.3">
      <c r="A38" s="17"/>
      <c r="B38"/>
      <c r="C38"/>
      <c r="D38"/>
      <c r="E38"/>
      <c r="F38"/>
      <c r="G38"/>
      <c r="H38" s="27"/>
      <c r="I38" s="15"/>
      <c r="J38" s="27"/>
      <c r="K38" s="15"/>
      <c r="L38" s="15"/>
      <c r="M38" s="15"/>
      <c r="N38" s="15"/>
      <c r="O38" s="15"/>
      <c r="P38" s="15"/>
      <c r="Q38" s="15"/>
      <c r="R38" s="15"/>
      <c r="S38" s="15"/>
      <c r="T38" s="15"/>
    </row>
    <row r="39" spans="1:20" s="21" customFormat="1" x14ac:dyDescent="0.3">
      <c r="A39" s="17"/>
      <c r="B39"/>
      <c r="C39"/>
      <c r="D39"/>
      <c r="E39"/>
      <c r="F39"/>
      <c r="G39"/>
      <c r="H39" s="27"/>
      <c r="I39" s="15"/>
      <c r="J39" s="27"/>
      <c r="K39" s="15"/>
      <c r="L39" s="15"/>
      <c r="M39" s="15"/>
      <c r="N39" s="15"/>
      <c r="O39" s="15"/>
      <c r="P39" s="15"/>
      <c r="Q39" s="15"/>
      <c r="R39" s="15"/>
      <c r="S39" s="15"/>
      <c r="T39" s="15"/>
    </row>
    <row r="40" spans="1:20" s="21" customFormat="1" x14ac:dyDescent="0.3">
      <c r="A40" s="17"/>
      <c r="B40"/>
      <c r="C40"/>
      <c r="D40"/>
      <c r="E40"/>
      <c r="F40"/>
      <c r="G40"/>
      <c r="H40" s="27"/>
      <c r="I40" s="15"/>
      <c r="J40" s="27"/>
      <c r="K40" s="15"/>
      <c r="L40" s="15"/>
      <c r="M40" s="15"/>
      <c r="N40" s="15"/>
      <c r="O40" s="15"/>
      <c r="P40" s="15"/>
      <c r="Q40" s="15"/>
      <c r="R40" s="15"/>
      <c r="S40" s="15"/>
      <c r="T40" s="15"/>
    </row>
    <row r="41" spans="1:20" s="21" customFormat="1" x14ac:dyDescent="0.3">
      <c r="A41" s="17"/>
      <c r="B41"/>
      <c r="C41"/>
      <c r="D41"/>
      <c r="E41"/>
      <c r="F41"/>
      <c r="G41"/>
      <c r="H41" s="27"/>
      <c r="I41" s="15"/>
      <c r="J41" s="27"/>
      <c r="K41" s="15"/>
      <c r="L41" s="15"/>
      <c r="M41" s="15"/>
      <c r="N41" s="15"/>
      <c r="O41" s="15"/>
      <c r="P41" s="15"/>
      <c r="Q41" s="15"/>
      <c r="R41" s="15"/>
      <c r="S41" s="15"/>
      <c r="T41" s="15"/>
    </row>
    <row r="42" spans="1:20" s="21" customFormat="1" x14ac:dyDescent="0.3">
      <c r="A42" s="17"/>
      <c r="B42"/>
      <c r="C42"/>
      <c r="D42"/>
      <c r="E42"/>
      <c r="F42"/>
      <c r="G42"/>
      <c r="H42" s="27"/>
      <c r="I42" s="15"/>
      <c r="J42" s="27"/>
      <c r="K42" s="15"/>
      <c r="L42" s="15"/>
      <c r="M42" s="15"/>
      <c r="N42" s="15"/>
      <c r="O42" s="15"/>
      <c r="P42" s="15"/>
      <c r="Q42" s="15"/>
      <c r="R42" s="15"/>
      <c r="S42" s="15"/>
      <c r="T42" s="15"/>
    </row>
    <row r="43" spans="1:20" s="21" customFormat="1" x14ac:dyDescent="0.3">
      <c r="A43" s="17"/>
      <c r="B43"/>
      <c r="C43"/>
      <c r="D43"/>
      <c r="E43"/>
      <c r="F43"/>
      <c r="G43"/>
      <c r="H43" s="27"/>
      <c r="I43" s="15"/>
      <c r="J43" s="27"/>
      <c r="K43" s="15"/>
      <c r="L43" s="15"/>
      <c r="M43" s="15"/>
      <c r="N43" s="15"/>
      <c r="O43" s="15"/>
      <c r="P43" s="15"/>
      <c r="Q43" s="15"/>
      <c r="R43" s="15"/>
      <c r="S43" s="15"/>
      <c r="T43" s="15"/>
    </row>
    <row r="44" spans="1:20" s="21" customFormat="1" x14ac:dyDescent="0.3">
      <c r="A44" s="17"/>
      <c r="B44"/>
      <c r="C44"/>
      <c r="D44"/>
      <c r="E44"/>
      <c r="F44"/>
      <c r="G44"/>
      <c r="H44" s="27"/>
      <c r="I44" s="15"/>
      <c r="J44" s="27"/>
      <c r="K44" s="15"/>
      <c r="L44" s="15"/>
      <c r="M44" s="15"/>
      <c r="N44" s="15"/>
      <c r="O44" s="15"/>
      <c r="P44" s="15"/>
      <c r="Q44" s="15"/>
      <c r="R44" s="15"/>
      <c r="S44" s="15"/>
      <c r="T44" s="15"/>
    </row>
    <row r="45" spans="1:20" s="21" customFormat="1" x14ac:dyDescent="0.3">
      <c r="A45" s="17"/>
      <c r="B45"/>
      <c r="C45"/>
      <c r="D45"/>
      <c r="E45"/>
      <c r="F45"/>
      <c r="G45"/>
      <c r="H45" s="27"/>
      <c r="I45" s="15"/>
      <c r="J45" s="27"/>
      <c r="K45" s="15"/>
      <c r="L45" s="15"/>
      <c r="M45" s="15"/>
      <c r="N45" s="15"/>
      <c r="O45" s="15"/>
      <c r="P45" s="15"/>
      <c r="Q45" s="15"/>
      <c r="R45" s="15"/>
      <c r="S45" s="15"/>
      <c r="T45" s="15"/>
    </row>
    <row r="46" spans="1:20" s="21" customFormat="1" x14ac:dyDescent="0.3">
      <c r="A46" s="17"/>
      <c r="B46"/>
      <c r="C46"/>
      <c r="D46"/>
      <c r="E46"/>
      <c r="F46"/>
      <c r="G46"/>
      <c r="H46" s="27"/>
      <c r="I46" s="15"/>
      <c r="J46" s="27"/>
      <c r="K46" s="15"/>
      <c r="L46" s="15"/>
      <c r="M46" s="15"/>
      <c r="N46" s="15"/>
      <c r="O46" s="15"/>
      <c r="P46" s="15"/>
      <c r="Q46" s="15"/>
      <c r="R46" s="15"/>
      <c r="S46" s="15"/>
      <c r="T46" s="15"/>
    </row>
    <row r="47" spans="1:20" s="21" customFormat="1" x14ac:dyDescent="0.3">
      <c r="A47" s="17"/>
      <c r="B47"/>
      <c r="C47"/>
      <c r="D47"/>
      <c r="E47"/>
      <c r="F47"/>
      <c r="G47"/>
      <c r="H47" s="27"/>
      <c r="I47" s="15"/>
      <c r="J47" s="27"/>
      <c r="K47" s="15"/>
      <c r="L47" s="15"/>
      <c r="M47" s="15"/>
      <c r="N47" s="15"/>
      <c r="O47" s="15"/>
      <c r="P47" s="15"/>
      <c r="Q47" s="15"/>
      <c r="R47" s="15"/>
      <c r="S47" s="15"/>
      <c r="T47" s="15"/>
    </row>
    <row r="48" spans="1:20" s="21" customFormat="1" x14ac:dyDescent="0.3">
      <c r="A48" s="17"/>
      <c r="B48"/>
      <c r="C48"/>
      <c r="D48"/>
      <c r="E48"/>
      <c r="F48"/>
      <c r="G48"/>
      <c r="H48" s="27"/>
      <c r="I48" s="15"/>
      <c r="J48" s="27"/>
      <c r="K48" s="15"/>
      <c r="L48" s="15"/>
      <c r="M48" s="15"/>
      <c r="N48" s="15"/>
      <c r="O48" s="15"/>
      <c r="P48" s="15"/>
      <c r="Q48" s="15"/>
      <c r="R48" s="15"/>
      <c r="S48" s="15"/>
      <c r="T48" s="15"/>
    </row>
    <row r="49" spans="1:20" s="21" customFormat="1" x14ac:dyDescent="0.3">
      <c r="A49" s="17"/>
      <c r="B49"/>
      <c r="C49"/>
      <c r="D49"/>
      <c r="E49"/>
      <c r="F49"/>
      <c r="G49"/>
      <c r="H49" s="27"/>
      <c r="I49" s="15"/>
      <c r="J49" s="27"/>
      <c r="K49" s="15"/>
      <c r="L49" s="15"/>
      <c r="M49" s="15"/>
      <c r="N49" s="15"/>
      <c r="O49" s="15"/>
      <c r="P49" s="15"/>
      <c r="Q49" s="15"/>
      <c r="R49" s="15"/>
      <c r="S49" s="15"/>
      <c r="T49" s="15"/>
    </row>
    <row r="50" spans="1:20" s="21" customFormat="1" x14ac:dyDescent="0.3">
      <c r="A50" s="17"/>
      <c r="B50"/>
      <c r="C50"/>
      <c r="D50"/>
      <c r="E50"/>
      <c r="F50"/>
      <c r="G50"/>
      <c r="H50" s="27"/>
      <c r="I50" s="15"/>
      <c r="J50" s="27"/>
      <c r="K50" s="15"/>
      <c r="L50" s="15"/>
      <c r="M50" s="15"/>
      <c r="N50" s="15"/>
      <c r="O50" s="15"/>
      <c r="P50" s="15"/>
      <c r="Q50" s="15"/>
      <c r="R50" s="15"/>
      <c r="S50" s="15"/>
      <c r="T50" s="15"/>
    </row>
    <row r="51" spans="1:20" s="21" customFormat="1" x14ac:dyDescent="0.3">
      <c r="A51" s="17"/>
      <c r="B51"/>
      <c r="C51"/>
      <c r="D51"/>
      <c r="E51"/>
      <c r="F51"/>
      <c r="G51"/>
      <c r="H51" s="27"/>
      <c r="I51" s="15"/>
      <c r="J51" s="27"/>
      <c r="K51" s="15"/>
      <c r="L51" s="15"/>
      <c r="M51" s="15"/>
      <c r="N51" s="15"/>
      <c r="O51" s="15"/>
      <c r="P51" s="15"/>
      <c r="Q51" s="15"/>
      <c r="R51" s="15"/>
      <c r="S51" s="15"/>
      <c r="T51" s="15"/>
    </row>
    <row r="52" spans="1:20" s="21" customFormat="1" x14ac:dyDescent="0.3">
      <c r="A52" s="17"/>
      <c r="B52"/>
      <c r="C52"/>
      <c r="D52"/>
      <c r="E52"/>
      <c r="F52"/>
      <c r="G52"/>
      <c r="H52" s="27"/>
      <c r="I52" s="15"/>
      <c r="J52" s="27"/>
      <c r="K52" s="15"/>
      <c r="L52" s="15"/>
      <c r="M52" s="15"/>
      <c r="N52" s="15"/>
      <c r="O52" s="15"/>
      <c r="P52" s="15"/>
      <c r="Q52" s="15"/>
      <c r="R52" s="15"/>
      <c r="S52" s="15"/>
      <c r="T52" s="15"/>
    </row>
    <row r="53" spans="1:20" s="21" customFormat="1" x14ac:dyDescent="0.3">
      <c r="A53" s="17"/>
      <c r="B53"/>
      <c r="C53"/>
      <c r="D53"/>
      <c r="E53"/>
      <c r="F53"/>
      <c r="G53"/>
      <c r="H53" s="27"/>
      <c r="I53" s="15"/>
      <c r="J53" s="27"/>
      <c r="K53" s="15"/>
      <c r="L53" s="15"/>
      <c r="M53" s="15"/>
      <c r="N53" s="15"/>
      <c r="O53" s="15"/>
      <c r="P53" s="15"/>
      <c r="Q53" s="15"/>
      <c r="R53" s="15"/>
      <c r="S53" s="15"/>
      <c r="T53" s="15"/>
    </row>
    <row r="54" spans="1:20" s="21" customFormat="1" x14ac:dyDescent="0.3">
      <c r="A54" s="17"/>
      <c r="B54"/>
      <c r="C54"/>
      <c r="D54"/>
      <c r="E54"/>
      <c r="F54"/>
      <c r="G54"/>
      <c r="H54" s="27"/>
      <c r="I54" s="15"/>
      <c r="J54" s="27"/>
      <c r="K54" s="15"/>
      <c r="L54" s="15"/>
      <c r="M54" s="15"/>
      <c r="N54" s="15"/>
      <c r="O54" s="15"/>
      <c r="P54" s="15"/>
      <c r="Q54" s="15"/>
      <c r="R54" s="15"/>
      <c r="S54" s="15"/>
      <c r="T54" s="15"/>
    </row>
    <row r="55" spans="1:20" s="21" customFormat="1" x14ac:dyDescent="0.3">
      <c r="A55" s="17"/>
      <c r="B55"/>
      <c r="C55"/>
      <c r="D55"/>
      <c r="E55"/>
      <c r="F55"/>
      <c r="G55"/>
      <c r="H55" s="27"/>
      <c r="I55" s="15"/>
      <c r="J55" s="27"/>
      <c r="K55" s="15"/>
      <c r="L55" s="15"/>
      <c r="M55" s="15"/>
      <c r="N55" s="15"/>
      <c r="O55" s="15"/>
      <c r="P55" s="15"/>
      <c r="Q55" s="15"/>
      <c r="R55" s="15"/>
      <c r="S55" s="15"/>
      <c r="T55" s="15"/>
    </row>
    <row r="56" spans="1:20" s="21" customFormat="1" x14ac:dyDescent="0.3">
      <c r="A56" s="17"/>
      <c r="B56"/>
      <c r="C56"/>
      <c r="D56"/>
      <c r="E56"/>
      <c r="F56"/>
      <c r="G56"/>
      <c r="H56" s="27"/>
      <c r="I56" s="15"/>
      <c r="J56" s="27"/>
      <c r="K56" s="15"/>
      <c r="L56" s="15"/>
      <c r="M56" s="15"/>
      <c r="N56" s="15"/>
      <c r="O56" s="15"/>
      <c r="P56" s="15"/>
      <c r="Q56" s="15"/>
      <c r="R56" s="15"/>
      <c r="S56" s="15"/>
      <c r="T56" s="15"/>
    </row>
    <row r="57" spans="1:20" s="21" customFormat="1" x14ac:dyDescent="0.3">
      <c r="A57" s="17"/>
      <c r="B57"/>
      <c r="C57"/>
      <c r="D57"/>
      <c r="E57"/>
      <c r="F57"/>
      <c r="G57"/>
      <c r="H57" s="27"/>
      <c r="I57" s="15"/>
      <c r="J57" s="27"/>
      <c r="K57" s="15"/>
      <c r="L57" s="15"/>
      <c r="M57" s="15"/>
      <c r="N57" s="15"/>
      <c r="O57" s="15"/>
      <c r="P57" s="15"/>
      <c r="Q57" s="15"/>
      <c r="R57" s="15"/>
      <c r="S57" s="15"/>
      <c r="T57" s="15"/>
    </row>
    <row r="58" spans="1:20" s="21" customFormat="1" x14ac:dyDescent="0.3">
      <c r="A58" s="17"/>
      <c r="B58"/>
      <c r="C58"/>
      <c r="D58"/>
      <c r="E58"/>
      <c r="F58"/>
      <c r="G58"/>
      <c r="H58" s="27"/>
      <c r="I58" s="15"/>
      <c r="J58" s="27"/>
      <c r="K58" s="15"/>
      <c r="L58" s="15"/>
      <c r="M58" s="15"/>
      <c r="N58" s="15"/>
      <c r="O58" s="15"/>
      <c r="P58" s="15"/>
      <c r="Q58" s="15"/>
      <c r="R58" s="15"/>
      <c r="S58" s="15"/>
      <c r="T58" s="15"/>
    </row>
    <row r="59" spans="1:20" s="21" customFormat="1" x14ac:dyDescent="0.3">
      <c r="A59" s="17"/>
      <c r="B59"/>
      <c r="C59"/>
      <c r="D59"/>
      <c r="E59"/>
      <c r="F59"/>
      <c r="G59"/>
      <c r="H59" s="27"/>
      <c r="I59" s="15"/>
      <c r="J59" s="27"/>
      <c r="K59" s="15"/>
      <c r="L59" s="15"/>
      <c r="M59" s="15"/>
      <c r="N59" s="15"/>
      <c r="O59" s="15"/>
      <c r="P59" s="15"/>
      <c r="Q59" s="15"/>
      <c r="R59" s="15"/>
      <c r="S59" s="15"/>
      <c r="T59" s="15"/>
    </row>
    <row r="60" spans="1:20" s="21" customFormat="1" x14ac:dyDescent="0.3">
      <c r="A60" s="17"/>
      <c r="B60"/>
      <c r="C60"/>
      <c r="D60"/>
      <c r="E60"/>
      <c r="F60"/>
      <c r="G60"/>
      <c r="H60" s="27"/>
      <c r="I60" s="15"/>
      <c r="J60" s="27"/>
      <c r="K60" s="15"/>
      <c r="L60" s="15"/>
      <c r="M60" s="15"/>
      <c r="N60" s="15"/>
      <c r="O60" s="15"/>
      <c r="P60" s="15"/>
      <c r="Q60" s="15"/>
      <c r="R60" s="15"/>
      <c r="S60" s="15"/>
      <c r="T60" s="15"/>
    </row>
    <row r="61" spans="1:20" s="21" customFormat="1" x14ac:dyDescent="0.3">
      <c r="A61" s="17"/>
      <c r="B61"/>
      <c r="C61"/>
      <c r="D61"/>
      <c r="E61"/>
      <c r="F61"/>
      <c r="G61"/>
      <c r="H61" s="27"/>
      <c r="I61" s="15"/>
      <c r="J61" s="27"/>
      <c r="K61" s="15"/>
      <c r="L61" s="15"/>
      <c r="M61" s="15"/>
      <c r="N61" s="15"/>
      <c r="O61" s="15"/>
      <c r="P61" s="15"/>
      <c r="Q61" s="15"/>
      <c r="R61" s="15"/>
      <c r="S61" s="15"/>
      <c r="T61" s="15"/>
    </row>
    <row r="62" spans="1:20" s="21" customFormat="1" x14ac:dyDescent="0.3">
      <c r="A62" s="17"/>
      <c r="B62"/>
      <c r="C62"/>
      <c r="D62"/>
      <c r="E62"/>
      <c r="F62"/>
      <c r="G62"/>
      <c r="H62" s="27"/>
      <c r="I62" s="15"/>
      <c r="J62" s="27"/>
      <c r="K62" s="15"/>
      <c r="L62" s="15"/>
      <c r="M62" s="15"/>
      <c r="N62" s="15"/>
      <c r="O62" s="15"/>
      <c r="P62" s="15"/>
      <c r="Q62" s="15"/>
      <c r="R62" s="15"/>
      <c r="S62" s="15"/>
      <c r="T62" s="15"/>
    </row>
    <row r="63" spans="1:20" s="21" customFormat="1" x14ac:dyDescent="0.3">
      <c r="A63" s="17"/>
      <c r="B63"/>
      <c r="C63"/>
      <c r="D63"/>
      <c r="E63"/>
      <c r="F63"/>
      <c r="G63"/>
      <c r="H63" s="27"/>
      <c r="I63" s="15"/>
      <c r="J63" s="27"/>
      <c r="K63" s="15"/>
      <c r="L63" s="15"/>
      <c r="M63" s="15"/>
      <c r="N63" s="15"/>
      <c r="O63" s="15"/>
      <c r="P63" s="15"/>
      <c r="Q63" s="15"/>
      <c r="R63" s="15"/>
      <c r="S63" s="15"/>
      <c r="T63" s="15"/>
    </row>
    <row r="64" spans="1:20" s="21" customFormat="1" x14ac:dyDescent="0.3">
      <c r="A64" s="17"/>
      <c r="B64"/>
      <c r="C64"/>
      <c r="D64"/>
      <c r="E64"/>
      <c r="F64"/>
      <c r="G64"/>
      <c r="H64" s="27"/>
      <c r="I64" s="15"/>
      <c r="J64" s="27"/>
      <c r="K64" s="15"/>
      <c r="L64" s="15"/>
      <c r="M64" s="15"/>
      <c r="N64" s="15"/>
      <c r="O64" s="15"/>
      <c r="P64" s="15"/>
      <c r="Q64" s="15"/>
      <c r="R64" s="15"/>
      <c r="S64" s="15"/>
      <c r="T64" s="15"/>
    </row>
    <row r="65" spans="1:20" s="21" customFormat="1" x14ac:dyDescent="0.3">
      <c r="A65" s="17"/>
      <c r="B65"/>
      <c r="C65"/>
      <c r="D65"/>
      <c r="E65"/>
      <c r="F65"/>
      <c r="G65"/>
      <c r="H65" s="27"/>
      <c r="I65" s="15"/>
      <c r="J65" s="27"/>
      <c r="K65" s="15"/>
      <c r="L65" s="15"/>
      <c r="M65" s="15"/>
      <c r="N65" s="15"/>
      <c r="O65" s="15"/>
      <c r="P65" s="15"/>
      <c r="Q65" s="15"/>
      <c r="R65" s="15"/>
      <c r="S65" s="15"/>
      <c r="T65" s="15"/>
    </row>
    <row r="66" spans="1:20" s="21" customFormat="1" x14ac:dyDescent="0.3">
      <c r="A66" s="17"/>
      <c r="B66"/>
      <c r="C66"/>
      <c r="D66"/>
      <c r="E66"/>
      <c r="F66"/>
      <c r="G66"/>
      <c r="H66" s="27"/>
      <c r="I66" s="15"/>
      <c r="J66" s="27"/>
      <c r="K66" s="15"/>
      <c r="L66" s="15"/>
      <c r="M66" s="15"/>
      <c r="N66" s="15"/>
      <c r="O66" s="15"/>
      <c r="P66" s="15"/>
      <c r="Q66" s="15"/>
      <c r="R66" s="15"/>
      <c r="S66" s="15"/>
      <c r="T66" s="15"/>
    </row>
    <row r="67" spans="1:20" s="21" customFormat="1" x14ac:dyDescent="0.3">
      <c r="A67" s="17"/>
      <c r="B67"/>
      <c r="C67"/>
      <c r="D67"/>
      <c r="E67"/>
      <c r="F67"/>
      <c r="G67"/>
      <c r="H67" s="27"/>
      <c r="I67" s="15"/>
      <c r="J67" s="27"/>
      <c r="K67" s="15"/>
      <c r="L67" s="15"/>
      <c r="M67" s="15"/>
      <c r="N67" s="15"/>
      <c r="O67" s="15"/>
      <c r="P67" s="15"/>
      <c r="Q67" s="15"/>
      <c r="R67" s="15"/>
      <c r="S67" s="15"/>
      <c r="T67" s="15"/>
    </row>
    <row r="68" spans="1:20" s="21" customFormat="1" x14ac:dyDescent="0.3">
      <c r="A68" s="17"/>
      <c r="B68"/>
      <c r="C68"/>
      <c r="D68"/>
      <c r="E68"/>
      <c r="F68"/>
      <c r="G68"/>
      <c r="H68" s="27"/>
      <c r="I68" s="15"/>
      <c r="J68" s="27"/>
      <c r="K68" s="15"/>
      <c r="L68" s="15"/>
      <c r="M68" s="15"/>
      <c r="N68" s="15"/>
      <c r="O68" s="15"/>
      <c r="P68" s="15"/>
      <c r="Q68" s="15"/>
      <c r="R68" s="15"/>
      <c r="S68" s="15"/>
      <c r="T68" s="15"/>
    </row>
    <row r="69" spans="1:20" s="21" customFormat="1" x14ac:dyDescent="0.3">
      <c r="A69" s="17"/>
      <c r="B69"/>
      <c r="C69"/>
      <c r="D69"/>
      <c r="E69"/>
      <c r="F69"/>
      <c r="G69"/>
      <c r="H69" s="27"/>
      <c r="I69" s="15"/>
      <c r="J69" s="27"/>
      <c r="K69" s="15"/>
      <c r="L69" s="15"/>
      <c r="M69" s="15"/>
      <c r="N69" s="15"/>
      <c r="O69" s="15"/>
      <c r="P69" s="15"/>
      <c r="Q69" s="15"/>
      <c r="R69" s="15"/>
      <c r="S69" s="15"/>
      <c r="T69" s="15"/>
    </row>
    <row r="70" spans="1:20" s="21" customFormat="1" x14ac:dyDescent="0.3">
      <c r="A70" s="17"/>
      <c r="B70"/>
      <c r="C70"/>
      <c r="D70"/>
      <c r="E70"/>
      <c r="F70"/>
      <c r="G70"/>
      <c r="H70" s="27"/>
      <c r="I70" s="15"/>
      <c r="J70" s="27"/>
      <c r="K70" s="15"/>
      <c r="L70" s="15"/>
      <c r="M70" s="15"/>
      <c r="N70" s="15"/>
      <c r="O70" s="15"/>
      <c r="P70" s="15"/>
      <c r="Q70" s="15"/>
      <c r="R70" s="15"/>
      <c r="S70" s="15"/>
      <c r="T70" s="15"/>
    </row>
    <row r="71" spans="1:20" s="21" customFormat="1" x14ac:dyDescent="0.3">
      <c r="A71" s="17"/>
      <c r="B71"/>
      <c r="C71"/>
      <c r="D71"/>
      <c r="E71"/>
      <c r="F71"/>
      <c r="G71"/>
      <c r="H71" s="27"/>
      <c r="I71" s="15"/>
      <c r="J71" s="27"/>
      <c r="K71" s="15"/>
      <c r="L71" s="15"/>
      <c r="M71" s="15"/>
      <c r="N71" s="15"/>
      <c r="O71" s="15"/>
      <c r="P71" s="15"/>
      <c r="Q71" s="15"/>
      <c r="R71" s="15"/>
      <c r="S71" s="15"/>
      <c r="T71" s="15"/>
    </row>
    <row r="72" spans="1:20" s="21" customFormat="1" x14ac:dyDescent="0.3">
      <c r="A72" s="17"/>
      <c r="B72"/>
      <c r="C72"/>
      <c r="D72"/>
      <c r="E72"/>
      <c r="F72"/>
      <c r="G72"/>
      <c r="H72" s="27"/>
      <c r="I72" s="15"/>
      <c r="J72" s="27"/>
      <c r="K72" s="15"/>
      <c r="L72" s="15"/>
      <c r="M72" s="15"/>
      <c r="N72" s="15"/>
      <c r="O72" s="15"/>
      <c r="P72" s="15"/>
      <c r="Q72" s="15"/>
      <c r="R72" s="15"/>
      <c r="S72" s="15"/>
      <c r="T72" s="15"/>
    </row>
    <row r="73" spans="1:20" s="21" customFormat="1" x14ac:dyDescent="0.3">
      <c r="A73" s="17"/>
      <c r="B73"/>
      <c r="C73"/>
      <c r="D73"/>
      <c r="E73"/>
      <c r="F73"/>
      <c r="G73"/>
      <c r="H73" s="27"/>
      <c r="I73" s="15"/>
      <c r="J73" s="27"/>
      <c r="K73" s="15"/>
      <c r="L73" s="15"/>
      <c r="M73" s="15"/>
      <c r="N73" s="15"/>
      <c r="O73" s="15"/>
      <c r="P73" s="15"/>
      <c r="Q73" s="15"/>
      <c r="R73" s="15"/>
      <c r="S73" s="15"/>
      <c r="T73" s="15"/>
    </row>
    <row r="74" spans="1:20" s="21" customFormat="1" x14ac:dyDescent="0.3">
      <c r="A74" s="17"/>
      <c r="B74"/>
      <c r="C74"/>
      <c r="D74"/>
      <c r="E74"/>
      <c r="F74"/>
      <c r="G74"/>
      <c r="H74" s="27"/>
      <c r="I74" s="15"/>
      <c r="J74" s="27"/>
      <c r="K74" s="15"/>
      <c r="L74" s="15"/>
      <c r="M74" s="15"/>
      <c r="N74" s="15"/>
      <c r="O74" s="15"/>
      <c r="P74" s="15"/>
      <c r="Q74" s="15"/>
      <c r="R74" s="15"/>
      <c r="S74" s="15"/>
      <c r="T74" s="15"/>
    </row>
    <row r="75" spans="1:20" s="21" customFormat="1" x14ac:dyDescent="0.3">
      <c r="A75" s="17"/>
      <c r="B75"/>
      <c r="C75"/>
      <c r="D75"/>
      <c r="E75"/>
      <c r="F75"/>
      <c r="G75"/>
      <c r="H75" s="27"/>
      <c r="I75" s="15"/>
      <c r="J75" s="27"/>
      <c r="K75" s="15"/>
      <c r="L75" s="15"/>
      <c r="M75" s="15"/>
      <c r="N75" s="15"/>
      <c r="O75" s="15"/>
      <c r="P75" s="15"/>
      <c r="Q75" s="15"/>
      <c r="R75" s="15"/>
      <c r="S75" s="15"/>
      <c r="T75" s="15"/>
    </row>
    <row r="76" spans="1:20" s="21" customFormat="1" x14ac:dyDescent="0.3">
      <c r="A76" s="17"/>
      <c r="B76"/>
      <c r="C76"/>
      <c r="D76"/>
      <c r="E76"/>
      <c r="F76"/>
      <c r="G76"/>
      <c r="H76" s="27"/>
      <c r="I76" s="15"/>
      <c r="J76" s="27"/>
      <c r="K76" s="15"/>
      <c r="L76" s="15"/>
      <c r="M76" s="15"/>
      <c r="N76" s="15"/>
      <c r="O76" s="15"/>
      <c r="P76" s="15"/>
      <c r="Q76" s="15"/>
      <c r="R76" s="15"/>
      <c r="S76" s="15"/>
      <c r="T76" s="15"/>
    </row>
    <row r="77" spans="1:20" s="21" customFormat="1" x14ac:dyDescent="0.3">
      <c r="A77" s="17"/>
      <c r="B77"/>
      <c r="C77"/>
      <c r="D77"/>
      <c r="E77"/>
      <c r="F77"/>
      <c r="G77"/>
      <c r="H77" s="27"/>
      <c r="I77" s="15"/>
      <c r="J77" s="27"/>
      <c r="K77" s="15"/>
      <c r="L77" s="15"/>
      <c r="M77" s="15"/>
      <c r="N77" s="15"/>
      <c r="O77" s="15"/>
      <c r="P77" s="15"/>
      <c r="Q77" s="15"/>
      <c r="R77" s="15"/>
      <c r="S77" s="15"/>
      <c r="T77" s="15"/>
    </row>
    <row r="78" spans="1:20" s="21" customFormat="1" x14ac:dyDescent="0.3">
      <c r="A78" s="17"/>
      <c r="B78"/>
      <c r="C78"/>
      <c r="D78"/>
      <c r="E78"/>
      <c r="F78"/>
      <c r="G78"/>
      <c r="H78" s="27"/>
      <c r="I78" s="15"/>
      <c r="J78" s="27"/>
      <c r="K78" s="15"/>
      <c r="L78" s="15"/>
      <c r="M78" s="15"/>
      <c r="N78" s="15"/>
      <c r="O78" s="15"/>
      <c r="P78" s="15"/>
      <c r="Q78" s="15"/>
      <c r="R78" s="15"/>
      <c r="S78" s="15"/>
      <c r="T78" s="15"/>
    </row>
    <row r="79" spans="1:20" s="21" customFormat="1" x14ac:dyDescent="0.3">
      <c r="A79" s="17"/>
      <c r="B79"/>
      <c r="C79"/>
      <c r="D79"/>
      <c r="E79"/>
      <c r="F79"/>
      <c r="G79"/>
      <c r="H79" s="27"/>
      <c r="I79" s="15"/>
      <c r="J79" s="27"/>
      <c r="K79" s="15"/>
      <c r="L79" s="15"/>
      <c r="M79" s="15"/>
      <c r="N79" s="15"/>
      <c r="O79" s="15"/>
      <c r="P79" s="15"/>
      <c r="Q79" s="15"/>
      <c r="R79" s="15"/>
      <c r="S79" s="15"/>
      <c r="T79" s="15"/>
    </row>
    <row r="80" spans="1:20" s="21" customFormat="1" x14ac:dyDescent="0.3">
      <c r="A80" s="17"/>
      <c r="B80"/>
      <c r="C80"/>
      <c r="D80"/>
      <c r="E80"/>
      <c r="F80"/>
      <c r="G80"/>
      <c r="H80" s="27"/>
      <c r="I80" s="15"/>
      <c r="J80" s="27"/>
      <c r="K80" s="15"/>
      <c r="L80" s="15"/>
      <c r="M80" s="15"/>
      <c r="N80" s="15"/>
      <c r="O80" s="15"/>
      <c r="P80" s="15"/>
      <c r="Q80" s="15"/>
      <c r="R80" s="15"/>
      <c r="S80" s="15"/>
      <c r="T80" s="15"/>
    </row>
    <row r="81" spans="1:20" s="21" customFormat="1" x14ac:dyDescent="0.3">
      <c r="A81" s="17"/>
      <c r="B81"/>
      <c r="C81"/>
      <c r="D81"/>
      <c r="E81"/>
      <c r="F81"/>
      <c r="G81"/>
      <c r="H81" s="27"/>
      <c r="I81" s="15"/>
      <c r="J81" s="27"/>
      <c r="K81" s="15"/>
      <c r="L81" s="15"/>
      <c r="M81" s="15"/>
      <c r="N81" s="15"/>
      <c r="O81" s="15"/>
      <c r="P81" s="15"/>
      <c r="Q81" s="15"/>
      <c r="R81" s="15"/>
      <c r="S81" s="15"/>
      <c r="T81" s="15"/>
    </row>
    <row r="82" spans="1:20" s="21" customFormat="1" x14ac:dyDescent="0.3">
      <c r="A82" s="17"/>
      <c r="B82"/>
      <c r="C82"/>
      <c r="D82"/>
      <c r="E82"/>
      <c r="F82"/>
      <c r="G82"/>
      <c r="H82" s="27"/>
      <c r="I82" s="15"/>
      <c r="J82" s="27"/>
      <c r="K82" s="15"/>
      <c r="L82" s="15"/>
      <c r="M82" s="15"/>
      <c r="N82" s="15"/>
      <c r="O82" s="15"/>
      <c r="P82" s="15"/>
      <c r="Q82" s="15"/>
      <c r="R82" s="15"/>
      <c r="S82" s="15"/>
      <c r="T82" s="15"/>
    </row>
    <row r="83" spans="1:20" s="21" customFormat="1" x14ac:dyDescent="0.3">
      <c r="A83" s="17"/>
      <c r="B83"/>
      <c r="C83"/>
      <c r="D83"/>
      <c r="E83"/>
      <c r="F83"/>
      <c r="G83"/>
      <c r="H83" s="27"/>
      <c r="I83" s="15"/>
      <c r="J83" s="27"/>
      <c r="K83" s="15"/>
      <c r="L83" s="15"/>
      <c r="M83" s="15"/>
      <c r="N83" s="15"/>
      <c r="O83" s="15"/>
      <c r="P83" s="15"/>
      <c r="Q83" s="15"/>
      <c r="R83" s="15"/>
      <c r="S83" s="15"/>
      <c r="T83" s="15"/>
    </row>
    <row r="84" spans="1:20" s="21" customFormat="1" x14ac:dyDescent="0.3">
      <c r="A84" s="17"/>
      <c r="B84"/>
      <c r="C84"/>
      <c r="D84"/>
      <c r="E84"/>
      <c r="F84"/>
      <c r="G84"/>
      <c r="H84" s="27"/>
      <c r="I84" s="15"/>
      <c r="J84" s="27"/>
      <c r="K84" s="15"/>
      <c r="L84" s="15"/>
      <c r="M84" s="15"/>
      <c r="N84" s="15"/>
      <c r="O84" s="15"/>
      <c r="P84" s="15"/>
      <c r="Q84" s="15"/>
      <c r="R84" s="15"/>
      <c r="S84" s="15"/>
      <c r="T84" s="15"/>
    </row>
    <row r="85" spans="1:20" s="21" customFormat="1" x14ac:dyDescent="0.3">
      <c r="A85" s="17"/>
      <c r="B85"/>
      <c r="C85"/>
      <c r="D85"/>
      <c r="E85"/>
      <c r="F85"/>
      <c r="G85"/>
      <c r="H85" s="27"/>
      <c r="I85" s="15"/>
      <c r="J85" s="27"/>
      <c r="K85" s="15"/>
      <c r="L85" s="15"/>
      <c r="M85" s="15"/>
      <c r="N85" s="15"/>
      <c r="O85" s="15"/>
      <c r="P85" s="15"/>
      <c r="Q85" s="15"/>
      <c r="R85" s="15"/>
      <c r="S85" s="15"/>
      <c r="T85" s="15"/>
    </row>
    <row r="86" spans="1:20" s="21" customFormat="1" x14ac:dyDescent="0.3">
      <c r="A86" s="17"/>
      <c r="B86"/>
      <c r="C86"/>
      <c r="D86"/>
      <c r="E86"/>
      <c r="F86"/>
      <c r="G86"/>
      <c r="H86" s="27"/>
      <c r="I86" s="15"/>
      <c r="J86" s="27"/>
      <c r="K86" s="15"/>
      <c r="L86" s="15"/>
      <c r="M86" s="15"/>
      <c r="N86" s="15"/>
      <c r="O86" s="15"/>
      <c r="P86" s="15"/>
      <c r="Q86" s="15"/>
      <c r="R86" s="15"/>
      <c r="S86" s="15"/>
      <c r="T86" s="15"/>
    </row>
    <row r="87" spans="1:20" s="21" customFormat="1" x14ac:dyDescent="0.3">
      <c r="A87" s="17"/>
      <c r="B87"/>
      <c r="C87"/>
      <c r="D87"/>
      <c r="E87"/>
      <c r="F87"/>
      <c r="G87"/>
      <c r="H87" s="27"/>
      <c r="I87" s="15"/>
      <c r="J87" s="27"/>
      <c r="K87" s="15"/>
      <c r="L87" s="15"/>
      <c r="M87" s="15"/>
      <c r="N87" s="15"/>
      <c r="O87" s="15"/>
      <c r="P87" s="15"/>
      <c r="Q87" s="15"/>
      <c r="R87" s="15"/>
      <c r="S87" s="15"/>
      <c r="T87" s="15"/>
    </row>
    <row r="88" spans="1:20" s="21" customFormat="1" x14ac:dyDescent="0.3">
      <c r="A88" s="17"/>
      <c r="B88"/>
      <c r="C88"/>
      <c r="D88"/>
      <c r="E88"/>
      <c r="F88"/>
      <c r="G88"/>
      <c r="H88" s="27"/>
      <c r="I88" s="15"/>
      <c r="J88" s="27"/>
      <c r="K88" s="15"/>
      <c r="L88" s="15"/>
      <c r="M88" s="15"/>
      <c r="N88" s="15"/>
      <c r="O88" s="15"/>
      <c r="P88" s="15"/>
      <c r="Q88" s="15"/>
      <c r="R88" s="15"/>
      <c r="S88" s="15"/>
      <c r="T88" s="15"/>
    </row>
    <row r="89" spans="1:20" s="21" customFormat="1" x14ac:dyDescent="0.3">
      <c r="A89" s="17"/>
      <c r="B89"/>
      <c r="C89"/>
      <c r="D89"/>
      <c r="E89"/>
      <c r="F89"/>
      <c r="G89"/>
      <c r="H89" s="27"/>
      <c r="I89" s="15"/>
      <c r="J89" s="27"/>
      <c r="K89" s="15"/>
      <c r="L89" s="15"/>
      <c r="M89" s="15"/>
      <c r="N89" s="15"/>
      <c r="O89" s="15"/>
      <c r="P89" s="15"/>
      <c r="Q89" s="15"/>
      <c r="R89" s="15"/>
      <c r="S89" s="15"/>
      <c r="T89" s="15"/>
    </row>
    <row r="90" spans="1:20" s="21" customFormat="1" x14ac:dyDescent="0.3">
      <c r="A90" s="17"/>
      <c r="B90"/>
      <c r="C90"/>
      <c r="D90"/>
      <c r="E90"/>
      <c r="F90"/>
      <c r="G90"/>
      <c r="H90" s="27"/>
      <c r="I90" s="15"/>
      <c r="J90" s="27"/>
      <c r="K90" s="15"/>
      <c r="L90" s="15"/>
      <c r="M90" s="15"/>
      <c r="N90" s="15"/>
      <c r="O90" s="15"/>
      <c r="P90" s="15"/>
      <c r="Q90" s="15"/>
      <c r="R90" s="15"/>
      <c r="S90" s="15"/>
      <c r="T90" s="15"/>
    </row>
    <row r="91" spans="1:20" s="21" customFormat="1" x14ac:dyDescent="0.3">
      <c r="A91" s="17"/>
      <c r="B91"/>
      <c r="C91"/>
      <c r="D91"/>
      <c r="E91"/>
      <c r="F91"/>
      <c r="G91"/>
      <c r="H91" s="27"/>
      <c r="I91" s="15"/>
      <c r="J91" s="27"/>
      <c r="K91" s="15"/>
      <c r="L91" s="15"/>
      <c r="M91" s="15"/>
      <c r="N91" s="15"/>
      <c r="O91" s="15"/>
      <c r="P91" s="15"/>
      <c r="Q91" s="15"/>
      <c r="R91" s="15"/>
      <c r="S91" s="15"/>
      <c r="T91" s="15"/>
    </row>
    <row r="92" spans="1:20" s="21" customFormat="1" x14ac:dyDescent="0.3">
      <c r="A92" s="17"/>
      <c r="B92"/>
      <c r="C92"/>
      <c r="D92"/>
      <c r="E92"/>
      <c r="F92"/>
      <c r="G92"/>
      <c r="H92" s="27"/>
      <c r="I92" s="15"/>
      <c r="J92" s="27"/>
      <c r="K92" s="15"/>
      <c r="L92" s="15"/>
      <c r="M92" s="15"/>
      <c r="N92" s="15"/>
      <c r="O92" s="15"/>
      <c r="P92" s="15"/>
      <c r="Q92" s="15"/>
      <c r="R92" s="15"/>
      <c r="S92" s="15"/>
      <c r="T92" s="15"/>
    </row>
    <row r="93" spans="1:20" s="21" customFormat="1" x14ac:dyDescent="0.3">
      <c r="A93" s="17"/>
      <c r="B93"/>
      <c r="C93"/>
      <c r="D93"/>
      <c r="E93"/>
      <c r="F93"/>
      <c r="G93"/>
      <c r="H93" s="27"/>
      <c r="I93" s="15"/>
      <c r="J93" s="27"/>
      <c r="K93" s="15"/>
      <c r="L93" s="15"/>
      <c r="M93" s="15"/>
      <c r="N93" s="15"/>
      <c r="O93" s="15"/>
      <c r="P93" s="15"/>
      <c r="Q93" s="15"/>
      <c r="R93" s="15"/>
      <c r="S93" s="15"/>
      <c r="T93" s="15"/>
    </row>
    <row r="94" spans="1:20" s="21" customFormat="1" x14ac:dyDescent="0.3">
      <c r="A94" s="17"/>
      <c r="B94"/>
      <c r="C94"/>
      <c r="D94"/>
      <c r="E94"/>
      <c r="F94"/>
      <c r="G94"/>
      <c r="H94" s="27"/>
      <c r="I94" s="15"/>
      <c r="J94" s="27"/>
      <c r="K94" s="15"/>
      <c r="L94" s="15"/>
      <c r="M94" s="15"/>
      <c r="N94" s="15"/>
      <c r="O94" s="15"/>
      <c r="P94" s="15"/>
      <c r="Q94" s="15"/>
      <c r="R94" s="15"/>
      <c r="S94" s="15"/>
      <c r="T94" s="15"/>
    </row>
    <row r="95" spans="1:20" s="21" customFormat="1" x14ac:dyDescent="0.3">
      <c r="A95" s="17"/>
      <c r="B95"/>
      <c r="C95"/>
      <c r="D95"/>
      <c r="E95"/>
      <c r="F95"/>
      <c r="G95"/>
      <c r="H95" s="27"/>
      <c r="I95" s="15"/>
      <c r="J95" s="27"/>
      <c r="K95" s="15"/>
      <c r="L95" s="15"/>
      <c r="M95" s="15"/>
      <c r="N95" s="15"/>
      <c r="O95" s="15"/>
      <c r="P95" s="15"/>
      <c r="Q95" s="15"/>
      <c r="R95" s="15"/>
      <c r="S95" s="15"/>
      <c r="T95" s="15"/>
    </row>
    <row r="96" spans="1:20" s="21" customFormat="1" x14ac:dyDescent="0.3">
      <c r="A96" s="17"/>
      <c r="B96"/>
      <c r="C96"/>
      <c r="D96"/>
      <c r="E96"/>
      <c r="F96"/>
      <c r="G96"/>
      <c r="H96" s="27"/>
      <c r="I96" s="15"/>
      <c r="J96" s="27"/>
      <c r="K96" s="15"/>
      <c r="L96" s="15"/>
      <c r="M96" s="15"/>
      <c r="N96" s="15"/>
      <c r="O96" s="15"/>
      <c r="P96" s="15"/>
      <c r="Q96" s="15"/>
      <c r="R96" s="15"/>
      <c r="S96" s="15"/>
      <c r="T96" s="15"/>
    </row>
    <row r="97" spans="1:20" s="21" customFormat="1" x14ac:dyDescent="0.3">
      <c r="A97" s="17"/>
      <c r="B97"/>
      <c r="C97"/>
      <c r="D97"/>
      <c r="E97"/>
      <c r="F97"/>
      <c r="G97"/>
      <c r="H97" s="27"/>
      <c r="I97" s="15"/>
      <c r="J97" s="27"/>
      <c r="K97" s="15"/>
      <c r="L97" s="15"/>
      <c r="M97" s="15"/>
      <c r="N97" s="15"/>
      <c r="O97" s="15"/>
      <c r="P97" s="15"/>
      <c r="Q97" s="15"/>
      <c r="R97" s="15"/>
      <c r="S97" s="15"/>
      <c r="T97" s="15"/>
    </row>
    <row r="98" spans="1:20" s="21" customFormat="1" x14ac:dyDescent="0.3">
      <c r="A98" s="17"/>
      <c r="B98"/>
      <c r="C98"/>
      <c r="D98"/>
      <c r="E98"/>
      <c r="F98"/>
      <c r="G98"/>
      <c r="H98" s="27"/>
      <c r="I98" s="15"/>
      <c r="J98" s="27"/>
      <c r="K98" s="15"/>
      <c r="L98" s="15"/>
      <c r="M98" s="15"/>
      <c r="N98" s="15"/>
      <c r="O98" s="15"/>
      <c r="P98" s="15"/>
      <c r="Q98" s="15"/>
      <c r="R98" s="15"/>
      <c r="S98" s="15"/>
      <c r="T98" s="15"/>
    </row>
    <row r="99" spans="1:20" s="21" customFormat="1" x14ac:dyDescent="0.3">
      <c r="A99" s="17"/>
      <c r="B99"/>
      <c r="C99"/>
      <c r="D99"/>
      <c r="E99"/>
      <c r="F99"/>
      <c r="G99"/>
      <c r="H99" s="27"/>
      <c r="I99" s="15"/>
      <c r="J99" s="27"/>
      <c r="K99" s="15"/>
      <c r="L99" s="15"/>
      <c r="M99" s="15"/>
      <c r="N99" s="15"/>
      <c r="O99" s="15"/>
      <c r="P99" s="15"/>
      <c r="Q99" s="15"/>
      <c r="R99" s="15"/>
      <c r="S99" s="15"/>
      <c r="T99" s="15"/>
    </row>
    <row r="100" spans="1:20" s="21" customFormat="1" x14ac:dyDescent="0.3">
      <c r="A100" s="17"/>
      <c r="B100"/>
      <c r="C100"/>
      <c r="D100"/>
      <c r="E100"/>
      <c r="F100"/>
      <c r="G100"/>
      <c r="H100" s="27"/>
      <c r="I100" s="15"/>
      <c r="J100" s="27"/>
      <c r="K100" s="15"/>
      <c r="L100" s="15"/>
      <c r="M100" s="15"/>
      <c r="N100" s="15"/>
      <c r="O100" s="15"/>
      <c r="P100" s="15"/>
      <c r="Q100" s="15"/>
      <c r="R100" s="15"/>
      <c r="S100" s="15"/>
      <c r="T100" s="15"/>
    </row>
    <row r="101" spans="1:20" s="21" customFormat="1" x14ac:dyDescent="0.3">
      <c r="A101" s="17"/>
      <c r="B101"/>
      <c r="C101"/>
      <c r="D101"/>
      <c r="E101"/>
      <c r="F101"/>
      <c r="G101"/>
      <c r="H101" s="27"/>
      <c r="I101" s="15"/>
      <c r="J101" s="27"/>
      <c r="K101" s="15"/>
      <c r="L101" s="15"/>
      <c r="M101" s="15"/>
      <c r="N101" s="15"/>
      <c r="O101" s="15"/>
      <c r="P101" s="15"/>
      <c r="Q101" s="15"/>
      <c r="R101" s="15"/>
      <c r="S101" s="15"/>
      <c r="T101" s="15"/>
    </row>
    <row r="102" spans="1:20" s="21" customFormat="1" x14ac:dyDescent="0.3">
      <c r="A102" s="17"/>
      <c r="B102"/>
      <c r="C102"/>
      <c r="D102"/>
      <c r="E102"/>
      <c r="F102"/>
      <c r="G102"/>
      <c r="H102" s="27"/>
      <c r="I102" s="15"/>
      <c r="J102" s="27"/>
      <c r="K102" s="15"/>
      <c r="L102" s="15"/>
      <c r="M102" s="15"/>
      <c r="N102" s="15"/>
      <c r="O102" s="15"/>
      <c r="P102" s="15"/>
      <c r="Q102" s="15"/>
      <c r="R102" s="15"/>
      <c r="S102" s="15"/>
      <c r="T102" s="15"/>
    </row>
    <row r="103" spans="1:20" s="21" customFormat="1" x14ac:dyDescent="0.3">
      <c r="A103" s="17"/>
      <c r="B103"/>
      <c r="C103"/>
      <c r="D103"/>
      <c r="E103"/>
      <c r="F103"/>
      <c r="G103"/>
      <c r="H103" s="27"/>
      <c r="I103" s="15"/>
      <c r="J103" s="27"/>
      <c r="K103" s="15"/>
      <c r="L103" s="15"/>
      <c r="M103" s="15"/>
      <c r="N103" s="15"/>
      <c r="O103" s="15"/>
      <c r="P103" s="15"/>
      <c r="Q103" s="15"/>
      <c r="R103" s="15"/>
      <c r="S103" s="15"/>
      <c r="T103" s="15"/>
    </row>
    <row r="104" spans="1:20" s="21" customFormat="1" x14ac:dyDescent="0.3">
      <c r="A104" s="17"/>
      <c r="B104"/>
      <c r="C104"/>
      <c r="D104"/>
      <c r="E104"/>
      <c r="F104"/>
      <c r="G104"/>
      <c r="H104" s="27"/>
      <c r="I104" s="15"/>
      <c r="J104" s="27"/>
      <c r="K104" s="15"/>
      <c r="L104" s="15"/>
      <c r="M104" s="15"/>
      <c r="N104" s="15"/>
      <c r="O104" s="15"/>
      <c r="P104" s="15"/>
      <c r="Q104" s="15"/>
      <c r="R104" s="15"/>
      <c r="S104" s="15"/>
      <c r="T104" s="15"/>
    </row>
  </sheetData>
  <mergeCells count="1">
    <mergeCell ref="A8:F8"/>
  </mergeCells>
  <pageMargins left="0.511811024" right="0.511811024" top="0.78740157499999996" bottom="0.78740157499999996" header="0.31496062000000002" footer="0.3149606200000000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3878B-11E7-4A26-B80F-29890307138B}">
  <sheetPr>
    <tabColor theme="9" tint="0.59999389629810485"/>
  </sheetPr>
  <dimension ref="A1:T107"/>
  <sheetViews>
    <sheetView showGridLines="0" workbookViewId="0">
      <selection activeCell="I12" sqref="I12"/>
    </sheetView>
  </sheetViews>
  <sheetFormatPr defaultColWidth="8.85546875" defaultRowHeight="18.75" x14ac:dyDescent="0.3"/>
  <cols>
    <col min="1" max="1" width="12.7109375" style="17" customWidth="1"/>
    <col min="2" max="3" width="26.28515625" customWidth="1"/>
    <col min="4" max="4" width="8.85546875" customWidth="1"/>
    <col min="5" max="5" width="10.7109375" bestFit="1" customWidth="1"/>
    <col min="8" max="8" width="12.42578125" style="15" bestFit="1" customWidth="1"/>
    <col min="9" max="20" width="8.85546875" style="15"/>
  </cols>
  <sheetData>
    <row r="1" spans="1:20" x14ac:dyDescent="0.3">
      <c r="A1" s="16" t="s">
        <v>867</v>
      </c>
      <c r="H1" s="14"/>
      <c r="I1" s="14"/>
      <c r="J1" s="14"/>
      <c r="K1" s="14"/>
      <c r="L1" s="14"/>
      <c r="M1" s="14"/>
      <c r="N1" s="14"/>
      <c r="O1" s="14"/>
      <c r="P1" s="14"/>
      <c r="Q1" s="14"/>
      <c r="R1" s="14"/>
      <c r="S1" s="14"/>
      <c r="T1" s="14"/>
    </row>
    <row r="2" spans="1:20" ht="39" customHeight="1" x14ac:dyDescent="0.3">
      <c r="A2" s="141" t="s">
        <v>868</v>
      </c>
      <c r="B2" s="141"/>
      <c r="C2" s="141"/>
      <c r="D2" s="141"/>
      <c r="E2" s="141"/>
      <c r="F2" s="141"/>
      <c r="G2" s="141"/>
      <c r="H2" s="14"/>
      <c r="I2" s="14"/>
      <c r="J2" s="14"/>
      <c r="K2" s="14"/>
      <c r="L2" s="14"/>
      <c r="M2" s="14"/>
      <c r="N2" s="14"/>
      <c r="O2" s="14"/>
      <c r="P2" s="14"/>
      <c r="Q2" s="14"/>
      <c r="R2" s="14"/>
      <c r="S2" s="14"/>
      <c r="T2" s="14"/>
    </row>
    <row r="3" spans="1:20" x14ac:dyDescent="0.3">
      <c r="J3" s="27"/>
    </row>
    <row r="4" spans="1:20" ht="15.75" x14ac:dyDescent="0.25">
      <c r="A4" s="2" t="s">
        <v>15</v>
      </c>
      <c r="B4" s="2" t="s">
        <v>16</v>
      </c>
      <c r="C4" s="2"/>
      <c r="J4" s="27"/>
    </row>
    <row r="5" spans="1:20" ht="15.75" x14ac:dyDescent="0.25">
      <c r="A5" s="23" t="s">
        <v>869</v>
      </c>
      <c r="B5" s="26" t="s">
        <v>614</v>
      </c>
      <c r="C5" s="26"/>
      <c r="J5" s="27"/>
    </row>
    <row r="6" spans="1:20" ht="15.75" x14ac:dyDescent="0.25">
      <c r="A6" s="23" t="s">
        <v>870</v>
      </c>
      <c r="B6" s="26" t="s">
        <v>614</v>
      </c>
      <c r="C6" s="26"/>
      <c r="J6" s="27"/>
    </row>
    <row r="7" spans="1:20" ht="15.75" x14ac:dyDescent="0.25">
      <c r="A7" s="23" t="s">
        <v>871</v>
      </c>
      <c r="B7" s="26" t="s">
        <v>614</v>
      </c>
      <c r="C7" s="26"/>
      <c r="J7" s="27"/>
    </row>
    <row r="8" spans="1:20" ht="15.75" x14ac:dyDescent="0.25">
      <c r="A8" s="23"/>
      <c r="B8" s="26"/>
      <c r="C8" s="26"/>
      <c r="J8" s="27"/>
    </row>
    <row r="9" spans="1:20" ht="15.75" x14ac:dyDescent="0.25">
      <c r="A9" s="23"/>
      <c r="B9" s="26"/>
      <c r="C9" s="26"/>
      <c r="J9" s="27"/>
    </row>
    <row r="10" spans="1:20" ht="15.75" x14ac:dyDescent="0.25">
      <c r="A10" s="2" t="s">
        <v>321</v>
      </c>
    </row>
    <row r="11" spans="1:20" ht="35.25" customHeight="1" x14ac:dyDescent="0.25">
      <c r="A11" s="130" t="s">
        <v>872</v>
      </c>
      <c r="B11" s="130"/>
      <c r="C11" s="130"/>
      <c r="D11" s="130"/>
      <c r="E11" s="130"/>
      <c r="F11" s="130"/>
      <c r="G11" s="26"/>
    </row>
    <row r="12" spans="1:20" x14ac:dyDescent="0.3">
      <c r="H12" s="119"/>
      <c r="J12" s="27"/>
    </row>
    <row r="13" spans="1:20" x14ac:dyDescent="0.3">
      <c r="D13" s="1" t="s">
        <v>17</v>
      </c>
      <c r="E13" s="13" t="s">
        <v>869</v>
      </c>
      <c r="F13" s="112" t="s">
        <v>874</v>
      </c>
      <c r="H13" s="117" cm="1">
        <f t="array" ref="H13">_xlfn.LAMBDA(_xlpm.s,_xlpm.old,_xlpm.new, EVALS(SUBSTITUTE(_xlpm.s,_xlpm.old,_xlpm.new)))($F$13,$F$14,$F$15)</f>
        <v>12</v>
      </c>
      <c r="J13" s="27"/>
    </row>
    <row r="14" spans="1:20" x14ac:dyDescent="0.3">
      <c r="E14" s="13" t="s">
        <v>870</v>
      </c>
      <c r="F14" s="112" t="s">
        <v>873</v>
      </c>
      <c r="H14" s="28"/>
      <c r="J14" s="27"/>
    </row>
    <row r="15" spans="1:20" s="21" customFormat="1" x14ac:dyDescent="0.3">
      <c r="A15" s="17"/>
      <c r="B15"/>
      <c r="C15"/>
      <c r="E15" s="13" t="s">
        <v>871</v>
      </c>
      <c r="F15" s="112">
        <v>10</v>
      </c>
      <c r="H15" s="27"/>
      <c r="I15" s="15"/>
      <c r="J15" s="27"/>
      <c r="K15" s="15"/>
      <c r="L15" s="15"/>
      <c r="M15" s="15"/>
      <c r="N15" s="15"/>
      <c r="O15" s="15"/>
      <c r="P15" s="15"/>
      <c r="Q15" s="15"/>
      <c r="R15" s="15"/>
      <c r="S15" s="15"/>
      <c r="T15" s="15"/>
    </row>
    <row r="16" spans="1:20" s="21" customFormat="1" x14ac:dyDescent="0.3">
      <c r="A16" s="17"/>
      <c r="B16"/>
      <c r="C16"/>
      <c r="D16"/>
      <c r="E16"/>
      <c r="F16"/>
      <c r="G16"/>
      <c r="H16" s="27"/>
      <c r="I16" s="15"/>
      <c r="J16" s="27"/>
      <c r="K16" s="15"/>
      <c r="L16" s="15"/>
      <c r="M16" s="15"/>
      <c r="N16" s="15"/>
      <c r="O16" s="15"/>
      <c r="P16" s="15"/>
      <c r="Q16" s="15"/>
      <c r="R16" s="15"/>
      <c r="S16" s="15"/>
      <c r="T16" s="15"/>
    </row>
    <row r="17" spans="1:20" s="21" customFormat="1" x14ac:dyDescent="0.3">
      <c r="A17" s="17"/>
      <c r="B17"/>
      <c r="C17"/>
      <c r="D17"/>
      <c r="E17"/>
      <c r="F17"/>
      <c r="G17"/>
      <c r="H17" s="27"/>
      <c r="I17" s="15"/>
      <c r="J17" s="27"/>
      <c r="K17" s="15"/>
      <c r="L17" s="15"/>
      <c r="M17" s="15"/>
      <c r="N17" s="15"/>
      <c r="O17" s="15"/>
      <c r="P17" s="15"/>
      <c r="Q17" s="15"/>
      <c r="R17" s="15"/>
      <c r="S17" s="15"/>
      <c r="T17" s="15"/>
    </row>
    <row r="18" spans="1:20" s="21" customFormat="1" x14ac:dyDescent="0.3">
      <c r="A18" s="17"/>
      <c r="B18"/>
      <c r="C18"/>
      <c r="D18"/>
      <c r="E18"/>
      <c r="F18"/>
      <c r="G18"/>
      <c r="H18" s="27"/>
      <c r="I18" s="15"/>
      <c r="J18" s="27"/>
      <c r="K18" s="15"/>
      <c r="L18" s="15"/>
      <c r="M18" s="15"/>
      <c r="N18" s="15"/>
      <c r="O18" s="15"/>
      <c r="P18" s="15"/>
      <c r="Q18" s="15"/>
      <c r="R18" s="15"/>
      <c r="S18" s="15"/>
      <c r="T18" s="15"/>
    </row>
    <row r="19" spans="1:20" s="21" customFormat="1" x14ac:dyDescent="0.3">
      <c r="A19" s="17"/>
      <c r="B19"/>
      <c r="C19"/>
      <c r="D19" s="1" t="s">
        <v>17</v>
      </c>
      <c r="E19" s="13" t="s">
        <v>869</v>
      </c>
      <c r="F19" s="112" t="s">
        <v>874</v>
      </c>
      <c r="G19"/>
      <c r="H19" s="129" cm="1">
        <f t="array" ref="H19">SUBS($F$19,$F$20,$F$21)</f>
        <v>12</v>
      </c>
      <c r="I19" s="15"/>
      <c r="J19" s="27"/>
      <c r="K19" s="15"/>
      <c r="L19" s="15"/>
      <c r="M19" s="15"/>
      <c r="N19" s="15"/>
      <c r="O19" s="15"/>
      <c r="P19" s="15"/>
      <c r="Q19" s="15"/>
      <c r="R19" s="15"/>
      <c r="S19" s="15"/>
      <c r="T19" s="15"/>
    </row>
    <row r="20" spans="1:20" s="21" customFormat="1" x14ac:dyDescent="0.3">
      <c r="A20" s="17"/>
      <c r="B20"/>
      <c r="C20"/>
      <c r="D20"/>
      <c r="E20" s="13" t="s">
        <v>870</v>
      </c>
      <c r="F20" s="112" t="s">
        <v>873</v>
      </c>
      <c r="G20"/>
      <c r="H20" s="27"/>
      <c r="I20" s="15"/>
      <c r="J20" s="27"/>
      <c r="K20" s="15"/>
      <c r="L20" s="15"/>
      <c r="M20" s="15"/>
      <c r="N20" s="15"/>
      <c r="O20" s="15"/>
      <c r="P20" s="15"/>
      <c r="Q20" s="15"/>
      <c r="R20" s="15"/>
      <c r="S20" s="15"/>
      <c r="T20" s="15"/>
    </row>
    <row r="21" spans="1:20" s="21" customFormat="1" x14ac:dyDescent="0.3">
      <c r="A21" s="17"/>
      <c r="B21"/>
      <c r="C21"/>
      <c r="D21"/>
      <c r="E21" s="13" t="s">
        <v>871</v>
      </c>
      <c r="F21" s="112">
        <v>10</v>
      </c>
      <c r="G21"/>
      <c r="H21" s="27"/>
      <c r="I21" s="15"/>
      <c r="J21" s="27"/>
      <c r="K21" s="15"/>
      <c r="L21" s="15"/>
      <c r="M21" s="15"/>
      <c r="N21" s="15"/>
      <c r="O21" s="15"/>
      <c r="P21" s="15"/>
      <c r="Q21" s="15"/>
      <c r="R21" s="15"/>
      <c r="S21" s="15"/>
      <c r="T21" s="15"/>
    </row>
    <row r="22" spans="1:20" s="21" customFormat="1" x14ac:dyDescent="0.3">
      <c r="A22" s="17"/>
      <c r="B22"/>
      <c r="C22"/>
      <c r="D22"/>
      <c r="E22"/>
      <c r="F22"/>
      <c r="G22"/>
      <c r="H22" s="27"/>
      <c r="I22" s="15"/>
      <c r="J22" s="27"/>
      <c r="K22" s="15"/>
      <c r="L22" s="15"/>
      <c r="M22" s="15"/>
      <c r="N22" s="15"/>
      <c r="O22" s="15"/>
      <c r="P22" s="15"/>
      <c r="Q22" s="15"/>
      <c r="R22" s="15"/>
      <c r="S22" s="15"/>
      <c r="T22" s="15"/>
    </row>
    <row r="23" spans="1:20" s="21" customFormat="1" x14ac:dyDescent="0.3">
      <c r="A23" s="17"/>
      <c r="B23"/>
      <c r="C23"/>
      <c r="D23"/>
      <c r="E23"/>
      <c r="F23"/>
      <c r="G23"/>
      <c r="H23" s="27"/>
      <c r="I23" s="15"/>
      <c r="J23" s="27"/>
      <c r="K23" s="15"/>
      <c r="L23" s="15"/>
      <c r="M23" s="15"/>
      <c r="N23" s="15"/>
      <c r="O23" s="15"/>
      <c r="P23" s="15"/>
      <c r="Q23" s="15"/>
      <c r="R23" s="15"/>
      <c r="S23" s="15"/>
      <c r="T23" s="15"/>
    </row>
    <row r="24" spans="1:20" s="21" customFormat="1" x14ac:dyDescent="0.3">
      <c r="A24" s="17"/>
      <c r="B24"/>
      <c r="C24"/>
      <c r="D24"/>
      <c r="E24"/>
      <c r="F24"/>
      <c r="G24"/>
      <c r="H24" s="27"/>
      <c r="I24" s="15"/>
      <c r="J24" s="27"/>
      <c r="K24" s="15"/>
      <c r="L24" s="15"/>
      <c r="M24" s="15"/>
      <c r="N24" s="15"/>
      <c r="O24" s="15"/>
      <c r="P24" s="15"/>
      <c r="Q24" s="15"/>
      <c r="R24" s="15"/>
      <c r="S24" s="15"/>
      <c r="T24" s="15"/>
    </row>
    <row r="25" spans="1:20" s="21" customFormat="1" x14ac:dyDescent="0.3">
      <c r="A25" s="17"/>
      <c r="B25"/>
      <c r="C25"/>
      <c r="D25"/>
      <c r="E25"/>
      <c r="F25"/>
      <c r="G25"/>
      <c r="H25" s="27"/>
      <c r="I25" s="15"/>
      <c r="J25" s="27"/>
      <c r="K25" s="15"/>
      <c r="L25" s="15"/>
      <c r="M25" s="15"/>
      <c r="N25" s="15"/>
      <c r="O25" s="15"/>
      <c r="P25" s="15"/>
      <c r="Q25" s="15"/>
      <c r="R25" s="15"/>
      <c r="S25" s="15"/>
      <c r="T25" s="15"/>
    </row>
    <row r="26" spans="1:20" s="21" customFormat="1" x14ac:dyDescent="0.3">
      <c r="A26" s="17"/>
      <c r="B26"/>
      <c r="C26"/>
      <c r="D26"/>
      <c r="E26"/>
      <c r="F26"/>
      <c r="G26"/>
      <c r="H26" s="27"/>
      <c r="I26" s="15"/>
      <c r="J26" s="27"/>
      <c r="K26" s="15"/>
      <c r="L26" s="15"/>
      <c r="M26" s="15"/>
      <c r="N26" s="15"/>
      <c r="O26" s="15"/>
      <c r="P26" s="15"/>
      <c r="Q26" s="15"/>
      <c r="R26" s="15"/>
      <c r="S26" s="15"/>
      <c r="T26" s="15"/>
    </row>
    <row r="27" spans="1:20" s="21" customFormat="1" x14ac:dyDescent="0.3">
      <c r="A27" s="17"/>
      <c r="B27"/>
      <c r="C27"/>
      <c r="D27"/>
      <c r="E27"/>
      <c r="F27"/>
      <c r="G27"/>
      <c r="H27" s="27"/>
      <c r="I27" s="15"/>
      <c r="J27" s="27"/>
      <c r="K27" s="15"/>
      <c r="L27" s="15"/>
      <c r="M27" s="15"/>
      <c r="N27" s="15"/>
      <c r="O27" s="15"/>
      <c r="P27" s="15"/>
      <c r="Q27" s="15"/>
      <c r="R27" s="15"/>
      <c r="S27" s="15"/>
      <c r="T27" s="15"/>
    </row>
    <row r="28" spans="1:20" s="21" customFormat="1" x14ac:dyDescent="0.3">
      <c r="A28" s="17"/>
      <c r="B28"/>
      <c r="C28"/>
      <c r="D28"/>
      <c r="E28"/>
      <c r="F28"/>
      <c r="G28"/>
      <c r="H28" s="27"/>
      <c r="I28" s="15"/>
      <c r="J28" s="27"/>
      <c r="K28" s="15"/>
      <c r="L28" s="15"/>
      <c r="M28" s="15"/>
      <c r="N28" s="15"/>
      <c r="O28" s="15"/>
      <c r="P28" s="15"/>
      <c r="Q28" s="15"/>
      <c r="R28" s="15"/>
      <c r="S28" s="15"/>
      <c r="T28" s="15"/>
    </row>
    <row r="29" spans="1:20" s="21" customFormat="1" x14ac:dyDescent="0.3">
      <c r="A29" s="17"/>
      <c r="B29"/>
      <c r="C29"/>
      <c r="D29"/>
      <c r="E29"/>
      <c r="F29"/>
      <c r="G29"/>
      <c r="H29" s="27"/>
      <c r="I29" s="15"/>
      <c r="J29" s="27"/>
      <c r="K29" s="15"/>
      <c r="L29" s="15"/>
      <c r="M29" s="15"/>
      <c r="N29" s="15"/>
      <c r="O29" s="15"/>
      <c r="P29" s="15"/>
      <c r="Q29" s="15"/>
      <c r="R29" s="15"/>
      <c r="S29" s="15"/>
      <c r="T29" s="15"/>
    </row>
    <row r="30" spans="1:20" s="21" customFormat="1" x14ac:dyDescent="0.3">
      <c r="A30" s="17"/>
      <c r="B30"/>
      <c r="C30"/>
      <c r="D30"/>
      <c r="E30"/>
      <c r="F30"/>
      <c r="G30"/>
      <c r="H30" s="27"/>
      <c r="I30" s="15"/>
      <c r="J30" s="27"/>
      <c r="K30" s="15"/>
      <c r="L30" s="15"/>
      <c r="M30" s="15"/>
      <c r="N30" s="15"/>
      <c r="O30" s="15"/>
      <c r="P30" s="15"/>
      <c r="Q30" s="15"/>
      <c r="R30" s="15"/>
      <c r="S30" s="15"/>
      <c r="T30" s="15"/>
    </row>
    <row r="31" spans="1:20" s="21" customFormat="1" x14ac:dyDescent="0.3">
      <c r="A31" s="17"/>
      <c r="B31"/>
      <c r="C31"/>
      <c r="D31"/>
      <c r="E31"/>
      <c r="F31"/>
      <c r="G31"/>
      <c r="H31" s="27"/>
      <c r="I31" s="15"/>
      <c r="J31" s="27"/>
      <c r="K31" s="15"/>
      <c r="L31" s="15"/>
      <c r="M31" s="15"/>
      <c r="N31" s="15"/>
      <c r="O31" s="15"/>
      <c r="P31" s="15"/>
      <c r="Q31" s="15"/>
      <c r="R31" s="15"/>
      <c r="S31" s="15"/>
      <c r="T31" s="15"/>
    </row>
    <row r="32" spans="1:20" s="21" customFormat="1" x14ac:dyDescent="0.3">
      <c r="A32" s="17"/>
      <c r="B32"/>
      <c r="C32"/>
      <c r="D32"/>
      <c r="E32"/>
      <c r="F32"/>
      <c r="G32"/>
      <c r="H32" s="27"/>
      <c r="I32" s="15"/>
      <c r="J32" s="27"/>
      <c r="K32" s="15"/>
      <c r="L32" s="15"/>
      <c r="M32" s="15"/>
      <c r="N32" s="15"/>
      <c r="O32" s="15"/>
      <c r="P32" s="15"/>
      <c r="Q32" s="15"/>
      <c r="R32" s="15"/>
      <c r="S32" s="15"/>
      <c r="T32" s="15"/>
    </row>
    <row r="33" spans="1:20" s="21" customFormat="1" x14ac:dyDescent="0.3">
      <c r="A33" s="17"/>
      <c r="B33"/>
      <c r="C33"/>
      <c r="D33"/>
      <c r="E33"/>
      <c r="F33"/>
      <c r="G33"/>
      <c r="H33" s="27"/>
      <c r="I33" s="15"/>
      <c r="J33" s="27"/>
      <c r="K33" s="15"/>
      <c r="L33" s="15"/>
      <c r="M33" s="15"/>
      <c r="N33" s="15"/>
      <c r="O33" s="15"/>
      <c r="P33" s="15"/>
      <c r="Q33" s="15"/>
      <c r="R33" s="15"/>
      <c r="S33" s="15"/>
      <c r="T33" s="15"/>
    </row>
    <row r="34" spans="1:20" s="21" customFormat="1" x14ac:dyDescent="0.3">
      <c r="A34" s="17"/>
      <c r="B34"/>
      <c r="C34"/>
      <c r="D34"/>
      <c r="E34"/>
      <c r="F34"/>
      <c r="G34"/>
      <c r="H34" s="27"/>
      <c r="I34" s="15"/>
      <c r="J34" s="27"/>
      <c r="K34" s="15"/>
      <c r="L34" s="15"/>
      <c r="M34" s="15"/>
      <c r="N34" s="15"/>
      <c r="O34" s="15"/>
      <c r="P34" s="15"/>
      <c r="Q34" s="15"/>
      <c r="R34" s="15"/>
      <c r="S34" s="15"/>
      <c r="T34" s="15"/>
    </row>
    <row r="35" spans="1:20" s="21" customFormat="1" x14ac:dyDescent="0.3">
      <c r="A35" s="17"/>
      <c r="B35"/>
      <c r="C35"/>
      <c r="D35"/>
      <c r="E35"/>
      <c r="F35"/>
      <c r="G35"/>
      <c r="H35" s="27"/>
      <c r="I35" s="15"/>
      <c r="J35" s="27"/>
      <c r="K35" s="15"/>
      <c r="L35" s="15"/>
      <c r="M35" s="15"/>
      <c r="N35" s="15"/>
      <c r="O35" s="15"/>
      <c r="P35" s="15"/>
      <c r="Q35" s="15"/>
      <c r="R35" s="15"/>
      <c r="S35" s="15"/>
      <c r="T35" s="15"/>
    </row>
    <row r="36" spans="1:20" s="21" customFormat="1" x14ac:dyDescent="0.3">
      <c r="A36" s="17"/>
      <c r="B36"/>
      <c r="C36"/>
      <c r="D36"/>
      <c r="E36"/>
      <c r="F36"/>
      <c r="G36"/>
      <c r="H36" s="27"/>
      <c r="I36" s="15"/>
      <c r="J36" s="27"/>
      <c r="K36" s="15"/>
      <c r="L36" s="15"/>
      <c r="M36" s="15"/>
      <c r="N36" s="15"/>
      <c r="O36" s="15"/>
      <c r="P36" s="15"/>
      <c r="Q36" s="15"/>
      <c r="R36" s="15"/>
      <c r="S36" s="15"/>
      <c r="T36" s="15"/>
    </row>
    <row r="37" spans="1:20" s="21" customFormat="1" x14ac:dyDescent="0.3">
      <c r="A37" s="17"/>
      <c r="B37"/>
      <c r="C37"/>
      <c r="D37"/>
      <c r="E37"/>
      <c r="F37"/>
      <c r="G37"/>
      <c r="H37" s="27"/>
      <c r="I37" s="15"/>
      <c r="J37" s="27"/>
      <c r="K37" s="15"/>
      <c r="L37" s="15"/>
      <c r="M37" s="15"/>
      <c r="N37" s="15"/>
      <c r="O37" s="15"/>
      <c r="P37" s="15"/>
      <c r="Q37" s="15"/>
      <c r="R37" s="15"/>
      <c r="S37" s="15"/>
      <c r="T37" s="15"/>
    </row>
    <row r="38" spans="1:20" s="21" customFormat="1" x14ac:dyDescent="0.3">
      <c r="A38" s="17"/>
      <c r="B38"/>
      <c r="C38"/>
      <c r="D38"/>
      <c r="E38"/>
      <c r="F38"/>
      <c r="G38"/>
      <c r="H38" s="27"/>
      <c r="I38" s="15"/>
      <c r="J38" s="27"/>
      <c r="K38" s="15"/>
      <c r="L38" s="15"/>
      <c r="M38" s="15"/>
      <c r="N38" s="15"/>
      <c r="O38" s="15"/>
      <c r="P38" s="15"/>
      <c r="Q38" s="15"/>
      <c r="R38" s="15"/>
      <c r="S38" s="15"/>
      <c r="T38" s="15"/>
    </row>
    <row r="39" spans="1:20" s="21" customFormat="1" x14ac:dyDescent="0.3">
      <c r="A39" s="17"/>
      <c r="B39"/>
      <c r="C39"/>
      <c r="D39"/>
      <c r="E39"/>
      <c r="F39"/>
      <c r="G39"/>
      <c r="H39" s="27"/>
      <c r="I39" s="15"/>
      <c r="J39" s="27"/>
      <c r="K39" s="15"/>
      <c r="L39" s="15"/>
      <c r="M39" s="15"/>
      <c r="N39" s="15"/>
      <c r="O39" s="15"/>
      <c r="P39" s="15"/>
      <c r="Q39" s="15"/>
      <c r="R39" s="15"/>
      <c r="S39" s="15"/>
      <c r="T39" s="15"/>
    </row>
    <row r="40" spans="1:20" s="21" customFormat="1" x14ac:dyDescent="0.3">
      <c r="A40" s="17"/>
      <c r="B40"/>
      <c r="C40"/>
      <c r="D40"/>
      <c r="E40"/>
      <c r="F40"/>
      <c r="G40"/>
      <c r="H40" s="27"/>
      <c r="I40" s="15"/>
      <c r="J40" s="27"/>
      <c r="K40" s="15"/>
      <c r="L40" s="15"/>
      <c r="M40" s="15"/>
      <c r="N40" s="15"/>
      <c r="O40" s="15"/>
      <c r="P40" s="15"/>
      <c r="Q40" s="15"/>
      <c r="R40" s="15"/>
      <c r="S40" s="15"/>
      <c r="T40" s="15"/>
    </row>
    <row r="41" spans="1:20" s="21" customFormat="1" x14ac:dyDescent="0.3">
      <c r="A41" s="17"/>
      <c r="B41"/>
      <c r="C41"/>
      <c r="D41"/>
      <c r="E41"/>
      <c r="F41"/>
      <c r="G41"/>
      <c r="H41" s="27"/>
      <c r="I41" s="15"/>
      <c r="J41" s="27"/>
      <c r="K41" s="15"/>
      <c r="L41" s="15"/>
      <c r="M41" s="15"/>
      <c r="N41" s="15"/>
      <c r="O41" s="15"/>
      <c r="P41" s="15"/>
      <c r="Q41" s="15"/>
      <c r="R41" s="15"/>
      <c r="S41" s="15"/>
      <c r="T41" s="15"/>
    </row>
    <row r="42" spans="1:20" s="21" customFormat="1" x14ac:dyDescent="0.3">
      <c r="A42" s="17"/>
      <c r="B42"/>
      <c r="C42"/>
      <c r="D42"/>
      <c r="E42"/>
      <c r="F42"/>
      <c r="G42"/>
      <c r="H42" s="27"/>
      <c r="I42" s="15"/>
      <c r="J42" s="27"/>
      <c r="K42" s="15"/>
      <c r="L42" s="15"/>
      <c r="M42" s="15"/>
      <c r="N42" s="15"/>
      <c r="O42" s="15"/>
      <c r="P42" s="15"/>
      <c r="Q42" s="15"/>
      <c r="R42" s="15"/>
      <c r="S42" s="15"/>
      <c r="T42" s="15"/>
    </row>
    <row r="43" spans="1:20" s="21" customFormat="1" x14ac:dyDescent="0.3">
      <c r="A43" s="17"/>
      <c r="B43"/>
      <c r="C43"/>
      <c r="D43"/>
      <c r="E43"/>
      <c r="F43"/>
      <c r="G43"/>
      <c r="H43" s="27"/>
      <c r="I43" s="15"/>
      <c r="J43" s="27"/>
      <c r="K43" s="15"/>
      <c r="L43" s="15"/>
      <c r="M43" s="15"/>
      <c r="N43" s="15"/>
      <c r="O43" s="15"/>
      <c r="P43" s="15"/>
      <c r="Q43" s="15"/>
      <c r="R43" s="15"/>
      <c r="S43" s="15"/>
      <c r="T43" s="15"/>
    </row>
    <row r="44" spans="1:20" s="21" customFormat="1" x14ac:dyDescent="0.3">
      <c r="A44" s="17"/>
      <c r="B44"/>
      <c r="C44"/>
      <c r="D44"/>
      <c r="E44"/>
      <c r="F44"/>
      <c r="G44"/>
      <c r="H44" s="27"/>
      <c r="I44" s="15"/>
      <c r="J44" s="27"/>
      <c r="K44" s="15"/>
      <c r="L44" s="15"/>
      <c r="M44" s="15"/>
      <c r="N44" s="15"/>
      <c r="O44" s="15"/>
      <c r="P44" s="15"/>
      <c r="Q44" s="15"/>
      <c r="R44" s="15"/>
      <c r="S44" s="15"/>
      <c r="T44" s="15"/>
    </row>
    <row r="45" spans="1:20" s="21" customFormat="1" x14ac:dyDescent="0.3">
      <c r="A45" s="17"/>
      <c r="B45"/>
      <c r="C45"/>
      <c r="D45"/>
      <c r="E45"/>
      <c r="F45"/>
      <c r="G45"/>
      <c r="H45" s="27"/>
      <c r="I45" s="15"/>
      <c r="J45" s="27"/>
      <c r="K45" s="15"/>
      <c r="L45" s="15"/>
      <c r="M45" s="15"/>
      <c r="N45" s="15"/>
      <c r="O45" s="15"/>
      <c r="P45" s="15"/>
      <c r="Q45" s="15"/>
      <c r="R45" s="15"/>
      <c r="S45" s="15"/>
      <c r="T45" s="15"/>
    </row>
    <row r="46" spans="1:20" s="21" customFormat="1" x14ac:dyDescent="0.3">
      <c r="A46" s="17"/>
      <c r="B46"/>
      <c r="C46"/>
      <c r="D46"/>
      <c r="E46"/>
      <c r="F46"/>
      <c r="G46"/>
      <c r="H46" s="27"/>
      <c r="I46" s="15"/>
      <c r="J46" s="27"/>
      <c r="K46" s="15"/>
      <c r="L46" s="15"/>
      <c r="M46" s="15"/>
      <c r="N46" s="15"/>
      <c r="O46" s="15"/>
      <c r="P46" s="15"/>
      <c r="Q46" s="15"/>
      <c r="R46" s="15"/>
      <c r="S46" s="15"/>
      <c r="T46" s="15"/>
    </row>
    <row r="47" spans="1:20" s="21" customFormat="1" x14ac:dyDescent="0.3">
      <c r="A47" s="17"/>
      <c r="B47"/>
      <c r="C47"/>
      <c r="D47"/>
      <c r="E47"/>
      <c r="F47"/>
      <c r="G47"/>
      <c r="H47" s="27"/>
      <c r="I47" s="15"/>
      <c r="J47" s="27"/>
      <c r="K47" s="15"/>
      <c r="L47" s="15"/>
      <c r="M47" s="15"/>
      <c r="N47" s="15"/>
      <c r="O47" s="15"/>
      <c r="P47" s="15"/>
      <c r="Q47" s="15"/>
      <c r="R47" s="15"/>
      <c r="S47" s="15"/>
      <c r="T47" s="15"/>
    </row>
    <row r="48" spans="1:20" s="21" customFormat="1" x14ac:dyDescent="0.3">
      <c r="A48" s="17"/>
      <c r="B48"/>
      <c r="C48"/>
      <c r="D48"/>
      <c r="E48"/>
      <c r="F48"/>
      <c r="G48"/>
      <c r="H48" s="27"/>
      <c r="I48" s="15"/>
      <c r="J48" s="27"/>
      <c r="K48" s="15"/>
      <c r="L48" s="15"/>
      <c r="M48" s="15"/>
      <c r="N48" s="15"/>
      <c r="O48" s="15"/>
      <c r="P48" s="15"/>
      <c r="Q48" s="15"/>
      <c r="R48" s="15"/>
      <c r="S48" s="15"/>
      <c r="T48" s="15"/>
    </row>
    <row r="49" spans="1:20" s="21" customFormat="1" x14ac:dyDescent="0.3">
      <c r="A49" s="17"/>
      <c r="B49"/>
      <c r="C49"/>
      <c r="D49"/>
      <c r="E49"/>
      <c r="F49"/>
      <c r="G49"/>
      <c r="H49" s="27"/>
      <c r="I49" s="15"/>
      <c r="J49" s="27"/>
      <c r="K49" s="15"/>
      <c r="L49" s="15"/>
      <c r="M49" s="15"/>
      <c r="N49" s="15"/>
      <c r="O49" s="15"/>
      <c r="P49" s="15"/>
      <c r="Q49" s="15"/>
      <c r="R49" s="15"/>
      <c r="S49" s="15"/>
      <c r="T49" s="15"/>
    </row>
    <row r="50" spans="1:20" s="21" customFormat="1" x14ac:dyDescent="0.3">
      <c r="A50" s="17"/>
      <c r="B50"/>
      <c r="C50"/>
      <c r="D50"/>
      <c r="E50"/>
      <c r="F50"/>
      <c r="G50"/>
      <c r="H50" s="27"/>
      <c r="I50" s="15"/>
      <c r="J50" s="27"/>
      <c r="K50" s="15"/>
      <c r="L50" s="15"/>
      <c r="M50" s="15"/>
      <c r="N50" s="15"/>
      <c r="O50" s="15"/>
      <c r="P50" s="15"/>
      <c r="Q50" s="15"/>
      <c r="R50" s="15"/>
      <c r="S50" s="15"/>
      <c r="T50" s="15"/>
    </row>
    <row r="51" spans="1:20" s="21" customFormat="1" x14ac:dyDescent="0.3">
      <c r="A51" s="17"/>
      <c r="B51"/>
      <c r="C51"/>
      <c r="D51"/>
      <c r="E51"/>
      <c r="F51"/>
      <c r="G51"/>
      <c r="H51" s="27"/>
      <c r="I51" s="15"/>
      <c r="J51" s="27"/>
      <c r="K51" s="15"/>
      <c r="L51" s="15"/>
      <c r="M51" s="15"/>
      <c r="N51" s="15"/>
      <c r="O51" s="15"/>
      <c r="P51" s="15"/>
      <c r="Q51" s="15"/>
      <c r="R51" s="15"/>
      <c r="S51" s="15"/>
      <c r="T51" s="15"/>
    </row>
    <row r="52" spans="1:20" s="21" customFormat="1" x14ac:dyDescent="0.3">
      <c r="A52" s="17"/>
      <c r="B52"/>
      <c r="C52"/>
      <c r="D52"/>
      <c r="E52"/>
      <c r="F52"/>
      <c r="G52"/>
      <c r="H52" s="27"/>
      <c r="I52" s="15"/>
      <c r="J52" s="27"/>
      <c r="K52" s="15"/>
      <c r="L52" s="15"/>
      <c r="M52" s="15"/>
      <c r="N52" s="15"/>
      <c r="O52" s="15"/>
      <c r="P52" s="15"/>
      <c r="Q52" s="15"/>
      <c r="R52" s="15"/>
      <c r="S52" s="15"/>
      <c r="T52" s="15"/>
    </row>
    <row r="53" spans="1:20" s="21" customFormat="1" x14ac:dyDescent="0.3">
      <c r="A53" s="17"/>
      <c r="B53"/>
      <c r="C53"/>
      <c r="D53"/>
      <c r="E53"/>
      <c r="F53"/>
      <c r="G53"/>
      <c r="H53" s="27"/>
      <c r="I53" s="15"/>
      <c r="J53" s="27"/>
      <c r="K53" s="15"/>
      <c r="L53" s="15"/>
      <c r="M53" s="15"/>
      <c r="N53" s="15"/>
      <c r="O53" s="15"/>
      <c r="P53" s="15"/>
      <c r="Q53" s="15"/>
      <c r="R53" s="15"/>
      <c r="S53" s="15"/>
      <c r="T53" s="15"/>
    </row>
    <row r="54" spans="1:20" s="21" customFormat="1" x14ac:dyDescent="0.3">
      <c r="A54" s="17"/>
      <c r="B54"/>
      <c r="C54"/>
      <c r="D54"/>
      <c r="E54"/>
      <c r="F54"/>
      <c r="G54"/>
      <c r="H54" s="27"/>
      <c r="I54" s="15"/>
      <c r="J54" s="27"/>
      <c r="K54" s="15"/>
      <c r="L54" s="15"/>
      <c r="M54" s="15"/>
      <c r="N54" s="15"/>
      <c r="O54" s="15"/>
      <c r="P54" s="15"/>
      <c r="Q54" s="15"/>
      <c r="R54" s="15"/>
      <c r="S54" s="15"/>
      <c r="T54" s="15"/>
    </row>
    <row r="55" spans="1:20" s="21" customFormat="1" x14ac:dyDescent="0.3">
      <c r="A55" s="17"/>
      <c r="B55"/>
      <c r="C55"/>
      <c r="D55"/>
      <c r="E55"/>
      <c r="F55"/>
      <c r="G55"/>
      <c r="H55" s="27"/>
      <c r="I55" s="15"/>
      <c r="J55" s="27"/>
      <c r="K55" s="15"/>
      <c r="L55" s="15"/>
      <c r="M55" s="15"/>
      <c r="N55" s="15"/>
      <c r="O55" s="15"/>
      <c r="P55" s="15"/>
      <c r="Q55" s="15"/>
      <c r="R55" s="15"/>
      <c r="S55" s="15"/>
      <c r="T55" s="15"/>
    </row>
    <row r="56" spans="1:20" s="21" customFormat="1" x14ac:dyDescent="0.3">
      <c r="A56" s="17"/>
      <c r="B56"/>
      <c r="C56"/>
      <c r="D56"/>
      <c r="E56"/>
      <c r="F56"/>
      <c r="G56"/>
      <c r="H56" s="27"/>
      <c r="I56" s="15"/>
      <c r="J56" s="27"/>
      <c r="K56" s="15"/>
      <c r="L56" s="15"/>
      <c r="M56" s="15"/>
      <c r="N56" s="15"/>
      <c r="O56" s="15"/>
      <c r="P56" s="15"/>
      <c r="Q56" s="15"/>
      <c r="R56" s="15"/>
      <c r="S56" s="15"/>
      <c r="T56" s="15"/>
    </row>
    <row r="57" spans="1:20" s="21" customFormat="1" x14ac:dyDescent="0.3">
      <c r="A57" s="17"/>
      <c r="B57"/>
      <c r="C57"/>
      <c r="D57"/>
      <c r="E57"/>
      <c r="F57"/>
      <c r="G57"/>
      <c r="H57" s="27"/>
      <c r="I57" s="15"/>
      <c r="J57" s="27"/>
      <c r="K57" s="15"/>
      <c r="L57" s="15"/>
      <c r="M57" s="15"/>
      <c r="N57" s="15"/>
      <c r="O57" s="15"/>
      <c r="P57" s="15"/>
      <c r="Q57" s="15"/>
      <c r="R57" s="15"/>
      <c r="S57" s="15"/>
      <c r="T57" s="15"/>
    </row>
    <row r="58" spans="1:20" s="21" customFormat="1" x14ac:dyDescent="0.3">
      <c r="A58" s="17"/>
      <c r="B58"/>
      <c r="C58"/>
      <c r="D58"/>
      <c r="E58"/>
      <c r="F58"/>
      <c r="G58"/>
      <c r="H58" s="27"/>
      <c r="I58" s="15"/>
      <c r="J58" s="27"/>
      <c r="K58" s="15"/>
      <c r="L58" s="15"/>
      <c r="M58" s="15"/>
      <c r="N58" s="15"/>
      <c r="O58" s="15"/>
      <c r="P58" s="15"/>
      <c r="Q58" s="15"/>
      <c r="R58" s="15"/>
      <c r="S58" s="15"/>
      <c r="T58" s="15"/>
    </row>
    <row r="59" spans="1:20" s="21" customFormat="1" x14ac:dyDescent="0.3">
      <c r="A59" s="17"/>
      <c r="B59"/>
      <c r="C59"/>
      <c r="D59"/>
      <c r="E59"/>
      <c r="F59"/>
      <c r="G59"/>
      <c r="H59" s="27"/>
      <c r="I59" s="15"/>
      <c r="J59" s="27"/>
      <c r="K59" s="15"/>
      <c r="L59" s="15"/>
      <c r="M59" s="15"/>
      <c r="N59" s="15"/>
      <c r="O59" s="15"/>
      <c r="P59" s="15"/>
      <c r="Q59" s="15"/>
      <c r="R59" s="15"/>
      <c r="S59" s="15"/>
      <c r="T59" s="15"/>
    </row>
    <row r="60" spans="1:20" s="21" customFormat="1" x14ac:dyDescent="0.3">
      <c r="A60" s="17"/>
      <c r="B60"/>
      <c r="C60"/>
      <c r="D60"/>
      <c r="E60"/>
      <c r="F60"/>
      <c r="G60"/>
      <c r="H60" s="27"/>
      <c r="I60" s="15"/>
      <c r="J60" s="27"/>
      <c r="K60" s="15"/>
      <c r="L60" s="15"/>
      <c r="M60" s="15"/>
      <c r="N60" s="15"/>
      <c r="O60" s="15"/>
      <c r="P60" s="15"/>
      <c r="Q60" s="15"/>
      <c r="R60" s="15"/>
      <c r="S60" s="15"/>
      <c r="T60" s="15"/>
    </row>
    <row r="61" spans="1:20" s="21" customFormat="1" x14ac:dyDescent="0.3">
      <c r="A61" s="17"/>
      <c r="B61"/>
      <c r="C61"/>
      <c r="D61"/>
      <c r="E61"/>
      <c r="F61"/>
      <c r="G61"/>
      <c r="H61" s="27"/>
      <c r="I61" s="15"/>
      <c r="J61" s="27"/>
      <c r="K61" s="15"/>
      <c r="L61" s="15"/>
      <c r="M61" s="15"/>
      <c r="N61" s="15"/>
      <c r="O61" s="15"/>
      <c r="P61" s="15"/>
      <c r="Q61" s="15"/>
      <c r="R61" s="15"/>
      <c r="S61" s="15"/>
      <c r="T61" s="15"/>
    </row>
    <row r="62" spans="1:20" s="21" customFormat="1" x14ac:dyDescent="0.3">
      <c r="A62" s="17"/>
      <c r="B62"/>
      <c r="C62"/>
      <c r="D62"/>
      <c r="E62"/>
      <c r="F62"/>
      <c r="G62"/>
      <c r="H62" s="27"/>
      <c r="I62" s="15"/>
      <c r="J62" s="27"/>
      <c r="K62" s="15"/>
      <c r="L62" s="15"/>
      <c r="M62" s="15"/>
      <c r="N62" s="15"/>
      <c r="O62" s="15"/>
      <c r="P62" s="15"/>
      <c r="Q62" s="15"/>
      <c r="R62" s="15"/>
      <c r="S62" s="15"/>
      <c r="T62" s="15"/>
    </row>
    <row r="63" spans="1:20" s="21" customFormat="1" x14ac:dyDescent="0.3">
      <c r="A63" s="17"/>
      <c r="B63"/>
      <c r="C63"/>
      <c r="D63"/>
      <c r="E63"/>
      <c r="F63"/>
      <c r="G63"/>
      <c r="H63" s="27"/>
      <c r="I63" s="15"/>
      <c r="J63" s="27"/>
      <c r="K63" s="15"/>
      <c r="L63" s="15"/>
      <c r="M63" s="15"/>
      <c r="N63" s="15"/>
      <c r="O63" s="15"/>
      <c r="P63" s="15"/>
      <c r="Q63" s="15"/>
      <c r="R63" s="15"/>
      <c r="S63" s="15"/>
      <c r="T63" s="15"/>
    </row>
    <row r="64" spans="1:20" s="21" customFormat="1" x14ac:dyDescent="0.3">
      <c r="A64" s="17"/>
      <c r="B64"/>
      <c r="C64"/>
      <c r="D64"/>
      <c r="E64"/>
      <c r="F64"/>
      <c r="G64"/>
      <c r="H64" s="27"/>
      <c r="I64" s="15"/>
      <c r="J64" s="27"/>
      <c r="K64" s="15"/>
      <c r="L64" s="15"/>
      <c r="M64" s="15"/>
      <c r="N64" s="15"/>
      <c r="O64" s="15"/>
      <c r="P64" s="15"/>
      <c r="Q64" s="15"/>
      <c r="R64" s="15"/>
      <c r="S64" s="15"/>
      <c r="T64" s="15"/>
    </row>
    <row r="65" spans="1:20" s="21" customFormat="1" x14ac:dyDescent="0.3">
      <c r="A65" s="17"/>
      <c r="B65"/>
      <c r="C65"/>
      <c r="D65"/>
      <c r="E65"/>
      <c r="F65"/>
      <c r="G65"/>
      <c r="H65" s="27"/>
      <c r="I65" s="15"/>
      <c r="J65" s="27"/>
      <c r="K65" s="15"/>
      <c r="L65" s="15"/>
      <c r="M65" s="15"/>
      <c r="N65" s="15"/>
      <c r="O65" s="15"/>
      <c r="P65" s="15"/>
      <c r="Q65" s="15"/>
      <c r="R65" s="15"/>
      <c r="S65" s="15"/>
      <c r="T65" s="15"/>
    </row>
    <row r="66" spans="1:20" s="21" customFormat="1" x14ac:dyDescent="0.3">
      <c r="A66" s="17"/>
      <c r="B66"/>
      <c r="C66"/>
      <c r="D66"/>
      <c r="E66"/>
      <c r="F66"/>
      <c r="G66"/>
      <c r="H66" s="27"/>
      <c r="I66" s="15"/>
      <c r="J66" s="27"/>
      <c r="K66" s="15"/>
      <c r="L66" s="15"/>
      <c r="M66" s="15"/>
      <c r="N66" s="15"/>
      <c r="O66" s="15"/>
      <c r="P66" s="15"/>
      <c r="Q66" s="15"/>
      <c r="R66" s="15"/>
      <c r="S66" s="15"/>
      <c r="T66" s="15"/>
    </row>
    <row r="67" spans="1:20" s="21" customFormat="1" x14ac:dyDescent="0.3">
      <c r="A67" s="17"/>
      <c r="B67"/>
      <c r="C67"/>
      <c r="D67"/>
      <c r="E67"/>
      <c r="F67"/>
      <c r="G67"/>
      <c r="H67" s="27"/>
      <c r="I67" s="15"/>
      <c r="J67" s="27"/>
      <c r="K67" s="15"/>
      <c r="L67" s="15"/>
      <c r="M67" s="15"/>
      <c r="N67" s="15"/>
      <c r="O67" s="15"/>
      <c r="P67" s="15"/>
      <c r="Q67" s="15"/>
      <c r="R67" s="15"/>
      <c r="S67" s="15"/>
      <c r="T67" s="15"/>
    </row>
    <row r="68" spans="1:20" s="21" customFormat="1" x14ac:dyDescent="0.3">
      <c r="A68" s="17"/>
      <c r="B68"/>
      <c r="C68"/>
      <c r="D68"/>
      <c r="E68"/>
      <c r="F68"/>
      <c r="G68"/>
      <c r="H68" s="27"/>
      <c r="I68" s="15"/>
      <c r="J68" s="27"/>
      <c r="K68" s="15"/>
      <c r="L68" s="15"/>
      <c r="M68" s="15"/>
      <c r="N68" s="15"/>
      <c r="O68" s="15"/>
      <c r="P68" s="15"/>
      <c r="Q68" s="15"/>
      <c r="R68" s="15"/>
      <c r="S68" s="15"/>
      <c r="T68" s="15"/>
    </row>
    <row r="69" spans="1:20" s="21" customFormat="1" x14ac:dyDescent="0.3">
      <c r="A69" s="17"/>
      <c r="B69"/>
      <c r="C69"/>
      <c r="D69"/>
      <c r="E69"/>
      <c r="F69"/>
      <c r="G69"/>
      <c r="H69" s="27"/>
      <c r="I69" s="15"/>
      <c r="J69" s="27"/>
      <c r="K69" s="15"/>
      <c r="L69" s="15"/>
      <c r="M69" s="15"/>
      <c r="N69" s="15"/>
      <c r="O69" s="15"/>
      <c r="P69" s="15"/>
      <c r="Q69" s="15"/>
      <c r="R69" s="15"/>
      <c r="S69" s="15"/>
      <c r="T69" s="15"/>
    </row>
    <row r="70" spans="1:20" s="21" customFormat="1" x14ac:dyDescent="0.3">
      <c r="A70" s="17"/>
      <c r="B70"/>
      <c r="C70"/>
      <c r="D70"/>
      <c r="E70"/>
      <c r="F70"/>
      <c r="G70"/>
      <c r="H70" s="27"/>
      <c r="I70" s="15"/>
      <c r="J70" s="27"/>
      <c r="K70" s="15"/>
      <c r="L70" s="15"/>
      <c r="M70" s="15"/>
      <c r="N70" s="15"/>
      <c r="O70" s="15"/>
      <c r="P70" s="15"/>
      <c r="Q70" s="15"/>
      <c r="R70" s="15"/>
      <c r="S70" s="15"/>
      <c r="T70" s="15"/>
    </row>
    <row r="71" spans="1:20" s="21" customFormat="1" x14ac:dyDescent="0.3">
      <c r="A71" s="17"/>
      <c r="B71"/>
      <c r="C71"/>
      <c r="D71"/>
      <c r="E71"/>
      <c r="F71"/>
      <c r="G71"/>
      <c r="H71" s="27"/>
      <c r="I71" s="15"/>
      <c r="J71" s="27"/>
      <c r="K71" s="15"/>
      <c r="L71" s="15"/>
      <c r="M71" s="15"/>
      <c r="N71" s="15"/>
      <c r="O71" s="15"/>
      <c r="P71" s="15"/>
      <c r="Q71" s="15"/>
      <c r="R71" s="15"/>
      <c r="S71" s="15"/>
      <c r="T71" s="15"/>
    </row>
    <row r="72" spans="1:20" s="21" customFormat="1" x14ac:dyDescent="0.3">
      <c r="A72" s="17"/>
      <c r="B72"/>
      <c r="C72"/>
      <c r="D72"/>
      <c r="E72"/>
      <c r="F72"/>
      <c r="G72"/>
      <c r="H72" s="27"/>
      <c r="I72" s="15"/>
      <c r="J72" s="27"/>
      <c r="K72" s="15"/>
      <c r="L72" s="15"/>
      <c r="M72" s="15"/>
      <c r="N72" s="15"/>
      <c r="O72" s="15"/>
      <c r="P72" s="15"/>
      <c r="Q72" s="15"/>
      <c r="R72" s="15"/>
      <c r="S72" s="15"/>
      <c r="T72" s="15"/>
    </row>
    <row r="73" spans="1:20" s="21" customFormat="1" x14ac:dyDescent="0.3">
      <c r="A73" s="17"/>
      <c r="B73"/>
      <c r="C73"/>
      <c r="D73"/>
      <c r="E73"/>
      <c r="F73"/>
      <c r="G73"/>
      <c r="H73" s="27"/>
      <c r="I73" s="15"/>
      <c r="J73" s="27"/>
      <c r="K73" s="15"/>
      <c r="L73" s="15"/>
      <c r="M73" s="15"/>
      <c r="N73" s="15"/>
      <c r="O73" s="15"/>
      <c r="P73" s="15"/>
      <c r="Q73" s="15"/>
      <c r="R73" s="15"/>
      <c r="S73" s="15"/>
      <c r="T73" s="15"/>
    </row>
    <row r="74" spans="1:20" s="21" customFormat="1" x14ac:dyDescent="0.3">
      <c r="A74" s="17"/>
      <c r="B74"/>
      <c r="C74"/>
      <c r="D74"/>
      <c r="E74"/>
      <c r="F74"/>
      <c r="G74"/>
      <c r="H74" s="27"/>
      <c r="I74" s="15"/>
      <c r="J74" s="27"/>
      <c r="K74" s="15"/>
      <c r="L74" s="15"/>
      <c r="M74" s="15"/>
      <c r="N74" s="15"/>
      <c r="O74" s="15"/>
      <c r="P74" s="15"/>
      <c r="Q74" s="15"/>
      <c r="R74" s="15"/>
      <c r="S74" s="15"/>
      <c r="T74" s="15"/>
    </row>
    <row r="75" spans="1:20" s="21" customFormat="1" x14ac:dyDescent="0.3">
      <c r="A75" s="17"/>
      <c r="B75"/>
      <c r="C75"/>
      <c r="D75"/>
      <c r="E75"/>
      <c r="F75"/>
      <c r="G75"/>
      <c r="H75" s="27"/>
      <c r="I75" s="15"/>
      <c r="J75" s="27"/>
      <c r="K75" s="15"/>
      <c r="L75" s="15"/>
      <c r="M75" s="15"/>
      <c r="N75" s="15"/>
      <c r="O75" s="15"/>
      <c r="P75" s="15"/>
      <c r="Q75" s="15"/>
      <c r="R75" s="15"/>
      <c r="S75" s="15"/>
      <c r="T75" s="15"/>
    </row>
    <row r="76" spans="1:20" s="21" customFormat="1" x14ac:dyDescent="0.3">
      <c r="A76" s="17"/>
      <c r="B76"/>
      <c r="C76"/>
      <c r="D76"/>
      <c r="E76"/>
      <c r="F76"/>
      <c r="G76"/>
      <c r="H76" s="27"/>
      <c r="I76" s="15"/>
      <c r="J76" s="27"/>
      <c r="K76" s="15"/>
      <c r="L76" s="15"/>
      <c r="M76" s="15"/>
      <c r="N76" s="15"/>
      <c r="O76" s="15"/>
      <c r="P76" s="15"/>
      <c r="Q76" s="15"/>
      <c r="R76" s="15"/>
      <c r="S76" s="15"/>
      <c r="T76" s="15"/>
    </row>
    <row r="77" spans="1:20" s="21" customFormat="1" x14ac:dyDescent="0.3">
      <c r="A77" s="17"/>
      <c r="B77"/>
      <c r="C77"/>
      <c r="D77"/>
      <c r="E77"/>
      <c r="F77"/>
      <c r="G77"/>
      <c r="H77" s="27"/>
      <c r="I77" s="15"/>
      <c r="J77" s="27"/>
      <c r="K77" s="15"/>
      <c r="L77" s="15"/>
      <c r="M77" s="15"/>
      <c r="N77" s="15"/>
      <c r="O77" s="15"/>
      <c r="P77" s="15"/>
      <c r="Q77" s="15"/>
      <c r="R77" s="15"/>
      <c r="S77" s="15"/>
      <c r="T77" s="15"/>
    </row>
    <row r="78" spans="1:20" s="21" customFormat="1" x14ac:dyDescent="0.3">
      <c r="A78" s="17"/>
      <c r="B78"/>
      <c r="C78"/>
      <c r="D78"/>
      <c r="E78"/>
      <c r="F78"/>
      <c r="G78"/>
      <c r="H78" s="27"/>
      <c r="I78" s="15"/>
      <c r="J78" s="27"/>
      <c r="K78" s="15"/>
      <c r="L78" s="15"/>
      <c r="M78" s="15"/>
      <c r="N78" s="15"/>
      <c r="O78" s="15"/>
      <c r="P78" s="15"/>
      <c r="Q78" s="15"/>
      <c r="R78" s="15"/>
      <c r="S78" s="15"/>
      <c r="T78" s="15"/>
    </row>
    <row r="79" spans="1:20" s="21" customFormat="1" x14ac:dyDescent="0.3">
      <c r="A79" s="17"/>
      <c r="B79"/>
      <c r="C79"/>
      <c r="D79"/>
      <c r="E79"/>
      <c r="F79"/>
      <c r="G79"/>
      <c r="H79" s="27"/>
      <c r="I79" s="15"/>
      <c r="J79" s="27"/>
      <c r="K79" s="15"/>
      <c r="L79" s="15"/>
      <c r="M79" s="15"/>
      <c r="N79" s="15"/>
      <c r="O79" s="15"/>
      <c r="P79" s="15"/>
      <c r="Q79" s="15"/>
      <c r="R79" s="15"/>
      <c r="S79" s="15"/>
      <c r="T79" s="15"/>
    </row>
    <row r="80" spans="1:20" s="21" customFormat="1" x14ac:dyDescent="0.3">
      <c r="A80" s="17"/>
      <c r="B80"/>
      <c r="C80"/>
      <c r="D80"/>
      <c r="E80"/>
      <c r="F80"/>
      <c r="G80"/>
      <c r="H80" s="27"/>
      <c r="I80" s="15"/>
      <c r="J80" s="27"/>
      <c r="K80" s="15"/>
      <c r="L80" s="15"/>
      <c r="M80" s="15"/>
      <c r="N80" s="15"/>
      <c r="O80" s="15"/>
      <c r="P80" s="15"/>
      <c r="Q80" s="15"/>
      <c r="R80" s="15"/>
      <c r="S80" s="15"/>
      <c r="T80" s="15"/>
    </row>
    <row r="81" spans="1:20" s="21" customFormat="1" x14ac:dyDescent="0.3">
      <c r="A81" s="17"/>
      <c r="B81"/>
      <c r="C81"/>
      <c r="D81"/>
      <c r="E81"/>
      <c r="F81"/>
      <c r="G81"/>
      <c r="H81" s="27"/>
      <c r="I81" s="15"/>
      <c r="J81" s="27"/>
      <c r="K81" s="15"/>
      <c r="L81" s="15"/>
      <c r="M81" s="15"/>
      <c r="N81" s="15"/>
      <c r="O81" s="15"/>
      <c r="P81" s="15"/>
      <c r="Q81" s="15"/>
      <c r="R81" s="15"/>
      <c r="S81" s="15"/>
      <c r="T81" s="15"/>
    </row>
    <row r="82" spans="1:20" s="21" customFormat="1" x14ac:dyDescent="0.3">
      <c r="A82" s="17"/>
      <c r="B82"/>
      <c r="C82"/>
      <c r="D82"/>
      <c r="E82"/>
      <c r="F82"/>
      <c r="G82"/>
      <c r="H82" s="27"/>
      <c r="I82" s="15"/>
      <c r="J82" s="27"/>
      <c r="K82" s="15"/>
      <c r="L82" s="15"/>
      <c r="M82" s="15"/>
      <c r="N82" s="15"/>
      <c r="O82" s="15"/>
      <c r="P82" s="15"/>
      <c r="Q82" s="15"/>
      <c r="R82" s="15"/>
      <c r="S82" s="15"/>
      <c r="T82" s="15"/>
    </row>
    <row r="83" spans="1:20" s="21" customFormat="1" x14ac:dyDescent="0.3">
      <c r="A83" s="17"/>
      <c r="B83"/>
      <c r="C83"/>
      <c r="D83"/>
      <c r="E83"/>
      <c r="F83"/>
      <c r="G83"/>
      <c r="H83" s="27"/>
      <c r="I83" s="15"/>
      <c r="J83" s="27"/>
      <c r="K83" s="15"/>
      <c r="L83" s="15"/>
      <c r="M83" s="15"/>
      <c r="N83" s="15"/>
      <c r="O83" s="15"/>
      <c r="P83" s="15"/>
      <c r="Q83" s="15"/>
      <c r="R83" s="15"/>
      <c r="S83" s="15"/>
      <c r="T83" s="15"/>
    </row>
    <row r="84" spans="1:20" s="21" customFormat="1" x14ac:dyDescent="0.3">
      <c r="A84" s="17"/>
      <c r="B84"/>
      <c r="C84"/>
      <c r="D84"/>
      <c r="E84"/>
      <c r="F84"/>
      <c r="G84"/>
      <c r="H84" s="27"/>
      <c r="I84" s="15"/>
      <c r="J84" s="27"/>
      <c r="K84" s="15"/>
      <c r="L84" s="15"/>
      <c r="M84" s="15"/>
      <c r="N84" s="15"/>
      <c r="O84" s="15"/>
      <c r="P84" s="15"/>
      <c r="Q84" s="15"/>
      <c r="R84" s="15"/>
      <c r="S84" s="15"/>
      <c r="T84" s="15"/>
    </row>
    <row r="85" spans="1:20" s="21" customFormat="1" x14ac:dyDescent="0.3">
      <c r="A85" s="17"/>
      <c r="B85"/>
      <c r="C85"/>
      <c r="D85"/>
      <c r="E85"/>
      <c r="F85"/>
      <c r="G85"/>
      <c r="H85" s="27"/>
      <c r="I85" s="15"/>
      <c r="J85" s="27"/>
      <c r="K85" s="15"/>
      <c r="L85" s="15"/>
      <c r="M85" s="15"/>
      <c r="N85" s="15"/>
      <c r="O85" s="15"/>
      <c r="P85" s="15"/>
      <c r="Q85" s="15"/>
      <c r="R85" s="15"/>
      <c r="S85" s="15"/>
      <c r="T85" s="15"/>
    </row>
    <row r="86" spans="1:20" s="21" customFormat="1" x14ac:dyDescent="0.3">
      <c r="A86" s="17"/>
      <c r="B86"/>
      <c r="C86"/>
      <c r="D86"/>
      <c r="E86"/>
      <c r="F86"/>
      <c r="G86"/>
      <c r="H86" s="27"/>
      <c r="I86" s="15"/>
      <c r="J86" s="27"/>
      <c r="K86" s="15"/>
      <c r="L86" s="15"/>
      <c r="M86" s="15"/>
      <c r="N86" s="15"/>
      <c r="O86" s="15"/>
      <c r="P86" s="15"/>
      <c r="Q86" s="15"/>
      <c r="R86" s="15"/>
      <c r="S86" s="15"/>
      <c r="T86" s="15"/>
    </row>
    <row r="87" spans="1:20" s="21" customFormat="1" x14ac:dyDescent="0.3">
      <c r="A87" s="17"/>
      <c r="B87"/>
      <c r="C87"/>
      <c r="D87"/>
      <c r="E87"/>
      <c r="F87"/>
      <c r="G87"/>
      <c r="H87" s="27"/>
      <c r="I87" s="15"/>
      <c r="J87" s="27"/>
      <c r="K87" s="15"/>
      <c r="L87" s="15"/>
      <c r="M87" s="15"/>
      <c r="N87" s="15"/>
      <c r="O87" s="15"/>
      <c r="P87" s="15"/>
      <c r="Q87" s="15"/>
      <c r="R87" s="15"/>
      <c r="S87" s="15"/>
      <c r="T87" s="15"/>
    </row>
    <row r="88" spans="1:20" s="21" customFormat="1" x14ac:dyDescent="0.3">
      <c r="A88" s="17"/>
      <c r="B88"/>
      <c r="C88"/>
      <c r="D88"/>
      <c r="E88"/>
      <c r="F88"/>
      <c r="G88"/>
      <c r="H88" s="27"/>
      <c r="I88" s="15"/>
      <c r="J88" s="27"/>
      <c r="K88" s="15"/>
      <c r="L88" s="15"/>
      <c r="M88" s="15"/>
      <c r="N88" s="15"/>
      <c r="O88" s="15"/>
      <c r="P88" s="15"/>
      <c r="Q88" s="15"/>
      <c r="R88" s="15"/>
      <c r="S88" s="15"/>
      <c r="T88" s="15"/>
    </row>
    <row r="89" spans="1:20" s="21" customFormat="1" x14ac:dyDescent="0.3">
      <c r="A89" s="17"/>
      <c r="B89"/>
      <c r="C89"/>
      <c r="D89"/>
      <c r="E89"/>
      <c r="F89"/>
      <c r="G89"/>
      <c r="H89" s="27"/>
      <c r="I89" s="15"/>
      <c r="J89" s="27"/>
      <c r="K89" s="15"/>
      <c r="L89" s="15"/>
      <c r="M89" s="15"/>
      <c r="N89" s="15"/>
      <c r="O89" s="15"/>
      <c r="P89" s="15"/>
      <c r="Q89" s="15"/>
      <c r="R89" s="15"/>
      <c r="S89" s="15"/>
      <c r="T89" s="15"/>
    </row>
    <row r="90" spans="1:20" s="21" customFormat="1" x14ac:dyDescent="0.3">
      <c r="A90" s="17"/>
      <c r="B90"/>
      <c r="C90"/>
      <c r="D90"/>
      <c r="E90"/>
      <c r="F90"/>
      <c r="G90"/>
      <c r="H90" s="27"/>
      <c r="I90" s="15"/>
      <c r="J90" s="27"/>
      <c r="K90" s="15"/>
      <c r="L90" s="15"/>
      <c r="M90" s="15"/>
      <c r="N90" s="15"/>
      <c r="O90" s="15"/>
      <c r="P90" s="15"/>
      <c r="Q90" s="15"/>
      <c r="R90" s="15"/>
      <c r="S90" s="15"/>
      <c r="T90" s="15"/>
    </row>
    <row r="91" spans="1:20" s="21" customFormat="1" x14ac:dyDescent="0.3">
      <c r="A91" s="17"/>
      <c r="B91"/>
      <c r="C91"/>
      <c r="D91"/>
      <c r="E91"/>
      <c r="F91"/>
      <c r="G91"/>
      <c r="H91" s="27"/>
      <c r="I91" s="15"/>
      <c r="J91" s="27"/>
      <c r="K91" s="15"/>
      <c r="L91" s="15"/>
      <c r="M91" s="15"/>
      <c r="N91" s="15"/>
      <c r="O91" s="15"/>
      <c r="P91" s="15"/>
      <c r="Q91" s="15"/>
      <c r="R91" s="15"/>
      <c r="S91" s="15"/>
      <c r="T91" s="15"/>
    </row>
    <row r="92" spans="1:20" s="21" customFormat="1" x14ac:dyDescent="0.3">
      <c r="A92" s="17"/>
      <c r="B92"/>
      <c r="C92"/>
      <c r="D92"/>
      <c r="E92"/>
      <c r="F92"/>
      <c r="G92"/>
      <c r="H92" s="27"/>
      <c r="I92" s="15"/>
      <c r="J92" s="27"/>
      <c r="K92" s="15"/>
      <c r="L92" s="15"/>
      <c r="M92" s="15"/>
      <c r="N92" s="15"/>
      <c r="O92" s="15"/>
      <c r="P92" s="15"/>
      <c r="Q92" s="15"/>
      <c r="R92" s="15"/>
      <c r="S92" s="15"/>
      <c r="T92" s="15"/>
    </row>
    <row r="93" spans="1:20" s="21" customFormat="1" x14ac:dyDescent="0.3">
      <c r="A93" s="17"/>
      <c r="B93"/>
      <c r="C93"/>
      <c r="D93"/>
      <c r="E93"/>
      <c r="F93"/>
      <c r="G93"/>
      <c r="H93" s="27"/>
      <c r="I93" s="15"/>
      <c r="J93" s="27"/>
      <c r="K93" s="15"/>
      <c r="L93" s="15"/>
      <c r="M93" s="15"/>
      <c r="N93" s="15"/>
      <c r="O93" s="15"/>
      <c r="P93" s="15"/>
      <c r="Q93" s="15"/>
      <c r="R93" s="15"/>
      <c r="S93" s="15"/>
      <c r="T93" s="15"/>
    </row>
    <row r="94" spans="1:20" s="21" customFormat="1" x14ac:dyDescent="0.3">
      <c r="A94" s="17"/>
      <c r="B94"/>
      <c r="C94"/>
      <c r="D94"/>
      <c r="E94"/>
      <c r="F94"/>
      <c r="G94"/>
      <c r="H94" s="27"/>
      <c r="I94" s="15"/>
      <c r="J94" s="27"/>
      <c r="K94" s="15"/>
      <c r="L94" s="15"/>
      <c r="M94" s="15"/>
      <c r="N94" s="15"/>
      <c r="O94" s="15"/>
      <c r="P94" s="15"/>
      <c r="Q94" s="15"/>
      <c r="R94" s="15"/>
      <c r="S94" s="15"/>
      <c r="T94" s="15"/>
    </row>
    <row r="95" spans="1:20" s="21" customFormat="1" x14ac:dyDescent="0.3">
      <c r="A95" s="17"/>
      <c r="B95"/>
      <c r="C95"/>
      <c r="D95"/>
      <c r="E95"/>
      <c r="F95"/>
      <c r="G95"/>
      <c r="H95" s="27"/>
      <c r="I95" s="15"/>
      <c r="J95" s="27"/>
      <c r="K95" s="15"/>
      <c r="L95" s="15"/>
      <c r="M95" s="15"/>
      <c r="N95" s="15"/>
      <c r="O95" s="15"/>
      <c r="P95" s="15"/>
      <c r="Q95" s="15"/>
      <c r="R95" s="15"/>
      <c r="S95" s="15"/>
      <c r="T95" s="15"/>
    </row>
    <row r="96" spans="1:20" s="21" customFormat="1" x14ac:dyDescent="0.3">
      <c r="A96" s="17"/>
      <c r="B96"/>
      <c r="C96"/>
      <c r="D96"/>
      <c r="E96"/>
      <c r="F96"/>
      <c r="G96"/>
      <c r="H96" s="27"/>
      <c r="I96" s="15"/>
      <c r="J96" s="27"/>
      <c r="K96" s="15"/>
      <c r="L96" s="15"/>
      <c r="M96" s="15"/>
      <c r="N96" s="15"/>
      <c r="O96" s="15"/>
      <c r="P96" s="15"/>
      <c r="Q96" s="15"/>
      <c r="R96" s="15"/>
      <c r="S96" s="15"/>
      <c r="T96" s="15"/>
    </row>
    <row r="97" spans="1:20" s="21" customFormat="1" x14ac:dyDescent="0.3">
      <c r="A97" s="17"/>
      <c r="B97"/>
      <c r="C97"/>
      <c r="D97"/>
      <c r="E97"/>
      <c r="F97"/>
      <c r="G97"/>
      <c r="H97" s="27"/>
      <c r="I97" s="15"/>
      <c r="J97" s="27"/>
      <c r="K97" s="15"/>
      <c r="L97" s="15"/>
      <c r="M97" s="15"/>
      <c r="N97" s="15"/>
      <c r="O97" s="15"/>
      <c r="P97" s="15"/>
      <c r="Q97" s="15"/>
      <c r="R97" s="15"/>
      <c r="S97" s="15"/>
      <c r="T97" s="15"/>
    </row>
    <row r="98" spans="1:20" s="21" customFormat="1" x14ac:dyDescent="0.3">
      <c r="A98" s="17"/>
      <c r="B98"/>
      <c r="C98"/>
      <c r="D98"/>
      <c r="E98"/>
      <c r="F98"/>
      <c r="G98"/>
      <c r="H98" s="27"/>
      <c r="I98" s="15"/>
      <c r="J98" s="27"/>
      <c r="K98" s="15"/>
      <c r="L98" s="15"/>
      <c r="M98" s="15"/>
      <c r="N98" s="15"/>
      <c r="O98" s="15"/>
      <c r="P98" s="15"/>
      <c r="Q98" s="15"/>
      <c r="R98" s="15"/>
      <c r="S98" s="15"/>
      <c r="T98" s="15"/>
    </row>
    <row r="99" spans="1:20" s="21" customFormat="1" x14ac:dyDescent="0.3">
      <c r="A99" s="17"/>
      <c r="B99"/>
      <c r="C99"/>
      <c r="D99"/>
      <c r="E99"/>
      <c r="F99"/>
      <c r="G99"/>
      <c r="H99" s="27"/>
      <c r="I99" s="15"/>
      <c r="J99" s="27"/>
      <c r="K99" s="15"/>
      <c r="L99" s="15"/>
      <c r="M99" s="15"/>
      <c r="N99" s="15"/>
      <c r="O99" s="15"/>
      <c r="P99" s="15"/>
      <c r="Q99" s="15"/>
      <c r="R99" s="15"/>
      <c r="S99" s="15"/>
      <c r="T99" s="15"/>
    </row>
    <row r="100" spans="1:20" s="21" customFormat="1" x14ac:dyDescent="0.3">
      <c r="A100" s="17"/>
      <c r="B100"/>
      <c r="C100"/>
      <c r="D100"/>
      <c r="E100"/>
      <c r="F100"/>
      <c r="G100"/>
      <c r="H100" s="27"/>
      <c r="I100" s="15"/>
      <c r="J100" s="27"/>
      <c r="K100" s="15"/>
      <c r="L100" s="15"/>
      <c r="M100" s="15"/>
      <c r="N100" s="15"/>
      <c r="O100" s="15"/>
      <c r="P100" s="15"/>
      <c r="Q100" s="15"/>
      <c r="R100" s="15"/>
      <c r="S100" s="15"/>
      <c r="T100" s="15"/>
    </row>
    <row r="101" spans="1:20" s="21" customFormat="1" x14ac:dyDescent="0.3">
      <c r="A101" s="17"/>
      <c r="B101"/>
      <c r="C101"/>
      <c r="D101"/>
      <c r="E101"/>
      <c r="F101"/>
      <c r="G101"/>
      <c r="H101" s="27"/>
      <c r="I101" s="15"/>
      <c r="J101" s="27"/>
      <c r="K101" s="15"/>
      <c r="L101" s="15"/>
      <c r="M101" s="15"/>
      <c r="N101" s="15"/>
      <c r="O101" s="15"/>
      <c r="P101" s="15"/>
      <c r="Q101" s="15"/>
      <c r="R101" s="15"/>
      <c r="S101" s="15"/>
      <c r="T101" s="15"/>
    </row>
    <row r="102" spans="1:20" s="21" customFormat="1" x14ac:dyDescent="0.3">
      <c r="A102" s="17"/>
      <c r="B102"/>
      <c r="C102"/>
      <c r="D102"/>
      <c r="E102"/>
      <c r="F102"/>
      <c r="G102"/>
      <c r="H102" s="27"/>
      <c r="I102" s="15"/>
      <c r="J102" s="27"/>
      <c r="K102" s="15"/>
      <c r="L102" s="15"/>
      <c r="M102" s="15"/>
      <c r="N102" s="15"/>
      <c r="O102" s="15"/>
      <c r="P102" s="15"/>
      <c r="Q102" s="15"/>
      <c r="R102" s="15"/>
      <c r="S102" s="15"/>
      <c r="T102" s="15"/>
    </row>
    <row r="103" spans="1:20" s="21" customFormat="1" x14ac:dyDescent="0.3">
      <c r="A103" s="17"/>
      <c r="B103"/>
      <c r="C103"/>
      <c r="D103"/>
      <c r="E103"/>
      <c r="F103"/>
      <c r="G103"/>
      <c r="H103" s="27"/>
      <c r="I103" s="15"/>
      <c r="J103" s="27"/>
      <c r="K103" s="15"/>
      <c r="L103" s="15"/>
      <c r="M103" s="15"/>
      <c r="N103" s="15"/>
      <c r="O103" s="15"/>
      <c r="P103" s="15"/>
      <c r="Q103" s="15"/>
      <c r="R103" s="15"/>
      <c r="S103" s="15"/>
      <c r="T103" s="15"/>
    </row>
    <row r="104" spans="1:20" s="21" customFormat="1" x14ac:dyDescent="0.3">
      <c r="A104" s="17"/>
      <c r="B104"/>
      <c r="C104"/>
      <c r="D104"/>
      <c r="E104"/>
      <c r="F104"/>
      <c r="G104"/>
      <c r="H104" s="27"/>
      <c r="I104" s="15"/>
      <c r="J104" s="27"/>
      <c r="K104" s="15"/>
      <c r="L104" s="15"/>
      <c r="M104" s="15"/>
      <c r="N104" s="15"/>
      <c r="O104" s="15"/>
      <c r="P104" s="15"/>
      <c r="Q104" s="15"/>
      <c r="R104" s="15"/>
      <c r="S104" s="15"/>
      <c r="T104" s="15"/>
    </row>
    <row r="105" spans="1:20" s="21" customFormat="1" x14ac:dyDescent="0.3">
      <c r="A105" s="17"/>
      <c r="B105"/>
      <c r="C105"/>
      <c r="D105"/>
      <c r="E105"/>
      <c r="F105"/>
      <c r="G105"/>
      <c r="H105" s="27"/>
      <c r="I105" s="15"/>
      <c r="J105" s="27"/>
      <c r="K105" s="15"/>
      <c r="L105" s="15"/>
      <c r="M105" s="15"/>
      <c r="N105" s="15"/>
      <c r="O105" s="15"/>
      <c r="P105" s="15"/>
      <c r="Q105" s="15"/>
      <c r="R105" s="15"/>
      <c r="S105" s="15"/>
      <c r="T105" s="15"/>
    </row>
    <row r="106" spans="1:20" s="21" customFormat="1" x14ac:dyDescent="0.3">
      <c r="A106" s="17"/>
      <c r="B106"/>
      <c r="C106"/>
      <c r="D106"/>
      <c r="E106"/>
      <c r="F106"/>
      <c r="G106"/>
      <c r="H106" s="27"/>
      <c r="I106" s="15"/>
      <c r="J106" s="27"/>
      <c r="K106" s="15"/>
      <c r="L106" s="15"/>
      <c r="M106" s="15"/>
      <c r="N106" s="15"/>
      <c r="O106" s="15"/>
      <c r="P106" s="15"/>
      <c r="Q106" s="15"/>
      <c r="R106" s="15"/>
      <c r="S106" s="15"/>
      <c r="T106" s="15"/>
    </row>
    <row r="107" spans="1:20" s="21" customFormat="1" x14ac:dyDescent="0.3">
      <c r="A107" s="17"/>
      <c r="B107"/>
      <c r="C107"/>
      <c r="D107"/>
      <c r="E107"/>
      <c r="F107"/>
      <c r="G107"/>
      <c r="H107" s="27"/>
      <c r="I107" s="15"/>
      <c r="J107" s="27"/>
      <c r="K107" s="15"/>
      <c r="L107" s="15"/>
      <c r="M107" s="15"/>
      <c r="N107" s="15"/>
      <c r="O107" s="15"/>
      <c r="P107" s="15"/>
      <c r="Q107" s="15"/>
      <c r="R107" s="15"/>
      <c r="S107" s="15"/>
      <c r="T107" s="15"/>
    </row>
  </sheetData>
  <mergeCells count="2">
    <mergeCell ref="A11:F11"/>
    <mergeCell ref="A2:G2"/>
  </mergeCells>
  <pageMargins left="0.511811024" right="0.511811024" top="0.78740157499999996" bottom="0.78740157499999996" header="0.31496062000000002" footer="0.3149606200000000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DB25A-02AC-4904-B63E-001B9C097A42}">
  <sheetPr codeName="Planilha64">
    <tabColor theme="9" tint="0.59999389629810485"/>
  </sheetPr>
  <dimension ref="A1:P3014"/>
  <sheetViews>
    <sheetView showGridLines="0" zoomScale="85" zoomScaleNormal="85" workbookViewId="0">
      <selection activeCell="J14" sqref="J14"/>
    </sheetView>
  </sheetViews>
  <sheetFormatPr defaultColWidth="8.85546875" defaultRowHeight="18.75" x14ac:dyDescent="0.3"/>
  <cols>
    <col min="1" max="1" width="12.7109375" style="17" customWidth="1"/>
    <col min="2" max="2" width="80.42578125" customWidth="1"/>
    <col min="3" max="3" width="9.7109375" customWidth="1"/>
    <col min="4" max="4" width="8.85546875" customWidth="1"/>
    <col min="5" max="5" width="10" bestFit="1" customWidth="1"/>
    <col min="9" max="9" width="5.85546875" customWidth="1"/>
    <col min="10" max="10" width="12.42578125" style="15" bestFit="1" customWidth="1"/>
    <col min="11" max="11" width="8.85546875" style="15"/>
    <col min="12" max="12" width="10.5703125" style="15" bestFit="1" customWidth="1"/>
    <col min="13" max="13" width="27.5703125" style="15" bestFit="1" customWidth="1"/>
    <col min="14" max="16" width="8.85546875" style="15"/>
  </cols>
  <sheetData>
    <row r="1" spans="1:16" x14ac:dyDescent="0.3">
      <c r="A1" s="16" t="s">
        <v>604</v>
      </c>
      <c r="J1" s="14"/>
      <c r="K1" s="14"/>
      <c r="L1" s="14"/>
      <c r="M1" s="14"/>
      <c r="N1" s="14"/>
      <c r="O1" s="14"/>
      <c r="P1" s="14"/>
    </row>
    <row r="2" spans="1:16" x14ac:dyDescent="0.3">
      <c r="A2" s="17" t="s">
        <v>639</v>
      </c>
      <c r="J2" s="14"/>
      <c r="K2" s="14"/>
      <c r="L2" s="14"/>
      <c r="M2" s="14"/>
      <c r="N2" s="14"/>
      <c r="O2" s="14"/>
      <c r="P2" s="14"/>
    </row>
    <row r="4" spans="1:16" ht="15.75" x14ac:dyDescent="0.25">
      <c r="A4" s="2" t="s">
        <v>15</v>
      </c>
      <c r="B4" s="2" t="s">
        <v>16</v>
      </c>
      <c r="C4" s="2"/>
    </row>
    <row r="5" spans="1:16" ht="15.75" x14ac:dyDescent="0.25">
      <c r="A5" s="23" t="s">
        <v>608</v>
      </c>
      <c r="B5" s="26" t="s">
        <v>619</v>
      </c>
      <c r="C5" s="26"/>
    </row>
    <row r="6" spans="1:16" ht="15.75" x14ac:dyDescent="0.25">
      <c r="A6" s="23" t="s">
        <v>605</v>
      </c>
      <c r="B6" s="26" t="s">
        <v>620</v>
      </c>
      <c r="C6" s="26"/>
    </row>
    <row r="7" spans="1:16" ht="15.75" x14ac:dyDescent="0.25">
      <c r="A7" s="23" t="s">
        <v>606</v>
      </c>
      <c r="B7" s="26" t="s">
        <v>621</v>
      </c>
      <c r="C7" s="26"/>
    </row>
    <row r="8" spans="1:16" ht="15.75" x14ac:dyDescent="0.25">
      <c r="A8" s="23" t="s">
        <v>607</v>
      </c>
      <c r="B8" s="26" t="s">
        <v>622</v>
      </c>
      <c r="C8" s="26"/>
    </row>
    <row r="9" spans="1:16" ht="15.75" x14ac:dyDescent="0.25">
      <c r="A9" s="23"/>
      <c r="B9" s="26"/>
      <c r="C9" s="26"/>
    </row>
    <row r="10" spans="1:16" ht="15.75" x14ac:dyDescent="0.25">
      <c r="A10" s="2" t="s">
        <v>321</v>
      </c>
    </row>
    <row r="11" spans="1:16" ht="52.5" customHeight="1" x14ac:dyDescent="0.25">
      <c r="A11" s="130" t="s">
        <v>624</v>
      </c>
      <c r="B11" s="130"/>
      <c r="C11" s="130"/>
      <c r="D11" s="130"/>
      <c r="E11" s="130"/>
      <c r="F11" s="130"/>
      <c r="G11" s="130"/>
      <c r="H11" s="130"/>
    </row>
    <row r="12" spans="1:16" ht="15.75" x14ac:dyDescent="0.25">
      <c r="A12" s="23"/>
      <c r="J12" s="119" t="s">
        <v>638</v>
      </c>
    </row>
    <row r="13" spans="1:16" ht="15.75" x14ac:dyDescent="0.25">
      <c r="A13" s="23"/>
      <c r="B13" s="26"/>
      <c r="C13" s="26"/>
      <c r="L13" s="61" t="s">
        <v>603</v>
      </c>
      <c r="M13" s="61" t="s">
        <v>618</v>
      </c>
    </row>
    <row r="14" spans="1:16" x14ac:dyDescent="0.3">
      <c r="D14" s="1" t="s">
        <v>17</v>
      </c>
      <c r="E14" s="13" t="s">
        <v>608</v>
      </c>
      <c r="F14" s="139" t="s">
        <v>623</v>
      </c>
      <c r="G14" s="139"/>
      <c r="H14" s="139"/>
      <c r="J14" s="63" cm="1">
        <f t="array" ref="J14:J16">_xlfn.LAMBDA(_xlpm.expression,_xlop.xMin,_xlop.xMax,_xlop.xStep,
_xlfn.LET(
_xlpm.expression, LOWER(_xlpm.expression),
_xlpm.nExp, _xlfn.LAMBDA(_xlpm.x, EVALS(SUBSTITUTE(_xlpm.expression, "x", _xlpm.x))),
_xlpm.defRange, 1,
_xlpm.xMin,IF(OR(_xlfn.ISOMITTED(_xlpm.xMin), ISBLANK(_xlpm.xMin)), -_xlpm.defRange, _xlpm.xMin),
_xlpm.xMax,IF(OR(_xlfn.ISOMITTED(_xlpm.xMax), ISBLANK(_xlpm.xMax)), _xlpm.defRange, _xlpm.xMax),
_xlpm.xStep,IF(OR(_xlfn.ISOMITTED(_xlpm.xStep), ISBLANK(_xlpm.xStep)), _xlpm.defRange/500, _xlpm.xStep),
_xlpm.candX, _xlpm.xMin + _xlpm.xStep * _xlfn.SEQUENCE((_xlpm.xMax-_xlpm.xMin)/_xlpm.xStep + 1,1, 0),
_xlpm.results, _xlfn.MAP(_xlpm.candX, _xlfn.LAMBDA(_xlpm.x, _xlpm.nExp(_xlpm.x))),
_xlpm.signChgs, _xlfn.MAKEARRAY(ROWS(_xlpm.results),1,_xlfn.LAMBDA(_xlpm.row,_xlpm.col,IF(_xlpm.row=1,1,IF(OR(SIGN(INDEX(_xlpm.results,_xlpm.row,1)) = 0, SIGN(INDEX(_xlpm.results,_xlpm.row,1)) = -SIGN(INDEX(_xlpm.results,_xlpm.row-1,1))), -1, 1) ))),
INDEX(_xlpm.candX, NOZERO(_xlpm.signChgs=-1), 1)
))($F$14,$F$16,$F$17,$F$18)</f>
        <v>-1</v>
      </c>
      <c r="L14" s="27" cm="1">
        <f t="array" ref="L14:M1014">_xlfn.LAMBDA(_xlpm.expression,_xlop.xMin,_xlop.xMax,_xlop.xStep,
_xlfn.LET(
_xlpm.nExp, _xlfn.LAMBDA(_xlpm.x, EVALS(SUBSTITUTE(_xlpm.expression, "x", _xlpm.x))),
_xlpm.defRange, 1,
_xlpm.xMin,IF(OR(_xlfn.ISOMITTED(_xlpm.xMin), ISBLANK(_xlpm.xMin)), -_xlpm.defRange, _xlpm.xMin),
_xlpm.xMax,IF(OR(_xlfn.ISOMITTED(_xlpm.xMax), ISBLANK(_xlpm.xMax)), _xlpm.defRange, _xlpm.xMax),
_xlpm.xStep,IF(OR(_xlfn.ISOMITTED(_xlpm.xStep), ISBLANK(_xlpm.xStep)), _xlpm.defRange/500, _xlpm.xStep),
_xlpm.candX, _xlpm.xMin + _xlpm.xStep * _xlfn.SEQUENCE((_xlpm.xMax-_xlpm.xMin)/_xlpm.xStep + 1,1, 0),
_xlpm.results, _xlfn.MAP(_xlpm.candX, _xlfn.LAMBDA(_xlpm.x, _xlpm.nExp(_xlpm.x))),
_xlfn.HSTACK(_xlpm.candX, _xlpm.results)
))($F$14,$F$16,$F$17,$F$18)</f>
        <v>-5</v>
      </c>
      <c r="M14" s="54">
        <v>-116</v>
      </c>
    </row>
    <row r="15" spans="1:16" x14ac:dyDescent="0.3">
      <c r="J15" s="63">
        <v>-0.61000000000000032</v>
      </c>
      <c r="K15" s="63"/>
      <c r="L15" s="15">
        <v>-4.99</v>
      </c>
      <c r="M15" s="54">
        <v>-115.27149900000001</v>
      </c>
    </row>
    <row r="16" spans="1:16" x14ac:dyDescent="0.3">
      <c r="E16" s="13" t="s">
        <v>609</v>
      </c>
      <c r="F16" s="12">
        <v>-5</v>
      </c>
      <c r="J16" s="63">
        <v>1.62</v>
      </c>
      <c r="K16" s="63"/>
      <c r="L16" s="15">
        <v>-4.9800000000000004</v>
      </c>
      <c r="M16" s="54">
        <v>-114.54599200000001</v>
      </c>
    </row>
    <row r="17" spans="1:16" x14ac:dyDescent="0.3">
      <c r="E17" s="13" t="s">
        <v>610</v>
      </c>
      <c r="F17" s="12">
        <v>5</v>
      </c>
      <c r="K17" s="63"/>
      <c r="L17" s="15">
        <v>-4.97</v>
      </c>
      <c r="M17" s="54">
        <v>-113.82347299999998</v>
      </c>
    </row>
    <row r="18" spans="1:16" x14ac:dyDescent="0.3">
      <c r="E18" s="13" t="s">
        <v>611</v>
      </c>
      <c r="F18" s="12">
        <v>0.01</v>
      </c>
      <c r="J18" s="63"/>
      <c r="K18" s="63"/>
      <c r="L18" s="15">
        <v>-4.96</v>
      </c>
      <c r="M18" s="54">
        <v>-113.103936</v>
      </c>
    </row>
    <row r="19" spans="1:16" s="21" customFormat="1" x14ac:dyDescent="0.3">
      <c r="A19" s="17"/>
      <c r="B19"/>
      <c r="C19"/>
      <c r="D19"/>
      <c r="G19"/>
      <c r="H19"/>
      <c r="I19"/>
      <c r="J19" s="27"/>
      <c r="K19" s="15"/>
      <c r="L19" s="15">
        <v>-4.95</v>
      </c>
      <c r="M19" s="54">
        <v>-112.38737500000001</v>
      </c>
      <c r="N19" s="15"/>
      <c r="O19" s="15"/>
      <c r="P19" s="15"/>
    </row>
    <row r="20" spans="1:16" s="21" customFormat="1" x14ac:dyDescent="0.3">
      <c r="A20" s="17"/>
      <c r="B20"/>
      <c r="C20"/>
      <c r="D20"/>
      <c r="G20"/>
      <c r="H20"/>
      <c r="I20"/>
      <c r="J20" s="27"/>
      <c r="K20" s="15"/>
      <c r="L20" s="15">
        <v>-4.9400000000000004</v>
      </c>
      <c r="M20" s="54">
        <v>-111.67378400000004</v>
      </c>
      <c r="N20" s="15"/>
      <c r="O20" s="15"/>
      <c r="P20" s="15"/>
    </row>
    <row r="21" spans="1:16" s="21" customFormat="1" x14ac:dyDescent="0.3">
      <c r="A21" s="17"/>
      <c r="B21"/>
      <c r="C21"/>
      <c r="D21"/>
      <c r="G21"/>
      <c r="H21"/>
      <c r="I21"/>
      <c r="J21" s="27"/>
      <c r="K21" s="15"/>
      <c r="L21" s="15">
        <v>-4.93</v>
      </c>
      <c r="M21" s="54">
        <v>-110.96315699999998</v>
      </c>
      <c r="N21" s="15"/>
      <c r="O21" s="15"/>
      <c r="P21" s="15"/>
    </row>
    <row r="22" spans="1:16" s="21" customFormat="1" x14ac:dyDescent="0.3">
      <c r="A22" s="17"/>
      <c r="B22"/>
      <c r="C22"/>
      <c r="D22"/>
      <c r="G22"/>
      <c r="H22"/>
      <c r="I22"/>
      <c r="J22" s="27"/>
      <c r="K22" s="15"/>
      <c r="L22" s="15">
        <v>-4.92</v>
      </c>
      <c r="M22" s="54">
        <v>-110.25548799999999</v>
      </c>
      <c r="N22" s="15"/>
      <c r="O22" s="15"/>
      <c r="P22" s="15"/>
    </row>
    <row r="23" spans="1:16" s="21" customFormat="1" x14ac:dyDescent="0.3">
      <c r="A23" s="17"/>
      <c r="B23"/>
      <c r="C23"/>
      <c r="D23"/>
      <c r="E23"/>
      <c r="F23"/>
      <c r="G23"/>
      <c r="H23"/>
      <c r="I23"/>
      <c r="J23" s="27"/>
      <c r="K23" s="15"/>
      <c r="L23" s="15">
        <v>-4.91</v>
      </c>
      <c r="M23" s="54">
        <v>-109.550771</v>
      </c>
      <c r="N23" s="15"/>
      <c r="O23" s="15"/>
      <c r="P23" s="15"/>
    </row>
    <row r="24" spans="1:16" s="21" customFormat="1" x14ac:dyDescent="0.3">
      <c r="A24" s="17"/>
      <c r="B24"/>
      <c r="C24"/>
      <c r="D24"/>
      <c r="E24"/>
      <c r="F24"/>
      <c r="G24"/>
      <c r="H24"/>
      <c r="I24"/>
      <c r="J24" s="27"/>
      <c r="K24" s="15"/>
      <c r="L24" s="15">
        <v>-4.9000000000000004</v>
      </c>
      <c r="M24" s="54">
        <v>-108.84900000000003</v>
      </c>
      <c r="N24" s="15"/>
      <c r="O24" s="15"/>
      <c r="P24" s="15"/>
    </row>
    <row r="25" spans="1:16" s="21" customFormat="1" x14ac:dyDescent="0.3">
      <c r="A25" s="17"/>
      <c r="B25"/>
      <c r="C25"/>
      <c r="D25" s="1" t="s">
        <v>17</v>
      </c>
      <c r="E25" s="13" t="s">
        <v>608</v>
      </c>
      <c r="F25" s="139" t="s">
        <v>612</v>
      </c>
      <c r="G25" s="139"/>
      <c r="H25" s="139"/>
      <c r="I25"/>
      <c r="J25" s="63" cm="1">
        <f t="array" ref="J25:J26">FZERO($F$25,$F$27,$F$28,$F$29)</f>
        <v>-1.4100000000000001</v>
      </c>
      <c r="K25" s="15"/>
      <c r="L25" s="15">
        <v>-4.8899999999999997</v>
      </c>
      <c r="M25" s="54">
        <v>-108.15016899999996</v>
      </c>
      <c r="N25" s="15"/>
      <c r="O25" s="15"/>
      <c r="P25" s="15"/>
    </row>
    <row r="26" spans="1:16" s="21" customFormat="1" x14ac:dyDescent="0.3">
      <c r="A26" s="17"/>
      <c r="B26"/>
      <c r="C26"/>
      <c r="D26"/>
      <c r="E26"/>
      <c r="F26"/>
      <c r="G26"/>
      <c r="H26"/>
      <c r="I26"/>
      <c r="J26" s="27">
        <v>1.4200000000000017</v>
      </c>
      <c r="K26" s="15"/>
      <c r="L26" s="15">
        <v>-4.88</v>
      </c>
      <c r="M26" s="54">
        <v>-107.45427199999999</v>
      </c>
      <c r="N26" s="15"/>
      <c r="O26" s="15"/>
      <c r="P26" s="15"/>
    </row>
    <row r="27" spans="1:16" s="21" customFormat="1" x14ac:dyDescent="0.3">
      <c r="A27" s="17"/>
      <c r="B27"/>
      <c r="C27"/>
      <c r="D27"/>
      <c r="E27" s="13" t="s">
        <v>609</v>
      </c>
      <c r="F27" s="12">
        <v>-15</v>
      </c>
      <c r="G27"/>
      <c r="H27"/>
      <c r="I27"/>
      <c r="J27" s="27"/>
      <c r="K27" s="15"/>
      <c r="L27" s="15">
        <v>-4.87</v>
      </c>
      <c r="M27" s="54">
        <v>-106.76130300000003</v>
      </c>
      <c r="N27" s="15"/>
      <c r="O27" s="15"/>
      <c r="P27" s="15"/>
    </row>
    <row r="28" spans="1:16" s="21" customFormat="1" x14ac:dyDescent="0.3">
      <c r="A28" s="17"/>
      <c r="B28"/>
      <c r="C28"/>
      <c r="D28"/>
      <c r="E28" s="13" t="s">
        <v>610</v>
      </c>
      <c r="F28" s="12">
        <v>15</v>
      </c>
      <c r="G28"/>
      <c r="H28"/>
      <c r="I28"/>
      <c r="J28" s="27"/>
      <c r="K28" s="15"/>
      <c r="L28" s="15">
        <v>-4.8600000000000003</v>
      </c>
      <c r="M28" s="54">
        <v>-106.07125600000002</v>
      </c>
      <c r="N28" s="15"/>
      <c r="O28" s="15"/>
      <c r="P28" s="15"/>
    </row>
    <row r="29" spans="1:16" s="21" customFormat="1" x14ac:dyDescent="0.3">
      <c r="A29" s="17"/>
      <c r="B29"/>
      <c r="C29"/>
      <c r="D29"/>
      <c r="E29" s="13" t="s">
        <v>611</v>
      </c>
      <c r="F29" s="12">
        <v>0.01</v>
      </c>
      <c r="G29"/>
      <c r="H29"/>
      <c r="I29"/>
      <c r="J29" s="27"/>
      <c r="K29" s="15"/>
      <c r="L29" s="15">
        <v>-4.8499999999999996</v>
      </c>
      <c r="M29" s="54">
        <v>-105.38412499999997</v>
      </c>
      <c r="N29" s="15"/>
      <c r="O29" s="15"/>
      <c r="P29" s="15"/>
    </row>
    <row r="30" spans="1:16" s="21" customFormat="1" x14ac:dyDescent="0.3">
      <c r="A30" s="17"/>
      <c r="B30"/>
      <c r="C30"/>
      <c r="D30"/>
      <c r="G30"/>
      <c r="H30"/>
      <c r="I30"/>
      <c r="J30" s="27"/>
      <c r="K30" s="15"/>
      <c r="L30" s="15">
        <v>-4.84</v>
      </c>
      <c r="M30" s="54">
        <v>-104.699904</v>
      </c>
      <c r="N30" s="15"/>
      <c r="O30" s="15"/>
      <c r="P30" s="15"/>
    </row>
    <row r="31" spans="1:16" s="21" customFormat="1" x14ac:dyDescent="0.3">
      <c r="A31" s="17"/>
      <c r="B31"/>
      <c r="C31"/>
      <c r="D31"/>
      <c r="G31"/>
      <c r="H31"/>
      <c r="I31"/>
      <c r="J31" s="27"/>
      <c r="K31" s="15"/>
      <c r="L31" s="15">
        <v>-4.83</v>
      </c>
      <c r="M31" s="54">
        <v>-104.01858700000001</v>
      </c>
      <c r="N31" s="15"/>
      <c r="O31" s="15"/>
      <c r="P31" s="15"/>
    </row>
    <row r="32" spans="1:16" s="21" customFormat="1" x14ac:dyDescent="0.3">
      <c r="A32" s="17"/>
      <c r="B32"/>
      <c r="C32"/>
      <c r="D32"/>
      <c r="G32"/>
      <c r="H32"/>
      <c r="I32"/>
      <c r="J32" s="27"/>
      <c r="K32" s="15"/>
      <c r="L32" s="15">
        <v>-4.82</v>
      </c>
      <c r="M32" s="54">
        <v>-103.34016800000002</v>
      </c>
      <c r="N32" s="15"/>
      <c r="O32" s="15"/>
      <c r="P32" s="15"/>
    </row>
    <row r="33" spans="1:16" s="21" customFormat="1" x14ac:dyDescent="0.3">
      <c r="A33" s="17"/>
      <c r="B33"/>
      <c r="C33"/>
      <c r="D33"/>
      <c r="E33"/>
      <c r="F33"/>
      <c r="G33"/>
      <c r="H33"/>
      <c r="I33"/>
      <c r="J33" s="27"/>
      <c r="K33" s="15"/>
      <c r="L33" s="15">
        <v>-4.8099999999999996</v>
      </c>
      <c r="M33" s="54">
        <v>-102.66464099999996</v>
      </c>
      <c r="N33" s="15"/>
      <c r="O33" s="15"/>
      <c r="P33" s="15"/>
    </row>
    <row r="34" spans="1:16" s="21" customFormat="1" x14ac:dyDescent="0.3">
      <c r="A34" s="17"/>
      <c r="B34"/>
      <c r="C34"/>
      <c r="D34"/>
      <c r="E34"/>
      <c r="F34"/>
      <c r="G34"/>
      <c r="H34"/>
      <c r="I34"/>
      <c r="J34" s="27"/>
      <c r="K34" s="15"/>
      <c r="L34" s="15">
        <v>-4.8</v>
      </c>
      <c r="M34" s="54">
        <v>-101.992</v>
      </c>
      <c r="N34" s="15"/>
      <c r="O34" s="15"/>
      <c r="P34" s="15"/>
    </row>
    <row r="35" spans="1:16" s="21" customFormat="1" x14ac:dyDescent="0.3">
      <c r="A35" s="17"/>
      <c r="B35"/>
      <c r="C35"/>
      <c r="D35"/>
      <c r="E35"/>
      <c r="F35"/>
      <c r="G35"/>
      <c r="H35"/>
      <c r="I35"/>
      <c r="J35" s="27"/>
      <c r="K35" s="15"/>
      <c r="L35" s="15">
        <v>-4.79</v>
      </c>
      <c r="M35" s="54">
        <v>-101.322239</v>
      </c>
      <c r="N35" s="15"/>
      <c r="O35" s="15"/>
      <c r="P35" s="15"/>
    </row>
    <row r="36" spans="1:16" s="21" customFormat="1" x14ac:dyDescent="0.3">
      <c r="A36" s="17"/>
      <c r="B36"/>
      <c r="C36"/>
      <c r="D36"/>
      <c r="E36"/>
      <c r="F36"/>
      <c r="G36"/>
      <c r="H36"/>
      <c r="I36"/>
      <c r="J36" s="27"/>
      <c r="K36" s="15"/>
      <c r="L36" s="15">
        <v>-4.78</v>
      </c>
      <c r="M36" s="54">
        <v>-100.65535200000001</v>
      </c>
      <c r="N36" s="15"/>
      <c r="O36" s="15"/>
      <c r="P36" s="15"/>
    </row>
    <row r="37" spans="1:16" s="21" customFormat="1" x14ac:dyDescent="0.3">
      <c r="A37" s="17"/>
      <c r="B37"/>
      <c r="C37"/>
      <c r="D37"/>
      <c r="E37"/>
      <c r="F37"/>
      <c r="G37"/>
      <c r="H37"/>
      <c r="I37"/>
      <c r="J37" s="27"/>
      <c r="K37" s="15"/>
      <c r="L37" s="15">
        <v>-4.7699999999999996</v>
      </c>
      <c r="M37" s="54">
        <v>-99.991332999999969</v>
      </c>
      <c r="N37" s="15"/>
      <c r="O37" s="15"/>
      <c r="P37" s="15"/>
    </row>
    <row r="38" spans="1:16" s="21" customFormat="1" x14ac:dyDescent="0.3">
      <c r="A38" s="17"/>
      <c r="B38"/>
      <c r="C38"/>
      <c r="D38"/>
      <c r="E38"/>
      <c r="F38"/>
      <c r="G38"/>
      <c r="H38"/>
      <c r="I38"/>
      <c r="J38" s="27"/>
      <c r="K38" s="15"/>
      <c r="L38" s="15">
        <v>-4.76</v>
      </c>
      <c r="M38" s="54">
        <v>-99.330175999999994</v>
      </c>
      <c r="N38" s="15"/>
      <c r="O38" s="15"/>
      <c r="P38" s="15"/>
    </row>
    <row r="39" spans="1:16" s="21" customFormat="1" x14ac:dyDescent="0.3">
      <c r="A39" s="17"/>
      <c r="B39"/>
      <c r="C39"/>
      <c r="D39"/>
      <c r="E39"/>
      <c r="F39"/>
      <c r="G39"/>
      <c r="H39"/>
      <c r="I39"/>
      <c r="J39" s="27"/>
      <c r="K39" s="15"/>
      <c r="L39" s="15">
        <v>-4.75</v>
      </c>
      <c r="M39" s="54">
        <v>-98.671875</v>
      </c>
      <c r="N39" s="15"/>
      <c r="O39" s="15"/>
      <c r="P39" s="15"/>
    </row>
    <row r="40" spans="1:16" s="21" customFormat="1" x14ac:dyDescent="0.3">
      <c r="A40" s="17"/>
      <c r="B40"/>
      <c r="C40"/>
      <c r="D40"/>
      <c r="E40"/>
      <c r="F40"/>
      <c r="G40"/>
      <c r="H40"/>
      <c r="I40"/>
      <c r="J40" s="27"/>
      <c r="K40" s="15"/>
      <c r="L40" s="15">
        <v>-4.74</v>
      </c>
      <c r="M40" s="54">
        <v>-98.016424000000001</v>
      </c>
      <c r="N40" s="15"/>
      <c r="O40" s="15"/>
      <c r="P40" s="15"/>
    </row>
    <row r="41" spans="1:16" s="21" customFormat="1" x14ac:dyDescent="0.3">
      <c r="A41" s="17"/>
      <c r="B41"/>
      <c r="C41"/>
      <c r="D41"/>
      <c r="E41"/>
      <c r="F41"/>
      <c r="G41"/>
      <c r="H41"/>
      <c r="I41"/>
      <c r="J41" s="27"/>
      <c r="K41" s="15"/>
      <c r="L41" s="15">
        <v>-4.7300000000000004</v>
      </c>
      <c r="M41" s="54">
        <v>-97.36381700000004</v>
      </c>
      <c r="N41" s="15"/>
      <c r="O41" s="15"/>
      <c r="P41" s="15"/>
    </row>
    <row r="42" spans="1:16" s="21" customFormat="1" x14ac:dyDescent="0.3">
      <c r="A42" s="17"/>
      <c r="B42"/>
      <c r="C42"/>
      <c r="D42"/>
      <c r="E42"/>
      <c r="F42"/>
      <c r="G42"/>
      <c r="H42"/>
      <c r="I42"/>
      <c r="J42" s="27"/>
      <c r="K42" s="15"/>
      <c r="L42" s="15">
        <v>-4.72</v>
      </c>
      <c r="M42" s="54">
        <v>-96.714047999999991</v>
      </c>
      <c r="N42" s="15"/>
      <c r="O42" s="15"/>
      <c r="P42" s="15"/>
    </row>
    <row r="43" spans="1:16" s="21" customFormat="1" x14ac:dyDescent="0.3">
      <c r="A43" s="17"/>
      <c r="B43"/>
      <c r="C43"/>
      <c r="D43"/>
      <c r="E43"/>
      <c r="F43"/>
      <c r="G43"/>
      <c r="H43"/>
      <c r="I43"/>
      <c r="J43" s="27"/>
      <c r="K43" s="15"/>
      <c r="L43" s="15">
        <v>-4.71</v>
      </c>
      <c r="M43" s="54">
        <v>-96.067110999999997</v>
      </c>
      <c r="N43" s="15"/>
      <c r="O43" s="15"/>
      <c r="P43" s="15"/>
    </row>
    <row r="44" spans="1:16" s="21" customFormat="1" x14ac:dyDescent="0.3">
      <c r="A44" s="17"/>
      <c r="B44"/>
      <c r="C44"/>
      <c r="D44"/>
      <c r="E44"/>
      <c r="F44"/>
      <c r="G44"/>
      <c r="H44"/>
      <c r="I44"/>
      <c r="J44" s="27"/>
      <c r="K44" s="15"/>
      <c r="L44" s="15">
        <v>-4.7</v>
      </c>
      <c r="M44" s="54">
        <v>-95.423000000000016</v>
      </c>
      <c r="N44" s="15"/>
      <c r="O44" s="15"/>
      <c r="P44" s="15"/>
    </row>
    <row r="45" spans="1:16" s="21" customFormat="1" x14ac:dyDescent="0.3">
      <c r="A45" s="17"/>
      <c r="B45"/>
      <c r="C45"/>
      <c r="D45"/>
      <c r="E45"/>
      <c r="F45"/>
      <c r="G45"/>
      <c r="H45"/>
      <c r="I45"/>
      <c r="J45" s="27"/>
      <c r="K45" s="15"/>
      <c r="L45" s="15">
        <v>-4.6900000000000004</v>
      </c>
      <c r="M45" s="54">
        <v>-94.781709000000021</v>
      </c>
      <c r="N45" s="15"/>
      <c r="O45" s="15"/>
      <c r="P45" s="15"/>
    </row>
    <row r="46" spans="1:16" s="21" customFormat="1" x14ac:dyDescent="0.3">
      <c r="A46" s="17"/>
      <c r="B46"/>
      <c r="C46"/>
      <c r="D46"/>
      <c r="E46"/>
      <c r="F46"/>
      <c r="G46"/>
      <c r="H46"/>
      <c r="I46"/>
      <c r="J46" s="27"/>
      <c r="K46" s="15"/>
      <c r="L46" s="15">
        <v>-4.68</v>
      </c>
      <c r="M46" s="54">
        <v>-94.143231999999983</v>
      </c>
      <c r="N46" s="15"/>
      <c r="O46" s="15"/>
      <c r="P46" s="15"/>
    </row>
    <row r="47" spans="1:16" s="21" customFormat="1" x14ac:dyDescent="0.3">
      <c r="A47" s="17"/>
      <c r="B47"/>
      <c r="C47"/>
      <c r="D47"/>
      <c r="E47"/>
      <c r="F47"/>
      <c r="G47"/>
      <c r="H47"/>
      <c r="I47"/>
      <c r="J47" s="27"/>
      <c r="K47" s="15"/>
      <c r="L47" s="15">
        <v>-4.67</v>
      </c>
      <c r="M47" s="54">
        <v>-93.50756299999999</v>
      </c>
      <c r="N47" s="15"/>
      <c r="O47" s="15"/>
      <c r="P47" s="15"/>
    </row>
    <row r="48" spans="1:16" s="21" customFormat="1" x14ac:dyDescent="0.3">
      <c r="A48" s="17"/>
      <c r="B48"/>
      <c r="C48"/>
      <c r="D48"/>
      <c r="E48"/>
      <c r="F48"/>
      <c r="G48"/>
      <c r="H48"/>
      <c r="I48"/>
      <c r="J48" s="27"/>
      <c r="K48" s="15"/>
      <c r="L48" s="15">
        <v>-4.66</v>
      </c>
      <c r="M48" s="54">
        <v>-92.874696</v>
      </c>
      <c r="N48" s="15"/>
      <c r="O48" s="15"/>
      <c r="P48" s="15"/>
    </row>
    <row r="49" spans="1:16" s="21" customFormat="1" x14ac:dyDescent="0.3">
      <c r="A49" s="17"/>
      <c r="B49"/>
      <c r="C49"/>
      <c r="D49"/>
      <c r="E49"/>
      <c r="F49"/>
      <c r="G49"/>
      <c r="H49"/>
      <c r="I49"/>
      <c r="J49" s="27"/>
      <c r="K49" s="15"/>
      <c r="L49" s="15">
        <v>-4.6500000000000004</v>
      </c>
      <c r="M49" s="54">
        <v>-92.244625000000028</v>
      </c>
      <c r="N49" s="15"/>
      <c r="O49" s="15"/>
      <c r="P49" s="15"/>
    </row>
    <row r="50" spans="1:16" s="21" customFormat="1" x14ac:dyDescent="0.3">
      <c r="A50" s="17"/>
      <c r="B50"/>
      <c r="C50"/>
      <c r="D50"/>
      <c r="E50"/>
      <c r="F50"/>
      <c r="G50"/>
      <c r="H50"/>
      <c r="I50"/>
      <c r="J50" s="27"/>
      <c r="K50" s="15"/>
      <c r="L50" s="15">
        <v>-4.6399999999999997</v>
      </c>
      <c r="M50" s="54">
        <v>-91.617343999999989</v>
      </c>
      <c r="N50" s="15"/>
      <c r="O50" s="15"/>
      <c r="P50" s="15"/>
    </row>
    <row r="51" spans="1:16" s="21" customFormat="1" x14ac:dyDescent="0.3">
      <c r="A51" s="17"/>
      <c r="B51"/>
      <c r="C51"/>
      <c r="D51"/>
      <c r="E51"/>
      <c r="F51"/>
      <c r="G51"/>
      <c r="H51"/>
      <c r="I51"/>
      <c r="J51" s="27"/>
      <c r="K51" s="15"/>
      <c r="L51" s="15">
        <v>-4.63</v>
      </c>
      <c r="M51" s="54">
        <v>-90.992846999999983</v>
      </c>
      <c r="N51" s="15"/>
      <c r="O51" s="15"/>
      <c r="P51" s="15"/>
    </row>
    <row r="52" spans="1:16" s="21" customFormat="1" x14ac:dyDescent="0.3">
      <c r="A52" s="17"/>
      <c r="B52"/>
      <c r="C52"/>
      <c r="D52"/>
      <c r="E52"/>
      <c r="F52"/>
      <c r="G52"/>
      <c r="H52"/>
      <c r="I52"/>
      <c r="J52" s="27"/>
      <c r="K52" s="15"/>
      <c r="L52" s="15">
        <v>-4.62</v>
      </c>
      <c r="M52" s="54">
        <v>-90.371128000000013</v>
      </c>
      <c r="N52" s="15"/>
      <c r="O52" s="15"/>
      <c r="P52" s="15"/>
    </row>
    <row r="53" spans="1:16" s="21" customFormat="1" x14ac:dyDescent="0.3">
      <c r="A53" s="17"/>
      <c r="B53"/>
      <c r="C53"/>
      <c r="D53"/>
      <c r="E53"/>
      <c r="F53"/>
      <c r="G53"/>
      <c r="H53"/>
      <c r="I53"/>
      <c r="J53" s="27"/>
      <c r="K53" s="15"/>
      <c r="L53" s="15">
        <v>-4.6100000000000003</v>
      </c>
      <c r="M53" s="54">
        <v>-89.752181000000022</v>
      </c>
      <c r="N53" s="15"/>
      <c r="O53" s="15"/>
      <c r="P53" s="15"/>
    </row>
    <row r="54" spans="1:16" s="21" customFormat="1" x14ac:dyDescent="0.3">
      <c r="A54" s="17"/>
      <c r="B54"/>
      <c r="C54"/>
      <c r="D54"/>
      <c r="E54"/>
      <c r="F54"/>
      <c r="G54"/>
      <c r="H54"/>
      <c r="I54"/>
      <c r="J54" s="27"/>
      <c r="K54" s="15"/>
      <c r="L54" s="15">
        <v>-4.5999999999999996</v>
      </c>
      <c r="M54" s="54">
        <v>-89.135999999999967</v>
      </c>
      <c r="N54" s="15"/>
      <c r="O54" s="15"/>
      <c r="P54" s="15"/>
    </row>
    <row r="55" spans="1:16" s="21" customFormat="1" x14ac:dyDescent="0.3">
      <c r="A55" s="17"/>
      <c r="B55"/>
      <c r="C55"/>
      <c r="D55"/>
      <c r="E55"/>
      <c r="F55"/>
      <c r="G55"/>
      <c r="H55"/>
      <c r="I55"/>
      <c r="J55" s="27"/>
      <c r="K55" s="15"/>
      <c r="L55" s="15">
        <v>-4.59</v>
      </c>
      <c r="M55" s="54">
        <v>-88.522578999999979</v>
      </c>
      <c r="N55" s="15"/>
      <c r="O55" s="15"/>
      <c r="P55" s="15"/>
    </row>
    <row r="56" spans="1:16" s="21" customFormat="1" x14ac:dyDescent="0.3">
      <c r="A56" s="17"/>
      <c r="B56"/>
      <c r="C56"/>
      <c r="D56"/>
      <c r="E56"/>
      <c r="F56"/>
      <c r="G56"/>
      <c r="H56"/>
      <c r="I56"/>
      <c r="J56" s="27"/>
      <c r="K56" s="15"/>
      <c r="L56" s="15">
        <v>-4.58</v>
      </c>
      <c r="M56" s="54">
        <v>-87.911912000000015</v>
      </c>
      <c r="N56" s="15"/>
      <c r="O56" s="15"/>
      <c r="P56" s="15"/>
    </row>
    <row r="57" spans="1:16" s="21" customFormat="1" x14ac:dyDescent="0.3">
      <c r="A57" s="17"/>
      <c r="B57"/>
      <c r="C57"/>
      <c r="D57"/>
      <c r="E57"/>
      <c r="F57"/>
      <c r="G57"/>
      <c r="H57"/>
      <c r="I57"/>
      <c r="J57" s="27"/>
      <c r="K57" s="15"/>
      <c r="L57" s="15">
        <v>-4.57</v>
      </c>
      <c r="M57" s="54">
        <v>-87.30399300000002</v>
      </c>
      <c r="N57" s="15"/>
      <c r="O57" s="15"/>
      <c r="P57" s="15"/>
    </row>
    <row r="58" spans="1:16" s="21" customFormat="1" x14ac:dyDescent="0.3">
      <c r="A58" s="17"/>
      <c r="B58"/>
      <c r="C58"/>
      <c r="D58"/>
      <c r="E58"/>
      <c r="F58"/>
      <c r="G58"/>
      <c r="H58"/>
      <c r="I58"/>
      <c r="J58" s="27"/>
      <c r="K58" s="15"/>
      <c r="L58" s="15">
        <v>-4.5599999999999996</v>
      </c>
      <c r="M58" s="54">
        <v>-86.698815999999979</v>
      </c>
      <c r="N58" s="15"/>
      <c r="O58" s="15"/>
      <c r="P58" s="15"/>
    </row>
    <row r="59" spans="1:16" s="21" customFormat="1" x14ac:dyDescent="0.3">
      <c r="A59" s="17"/>
      <c r="B59"/>
      <c r="C59"/>
      <c r="D59"/>
      <c r="E59"/>
      <c r="F59"/>
      <c r="G59"/>
      <c r="H59"/>
      <c r="I59"/>
      <c r="J59" s="27"/>
      <c r="K59" s="15"/>
      <c r="L59" s="15">
        <v>-4.55</v>
      </c>
      <c r="M59" s="54">
        <v>-86.096374999999995</v>
      </c>
      <c r="N59" s="15"/>
      <c r="O59" s="15"/>
      <c r="P59" s="15"/>
    </row>
    <row r="60" spans="1:16" s="21" customFormat="1" x14ac:dyDescent="0.3">
      <c r="A60" s="17"/>
      <c r="B60"/>
      <c r="C60"/>
      <c r="D60"/>
      <c r="E60"/>
      <c r="F60"/>
      <c r="G60"/>
      <c r="H60"/>
      <c r="I60"/>
      <c r="J60" s="27"/>
      <c r="K60" s="15"/>
      <c r="L60" s="15">
        <v>-4.54</v>
      </c>
      <c r="M60" s="54">
        <v>-85.496663999999996</v>
      </c>
      <c r="N60" s="15"/>
      <c r="O60" s="15"/>
      <c r="P60" s="15"/>
    </row>
    <row r="61" spans="1:16" s="21" customFormat="1" x14ac:dyDescent="0.3">
      <c r="A61" s="17"/>
      <c r="B61"/>
      <c r="C61"/>
      <c r="D61"/>
      <c r="E61"/>
      <c r="F61"/>
      <c r="G61"/>
      <c r="H61"/>
      <c r="I61"/>
      <c r="J61" s="27"/>
      <c r="K61" s="15"/>
      <c r="L61" s="15">
        <v>-4.53</v>
      </c>
      <c r="M61" s="54">
        <v>-84.899677000000011</v>
      </c>
      <c r="N61" s="15"/>
      <c r="O61" s="15"/>
      <c r="P61" s="15"/>
    </row>
    <row r="62" spans="1:16" s="21" customFormat="1" x14ac:dyDescent="0.3">
      <c r="A62" s="17"/>
      <c r="B62"/>
      <c r="C62"/>
      <c r="D62"/>
      <c r="E62"/>
      <c r="F62"/>
      <c r="G62"/>
      <c r="H62"/>
      <c r="I62"/>
      <c r="J62" s="27"/>
      <c r="K62" s="15"/>
      <c r="L62" s="15">
        <v>-4.5199999999999996</v>
      </c>
      <c r="M62" s="54">
        <v>-84.305407999999971</v>
      </c>
      <c r="N62" s="15"/>
      <c r="O62" s="15"/>
      <c r="P62" s="15"/>
    </row>
    <row r="63" spans="1:16" s="21" customFormat="1" x14ac:dyDescent="0.3">
      <c r="A63" s="17"/>
      <c r="B63"/>
      <c r="C63"/>
      <c r="D63"/>
      <c r="E63"/>
      <c r="F63"/>
      <c r="G63"/>
      <c r="H63"/>
      <c r="I63"/>
      <c r="J63" s="27"/>
      <c r="K63" s="15"/>
      <c r="L63" s="15">
        <v>-4.51</v>
      </c>
      <c r="M63" s="54">
        <v>-83.713850999999991</v>
      </c>
      <c r="N63" s="15"/>
      <c r="O63" s="15"/>
      <c r="P63" s="15"/>
    </row>
    <row r="64" spans="1:16" s="21" customFormat="1" x14ac:dyDescent="0.3">
      <c r="A64" s="17"/>
      <c r="B64"/>
      <c r="C64"/>
      <c r="D64"/>
      <c r="E64"/>
      <c r="F64"/>
      <c r="G64"/>
      <c r="H64"/>
      <c r="I64"/>
      <c r="J64" s="27"/>
      <c r="K64" s="15"/>
      <c r="L64" s="15">
        <v>-4.5</v>
      </c>
      <c r="M64" s="54">
        <v>-83.125</v>
      </c>
      <c r="N64" s="15"/>
      <c r="O64" s="15"/>
      <c r="P64" s="15"/>
    </row>
    <row r="65" spans="1:16" s="21" customFormat="1" x14ac:dyDescent="0.3">
      <c r="A65" s="17"/>
      <c r="B65"/>
      <c r="C65"/>
      <c r="D65"/>
      <c r="E65"/>
      <c r="F65"/>
      <c r="G65"/>
      <c r="H65"/>
      <c r="I65"/>
      <c r="J65" s="27"/>
      <c r="K65" s="15"/>
      <c r="L65" s="15">
        <v>-4.49</v>
      </c>
      <c r="M65" s="54">
        <v>-82.538849000000013</v>
      </c>
      <c r="N65" s="15"/>
      <c r="O65" s="15"/>
      <c r="P65" s="15"/>
    </row>
    <row r="66" spans="1:16" s="21" customFormat="1" x14ac:dyDescent="0.3">
      <c r="A66" s="17"/>
      <c r="B66"/>
      <c r="C66"/>
      <c r="D66"/>
      <c r="E66"/>
      <c r="F66"/>
      <c r="G66"/>
      <c r="H66"/>
      <c r="I66"/>
      <c r="J66" s="27"/>
      <c r="K66" s="15"/>
      <c r="L66" s="15">
        <v>-4.4800000000000004</v>
      </c>
      <c r="M66" s="54">
        <v>-81.955392000000018</v>
      </c>
      <c r="N66" s="15"/>
      <c r="O66" s="15"/>
      <c r="P66" s="15"/>
    </row>
    <row r="67" spans="1:16" s="21" customFormat="1" x14ac:dyDescent="0.3">
      <c r="A67" s="17"/>
      <c r="B67"/>
      <c r="C67"/>
      <c r="D67"/>
      <c r="E67"/>
      <c r="F67"/>
      <c r="G67"/>
      <c r="H67"/>
      <c r="I67"/>
      <c r="J67" s="27"/>
      <c r="K67" s="15"/>
      <c r="L67" s="15">
        <v>-4.47</v>
      </c>
      <c r="M67" s="54">
        <v>-81.374622999999985</v>
      </c>
      <c r="N67" s="15"/>
      <c r="O67" s="15"/>
      <c r="P67" s="15"/>
    </row>
    <row r="68" spans="1:16" s="21" customFormat="1" x14ac:dyDescent="0.3">
      <c r="A68" s="17"/>
      <c r="B68"/>
      <c r="C68"/>
      <c r="D68"/>
      <c r="E68"/>
      <c r="F68"/>
      <c r="G68"/>
      <c r="H68"/>
      <c r="I68"/>
      <c r="J68" s="27"/>
      <c r="K68" s="15"/>
      <c r="L68" s="15">
        <v>-4.46</v>
      </c>
      <c r="M68" s="54">
        <v>-80.796536000000003</v>
      </c>
      <c r="N68" s="15"/>
      <c r="O68" s="15"/>
      <c r="P68" s="15"/>
    </row>
    <row r="69" spans="1:16" s="21" customFormat="1" x14ac:dyDescent="0.3">
      <c r="A69" s="17"/>
      <c r="B69"/>
      <c r="C69"/>
      <c r="D69"/>
      <c r="E69"/>
      <c r="F69"/>
      <c r="G69"/>
      <c r="H69"/>
      <c r="I69"/>
      <c r="J69" s="27"/>
      <c r="K69" s="15"/>
      <c r="L69" s="15">
        <v>-4.45</v>
      </c>
      <c r="M69" s="54">
        <v>-80.221125000000001</v>
      </c>
      <c r="N69" s="15"/>
      <c r="O69" s="15"/>
      <c r="P69" s="15"/>
    </row>
    <row r="70" spans="1:16" s="21" customFormat="1" x14ac:dyDescent="0.3">
      <c r="A70" s="17"/>
      <c r="B70"/>
      <c r="C70"/>
      <c r="D70"/>
      <c r="E70"/>
      <c r="F70"/>
      <c r="G70"/>
      <c r="H70"/>
      <c r="I70"/>
      <c r="J70" s="27"/>
      <c r="K70" s="15"/>
      <c r="L70" s="15">
        <v>-4.4399999999999995</v>
      </c>
      <c r="M70" s="54">
        <v>-79.648384000000021</v>
      </c>
      <c r="N70" s="15"/>
      <c r="O70" s="15"/>
      <c r="P70" s="15"/>
    </row>
    <row r="71" spans="1:16" s="21" customFormat="1" x14ac:dyDescent="0.3">
      <c r="A71" s="17"/>
      <c r="B71"/>
      <c r="C71"/>
      <c r="D71"/>
      <c r="E71"/>
      <c r="F71"/>
      <c r="G71"/>
      <c r="H71"/>
      <c r="I71"/>
      <c r="J71" s="27"/>
      <c r="K71" s="15"/>
      <c r="L71" s="15">
        <v>-4.43</v>
      </c>
      <c r="M71" s="54">
        <v>-79.078306999999981</v>
      </c>
      <c r="N71" s="15"/>
      <c r="O71" s="15"/>
      <c r="P71" s="15"/>
    </row>
    <row r="72" spans="1:16" s="21" customFormat="1" x14ac:dyDescent="0.3">
      <c r="A72" s="17"/>
      <c r="B72"/>
      <c r="C72"/>
      <c r="D72"/>
      <c r="E72"/>
      <c r="F72"/>
      <c r="G72"/>
      <c r="H72"/>
      <c r="I72"/>
      <c r="J72" s="27"/>
      <c r="K72" s="15"/>
      <c r="L72" s="15">
        <v>-4.42</v>
      </c>
      <c r="M72" s="54">
        <v>-78.510887999999994</v>
      </c>
      <c r="N72" s="15"/>
      <c r="O72" s="15"/>
      <c r="P72" s="15"/>
    </row>
    <row r="73" spans="1:16" s="21" customFormat="1" x14ac:dyDescent="0.3">
      <c r="A73" s="17"/>
      <c r="B73"/>
      <c r="C73"/>
      <c r="D73"/>
      <c r="E73"/>
      <c r="F73"/>
      <c r="G73"/>
      <c r="H73"/>
      <c r="I73"/>
      <c r="J73" s="27"/>
      <c r="K73" s="15"/>
      <c r="L73" s="15">
        <v>-4.41</v>
      </c>
      <c r="M73" s="54">
        <v>-77.946121000000005</v>
      </c>
      <c r="N73" s="15"/>
      <c r="O73" s="15"/>
      <c r="P73" s="15"/>
    </row>
    <row r="74" spans="1:16" s="21" customFormat="1" x14ac:dyDescent="0.3">
      <c r="A74" s="17"/>
      <c r="B74"/>
      <c r="C74"/>
      <c r="D74"/>
      <c r="E74"/>
      <c r="F74"/>
      <c r="G74"/>
      <c r="H74"/>
      <c r="I74"/>
      <c r="J74" s="27"/>
      <c r="K74" s="15"/>
      <c r="L74" s="15">
        <v>-4.4000000000000004</v>
      </c>
      <c r="M74" s="54">
        <v>-77.384000000000029</v>
      </c>
      <c r="N74" s="15"/>
      <c r="O74" s="15"/>
      <c r="P74" s="15"/>
    </row>
    <row r="75" spans="1:16" s="21" customFormat="1" x14ac:dyDescent="0.3">
      <c r="A75" s="17"/>
      <c r="B75"/>
      <c r="C75"/>
      <c r="D75"/>
      <c r="E75"/>
      <c r="F75"/>
      <c r="G75"/>
      <c r="H75"/>
      <c r="I75"/>
      <c r="J75" s="27"/>
      <c r="K75" s="15"/>
      <c r="L75" s="15">
        <v>-4.3899999999999997</v>
      </c>
      <c r="M75" s="54">
        <v>-76.824518999999981</v>
      </c>
      <c r="N75" s="15"/>
      <c r="O75" s="15"/>
      <c r="P75" s="15"/>
    </row>
    <row r="76" spans="1:16" s="21" customFormat="1" x14ac:dyDescent="0.3">
      <c r="A76" s="17"/>
      <c r="B76"/>
      <c r="C76"/>
      <c r="D76"/>
      <c r="E76"/>
      <c r="F76"/>
      <c r="G76"/>
      <c r="H76"/>
      <c r="I76"/>
      <c r="J76" s="27"/>
      <c r="K76" s="15"/>
      <c r="L76" s="15">
        <v>-4.38</v>
      </c>
      <c r="M76" s="54">
        <v>-76.26767199999999</v>
      </c>
      <c r="N76" s="15"/>
      <c r="O76" s="15"/>
      <c r="P76" s="15"/>
    </row>
    <row r="77" spans="1:16" s="21" customFormat="1" x14ac:dyDescent="0.3">
      <c r="A77" s="17"/>
      <c r="B77"/>
      <c r="C77"/>
      <c r="D77"/>
      <c r="E77"/>
      <c r="F77"/>
      <c r="G77"/>
      <c r="H77"/>
      <c r="I77"/>
      <c r="J77" s="27"/>
      <c r="K77" s="15"/>
      <c r="L77" s="15">
        <v>-4.37</v>
      </c>
      <c r="M77" s="54">
        <v>-75.713453000000015</v>
      </c>
      <c r="N77" s="15"/>
      <c r="O77" s="15"/>
      <c r="P77" s="15"/>
    </row>
    <row r="78" spans="1:16" s="21" customFormat="1" x14ac:dyDescent="0.3">
      <c r="A78" s="17"/>
      <c r="B78"/>
      <c r="C78"/>
      <c r="D78"/>
      <c r="E78"/>
      <c r="F78"/>
      <c r="G78"/>
      <c r="H78"/>
      <c r="I78"/>
      <c r="J78" s="27"/>
      <c r="K78" s="15"/>
      <c r="L78" s="15">
        <v>-4.3600000000000003</v>
      </c>
      <c r="M78" s="54">
        <v>-75.161856000000014</v>
      </c>
      <c r="N78" s="15"/>
      <c r="O78" s="15"/>
      <c r="P78" s="15"/>
    </row>
    <row r="79" spans="1:16" s="21" customFormat="1" x14ac:dyDescent="0.3">
      <c r="A79" s="17"/>
      <c r="B79"/>
      <c r="C79"/>
      <c r="D79"/>
      <c r="E79"/>
      <c r="F79"/>
      <c r="G79"/>
      <c r="H79"/>
      <c r="I79"/>
      <c r="J79" s="27"/>
      <c r="K79" s="15"/>
      <c r="L79" s="15">
        <v>-4.3499999999999996</v>
      </c>
      <c r="M79" s="54">
        <v>-74.612874999999974</v>
      </c>
      <c r="N79" s="15"/>
      <c r="O79" s="15"/>
      <c r="P79" s="15"/>
    </row>
    <row r="80" spans="1:16" s="21" customFormat="1" x14ac:dyDescent="0.3">
      <c r="A80" s="17"/>
      <c r="B80"/>
      <c r="C80"/>
      <c r="D80"/>
      <c r="E80"/>
      <c r="F80"/>
      <c r="G80"/>
      <c r="H80"/>
      <c r="I80"/>
      <c r="J80" s="27"/>
      <c r="K80" s="15"/>
      <c r="L80" s="15">
        <v>-4.34</v>
      </c>
      <c r="M80" s="54">
        <v>-74.066504000000009</v>
      </c>
      <c r="N80" s="15"/>
      <c r="O80" s="15"/>
      <c r="P80" s="15"/>
    </row>
    <row r="81" spans="1:16" s="21" customFormat="1" x14ac:dyDescent="0.3">
      <c r="A81" s="17"/>
      <c r="B81"/>
      <c r="C81"/>
      <c r="D81"/>
      <c r="E81"/>
      <c r="F81"/>
      <c r="G81"/>
      <c r="H81"/>
      <c r="I81"/>
      <c r="J81" s="27"/>
      <c r="K81" s="15"/>
      <c r="L81" s="15">
        <v>-4.33</v>
      </c>
      <c r="M81" s="54">
        <v>-73.522737000000006</v>
      </c>
      <c r="N81" s="15"/>
      <c r="O81" s="15"/>
      <c r="P81" s="15"/>
    </row>
    <row r="82" spans="1:16" s="21" customFormat="1" x14ac:dyDescent="0.3">
      <c r="A82" s="17"/>
      <c r="B82"/>
      <c r="C82"/>
      <c r="D82"/>
      <c r="E82"/>
      <c r="F82"/>
      <c r="G82"/>
      <c r="H82"/>
      <c r="I82"/>
      <c r="J82" s="27"/>
      <c r="K82" s="15"/>
      <c r="L82" s="15">
        <v>-4.32</v>
      </c>
      <c r="M82" s="54">
        <v>-72.98156800000001</v>
      </c>
      <c r="N82" s="15"/>
      <c r="O82" s="15"/>
      <c r="P82" s="15"/>
    </row>
    <row r="83" spans="1:16" s="21" customFormat="1" x14ac:dyDescent="0.3">
      <c r="A83" s="17"/>
      <c r="B83"/>
      <c r="C83"/>
      <c r="D83"/>
      <c r="E83"/>
      <c r="F83"/>
      <c r="G83"/>
      <c r="H83"/>
      <c r="I83"/>
      <c r="J83" s="27"/>
      <c r="K83" s="15"/>
      <c r="L83" s="15">
        <v>-4.3099999999999996</v>
      </c>
      <c r="M83" s="54">
        <v>-72.442990999999978</v>
      </c>
      <c r="N83" s="15"/>
      <c r="O83" s="15"/>
      <c r="P83" s="15"/>
    </row>
    <row r="84" spans="1:16" s="21" customFormat="1" x14ac:dyDescent="0.3">
      <c r="A84" s="17"/>
      <c r="B84"/>
      <c r="C84"/>
      <c r="D84"/>
      <c r="E84"/>
      <c r="F84"/>
      <c r="G84"/>
      <c r="H84"/>
      <c r="I84"/>
      <c r="J84" s="27"/>
      <c r="K84" s="15"/>
      <c r="L84" s="15">
        <v>-4.3</v>
      </c>
      <c r="M84" s="54">
        <v>-71.906999999999996</v>
      </c>
      <c r="N84" s="15"/>
      <c r="O84" s="15"/>
      <c r="P84" s="15"/>
    </row>
    <row r="85" spans="1:16" s="21" customFormat="1" x14ac:dyDescent="0.3">
      <c r="A85" s="17"/>
      <c r="B85"/>
      <c r="C85"/>
      <c r="D85"/>
      <c r="E85"/>
      <c r="F85"/>
      <c r="G85"/>
      <c r="H85"/>
      <c r="I85"/>
      <c r="J85" s="27"/>
      <c r="K85" s="15"/>
      <c r="L85" s="15">
        <v>-4.29</v>
      </c>
      <c r="M85" s="54">
        <v>-71.373588999999996</v>
      </c>
      <c r="N85" s="15"/>
      <c r="O85" s="15"/>
      <c r="P85" s="15"/>
    </row>
    <row r="86" spans="1:16" s="21" customFormat="1" x14ac:dyDescent="0.3">
      <c r="A86" s="17"/>
      <c r="B86"/>
      <c r="C86"/>
      <c r="D86"/>
      <c r="E86"/>
      <c r="F86"/>
      <c r="G86"/>
      <c r="H86"/>
      <c r="I86"/>
      <c r="J86" s="27"/>
      <c r="K86" s="15"/>
      <c r="L86" s="15">
        <v>-4.28</v>
      </c>
      <c r="M86" s="54">
        <v>-70.842752000000004</v>
      </c>
      <c r="N86" s="15"/>
      <c r="O86" s="15"/>
      <c r="P86" s="15"/>
    </row>
    <row r="87" spans="1:16" s="21" customFormat="1" x14ac:dyDescent="0.3">
      <c r="A87" s="17"/>
      <c r="B87"/>
      <c r="C87"/>
      <c r="D87"/>
      <c r="E87"/>
      <c r="F87"/>
      <c r="G87"/>
      <c r="H87"/>
      <c r="I87"/>
      <c r="J87" s="27"/>
      <c r="K87" s="15"/>
      <c r="L87" s="15">
        <v>-4.2699999999999996</v>
      </c>
      <c r="M87" s="54">
        <v>-70.314482999999967</v>
      </c>
      <c r="N87" s="15"/>
      <c r="O87" s="15"/>
      <c r="P87" s="15"/>
    </row>
    <row r="88" spans="1:16" s="21" customFormat="1" x14ac:dyDescent="0.3">
      <c r="A88" s="17"/>
      <c r="B88"/>
      <c r="C88"/>
      <c r="D88"/>
      <c r="E88"/>
      <c r="F88"/>
      <c r="G88"/>
      <c r="H88"/>
      <c r="I88"/>
      <c r="J88" s="27"/>
      <c r="K88" s="15"/>
      <c r="L88" s="15">
        <v>-4.26</v>
      </c>
      <c r="M88" s="54">
        <v>-69.788775999999984</v>
      </c>
      <c r="N88" s="15"/>
      <c r="O88" s="15"/>
      <c r="P88" s="15"/>
    </row>
    <row r="89" spans="1:16" s="21" customFormat="1" x14ac:dyDescent="0.3">
      <c r="A89" s="17"/>
      <c r="B89"/>
      <c r="C89"/>
      <c r="D89"/>
      <c r="E89"/>
      <c r="F89"/>
      <c r="G89"/>
      <c r="H89"/>
      <c r="I89"/>
      <c r="J89" s="27"/>
      <c r="K89" s="15"/>
      <c r="L89" s="15">
        <v>-4.25</v>
      </c>
      <c r="M89" s="54">
        <v>-69.265625</v>
      </c>
      <c r="N89" s="15"/>
      <c r="O89" s="15"/>
      <c r="P89" s="15"/>
    </row>
    <row r="90" spans="1:16" s="21" customFormat="1" x14ac:dyDescent="0.3">
      <c r="A90" s="17"/>
      <c r="B90"/>
      <c r="C90"/>
      <c r="D90"/>
      <c r="E90"/>
      <c r="F90"/>
      <c r="G90"/>
      <c r="H90"/>
      <c r="I90"/>
      <c r="J90" s="27"/>
      <c r="K90" s="15"/>
      <c r="L90" s="15">
        <v>-4.24</v>
      </c>
      <c r="M90" s="54">
        <v>-68.745024000000015</v>
      </c>
      <c r="N90" s="15"/>
      <c r="O90" s="15"/>
      <c r="P90" s="15"/>
    </row>
    <row r="91" spans="1:16" s="21" customFormat="1" x14ac:dyDescent="0.3">
      <c r="A91" s="17"/>
      <c r="B91"/>
      <c r="C91"/>
      <c r="D91"/>
      <c r="E91"/>
      <c r="F91"/>
      <c r="G91"/>
      <c r="H91"/>
      <c r="I91"/>
      <c r="J91" s="27"/>
      <c r="K91" s="15"/>
      <c r="L91" s="15">
        <v>-4.2300000000000004</v>
      </c>
      <c r="M91" s="54">
        <v>-68.22696700000003</v>
      </c>
      <c r="N91" s="15"/>
      <c r="O91" s="15"/>
      <c r="P91" s="15"/>
    </row>
    <row r="92" spans="1:16" s="21" customFormat="1" x14ac:dyDescent="0.3">
      <c r="A92" s="17"/>
      <c r="B92"/>
      <c r="C92"/>
      <c r="D92"/>
      <c r="E92"/>
      <c r="F92"/>
      <c r="G92"/>
      <c r="H92"/>
      <c r="I92"/>
      <c r="J92" s="27"/>
      <c r="K92" s="15"/>
      <c r="L92" s="15">
        <v>-4.22</v>
      </c>
      <c r="M92" s="54">
        <v>-67.71144799999999</v>
      </c>
      <c r="N92" s="15"/>
      <c r="O92" s="15"/>
      <c r="P92" s="15"/>
    </row>
    <row r="93" spans="1:16" s="21" customFormat="1" x14ac:dyDescent="0.3">
      <c r="A93" s="17"/>
      <c r="B93"/>
      <c r="C93"/>
      <c r="D93"/>
      <c r="E93"/>
      <c r="F93"/>
      <c r="G93"/>
      <c r="H93"/>
      <c r="I93"/>
      <c r="J93" s="27"/>
      <c r="K93" s="15"/>
      <c r="L93" s="15">
        <v>-4.21</v>
      </c>
      <c r="M93" s="54">
        <v>-67.198460999999995</v>
      </c>
      <c r="N93" s="15"/>
      <c r="O93" s="15"/>
      <c r="P93" s="15"/>
    </row>
    <row r="94" spans="1:16" s="21" customFormat="1" x14ac:dyDescent="0.3">
      <c r="A94" s="17"/>
      <c r="B94"/>
      <c r="C94"/>
      <c r="D94"/>
      <c r="E94"/>
      <c r="F94"/>
      <c r="G94"/>
      <c r="H94"/>
      <c r="I94"/>
      <c r="J94" s="27"/>
      <c r="K94" s="15"/>
      <c r="L94" s="15">
        <v>-4.2</v>
      </c>
      <c r="M94" s="54">
        <v>-66.688000000000002</v>
      </c>
      <c r="N94" s="15"/>
      <c r="O94" s="15"/>
      <c r="P94" s="15"/>
    </row>
    <row r="95" spans="1:16" s="21" customFormat="1" x14ac:dyDescent="0.3">
      <c r="A95" s="17"/>
      <c r="B95"/>
      <c r="C95"/>
      <c r="D95"/>
      <c r="E95"/>
      <c r="F95"/>
      <c r="G95"/>
      <c r="H95"/>
      <c r="I95"/>
      <c r="J95" s="27"/>
      <c r="K95" s="15"/>
      <c r="L95" s="15">
        <v>-4.1899999999999995</v>
      </c>
      <c r="M95" s="54">
        <v>-66.180059000000028</v>
      </c>
      <c r="N95" s="15"/>
      <c r="O95" s="15"/>
      <c r="P95" s="15"/>
    </row>
    <row r="96" spans="1:16" s="21" customFormat="1" x14ac:dyDescent="0.3">
      <c r="A96" s="17"/>
      <c r="B96"/>
      <c r="C96"/>
      <c r="D96"/>
      <c r="E96"/>
      <c r="F96"/>
      <c r="G96"/>
      <c r="H96"/>
      <c r="I96"/>
      <c r="J96" s="27"/>
      <c r="K96" s="15"/>
      <c r="L96" s="15">
        <v>-4.18</v>
      </c>
      <c r="M96" s="54">
        <v>-65.674631999999988</v>
      </c>
      <c r="N96" s="15"/>
      <c r="O96" s="15"/>
      <c r="P96" s="15"/>
    </row>
    <row r="97" spans="1:16" s="21" customFormat="1" x14ac:dyDescent="0.3">
      <c r="A97" s="17"/>
      <c r="B97"/>
      <c r="C97"/>
      <c r="D97"/>
      <c r="E97"/>
      <c r="F97"/>
      <c r="G97"/>
      <c r="H97"/>
      <c r="I97"/>
      <c r="J97" s="27"/>
      <c r="K97" s="15"/>
      <c r="L97" s="15">
        <v>-4.17</v>
      </c>
      <c r="M97" s="54">
        <v>-65.171712999999997</v>
      </c>
      <c r="N97" s="15"/>
      <c r="O97" s="15"/>
      <c r="P97" s="15"/>
    </row>
    <row r="98" spans="1:16" s="21" customFormat="1" x14ac:dyDescent="0.3">
      <c r="A98" s="17"/>
      <c r="B98"/>
      <c r="C98"/>
      <c r="D98"/>
      <c r="E98"/>
      <c r="F98"/>
      <c r="G98"/>
      <c r="H98"/>
      <c r="I98"/>
      <c r="J98" s="27"/>
      <c r="K98" s="15"/>
      <c r="L98" s="15">
        <v>-4.16</v>
      </c>
      <c r="M98" s="54">
        <v>-64.671296000000012</v>
      </c>
      <c r="N98" s="15"/>
      <c r="O98" s="15"/>
      <c r="P98" s="15"/>
    </row>
    <row r="99" spans="1:16" s="21" customFormat="1" x14ac:dyDescent="0.3">
      <c r="A99" s="17"/>
      <c r="B99"/>
      <c r="C99"/>
      <c r="D99"/>
      <c r="E99"/>
      <c r="F99"/>
      <c r="G99"/>
      <c r="H99"/>
      <c r="I99"/>
      <c r="J99" s="27"/>
      <c r="K99" s="15"/>
      <c r="L99" s="15">
        <v>-4.1500000000000004</v>
      </c>
      <c r="M99" s="54">
        <v>-64.173375000000021</v>
      </c>
      <c r="N99" s="15"/>
      <c r="O99" s="15"/>
      <c r="P99" s="15"/>
    </row>
    <row r="100" spans="1:16" s="21" customFormat="1" x14ac:dyDescent="0.3">
      <c r="A100" s="17"/>
      <c r="B100"/>
      <c r="C100"/>
      <c r="D100"/>
      <c r="E100"/>
      <c r="F100"/>
      <c r="G100"/>
      <c r="H100"/>
      <c r="I100"/>
      <c r="J100" s="27"/>
      <c r="K100" s="15"/>
      <c r="L100" s="15">
        <v>-4.1399999999999997</v>
      </c>
      <c r="M100" s="54">
        <v>-63.677943999999982</v>
      </c>
      <c r="N100" s="15"/>
      <c r="O100" s="15"/>
      <c r="P100" s="15"/>
    </row>
    <row r="101" spans="1:16" s="21" customFormat="1" x14ac:dyDescent="0.3">
      <c r="A101" s="17"/>
      <c r="B101"/>
      <c r="C101"/>
      <c r="D101"/>
      <c r="E101"/>
      <c r="F101"/>
      <c r="G101"/>
      <c r="H101"/>
      <c r="I101"/>
      <c r="J101" s="27"/>
      <c r="K101" s="15"/>
      <c r="L101" s="15">
        <v>-4.13</v>
      </c>
      <c r="M101" s="54">
        <v>-63.184996999999989</v>
      </c>
      <c r="N101" s="15"/>
      <c r="O101" s="15"/>
      <c r="P101" s="15"/>
    </row>
    <row r="102" spans="1:16" s="21" customFormat="1" x14ac:dyDescent="0.3">
      <c r="A102" s="17"/>
      <c r="B102"/>
      <c r="C102"/>
      <c r="D102"/>
      <c r="E102"/>
      <c r="F102"/>
      <c r="G102"/>
      <c r="H102"/>
      <c r="I102"/>
      <c r="J102" s="27"/>
      <c r="K102" s="15"/>
      <c r="L102" s="15">
        <v>-4.12</v>
      </c>
      <c r="M102" s="54">
        <v>-62.694527999999998</v>
      </c>
      <c r="N102" s="15"/>
      <c r="O102" s="15"/>
      <c r="P102" s="15"/>
    </row>
    <row r="103" spans="1:16" s="21" customFormat="1" x14ac:dyDescent="0.3">
      <c r="A103" s="17"/>
      <c r="B103"/>
      <c r="C103"/>
      <c r="D103"/>
      <c r="E103"/>
      <c r="F103"/>
      <c r="G103"/>
      <c r="H103"/>
      <c r="I103"/>
      <c r="J103" s="27"/>
      <c r="K103" s="15"/>
      <c r="L103" s="15">
        <v>-4.1100000000000003</v>
      </c>
      <c r="M103" s="54">
        <v>-62.206531000000012</v>
      </c>
      <c r="N103" s="15"/>
      <c r="O103" s="15"/>
      <c r="P103" s="15"/>
    </row>
    <row r="104" spans="1:16" s="21" customFormat="1" x14ac:dyDescent="0.3">
      <c r="A104" s="17"/>
      <c r="B104"/>
      <c r="C104"/>
      <c r="D104"/>
      <c r="E104"/>
      <c r="F104"/>
      <c r="G104"/>
      <c r="H104"/>
      <c r="I104"/>
      <c r="J104" s="27"/>
      <c r="K104" s="15"/>
      <c r="L104" s="15">
        <v>-4.0999999999999996</v>
      </c>
      <c r="M104" s="54">
        <v>-61.720999999999989</v>
      </c>
      <c r="N104" s="15"/>
      <c r="O104" s="15"/>
      <c r="P104" s="15"/>
    </row>
    <row r="105" spans="1:16" s="21" customFormat="1" x14ac:dyDescent="0.3">
      <c r="A105" s="17"/>
      <c r="B105"/>
      <c r="C105"/>
      <c r="D105"/>
      <c r="E105"/>
      <c r="F105"/>
      <c r="G105"/>
      <c r="H105"/>
      <c r="I105"/>
      <c r="J105" s="27"/>
      <c r="K105" s="15"/>
      <c r="L105" s="15">
        <v>-4.09</v>
      </c>
      <c r="M105" s="54">
        <v>-61.237928999999987</v>
      </c>
      <c r="N105" s="15"/>
      <c r="O105" s="15"/>
      <c r="P105" s="15"/>
    </row>
    <row r="106" spans="1:16" s="21" customFormat="1" x14ac:dyDescent="0.3">
      <c r="A106" s="17"/>
      <c r="B106"/>
      <c r="C106"/>
      <c r="D106"/>
      <c r="E106"/>
      <c r="F106"/>
      <c r="G106"/>
      <c r="H106"/>
      <c r="I106"/>
      <c r="J106" s="27"/>
      <c r="K106" s="15"/>
      <c r="L106" s="15">
        <v>-4.08</v>
      </c>
      <c r="M106" s="54">
        <v>-60.757311999999999</v>
      </c>
      <c r="N106" s="15"/>
      <c r="O106" s="15"/>
      <c r="P106" s="15"/>
    </row>
    <row r="107" spans="1:16" x14ac:dyDescent="0.3">
      <c r="L107" s="15">
        <v>-4.07</v>
      </c>
      <c r="M107" s="54">
        <v>-60.279143000000005</v>
      </c>
    </row>
    <row r="108" spans="1:16" x14ac:dyDescent="0.3">
      <c r="L108" s="15">
        <v>-4.0599999999999996</v>
      </c>
      <c r="M108" s="54">
        <v>-59.803415999999977</v>
      </c>
    </row>
    <row r="109" spans="1:16" x14ac:dyDescent="0.3">
      <c r="L109" s="15">
        <v>-4.05</v>
      </c>
      <c r="M109" s="54">
        <v>-59.330124999999988</v>
      </c>
    </row>
    <row r="110" spans="1:16" x14ac:dyDescent="0.3">
      <c r="L110" s="15">
        <v>-4.04</v>
      </c>
      <c r="M110" s="54">
        <v>-58.859263999999996</v>
      </c>
    </row>
    <row r="111" spans="1:16" x14ac:dyDescent="0.3">
      <c r="L111" s="15">
        <v>-4.03</v>
      </c>
      <c r="M111" s="54">
        <v>-58.390827000000016</v>
      </c>
    </row>
    <row r="112" spans="1:16" x14ac:dyDescent="0.3">
      <c r="L112" s="15">
        <v>-4.0199999999999996</v>
      </c>
      <c r="M112" s="54">
        <v>-57.924807999999977</v>
      </c>
    </row>
    <row r="113" spans="1:13" x14ac:dyDescent="0.3">
      <c r="L113" s="15">
        <v>-4.01</v>
      </c>
      <c r="M113" s="54">
        <v>-57.461200999999988</v>
      </c>
    </row>
    <row r="114" spans="1:13" s="15" customFormat="1" x14ac:dyDescent="0.3">
      <c r="A114" s="17"/>
      <c r="B114"/>
      <c r="C114"/>
      <c r="D114"/>
      <c r="E114"/>
      <c r="F114"/>
      <c r="G114"/>
      <c r="H114"/>
      <c r="I114"/>
      <c r="L114" s="15">
        <v>-4</v>
      </c>
      <c r="M114" s="54">
        <v>-57</v>
      </c>
    </row>
    <row r="115" spans="1:13" s="15" customFormat="1" x14ac:dyDescent="0.3">
      <c r="A115" s="17"/>
      <c r="B115"/>
      <c r="C115"/>
      <c r="D115"/>
      <c r="E115"/>
      <c r="F115"/>
      <c r="G115"/>
      <c r="H115"/>
      <c r="I115"/>
      <c r="L115" s="15">
        <v>-3.99</v>
      </c>
      <c r="M115" s="54">
        <v>-56.541199000000006</v>
      </c>
    </row>
    <row r="116" spans="1:13" s="15" customFormat="1" x14ac:dyDescent="0.3">
      <c r="A116" s="17"/>
      <c r="B116"/>
      <c r="C116"/>
      <c r="D116"/>
      <c r="E116"/>
      <c r="F116"/>
      <c r="G116"/>
      <c r="H116"/>
      <c r="I116"/>
      <c r="L116" s="15">
        <v>-3.98</v>
      </c>
      <c r="M116" s="54">
        <v>-56.084792</v>
      </c>
    </row>
    <row r="117" spans="1:13" s="15" customFormat="1" x14ac:dyDescent="0.3">
      <c r="A117" s="17"/>
      <c r="B117"/>
      <c r="C117"/>
      <c r="D117"/>
      <c r="E117"/>
      <c r="F117"/>
      <c r="G117"/>
      <c r="H117"/>
      <c r="I117"/>
      <c r="L117" s="15">
        <v>-3.9699999999999998</v>
      </c>
      <c r="M117" s="54">
        <v>-55.630773000000012</v>
      </c>
    </row>
    <row r="118" spans="1:13" s="15" customFormat="1" x14ac:dyDescent="0.3">
      <c r="A118" s="17"/>
      <c r="B118"/>
      <c r="C118"/>
      <c r="D118"/>
      <c r="E118"/>
      <c r="F118"/>
      <c r="G118"/>
      <c r="H118"/>
      <c r="I118"/>
      <c r="L118" s="15">
        <v>-3.96</v>
      </c>
      <c r="M118" s="54">
        <v>-55.179135999999993</v>
      </c>
    </row>
    <row r="119" spans="1:13" s="15" customFormat="1" x14ac:dyDescent="0.3">
      <c r="A119" s="17"/>
      <c r="B119"/>
      <c r="C119"/>
      <c r="D119"/>
      <c r="E119"/>
      <c r="F119"/>
      <c r="G119"/>
      <c r="H119"/>
      <c r="I119"/>
      <c r="L119" s="15">
        <v>-3.95</v>
      </c>
      <c r="M119" s="54">
        <v>-54.729875000000007</v>
      </c>
    </row>
    <row r="120" spans="1:13" s="15" customFormat="1" x14ac:dyDescent="0.3">
      <c r="A120" s="17"/>
      <c r="B120"/>
      <c r="C120"/>
      <c r="D120"/>
      <c r="E120"/>
      <c r="F120"/>
      <c r="G120"/>
      <c r="H120"/>
      <c r="I120"/>
      <c r="L120" s="15">
        <v>-3.94</v>
      </c>
      <c r="M120" s="54">
        <v>-54.282983999999999</v>
      </c>
    </row>
    <row r="121" spans="1:13" s="15" customFormat="1" x14ac:dyDescent="0.3">
      <c r="A121" s="17"/>
      <c r="B121"/>
      <c r="C121"/>
      <c r="D121"/>
      <c r="E121"/>
      <c r="F121"/>
      <c r="G121"/>
      <c r="H121"/>
      <c r="I121"/>
      <c r="L121" s="15">
        <v>-3.9299999999999997</v>
      </c>
      <c r="M121" s="54">
        <v>-53.838457000000005</v>
      </c>
    </row>
    <row r="122" spans="1:13" s="15" customFormat="1" x14ac:dyDescent="0.3">
      <c r="A122" s="17"/>
      <c r="B122"/>
      <c r="C122"/>
      <c r="D122"/>
      <c r="E122"/>
      <c r="F122"/>
      <c r="G122"/>
      <c r="H122"/>
      <c r="I122"/>
      <c r="L122" s="15">
        <v>-3.92</v>
      </c>
      <c r="M122" s="54">
        <v>-53.396287999999998</v>
      </c>
    </row>
    <row r="123" spans="1:13" s="15" customFormat="1" x14ac:dyDescent="0.3">
      <c r="A123" s="17"/>
      <c r="B123"/>
      <c r="C123"/>
      <c r="D123"/>
      <c r="E123"/>
      <c r="F123"/>
      <c r="G123"/>
      <c r="H123"/>
      <c r="I123"/>
      <c r="L123" s="15">
        <v>-3.91</v>
      </c>
      <c r="M123" s="54">
        <v>-52.956471000000008</v>
      </c>
    </row>
    <row r="124" spans="1:13" s="15" customFormat="1" x14ac:dyDescent="0.3">
      <c r="A124" s="17"/>
      <c r="B124"/>
      <c r="C124"/>
      <c r="D124"/>
      <c r="E124"/>
      <c r="F124"/>
      <c r="G124"/>
      <c r="H124"/>
      <c r="I124"/>
      <c r="L124" s="15">
        <v>-3.9</v>
      </c>
      <c r="M124" s="54">
        <v>-52.518999999999998</v>
      </c>
    </row>
    <row r="125" spans="1:13" s="15" customFormat="1" x14ac:dyDescent="0.3">
      <c r="A125" s="17"/>
      <c r="B125"/>
      <c r="C125"/>
      <c r="D125"/>
      <c r="E125"/>
      <c r="F125"/>
      <c r="G125"/>
      <c r="H125"/>
      <c r="I125"/>
      <c r="L125" s="15">
        <v>-3.8899999999999997</v>
      </c>
      <c r="M125" s="54">
        <v>-52.083869000000007</v>
      </c>
    </row>
    <row r="126" spans="1:13" s="15" customFormat="1" x14ac:dyDescent="0.3">
      <c r="A126" s="17"/>
      <c r="B126"/>
      <c r="C126"/>
      <c r="D126"/>
      <c r="E126"/>
      <c r="F126"/>
      <c r="G126"/>
      <c r="H126"/>
      <c r="I126"/>
      <c r="L126" s="15">
        <v>-3.88</v>
      </c>
      <c r="M126" s="54">
        <v>-51.651071999999999</v>
      </c>
    </row>
    <row r="127" spans="1:13" s="15" customFormat="1" x14ac:dyDescent="0.3">
      <c r="A127" s="17"/>
      <c r="B127"/>
      <c r="C127"/>
      <c r="D127"/>
      <c r="E127"/>
      <c r="F127"/>
      <c r="G127"/>
      <c r="H127"/>
      <c r="I127"/>
      <c r="L127" s="15">
        <v>-3.87</v>
      </c>
      <c r="M127" s="54">
        <v>-51.220603000000004</v>
      </c>
    </row>
    <row r="128" spans="1:13" s="15" customFormat="1" x14ac:dyDescent="0.3">
      <c r="A128" s="17"/>
      <c r="B128"/>
      <c r="C128"/>
      <c r="D128"/>
      <c r="E128"/>
      <c r="F128"/>
      <c r="G128"/>
      <c r="H128"/>
      <c r="I128"/>
      <c r="L128" s="15">
        <v>-3.86</v>
      </c>
      <c r="M128" s="54">
        <v>-50.792455999999994</v>
      </c>
    </row>
    <row r="129" spans="1:13" s="15" customFormat="1" x14ac:dyDescent="0.3">
      <c r="A129" s="17"/>
      <c r="B129"/>
      <c r="C129"/>
      <c r="D129"/>
      <c r="E129"/>
      <c r="F129"/>
      <c r="G129"/>
      <c r="H129"/>
      <c r="I129"/>
      <c r="L129" s="15">
        <v>-3.8499999999999996</v>
      </c>
      <c r="M129" s="54">
        <v>-50.366625000000006</v>
      </c>
    </row>
    <row r="130" spans="1:13" s="15" customFormat="1" x14ac:dyDescent="0.3">
      <c r="A130" s="17"/>
      <c r="B130"/>
      <c r="C130"/>
      <c r="D130"/>
      <c r="E130"/>
      <c r="F130"/>
      <c r="G130"/>
      <c r="H130"/>
      <c r="I130"/>
      <c r="L130" s="15">
        <v>-3.84</v>
      </c>
      <c r="M130" s="54">
        <v>-49.943103999999998</v>
      </c>
    </row>
    <row r="131" spans="1:13" s="15" customFormat="1" x14ac:dyDescent="0.3">
      <c r="A131" s="17"/>
      <c r="B131"/>
      <c r="C131"/>
      <c r="D131"/>
      <c r="E131"/>
      <c r="F131"/>
      <c r="G131"/>
      <c r="H131"/>
      <c r="I131"/>
      <c r="L131" s="15">
        <v>-3.83</v>
      </c>
      <c r="M131" s="54">
        <v>-49.521887000000007</v>
      </c>
    </row>
    <row r="132" spans="1:13" s="15" customFormat="1" x14ac:dyDescent="0.3">
      <c r="A132" s="17"/>
      <c r="B132"/>
      <c r="C132"/>
      <c r="D132"/>
      <c r="E132"/>
      <c r="F132"/>
      <c r="G132"/>
      <c r="H132"/>
      <c r="I132"/>
      <c r="L132" s="15">
        <v>-3.8200000000000003</v>
      </c>
      <c r="M132" s="54">
        <v>-49.102967999999997</v>
      </c>
    </row>
    <row r="133" spans="1:13" s="15" customFormat="1" x14ac:dyDescent="0.3">
      <c r="A133" s="17"/>
      <c r="B133"/>
      <c r="C133"/>
      <c r="D133"/>
      <c r="E133"/>
      <c r="F133"/>
      <c r="G133"/>
      <c r="H133"/>
      <c r="I133"/>
      <c r="L133" s="15">
        <v>-3.81</v>
      </c>
      <c r="M133" s="54">
        <v>-48.686341000000006</v>
      </c>
    </row>
    <row r="134" spans="1:13" s="15" customFormat="1" x14ac:dyDescent="0.3">
      <c r="A134" s="17"/>
      <c r="B134"/>
      <c r="C134"/>
      <c r="D134"/>
      <c r="E134"/>
      <c r="F134"/>
      <c r="G134"/>
      <c r="H134"/>
      <c r="I134"/>
      <c r="L134" s="15">
        <v>-3.8</v>
      </c>
      <c r="M134" s="54">
        <v>-48.271999999999991</v>
      </c>
    </row>
    <row r="135" spans="1:13" s="15" customFormat="1" x14ac:dyDescent="0.3">
      <c r="A135" s="17"/>
      <c r="B135"/>
      <c r="C135"/>
      <c r="D135"/>
      <c r="E135"/>
      <c r="F135"/>
      <c r="G135"/>
      <c r="H135"/>
      <c r="I135"/>
      <c r="L135" s="15">
        <v>-3.79</v>
      </c>
      <c r="M135" s="54">
        <v>-47.859939000000004</v>
      </c>
    </row>
    <row r="136" spans="1:13" s="15" customFormat="1" x14ac:dyDescent="0.3">
      <c r="A136" s="17"/>
      <c r="B136"/>
      <c r="C136"/>
      <c r="D136"/>
      <c r="E136"/>
      <c r="F136"/>
      <c r="G136"/>
      <c r="H136"/>
      <c r="I136"/>
      <c r="L136" s="15">
        <v>-3.7800000000000002</v>
      </c>
      <c r="M136" s="54">
        <v>-47.450151999999996</v>
      </c>
    </row>
    <row r="137" spans="1:13" s="15" customFormat="1" x14ac:dyDescent="0.3">
      <c r="A137" s="17"/>
      <c r="B137"/>
      <c r="C137"/>
      <c r="D137"/>
      <c r="E137"/>
      <c r="F137"/>
      <c r="G137"/>
      <c r="H137"/>
      <c r="I137"/>
      <c r="L137" s="15">
        <v>-3.77</v>
      </c>
      <c r="M137" s="54">
        <v>-47.042633000000002</v>
      </c>
    </row>
    <row r="138" spans="1:13" s="15" customFormat="1" x14ac:dyDescent="0.3">
      <c r="A138" s="17"/>
      <c r="B138"/>
      <c r="C138"/>
      <c r="D138"/>
      <c r="E138"/>
      <c r="F138"/>
      <c r="G138"/>
      <c r="H138"/>
      <c r="I138"/>
      <c r="L138" s="15">
        <v>-3.76</v>
      </c>
      <c r="M138" s="54">
        <v>-46.637375999999989</v>
      </c>
    </row>
    <row r="139" spans="1:13" s="15" customFormat="1" x14ac:dyDescent="0.3">
      <c r="A139" s="17"/>
      <c r="B139"/>
      <c r="C139"/>
      <c r="D139"/>
      <c r="E139"/>
      <c r="F139"/>
      <c r="G139"/>
      <c r="H139"/>
      <c r="I139"/>
      <c r="L139" s="15">
        <v>-3.75</v>
      </c>
      <c r="M139" s="54">
        <v>-46.234375</v>
      </c>
    </row>
    <row r="140" spans="1:13" s="15" customFormat="1" x14ac:dyDescent="0.3">
      <c r="A140" s="17"/>
      <c r="B140"/>
      <c r="C140"/>
      <c r="D140"/>
      <c r="E140"/>
      <c r="F140"/>
      <c r="G140"/>
      <c r="H140"/>
      <c r="I140"/>
      <c r="L140" s="15">
        <v>-3.74</v>
      </c>
      <c r="M140" s="54">
        <v>-45.833624000000015</v>
      </c>
    </row>
    <row r="141" spans="1:13" s="15" customFormat="1" x14ac:dyDescent="0.3">
      <c r="A141" s="17"/>
      <c r="B141"/>
      <c r="C141"/>
      <c r="D141"/>
      <c r="E141"/>
      <c r="F141"/>
      <c r="G141"/>
      <c r="H141"/>
      <c r="I141"/>
      <c r="L141" s="15">
        <v>-3.73</v>
      </c>
      <c r="M141" s="54">
        <v>-45.435116999999998</v>
      </c>
    </row>
    <row r="142" spans="1:13" s="15" customFormat="1" x14ac:dyDescent="0.3">
      <c r="A142" s="17"/>
      <c r="B142"/>
      <c r="C142"/>
      <c r="D142"/>
      <c r="E142"/>
      <c r="F142"/>
      <c r="G142"/>
      <c r="H142"/>
      <c r="I142"/>
      <c r="L142" s="15">
        <v>-3.7199999999999998</v>
      </c>
      <c r="M142" s="54">
        <v>-45.038848000000009</v>
      </c>
    </row>
    <row r="143" spans="1:13" s="15" customFormat="1" x14ac:dyDescent="0.3">
      <c r="A143" s="17"/>
      <c r="B143"/>
      <c r="C143"/>
      <c r="D143"/>
      <c r="E143"/>
      <c r="F143"/>
      <c r="G143"/>
      <c r="H143"/>
      <c r="I143"/>
      <c r="L143" s="15">
        <v>-3.71</v>
      </c>
      <c r="M143" s="54">
        <v>-44.644810999999997</v>
      </c>
    </row>
    <row r="144" spans="1:13" s="15" customFormat="1" x14ac:dyDescent="0.3">
      <c r="A144" s="17"/>
      <c r="B144"/>
      <c r="C144"/>
      <c r="D144"/>
      <c r="E144"/>
      <c r="F144"/>
      <c r="G144"/>
      <c r="H144"/>
      <c r="I144"/>
      <c r="L144" s="15">
        <v>-3.7</v>
      </c>
      <c r="M144" s="54">
        <v>-44.253000000000007</v>
      </c>
    </row>
    <row r="145" spans="1:13" s="15" customFormat="1" x14ac:dyDescent="0.3">
      <c r="A145" s="17"/>
      <c r="B145"/>
      <c r="C145"/>
      <c r="D145"/>
      <c r="E145"/>
      <c r="F145"/>
      <c r="G145"/>
      <c r="H145"/>
      <c r="I145"/>
      <c r="L145" s="15">
        <v>-3.69</v>
      </c>
      <c r="M145" s="54">
        <v>-43.863408999999997</v>
      </c>
    </row>
    <row r="146" spans="1:13" s="15" customFormat="1" x14ac:dyDescent="0.3">
      <c r="A146" s="17"/>
      <c r="B146"/>
      <c r="C146"/>
      <c r="D146"/>
      <c r="E146"/>
      <c r="F146"/>
      <c r="G146"/>
      <c r="H146"/>
      <c r="I146"/>
      <c r="L146" s="15">
        <v>-3.6799999999999997</v>
      </c>
      <c r="M146" s="54">
        <v>-43.476032000000004</v>
      </c>
    </row>
    <row r="147" spans="1:13" s="15" customFormat="1" x14ac:dyDescent="0.3">
      <c r="A147" s="17"/>
      <c r="B147"/>
      <c r="C147"/>
      <c r="D147"/>
      <c r="E147"/>
      <c r="F147"/>
      <c r="G147"/>
      <c r="H147"/>
      <c r="I147"/>
      <c r="L147" s="15">
        <v>-3.67</v>
      </c>
      <c r="M147" s="54">
        <v>-43.090862999999999</v>
      </c>
    </row>
    <row r="148" spans="1:13" s="15" customFormat="1" x14ac:dyDescent="0.3">
      <c r="A148" s="17"/>
      <c r="B148"/>
      <c r="C148"/>
      <c r="D148"/>
      <c r="E148"/>
      <c r="F148"/>
      <c r="G148"/>
      <c r="H148"/>
      <c r="I148"/>
      <c r="L148" s="15">
        <v>-3.66</v>
      </c>
      <c r="M148" s="54">
        <v>-42.707896000000005</v>
      </c>
    </row>
    <row r="149" spans="1:13" s="15" customFormat="1" x14ac:dyDescent="0.3">
      <c r="A149" s="17"/>
      <c r="B149"/>
      <c r="C149"/>
      <c r="D149"/>
      <c r="E149"/>
      <c r="F149"/>
      <c r="G149"/>
      <c r="H149"/>
      <c r="I149"/>
      <c r="L149" s="15">
        <v>-3.65</v>
      </c>
      <c r="M149" s="54">
        <v>-42.327125000000002</v>
      </c>
    </row>
    <row r="150" spans="1:13" s="15" customFormat="1" x14ac:dyDescent="0.3">
      <c r="A150" s="17"/>
      <c r="B150"/>
      <c r="C150"/>
      <c r="D150"/>
      <c r="E150"/>
      <c r="F150"/>
      <c r="G150"/>
      <c r="H150"/>
      <c r="I150"/>
      <c r="L150" s="15">
        <v>-3.6399999999999997</v>
      </c>
      <c r="M150" s="54">
        <v>-41.948544000000005</v>
      </c>
    </row>
    <row r="151" spans="1:13" s="15" customFormat="1" x14ac:dyDescent="0.3">
      <c r="A151" s="17"/>
      <c r="B151"/>
      <c r="C151"/>
      <c r="D151"/>
      <c r="E151"/>
      <c r="F151"/>
      <c r="G151"/>
      <c r="H151"/>
      <c r="I151"/>
      <c r="L151" s="15">
        <v>-3.63</v>
      </c>
      <c r="M151" s="54">
        <v>-41.572147000000001</v>
      </c>
    </row>
    <row r="152" spans="1:13" s="15" customFormat="1" x14ac:dyDescent="0.3">
      <c r="A152" s="17"/>
      <c r="B152"/>
      <c r="C152"/>
      <c r="D152"/>
      <c r="E152"/>
      <c r="F152"/>
      <c r="G152"/>
      <c r="H152"/>
      <c r="I152"/>
      <c r="L152" s="15">
        <v>-3.62</v>
      </c>
      <c r="M152" s="54">
        <v>-41.197927999999997</v>
      </c>
    </row>
    <row r="153" spans="1:13" s="15" customFormat="1" x14ac:dyDescent="0.3">
      <c r="A153" s="17"/>
      <c r="B153"/>
      <c r="C153"/>
      <c r="D153"/>
      <c r="E153"/>
      <c r="F153"/>
      <c r="G153"/>
      <c r="H153"/>
      <c r="I153"/>
      <c r="L153" s="15">
        <v>-3.61</v>
      </c>
      <c r="M153" s="54">
        <v>-40.825880999999995</v>
      </c>
    </row>
    <row r="154" spans="1:13" s="15" customFormat="1" x14ac:dyDescent="0.3">
      <c r="A154" s="17"/>
      <c r="B154"/>
      <c r="C154"/>
      <c r="D154"/>
      <c r="E154"/>
      <c r="F154"/>
      <c r="G154"/>
      <c r="H154"/>
      <c r="I154"/>
      <c r="L154" s="15">
        <v>-3.5999999999999996</v>
      </c>
      <c r="M154" s="54">
        <v>-40.456000000000003</v>
      </c>
    </row>
    <row r="155" spans="1:13" s="15" customFormat="1" x14ac:dyDescent="0.3">
      <c r="A155" s="17"/>
      <c r="B155"/>
      <c r="C155"/>
      <c r="D155"/>
      <c r="E155"/>
      <c r="F155"/>
      <c r="G155"/>
      <c r="H155"/>
      <c r="I155"/>
      <c r="L155" s="15">
        <v>-3.59</v>
      </c>
      <c r="M155" s="54">
        <v>-40.088279</v>
      </c>
    </row>
    <row r="156" spans="1:13" s="15" customFormat="1" x14ac:dyDescent="0.3">
      <c r="A156" s="17"/>
      <c r="B156"/>
      <c r="C156"/>
      <c r="D156"/>
      <c r="E156"/>
      <c r="F156"/>
      <c r="G156"/>
      <c r="H156"/>
      <c r="I156"/>
      <c r="L156" s="15">
        <v>-3.58</v>
      </c>
      <c r="M156" s="54">
        <v>-39.722712000000001</v>
      </c>
    </row>
    <row r="157" spans="1:13" s="15" customFormat="1" x14ac:dyDescent="0.3">
      <c r="A157" s="17"/>
      <c r="B157"/>
      <c r="C157"/>
      <c r="D157"/>
      <c r="E157"/>
      <c r="F157"/>
      <c r="G157"/>
      <c r="H157"/>
      <c r="I157"/>
      <c r="L157" s="15">
        <v>-3.5700000000000003</v>
      </c>
      <c r="M157" s="54">
        <v>-39.359292999999994</v>
      </c>
    </row>
    <row r="158" spans="1:13" s="15" customFormat="1" x14ac:dyDescent="0.3">
      <c r="A158" s="17"/>
      <c r="B158"/>
      <c r="C158"/>
      <c r="D158"/>
      <c r="E158"/>
      <c r="F158"/>
      <c r="G158"/>
      <c r="H158"/>
      <c r="I158"/>
      <c r="L158" s="15">
        <v>-3.56</v>
      </c>
      <c r="M158" s="54">
        <v>-38.998016000000007</v>
      </c>
    </row>
    <row r="159" spans="1:13" s="15" customFormat="1" x14ac:dyDescent="0.3">
      <c r="A159" s="17"/>
      <c r="B159"/>
      <c r="C159"/>
      <c r="D159"/>
      <c r="E159"/>
      <c r="F159"/>
      <c r="G159"/>
      <c r="H159"/>
      <c r="I159"/>
      <c r="L159" s="15">
        <v>-3.55</v>
      </c>
      <c r="M159" s="54">
        <v>-38.638874999999992</v>
      </c>
    </row>
    <row r="160" spans="1:13" s="15" customFormat="1" x14ac:dyDescent="0.3">
      <c r="A160" s="17"/>
      <c r="B160"/>
      <c r="C160"/>
      <c r="D160"/>
      <c r="E160"/>
      <c r="F160"/>
      <c r="G160"/>
      <c r="H160"/>
      <c r="I160"/>
      <c r="L160" s="15">
        <v>-3.54</v>
      </c>
      <c r="M160" s="54">
        <v>-38.281864000000006</v>
      </c>
    </row>
    <row r="161" spans="1:13" s="15" customFormat="1" x14ac:dyDescent="0.3">
      <c r="A161" s="17"/>
      <c r="B161"/>
      <c r="C161"/>
      <c r="D161"/>
      <c r="E161"/>
      <c r="F161"/>
      <c r="G161"/>
      <c r="H161"/>
      <c r="I161"/>
      <c r="L161" s="15">
        <v>-3.5300000000000002</v>
      </c>
      <c r="M161" s="54">
        <v>-37.926976999999994</v>
      </c>
    </row>
    <row r="162" spans="1:13" s="15" customFormat="1" x14ac:dyDescent="0.3">
      <c r="A162" s="17"/>
      <c r="B162"/>
      <c r="C162"/>
      <c r="D162"/>
      <c r="E162"/>
      <c r="F162"/>
      <c r="G162"/>
      <c r="H162"/>
      <c r="I162"/>
      <c r="L162" s="15">
        <v>-3.52</v>
      </c>
      <c r="M162" s="54">
        <v>-37.574207999999999</v>
      </c>
    </row>
    <row r="163" spans="1:13" s="15" customFormat="1" x14ac:dyDescent="0.3">
      <c r="A163" s="17"/>
      <c r="B163"/>
      <c r="C163"/>
      <c r="D163"/>
      <c r="E163"/>
      <c r="F163"/>
      <c r="G163"/>
      <c r="H163"/>
      <c r="I163"/>
      <c r="L163" s="15">
        <v>-3.51</v>
      </c>
      <c r="M163" s="54">
        <v>-37.223550999999986</v>
      </c>
    </row>
    <row r="164" spans="1:13" s="15" customFormat="1" x14ac:dyDescent="0.3">
      <c r="A164" s="17"/>
      <c r="B164"/>
      <c r="C164"/>
      <c r="D164"/>
      <c r="E164"/>
      <c r="F164"/>
      <c r="G164"/>
      <c r="H164"/>
      <c r="I164"/>
      <c r="L164" s="15">
        <v>-3.5</v>
      </c>
      <c r="M164" s="54">
        <v>-36.875</v>
      </c>
    </row>
    <row r="165" spans="1:13" s="15" customFormat="1" x14ac:dyDescent="0.3">
      <c r="A165" s="17"/>
      <c r="B165"/>
      <c r="C165"/>
      <c r="D165"/>
      <c r="E165"/>
      <c r="F165"/>
      <c r="G165"/>
      <c r="H165"/>
      <c r="I165"/>
      <c r="L165" s="15">
        <v>-3.49</v>
      </c>
      <c r="M165" s="54">
        <v>-36.528549000000012</v>
      </c>
    </row>
    <row r="166" spans="1:13" s="15" customFormat="1" x14ac:dyDescent="0.3">
      <c r="A166" s="17"/>
      <c r="B166"/>
      <c r="C166"/>
      <c r="D166"/>
      <c r="E166"/>
      <c r="F166"/>
      <c r="G166"/>
      <c r="H166"/>
      <c r="I166"/>
      <c r="L166" s="15">
        <v>-3.48</v>
      </c>
      <c r="M166" s="54">
        <v>-36.184192000000003</v>
      </c>
    </row>
    <row r="167" spans="1:13" s="15" customFormat="1" x14ac:dyDescent="0.3">
      <c r="A167" s="17"/>
      <c r="B167"/>
      <c r="C167"/>
      <c r="D167"/>
      <c r="E167"/>
      <c r="F167"/>
      <c r="G167"/>
      <c r="H167"/>
      <c r="I167"/>
      <c r="L167" s="15">
        <v>-3.4699999999999998</v>
      </c>
      <c r="M167" s="54">
        <v>-35.841923000000008</v>
      </c>
    </row>
    <row r="168" spans="1:13" s="15" customFormat="1" x14ac:dyDescent="0.3">
      <c r="A168" s="17"/>
      <c r="B168"/>
      <c r="C168"/>
      <c r="D168"/>
      <c r="E168"/>
      <c r="F168"/>
      <c r="G168"/>
      <c r="H168"/>
      <c r="I168"/>
      <c r="L168" s="15">
        <v>-3.46</v>
      </c>
      <c r="M168" s="54">
        <v>-35.501736000000001</v>
      </c>
    </row>
    <row r="169" spans="1:13" s="15" customFormat="1" x14ac:dyDescent="0.3">
      <c r="A169" s="17"/>
      <c r="B169"/>
      <c r="C169"/>
      <c r="D169"/>
      <c r="E169"/>
      <c r="F169"/>
      <c r="G169"/>
      <c r="H169"/>
      <c r="I169"/>
      <c r="L169" s="15">
        <v>-3.45</v>
      </c>
      <c r="M169" s="54">
        <v>-35.16362500000001</v>
      </c>
    </row>
    <row r="170" spans="1:13" s="15" customFormat="1" x14ac:dyDescent="0.3">
      <c r="A170" s="17"/>
      <c r="B170"/>
      <c r="C170"/>
      <c r="D170"/>
      <c r="E170"/>
      <c r="F170"/>
      <c r="G170"/>
      <c r="H170"/>
      <c r="I170"/>
      <c r="L170" s="15">
        <v>-3.44</v>
      </c>
      <c r="M170" s="54">
        <v>-34.827583999999995</v>
      </c>
    </row>
    <row r="171" spans="1:13" s="15" customFormat="1" x14ac:dyDescent="0.3">
      <c r="A171" s="17"/>
      <c r="B171"/>
      <c r="C171"/>
      <c r="D171"/>
      <c r="E171"/>
      <c r="F171"/>
      <c r="G171"/>
      <c r="H171"/>
      <c r="I171"/>
      <c r="L171" s="15">
        <v>-3.4299999999999997</v>
      </c>
      <c r="M171" s="54">
        <v>-34.493607000000004</v>
      </c>
    </row>
    <row r="172" spans="1:13" s="15" customFormat="1" x14ac:dyDescent="0.3">
      <c r="A172" s="17"/>
      <c r="B172"/>
      <c r="C172"/>
      <c r="D172"/>
      <c r="E172"/>
      <c r="F172"/>
      <c r="G172"/>
      <c r="H172"/>
      <c r="I172"/>
      <c r="L172" s="15">
        <v>-3.42</v>
      </c>
      <c r="M172" s="54">
        <v>-34.161687999999998</v>
      </c>
    </row>
    <row r="173" spans="1:13" s="15" customFormat="1" x14ac:dyDescent="0.3">
      <c r="A173" s="17"/>
      <c r="B173"/>
      <c r="C173"/>
      <c r="D173"/>
      <c r="E173"/>
      <c r="F173"/>
      <c r="G173"/>
      <c r="H173"/>
      <c r="I173"/>
      <c r="L173" s="15">
        <v>-3.41</v>
      </c>
      <c r="M173" s="54">
        <v>-33.831821000000005</v>
      </c>
    </row>
    <row r="174" spans="1:13" s="15" customFormat="1" x14ac:dyDescent="0.3">
      <c r="A174" s="17"/>
      <c r="B174"/>
      <c r="C174"/>
      <c r="D174"/>
      <c r="E174"/>
      <c r="F174"/>
      <c r="G174"/>
      <c r="H174"/>
      <c r="I174"/>
      <c r="L174" s="15">
        <v>-3.4</v>
      </c>
      <c r="M174" s="54">
        <v>-33.503999999999998</v>
      </c>
    </row>
    <row r="175" spans="1:13" s="15" customFormat="1" x14ac:dyDescent="0.3">
      <c r="A175" s="17"/>
      <c r="B175"/>
      <c r="C175"/>
      <c r="D175"/>
      <c r="E175"/>
      <c r="F175"/>
      <c r="G175"/>
      <c r="H175"/>
      <c r="I175"/>
      <c r="L175" s="15">
        <v>-3.3899999999999997</v>
      </c>
      <c r="M175" s="54">
        <v>-33.178219000000006</v>
      </c>
    </row>
    <row r="176" spans="1:13" s="15" customFormat="1" x14ac:dyDescent="0.3">
      <c r="A176" s="17"/>
      <c r="B176"/>
      <c r="C176"/>
      <c r="D176"/>
      <c r="E176"/>
      <c r="F176"/>
      <c r="G176"/>
      <c r="H176"/>
      <c r="I176"/>
      <c r="L176" s="15">
        <v>-3.38</v>
      </c>
      <c r="M176" s="54">
        <v>-32.854471999999994</v>
      </c>
    </row>
    <row r="177" spans="1:13" s="15" customFormat="1" x14ac:dyDescent="0.3">
      <c r="A177" s="17"/>
      <c r="B177"/>
      <c r="C177"/>
      <c r="D177"/>
      <c r="E177"/>
      <c r="F177"/>
      <c r="G177"/>
      <c r="H177"/>
      <c r="I177"/>
      <c r="L177" s="15">
        <v>-3.37</v>
      </c>
      <c r="M177" s="54">
        <v>-32.532753000000007</v>
      </c>
    </row>
    <row r="178" spans="1:13" s="15" customFormat="1" x14ac:dyDescent="0.3">
      <c r="A178" s="17"/>
      <c r="B178"/>
      <c r="C178"/>
      <c r="D178"/>
      <c r="E178"/>
      <c r="F178"/>
      <c r="G178"/>
      <c r="H178"/>
      <c r="I178"/>
      <c r="L178" s="15">
        <v>-3.36</v>
      </c>
      <c r="M178" s="54">
        <v>-32.213055999999995</v>
      </c>
    </row>
    <row r="179" spans="1:13" s="15" customFormat="1" x14ac:dyDescent="0.3">
      <c r="A179" s="17"/>
      <c r="B179"/>
      <c r="C179"/>
      <c r="D179"/>
      <c r="E179"/>
      <c r="F179"/>
      <c r="G179"/>
      <c r="H179"/>
      <c r="I179"/>
      <c r="L179" s="15">
        <v>-3.3499999999999996</v>
      </c>
      <c r="M179" s="54">
        <v>-31.895375000000005</v>
      </c>
    </row>
    <row r="180" spans="1:13" s="15" customFormat="1" x14ac:dyDescent="0.3">
      <c r="A180" s="17"/>
      <c r="B180"/>
      <c r="C180"/>
      <c r="D180"/>
      <c r="E180"/>
      <c r="F180"/>
      <c r="G180"/>
      <c r="H180"/>
      <c r="I180"/>
      <c r="L180" s="15">
        <v>-3.34</v>
      </c>
      <c r="M180" s="54">
        <v>-31.579704</v>
      </c>
    </row>
    <row r="181" spans="1:13" s="15" customFormat="1" x14ac:dyDescent="0.3">
      <c r="A181" s="17"/>
      <c r="B181"/>
      <c r="C181"/>
      <c r="D181"/>
      <c r="E181"/>
      <c r="F181"/>
      <c r="G181"/>
      <c r="H181"/>
      <c r="I181"/>
      <c r="L181" s="15">
        <v>-3.33</v>
      </c>
      <c r="M181" s="54">
        <v>-31.266037000000001</v>
      </c>
    </row>
    <row r="182" spans="1:13" s="15" customFormat="1" x14ac:dyDescent="0.3">
      <c r="A182" s="17"/>
      <c r="B182"/>
      <c r="C182"/>
      <c r="D182"/>
      <c r="E182"/>
      <c r="F182"/>
      <c r="G182"/>
      <c r="H182"/>
      <c r="I182"/>
      <c r="L182" s="15">
        <v>-3.3200000000000003</v>
      </c>
      <c r="M182" s="54">
        <v>-30.954367999999995</v>
      </c>
    </row>
    <row r="183" spans="1:13" s="15" customFormat="1" x14ac:dyDescent="0.3">
      <c r="A183" s="17"/>
      <c r="B183"/>
      <c r="C183"/>
      <c r="D183"/>
      <c r="E183"/>
      <c r="F183"/>
      <c r="G183"/>
      <c r="H183"/>
      <c r="I183"/>
      <c r="L183" s="15">
        <v>-3.31</v>
      </c>
      <c r="M183" s="54">
        <v>-30.644691000000005</v>
      </c>
    </row>
    <row r="184" spans="1:13" s="15" customFormat="1" x14ac:dyDescent="0.3">
      <c r="A184" s="17"/>
      <c r="B184"/>
      <c r="C184"/>
      <c r="D184"/>
      <c r="E184"/>
      <c r="F184"/>
      <c r="G184"/>
      <c r="H184"/>
      <c r="I184"/>
      <c r="L184" s="15">
        <v>-3.3</v>
      </c>
      <c r="M184" s="54">
        <v>-30.336999999999996</v>
      </c>
    </row>
    <row r="185" spans="1:13" s="15" customFormat="1" x14ac:dyDescent="0.3">
      <c r="A185" s="17"/>
      <c r="B185"/>
      <c r="C185"/>
      <c r="D185"/>
      <c r="E185"/>
      <c r="F185"/>
      <c r="G185"/>
      <c r="H185"/>
      <c r="I185"/>
      <c r="L185" s="15">
        <v>-3.29</v>
      </c>
      <c r="M185" s="54">
        <v>-30.031289000000001</v>
      </c>
    </row>
    <row r="186" spans="1:13" s="15" customFormat="1" x14ac:dyDescent="0.3">
      <c r="A186" s="17"/>
      <c r="B186"/>
      <c r="C186"/>
      <c r="D186"/>
      <c r="E186"/>
      <c r="F186"/>
      <c r="G186"/>
      <c r="H186"/>
      <c r="I186"/>
      <c r="L186" s="15">
        <v>-3.2800000000000002</v>
      </c>
      <c r="M186" s="54">
        <v>-29.727551999999992</v>
      </c>
    </row>
    <row r="187" spans="1:13" s="15" customFormat="1" x14ac:dyDescent="0.3">
      <c r="A187" s="17"/>
      <c r="B187"/>
      <c r="C187"/>
      <c r="D187"/>
      <c r="E187"/>
      <c r="F187"/>
      <c r="G187"/>
      <c r="H187"/>
      <c r="I187"/>
      <c r="L187" s="15">
        <v>-3.27</v>
      </c>
      <c r="M187" s="54">
        <v>-29.425783000000003</v>
      </c>
    </row>
    <row r="188" spans="1:13" s="15" customFormat="1" x14ac:dyDescent="0.3">
      <c r="A188" s="17"/>
      <c r="B188"/>
      <c r="C188"/>
      <c r="D188"/>
      <c r="E188"/>
      <c r="F188"/>
      <c r="G188"/>
      <c r="H188"/>
      <c r="I188"/>
      <c r="L188" s="15">
        <v>-3.26</v>
      </c>
      <c r="M188" s="54">
        <v>-29.125975999999998</v>
      </c>
    </row>
    <row r="189" spans="1:13" s="15" customFormat="1" x14ac:dyDescent="0.3">
      <c r="A189" s="17"/>
      <c r="B189"/>
      <c r="C189"/>
      <c r="D189"/>
      <c r="E189"/>
      <c r="F189"/>
      <c r="G189"/>
      <c r="H189"/>
      <c r="I189"/>
      <c r="L189" s="15">
        <v>-3.25</v>
      </c>
      <c r="M189" s="54">
        <v>-28.828125</v>
      </c>
    </row>
    <row r="190" spans="1:13" s="15" customFormat="1" x14ac:dyDescent="0.3">
      <c r="A190" s="17"/>
      <c r="B190"/>
      <c r="C190"/>
      <c r="D190"/>
      <c r="E190"/>
      <c r="F190"/>
      <c r="G190"/>
      <c r="H190"/>
      <c r="I190"/>
      <c r="L190" s="15">
        <v>-3.24</v>
      </c>
      <c r="M190" s="54">
        <v>-28.53222400000001</v>
      </c>
    </row>
    <row r="191" spans="1:13" s="15" customFormat="1" x14ac:dyDescent="0.3">
      <c r="A191" s="17"/>
      <c r="B191"/>
      <c r="C191"/>
      <c r="D191"/>
      <c r="E191"/>
      <c r="F191"/>
      <c r="G191"/>
      <c r="H191"/>
      <c r="I191"/>
      <c r="L191" s="15">
        <v>-3.23</v>
      </c>
      <c r="M191" s="54">
        <v>-28.238267</v>
      </c>
    </row>
    <row r="192" spans="1:13" s="15" customFormat="1" x14ac:dyDescent="0.3">
      <c r="A192" s="17"/>
      <c r="B192"/>
      <c r="C192"/>
      <c r="D192"/>
      <c r="E192"/>
      <c r="F192"/>
      <c r="G192"/>
      <c r="H192"/>
      <c r="I192"/>
      <c r="L192" s="15">
        <v>-3.2199999999999998</v>
      </c>
      <c r="M192" s="54">
        <v>-27.946248000000008</v>
      </c>
    </row>
    <row r="193" spans="1:13" s="15" customFormat="1" x14ac:dyDescent="0.3">
      <c r="A193" s="17"/>
      <c r="B193"/>
      <c r="C193"/>
      <c r="D193"/>
      <c r="E193"/>
      <c r="F193"/>
      <c r="G193"/>
      <c r="H193"/>
      <c r="I193"/>
      <c r="L193" s="15">
        <v>-3.21</v>
      </c>
      <c r="M193" s="54">
        <v>-27.656160999999997</v>
      </c>
    </row>
    <row r="194" spans="1:13" s="15" customFormat="1" x14ac:dyDescent="0.3">
      <c r="A194" s="17"/>
      <c r="B194"/>
      <c r="C194"/>
      <c r="D194"/>
      <c r="E194"/>
      <c r="F194"/>
      <c r="G194"/>
      <c r="H194"/>
      <c r="I194"/>
      <c r="L194" s="15">
        <v>-3.2</v>
      </c>
      <c r="M194" s="54">
        <v>-27.368000000000009</v>
      </c>
    </row>
    <row r="195" spans="1:13" s="15" customFormat="1" x14ac:dyDescent="0.3">
      <c r="A195" s="17"/>
      <c r="B195"/>
      <c r="C195"/>
      <c r="D195"/>
      <c r="E195"/>
      <c r="F195"/>
      <c r="G195"/>
      <c r="H195"/>
      <c r="I195"/>
      <c r="L195" s="15">
        <v>-3.19</v>
      </c>
      <c r="M195" s="54">
        <v>-27.081759000000002</v>
      </c>
    </row>
    <row r="196" spans="1:13" s="15" customFormat="1" x14ac:dyDescent="0.3">
      <c r="A196" s="17"/>
      <c r="B196"/>
      <c r="C196"/>
      <c r="D196"/>
      <c r="E196"/>
      <c r="F196"/>
      <c r="G196"/>
      <c r="H196"/>
      <c r="I196"/>
      <c r="L196" s="15">
        <v>-3.1799999999999997</v>
      </c>
      <c r="M196" s="54">
        <v>-26.797432000000008</v>
      </c>
    </row>
    <row r="197" spans="1:13" s="15" customFormat="1" x14ac:dyDescent="0.3">
      <c r="A197" s="17"/>
      <c r="B197"/>
      <c r="C197"/>
      <c r="D197"/>
      <c r="E197"/>
      <c r="F197"/>
      <c r="G197"/>
      <c r="H197"/>
      <c r="I197"/>
      <c r="L197" s="15">
        <v>-3.17</v>
      </c>
      <c r="M197" s="54">
        <v>-26.515013</v>
      </c>
    </row>
    <row r="198" spans="1:13" s="15" customFormat="1" x14ac:dyDescent="0.3">
      <c r="A198" s="17"/>
      <c r="B198"/>
      <c r="C198"/>
      <c r="D198"/>
      <c r="E198"/>
      <c r="F198"/>
      <c r="G198"/>
      <c r="H198"/>
      <c r="I198"/>
      <c r="L198" s="15">
        <v>-3.16</v>
      </c>
      <c r="M198" s="54">
        <v>-26.234496000000007</v>
      </c>
    </row>
    <row r="199" spans="1:13" s="15" customFormat="1" x14ac:dyDescent="0.3">
      <c r="A199" s="17"/>
      <c r="B199"/>
      <c r="C199"/>
      <c r="D199"/>
      <c r="E199"/>
      <c r="F199"/>
      <c r="G199"/>
      <c r="H199"/>
      <c r="I199"/>
      <c r="L199" s="15">
        <v>-3.15</v>
      </c>
      <c r="M199" s="54">
        <v>-25.955874999999995</v>
      </c>
    </row>
    <row r="200" spans="1:13" s="15" customFormat="1" x14ac:dyDescent="0.3">
      <c r="A200" s="17"/>
      <c r="B200"/>
      <c r="C200"/>
      <c r="D200"/>
      <c r="E200"/>
      <c r="F200"/>
      <c r="G200"/>
      <c r="H200"/>
      <c r="I200"/>
      <c r="L200" s="15">
        <v>-3.1399999999999997</v>
      </c>
      <c r="M200" s="54">
        <v>-25.679144000000001</v>
      </c>
    </row>
    <row r="201" spans="1:13" s="15" customFormat="1" x14ac:dyDescent="0.3">
      <c r="A201" s="17"/>
      <c r="B201"/>
      <c r="C201"/>
      <c r="D201"/>
      <c r="E201"/>
      <c r="F201"/>
      <c r="G201"/>
      <c r="H201"/>
      <c r="I201"/>
      <c r="L201" s="15">
        <v>-3.13</v>
      </c>
      <c r="M201" s="54">
        <v>-25.404297</v>
      </c>
    </row>
    <row r="202" spans="1:13" s="15" customFormat="1" x14ac:dyDescent="0.3">
      <c r="A202" s="17"/>
      <c r="B202"/>
      <c r="C202"/>
      <c r="D202"/>
      <c r="E202"/>
      <c r="F202"/>
      <c r="G202"/>
      <c r="H202"/>
      <c r="I202"/>
      <c r="L202" s="15">
        <v>-3.12</v>
      </c>
      <c r="M202" s="54">
        <v>-25.131328000000003</v>
      </c>
    </row>
    <row r="203" spans="1:13" s="15" customFormat="1" x14ac:dyDescent="0.3">
      <c r="A203" s="17"/>
      <c r="B203"/>
      <c r="C203"/>
      <c r="D203"/>
      <c r="E203"/>
      <c r="F203"/>
      <c r="G203"/>
      <c r="H203"/>
      <c r="I203"/>
      <c r="L203" s="15">
        <v>-3.11</v>
      </c>
      <c r="M203" s="54">
        <v>-24.860230999999995</v>
      </c>
    </row>
    <row r="204" spans="1:13" s="15" customFormat="1" x14ac:dyDescent="0.3">
      <c r="A204" s="17"/>
      <c r="B204"/>
      <c r="C204"/>
      <c r="D204"/>
      <c r="E204"/>
      <c r="F204"/>
      <c r="G204"/>
      <c r="H204"/>
      <c r="I204"/>
      <c r="L204" s="15">
        <v>-3.0999999999999996</v>
      </c>
      <c r="M204" s="54">
        <v>-24.591000000000005</v>
      </c>
    </row>
    <row r="205" spans="1:13" s="15" customFormat="1" x14ac:dyDescent="0.3">
      <c r="A205" s="17"/>
      <c r="B205"/>
      <c r="C205"/>
      <c r="D205"/>
      <c r="E205"/>
      <c r="F205"/>
      <c r="G205"/>
      <c r="H205"/>
      <c r="I205"/>
      <c r="L205" s="15">
        <v>-3.09</v>
      </c>
      <c r="M205" s="54">
        <v>-24.323628999999997</v>
      </c>
    </row>
    <row r="206" spans="1:13" s="15" customFormat="1" x14ac:dyDescent="0.3">
      <c r="A206" s="17"/>
      <c r="B206"/>
      <c r="C206"/>
      <c r="D206"/>
      <c r="E206"/>
      <c r="F206"/>
      <c r="G206"/>
      <c r="H206"/>
      <c r="I206"/>
      <c r="L206" s="15">
        <v>-3.08</v>
      </c>
      <c r="M206" s="54">
        <v>-24.058112000000001</v>
      </c>
    </row>
    <row r="207" spans="1:13" s="15" customFormat="1" x14ac:dyDescent="0.3">
      <c r="A207" s="17"/>
      <c r="B207"/>
      <c r="C207"/>
      <c r="D207"/>
      <c r="E207"/>
      <c r="F207"/>
      <c r="G207"/>
      <c r="H207"/>
      <c r="I207"/>
      <c r="L207" s="15">
        <v>-3.0700000000000003</v>
      </c>
      <c r="M207" s="54">
        <v>-23.794442999999994</v>
      </c>
    </row>
    <row r="208" spans="1:13" s="15" customFormat="1" x14ac:dyDescent="0.3">
      <c r="A208" s="17"/>
      <c r="B208"/>
      <c r="C208"/>
      <c r="D208"/>
      <c r="E208"/>
      <c r="F208"/>
      <c r="G208"/>
      <c r="H208"/>
      <c r="I208"/>
      <c r="L208" s="15">
        <v>-3.06</v>
      </c>
      <c r="M208" s="54">
        <v>-23.532616000000001</v>
      </c>
    </row>
    <row r="209" spans="1:13" s="15" customFormat="1" x14ac:dyDescent="0.3">
      <c r="A209" s="17"/>
      <c r="B209"/>
      <c r="C209"/>
      <c r="D209"/>
      <c r="E209"/>
      <c r="F209"/>
      <c r="G209"/>
      <c r="H209"/>
      <c r="I209"/>
      <c r="L209" s="15">
        <v>-3.05</v>
      </c>
      <c r="M209" s="54">
        <v>-23.272624999999991</v>
      </c>
    </row>
    <row r="210" spans="1:13" s="15" customFormat="1" x14ac:dyDescent="0.3">
      <c r="A210" s="17"/>
      <c r="B210"/>
      <c r="C210"/>
      <c r="D210"/>
      <c r="E210"/>
      <c r="F210"/>
      <c r="G210"/>
      <c r="H210"/>
      <c r="I210"/>
      <c r="L210" s="15">
        <v>-3.04</v>
      </c>
      <c r="M210" s="54">
        <v>-23.014464000000004</v>
      </c>
    </row>
    <row r="211" spans="1:13" s="15" customFormat="1" x14ac:dyDescent="0.3">
      <c r="A211" s="17"/>
      <c r="B211"/>
      <c r="C211"/>
      <c r="D211"/>
      <c r="E211"/>
      <c r="F211"/>
      <c r="G211"/>
      <c r="H211"/>
      <c r="I211"/>
      <c r="L211" s="15">
        <v>-3.0300000000000002</v>
      </c>
      <c r="M211" s="54">
        <v>-22.758126999999998</v>
      </c>
    </row>
    <row r="212" spans="1:13" s="15" customFormat="1" x14ac:dyDescent="0.3">
      <c r="A212" s="17"/>
      <c r="B212"/>
      <c r="C212"/>
      <c r="D212"/>
      <c r="E212"/>
      <c r="F212"/>
      <c r="G212"/>
      <c r="H212"/>
      <c r="I212"/>
      <c r="L212" s="15">
        <v>-3.02</v>
      </c>
      <c r="M212" s="54">
        <v>-22.503608</v>
      </c>
    </row>
    <row r="213" spans="1:13" s="15" customFormat="1" x14ac:dyDescent="0.3">
      <c r="A213" s="17"/>
      <c r="B213"/>
      <c r="C213"/>
      <c r="D213"/>
      <c r="E213"/>
      <c r="F213"/>
      <c r="G213"/>
      <c r="H213"/>
      <c r="I213"/>
      <c r="L213" s="15">
        <v>-3.01</v>
      </c>
      <c r="M213" s="54">
        <v>-22.250900999999995</v>
      </c>
    </row>
    <row r="214" spans="1:13" s="15" customFormat="1" x14ac:dyDescent="0.3">
      <c r="A214" s="17"/>
      <c r="B214"/>
      <c r="C214"/>
      <c r="D214"/>
      <c r="E214"/>
      <c r="F214"/>
      <c r="G214"/>
      <c r="H214"/>
      <c r="I214"/>
      <c r="L214" s="15">
        <v>-3</v>
      </c>
      <c r="M214" s="54">
        <v>-22</v>
      </c>
    </row>
    <row r="215" spans="1:13" s="15" customFormat="1" x14ac:dyDescent="0.3">
      <c r="A215" s="17"/>
      <c r="B215"/>
      <c r="C215"/>
      <c r="D215"/>
      <c r="E215"/>
      <c r="F215"/>
      <c r="G215"/>
      <c r="H215"/>
      <c r="I215"/>
      <c r="L215" s="15">
        <v>-2.9899999999999998</v>
      </c>
      <c r="M215" s="54">
        <v>-21.750899000000004</v>
      </c>
    </row>
    <row r="216" spans="1:13" s="15" customFormat="1" x14ac:dyDescent="0.3">
      <c r="A216" s="17"/>
      <c r="B216"/>
      <c r="C216"/>
      <c r="D216"/>
      <c r="E216"/>
      <c r="F216"/>
      <c r="G216"/>
      <c r="H216"/>
      <c r="I216"/>
      <c r="L216" s="15">
        <v>-2.98</v>
      </c>
      <c r="M216" s="54">
        <v>-21.503591999999998</v>
      </c>
    </row>
    <row r="217" spans="1:13" s="15" customFormat="1" x14ac:dyDescent="0.3">
      <c r="A217" s="17"/>
      <c r="B217"/>
      <c r="C217"/>
      <c r="D217"/>
      <c r="E217"/>
      <c r="F217"/>
      <c r="G217"/>
      <c r="H217"/>
      <c r="I217"/>
      <c r="L217" s="15">
        <v>-2.9699999999999998</v>
      </c>
      <c r="M217" s="54">
        <v>-21.258073000000007</v>
      </c>
    </row>
    <row r="218" spans="1:13" s="15" customFormat="1" x14ac:dyDescent="0.3">
      <c r="A218" s="17"/>
      <c r="B218"/>
      <c r="C218"/>
      <c r="D218"/>
      <c r="E218"/>
      <c r="F218"/>
      <c r="G218"/>
      <c r="H218"/>
      <c r="I218"/>
      <c r="L218" s="15">
        <v>-2.96</v>
      </c>
      <c r="M218" s="54">
        <v>-21.014336</v>
      </c>
    </row>
    <row r="219" spans="1:13" s="15" customFormat="1" x14ac:dyDescent="0.3">
      <c r="A219" s="17"/>
      <c r="B219"/>
      <c r="C219"/>
      <c r="D219"/>
      <c r="E219"/>
      <c r="F219"/>
      <c r="G219"/>
      <c r="H219"/>
      <c r="I219"/>
      <c r="L219" s="15">
        <v>-2.95</v>
      </c>
      <c r="M219" s="54">
        <v>-20.772375000000004</v>
      </c>
    </row>
    <row r="220" spans="1:13" s="15" customFormat="1" x14ac:dyDescent="0.3">
      <c r="A220" s="17"/>
      <c r="B220"/>
      <c r="C220"/>
      <c r="D220"/>
      <c r="E220"/>
      <c r="F220"/>
      <c r="G220"/>
      <c r="H220"/>
      <c r="I220"/>
      <c r="L220" s="15">
        <v>-2.94</v>
      </c>
      <c r="M220" s="54">
        <v>-20.532183999999997</v>
      </c>
    </row>
    <row r="221" spans="1:13" s="15" customFormat="1" x14ac:dyDescent="0.3">
      <c r="A221" s="17"/>
      <c r="B221"/>
      <c r="C221"/>
      <c r="D221"/>
      <c r="E221"/>
      <c r="F221"/>
      <c r="G221"/>
      <c r="H221"/>
      <c r="I221"/>
      <c r="L221" s="15">
        <v>-2.93</v>
      </c>
      <c r="M221" s="54">
        <v>-20.293757000000006</v>
      </c>
    </row>
    <row r="222" spans="1:13" s="15" customFormat="1" x14ac:dyDescent="0.3">
      <c r="A222" s="17"/>
      <c r="B222"/>
      <c r="C222"/>
      <c r="D222"/>
      <c r="E222"/>
      <c r="F222"/>
      <c r="G222"/>
      <c r="H222"/>
      <c r="I222"/>
      <c r="L222" s="15">
        <v>-2.92</v>
      </c>
      <c r="M222" s="54">
        <v>-20.057087999999997</v>
      </c>
    </row>
    <row r="223" spans="1:13" s="15" customFormat="1" x14ac:dyDescent="0.3">
      <c r="A223" s="17"/>
      <c r="B223"/>
      <c r="C223"/>
      <c r="D223"/>
      <c r="E223"/>
      <c r="F223"/>
      <c r="G223"/>
      <c r="H223"/>
      <c r="I223"/>
      <c r="L223" s="15">
        <v>-2.91</v>
      </c>
      <c r="M223" s="54">
        <v>-19.822171000000004</v>
      </c>
    </row>
    <row r="224" spans="1:13" s="15" customFormat="1" x14ac:dyDescent="0.3">
      <c r="A224" s="17"/>
      <c r="B224"/>
      <c r="C224"/>
      <c r="D224"/>
      <c r="E224"/>
      <c r="F224"/>
      <c r="G224"/>
      <c r="H224"/>
      <c r="I224"/>
      <c r="L224" s="15">
        <v>-2.9</v>
      </c>
      <c r="M224" s="54">
        <v>-19.588999999999999</v>
      </c>
    </row>
    <row r="225" spans="1:13" s="15" customFormat="1" x14ac:dyDescent="0.3">
      <c r="A225" s="17"/>
      <c r="B225"/>
      <c r="C225"/>
      <c r="D225"/>
      <c r="E225"/>
      <c r="F225"/>
      <c r="G225"/>
      <c r="H225"/>
      <c r="I225"/>
      <c r="L225" s="15">
        <v>-2.89</v>
      </c>
      <c r="M225" s="54">
        <v>-19.357569000000002</v>
      </c>
    </row>
    <row r="226" spans="1:13" s="15" customFormat="1" x14ac:dyDescent="0.3">
      <c r="A226" s="17"/>
      <c r="B226"/>
      <c r="C226"/>
      <c r="D226"/>
      <c r="E226"/>
      <c r="F226"/>
      <c r="G226"/>
      <c r="H226"/>
      <c r="I226"/>
      <c r="L226" s="15">
        <v>-2.88</v>
      </c>
      <c r="M226" s="54">
        <v>-19.127871999999996</v>
      </c>
    </row>
    <row r="227" spans="1:13" s="15" customFormat="1" x14ac:dyDescent="0.3">
      <c r="A227" s="17"/>
      <c r="B227"/>
      <c r="C227"/>
      <c r="D227"/>
      <c r="E227"/>
      <c r="F227"/>
      <c r="G227"/>
      <c r="H227"/>
      <c r="I227"/>
      <c r="L227" s="15">
        <v>-2.87</v>
      </c>
      <c r="M227" s="54">
        <v>-18.899903000000002</v>
      </c>
    </row>
    <row r="228" spans="1:13" s="15" customFormat="1" x14ac:dyDescent="0.3">
      <c r="A228" s="17"/>
      <c r="B228"/>
      <c r="C228"/>
      <c r="D228"/>
      <c r="E228"/>
      <c r="F228"/>
      <c r="G228"/>
      <c r="H228"/>
      <c r="I228"/>
      <c r="L228" s="15">
        <v>-2.86</v>
      </c>
      <c r="M228" s="54">
        <v>-18.673655999999998</v>
      </c>
    </row>
    <row r="229" spans="1:13" s="15" customFormat="1" x14ac:dyDescent="0.3">
      <c r="A229" s="17"/>
      <c r="B229"/>
      <c r="C229"/>
      <c r="D229"/>
      <c r="E229"/>
      <c r="F229"/>
      <c r="G229"/>
      <c r="H229"/>
      <c r="I229"/>
      <c r="L229" s="15">
        <v>-2.85</v>
      </c>
      <c r="M229" s="54">
        <v>-18.449125000000002</v>
      </c>
    </row>
    <row r="230" spans="1:13" s="15" customFormat="1" x14ac:dyDescent="0.3">
      <c r="A230" s="17"/>
      <c r="B230"/>
      <c r="C230"/>
      <c r="D230"/>
      <c r="E230"/>
      <c r="F230"/>
      <c r="G230"/>
      <c r="H230"/>
      <c r="I230"/>
      <c r="L230" s="15">
        <v>-2.84</v>
      </c>
      <c r="M230" s="54">
        <v>-18.226303999999999</v>
      </c>
    </row>
    <row r="231" spans="1:13" s="15" customFormat="1" x14ac:dyDescent="0.3">
      <c r="A231" s="17"/>
      <c r="B231"/>
      <c r="C231"/>
      <c r="D231"/>
      <c r="E231"/>
      <c r="F231"/>
      <c r="G231"/>
      <c r="H231"/>
      <c r="I231"/>
      <c r="L231" s="15">
        <v>-2.83</v>
      </c>
      <c r="M231" s="54">
        <v>-18.005187000000003</v>
      </c>
    </row>
    <row r="232" spans="1:13" s="15" customFormat="1" x14ac:dyDescent="0.3">
      <c r="A232" s="17"/>
      <c r="B232"/>
      <c r="C232"/>
      <c r="D232"/>
      <c r="E232"/>
      <c r="F232"/>
      <c r="G232"/>
      <c r="H232"/>
      <c r="I232"/>
      <c r="L232" s="15">
        <v>-2.82</v>
      </c>
      <c r="M232" s="54">
        <v>-17.785767999999994</v>
      </c>
    </row>
    <row r="233" spans="1:13" s="15" customFormat="1" x14ac:dyDescent="0.3">
      <c r="A233" s="17"/>
      <c r="B233"/>
      <c r="C233"/>
      <c r="D233"/>
      <c r="E233"/>
      <c r="F233"/>
      <c r="G233"/>
      <c r="H233"/>
      <c r="I233"/>
      <c r="L233" s="15">
        <v>-2.81</v>
      </c>
      <c r="M233" s="54">
        <v>-17.568041000000001</v>
      </c>
    </row>
    <row r="234" spans="1:13" s="15" customFormat="1" x14ac:dyDescent="0.3">
      <c r="A234" s="17"/>
      <c r="B234"/>
      <c r="C234"/>
      <c r="D234"/>
      <c r="E234"/>
      <c r="F234"/>
      <c r="G234"/>
      <c r="H234"/>
      <c r="I234"/>
      <c r="L234" s="15">
        <v>-2.8</v>
      </c>
      <c r="M234" s="54">
        <v>-17.351999999999997</v>
      </c>
    </row>
    <row r="235" spans="1:13" s="15" customFormat="1" x14ac:dyDescent="0.3">
      <c r="A235" s="17"/>
      <c r="B235"/>
      <c r="C235"/>
      <c r="D235"/>
      <c r="E235"/>
      <c r="F235"/>
      <c r="G235"/>
      <c r="H235"/>
      <c r="I235"/>
      <c r="L235" s="15">
        <v>-2.79</v>
      </c>
      <c r="M235" s="54">
        <v>-17.137639</v>
      </c>
    </row>
    <row r="236" spans="1:13" s="15" customFormat="1" x14ac:dyDescent="0.3">
      <c r="A236" s="17"/>
      <c r="B236"/>
      <c r="C236"/>
      <c r="D236"/>
      <c r="E236"/>
      <c r="F236"/>
      <c r="G236"/>
      <c r="H236"/>
      <c r="I236"/>
      <c r="L236" s="15">
        <v>-2.78</v>
      </c>
      <c r="M236" s="54">
        <v>-16.924951999999998</v>
      </c>
    </row>
    <row r="237" spans="1:13" s="15" customFormat="1" x14ac:dyDescent="0.3">
      <c r="A237" s="17"/>
      <c r="B237"/>
      <c r="C237"/>
      <c r="D237"/>
      <c r="E237"/>
      <c r="F237"/>
      <c r="G237"/>
      <c r="H237"/>
      <c r="I237"/>
      <c r="L237" s="15">
        <v>-2.77</v>
      </c>
      <c r="M237" s="54">
        <v>-16.713933000000001</v>
      </c>
    </row>
    <row r="238" spans="1:13" s="15" customFormat="1" x14ac:dyDescent="0.3">
      <c r="A238" s="17"/>
      <c r="B238"/>
      <c r="C238"/>
      <c r="D238"/>
      <c r="E238"/>
      <c r="F238"/>
      <c r="G238"/>
      <c r="H238"/>
      <c r="I238"/>
      <c r="L238" s="15">
        <v>-2.76</v>
      </c>
      <c r="M238" s="54">
        <v>-16.504575999999997</v>
      </c>
    </row>
    <row r="239" spans="1:13" s="15" customFormat="1" x14ac:dyDescent="0.3">
      <c r="A239" s="17"/>
      <c r="B239"/>
      <c r="C239"/>
      <c r="D239"/>
      <c r="E239"/>
      <c r="F239"/>
      <c r="G239"/>
      <c r="H239"/>
      <c r="I239"/>
      <c r="L239" s="15">
        <v>-2.75</v>
      </c>
      <c r="M239" s="54">
        <v>-16.296875</v>
      </c>
    </row>
    <row r="240" spans="1:13" s="15" customFormat="1" x14ac:dyDescent="0.3">
      <c r="A240" s="17"/>
      <c r="B240"/>
      <c r="C240"/>
      <c r="D240"/>
      <c r="E240"/>
      <c r="F240"/>
      <c r="G240"/>
      <c r="H240"/>
      <c r="I240"/>
      <c r="L240" s="15">
        <v>-2.7399999999999998</v>
      </c>
      <c r="M240" s="54">
        <v>-16.090824000000005</v>
      </c>
    </row>
    <row r="241" spans="1:13" s="15" customFormat="1" x14ac:dyDescent="0.3">
      <c r="A241" s="17"/>
      <c r="B241"/>
      <c r="C241"/>
      <c r="D241"/>
      <c r="E241"/>
      <c r="F241"/>
      <c r="G241"/>
      <c r="H241"/>
      <c r="I241"/>
      <c r="L241" s="15">
        <v>-2.73</v>
      </c>
      <c r="M241" s="54">
        <v>-15.886416999999998</v>
      </c>
    </row>
    <row r="242" spans="1:13" s="15" customFormat="1" x14ac:dyDescent="0.3">
      <c r="A242" s="17"/>
      <c r="B242"/>
      <c r="C242"/>
      <c r="D242"/>
      <c r="E242"/>
      <c r="F242"/>
      <c r="G242"/>
      <c r="H242"/>
      <c r="I242"/>
      <c r="L242" s="15">
        <v>-2.7199999999999998</v>
      </c>
      <c r="M242" s="54">
        <v>-15.683648000000005</v>
      </c>
    </row>
    <row r="243" spans="1:13" s="15" customFormat="1" x14ac:dyDescent="0.3">
      <c r="A243" s="17"/>
      <c r="B243"/>
      <c r="C243"/>
      <c r="D243"/>
      <c r="E243"/>
      <c r="F243"/>
      <c r="G243"/>
      <c r="H243"/>
      <c r="I243"/>
      <c r="L243" s="15">
        <v>-2.71</v>
      </c>
      <c r="M243" s="54">
        <v>-15.482511000000001</v>
      </c>
    </row>
    <row r="244" spans="1:13" s="15" customFormat="1" x14ac:dyDescent="0.3">
      <c r="A244" s="17"/>
      <c r="B244"/>
      <c r="C244"/>
      <c r="D244"/>
      <c r="E244"/>
      <c r="F244"/>
      <c r="G244"/>
      <c r="H244"/>
      <c r="I244"/>
      <c r="L244" s="15">
        <v>-2.6999999999999997</v>
      </c>
      <c r="M244" s="54">
        <v>-15.283000000000003</v>
      </c>
    </row>
    <row r="245" spans="1:13" s="15" customFormat="1" x14ac:dyDescent="0.3">
      <c r="A245" s="17"/>
      <c r="B245"/>
      <c r="C245"/>
      <c r="D245"/>
      <c r="E245"/>
      <c r="F245"/>
      <c r="G245"/>
      <c r="H245"/>
      <c r="I245"/>
      <c r="L245" s="15">
        <v>-2.69</v>
      </c>
      <c r="M245" s="54">
        <v>-15.085108999999999</v>
      </c>
    </row>
    <row r="246" spans="1:13" s="15" customFormat="1" x14ac:dyDescent="0.3">
      <c r="A246" s="17"/>
      <c r="B246"/>
      <c r="C246"/>
      <c r="D246"/>
      <c r="E246"/>
      <c r="F246"/>
      <c r="G246"/>
      <c r="H246"/>
      <c r="I246"/>
      <c r="L246" s="15">
        <v>-2.68</v>
      </c>
      <c r="M246" s="54">
        <v>-14.888832000000004</v>
      </c>
    </row>
    <row r="247" spans="1:13" s="15" customFormat="1" x14ac:dyDescent="0.3">
      <c r="A247" s="17"/>
      <c r="B247"/>
      <c r="C247"/>
      <c r="D247"/>
      <c r="E247"/>
      <c r="F247"/>
      <c r="G247"/>
      <c r="H247"/>
      <c r="I247"/>
      <c r="L247" s="15">
        <v>-2.67</v>
      </c>
      <c r="M247" s="54">
        <v>-14.694163</v>
      </c>
    </row>
    <row r="248" spans="1:13" s="15" customFormat="1" x14ac:dyDescent="0.3">
      <c r="A248" s="17"/>
      <c r="B248"/>
      <c r="C248"/>
      <c r="D248"/>
      <c r="E248"/>
      <c r="F248"/>
      <c r="G248"/>
      <c r="H248"/>
      <c r="I248"/>
      <c r="L248" s="15">
        <v>-2.66</v>
      </c>
      <c r="M248" s="54">
        <v>-14.501096</v>
      </c>
    </row>
    <row r="249" spans="1:13" s="15" customFormat="1" x14ac:dyDescent="0.3">
      <c r="A249" s="17"/>
      <c r="B249"/>
      <c r="C249"/>
      <c r="D249"/>
      <c r="E249"/>
      <c r="F249"/>
      <c r="G249"/>
      <c r="H249"/>
      <c r="I249"/>
      <c r="L249" s="15">
        <v>-2.65</v>
      </c>
      <c r="M249" s="54">
        <v>-14.309624999999997</v>
      </c>
    </row>
    <row r="250" spans="1:13" s="15" customFormat="1" x14ac:dyDescent="0.3">
      <c r="A250" s="17"/>
      <c r="B250"/>
      <c r="C250"/>
      <c r="D250"/>
      <c r="E250"/>
      <c r="F250"/>
      <c r="G250"/>
      <c r="H250"/>
      <c r="I250"/>
      <c r="L250" s="15">
        <v>-2.64</v>
      </c>
      <c r="M250" s="54">
        <v>-14.119744000000001</v>
      </c>
    </row>
    <row r="251" spans="1:13" s="15" customFormat="1" x14ac:dyDescent="0.3">
      <c r="A251" s="17"/>
      <c r="B251"/>
      <c r="C251"/>
      <c r="D251"/>
      <c r="E251"/>
      <c r="F251"/>
      <c r="G251"/>
      <c r="H251"/>
      <c r="I251"/>
      <c r="L251" s="15">
        <v>-2.63</v>
      </c>
      <c r="M251" s="54">
        <v>-13.931446999999997</v>
      </c>
    </row>
    <row r="252" spans="1:13" s="15" customFormat="1" x14ac:dyDescent="0.3">
      <c r="A252" s="17"/>
      <c r="B252"/>
      <c r="C252"/>
      <c r="D252"/>
      <c r="E252"/>
      <c r="F252"/>
      <c r="G252"/>
      <c r="H252"/>
      <c r="I252"/>
      <c r="L252" s="15">
        <v>-2.62</v>
      </c>
      <c r="M252" s="54">
        <v>-13.744728000000004</v>
      </c>
    </row>
    <row r="253" spans="1:13" s="15" customFormat="1" x14ac:dyDescent="0.3">
      <c r="A253" s="17"/>
      <c r="B253"/>
      <c r="C253"/>
      <c r="D253"/>
      <c r="E253"/>
      <c r="F253"/>
      <c r="G253"/>
      <c r="H253"/>
      <c r="I253"/>
      <c r="L253" s="15">
        <v>-2.61</v>
      </c>
      <c r="M253" s="54">
        <v>-13.559580999999998</v>
      </c>
    </row>
    <row r="254" spans="1:13" s="15" customFormat="1" x14ac:dyDescent="0.3">
      <c r="A254" s="17"/>
      <c r="B254"/>
      <c r="C254"/>
      <c r="D254"/>
      <c r="E254"/>
      <c r="F254"/>
      <c r="G254"/>
      <c r="H254"/>
      <c r="I254"/>
      <c r="L254" s="15">
        <v>-2.6</v>
      </c>
      <c r="M254" s="54">
        <v>-13.376000000000005</v>
      </c>
    </row>
    <row r="255" spans="1:13" s="15" customFormat="1" x14ac:dyDescent="0.3">
      <c r="A255" s="17"/>
      <c r="B255"/>
      <c r="C255"/>
      <c r="D255"/>
      <c r="E255"/>
      <c r="F255"/>
      <c r="G255"/>
      <c r="H255"/>
      <c r="I255"/>
      <c r="L255" s="15">
        <v>-2.59</v>
      </c>
      <c r="M255" s="54">
        <v>-13.193978999999995</v>
      </c>
    </row>
    <row r="256" spans="1:13" s="15" customFormat="1" x14ac:dyDescent="0.3">
      <c r="A256" s="17"/>
      <c r="B256"/>
      <c r="C256"/>
      <c r="D256"/>
      <c r="E256"/>
      <c r="F256"/>
      <c r="G256"/>
      <c r="H256"/>
      <c r="I256"/>
      <c r="L256" s="15">
        <v>-2.58</v>
      </c>
      <c r="M256" s="54">
        <v>-13.013512000000002</v>
      </c>
    </row>
    <row r="257" spans="1:13" s="15" customFormat="1" x14ac:dyDescent="0.3">
      <c r="A257" s="17"/>
      <c r="B257"/>
      <c r="C257"/>
      <c r="D257"/>
      <c r="E257"/>
      <c r="F257"/>
      <c r="G257"/>
      <c r="H257"/>
      <c r="I257"/>
      <c r="L257" s="15">
        <v>-2.57</v>
      </c>
      <c r="M257" s="54">
        <v>-12.834592999999995</v>
      </c>
    </row>
    <row r="258" spans="1:13" s="15" customFormat="1" x14ac:dyDescent="0.3">
      <c r="A258" s="17"/>
      <c r="B258"/>
      <c r="C258"/>
      <c r="D258"/>
      <c r="E258"/>
      <c r="F258"/>
      <c r="G258"/>
      <c r="H258"/>
      <c r="I258"/>
      <c r="L258" s="15">
        <v>-2.56</v>
      </c>
      <c r="M258" s="54">
        <v>-12.657216000000002</v>
      </c>
    </row>
    <row r="259" spans="1:13" s="15" customFormat="1" x14ac:dyDescent="0.3">
      <c r="A259" s="17"/>
      <c r="B259"/>
      <c r="C259"/>
      <c r="D259"/>
      <c r="E259"/>
      <c r="F259"/>
      <c r="G259"/>
      <c r="H259"/>
      <c r="I259"/>
      <c r="L259" s="15">
        <v>-2.5499999999999998</v>
      </c>
      <c r="M259" s="54">
        <v>-12.481374999999998</v>
      </c>
    </row>
    <row r="260" spans="1:13" s="15" customFormat="1" x14ac:dyDescent="0.3">
      <c r="A260" s="17"/>
      <c r="B260"/>
      <c r="C260"/>
      <c r="D260"/>
      <c r="E260"/>
      <c r="F260"/>
      <c r="G260"/>
      <c r="H260"/>
      <c r="I260"/>
      <c r="L260" s="15">
        <v>-2.54</v>
      </c>
      <c r="M260" s="54">
        <v>-12.307063999999999</v>
      </c>
    </row>
    <row r="261" spans="1:13" s="15" customFormat="1" x14ac:dyDescent="0.3">
      <c r="A261" s="17"/>
      <c r="B261"/>
      <c r="C261"/>
      <c r="D261"/>
      <c r="E261"/>
      <c r="F261"/>
      <c r="G261"/>
      <c r="H261"/>
      <c r="I261"/>
      <c r="L261" s="15">
        <v>-2.5299999999999998</v>
      </c>
      <c r="M261" s="54">
        <v>-12.134276999999997</v>
      </c>
    </row>
    <row r="262" spans="1:13" s="15" customFormat="1" x14ac:dyDescent="0.3">
      <c r="A262" s="17"/>
      <c r="B262"/>
      <c r="C262"/>
      <c r="D262"/>
      <c r="E262"/>
      <c r="F262"/>
      <c r="G262"/>
      <c r="H262"/>
      <c r="I262"/>
      <c r="L262" s="15">
        <v>-2.52</v>
      </c>
      <c r="M262" s="54">
        <v>-11.963008000000002</v>
      </c>
    </row>
    <row r="263" spans="1:13" s="15" customFormat="1" x14ac:dyDescent="0.3">
      <c r="A263" s="17"/>
      <c r="B263"/>
      <c r="C263"/>
      <c r="D263"/>
      <c r="E263"/>
      <c r="F263"/>
      <c r="G263"/>
      <c r="H263"/>
      <c r="I263"/>
      <c r="L263" s="15">
        <v>-2.5099999999999998</v>
      </c>
      <c r="M263" s="54">
        <v>-11.793250999999996</v>
      </c>
    </row>
    <row r="264" spans="1:13" s="15" customFormat="1" x14ac:dyDescent="0.3">
      <c r="A264" s="17"/>
      <c r="B264"/>
      <c r="C264"/>
      <c r="D264"/>
      <c r="E264"/>
      <c r="F264"/>
      <c r="G264"/>
      <c r="H264"/>
      <c r="I264"/>
      <c r="L264" s="15">
        <v>-2.5</v>
      </c>
      <c r="M264" s="54">
        <v>-11.625</v>
      </c>
    </row>
    <row r="265" spans="1:13" s="15" customFormat="1" x14ac:dyDescent="0.3">
      <c r="A265" s="17"/>
      <c r="B265"/>
      <c r="C265"/>
      <c r="D265"/>
      <c r="E265"/>
      <c r="F265"/>
      <c r="G265"/>
      <c r="H265"/>
      <c r="I265"/>
      <c r="L265" s="15">
        <v>-2.4899999999999998</v>
      </c>
      <c r="M265" s="54">
        <v>-11.458249000000002</v>
      </c>
    </row>
    <row r="266" spans="1:13" s="15" customFormat="1" x14ac:dyDescent="0.3">
      <c r="A266" s="17"/>
      <c r="B266"/>
      <c r="C266"/>
      <c r="D266"/>
      <c r="E266"/>
      <c r="F266"/>
      <c r="G266"/>
      <c r="H266"/>
      <c r="I266"/>
      <c r="L266" s="15">
        <v>-2.48</v>
      </c>
      <c r="M266" s="54">
        <v>-11.292992000000002</v>
      </c>
    </row>
    <row r="267" spans="1:13" s="15" customFormat="1" x14ac:dyDescent="0.3">
      <c r="A267" s="17"/>
      <c r="B267"/>
      <c r="C267"/>
      <c r="D267"/>
      <c r="E267"/>
      <c r="F267"/>
      <c r="G267"/>
      <c r="H267"/>
      <c r="I267"/>
      <c r="L267" s="15">
        <v>-2.4699999999999998</v>
      </c>
      <c r="M267" s="54">
        <v>-11.129223000000003</v>
      </c>
    </row>
    <row r="268" spans="1:13" s="15" customFormat="1" x14ac:dyDescent="0.3">
      <c r="A268" s="17"/>
      <c r="B268"/>
      <c r="C268"/>
      <c r="D268"/>
      <c r="E268"/>
      <c r="F268"/>
      <c r="G268"/>
      <c r="H268"/>
      <c r="I268"/>
      <c r="L268" s="15">
        <v>-2.46</v>
      </c>
      <c r="M268" s="54">
        <v>-10.966935999999999</v>
      </c>
    </row>
    <row r="269" spans="1:13" s="15" customFormat="1" x14ac:dyDescent="0.3">
      <c r="A269" s="17"/>
      <c r="B269"/>
      <c r="C269"/>
      <c r="D269"/>
      <c r="E269"/>
      <c r="F269"/>
      <c r="G269"/>
      <c r="H269"/>
      <c r="I269"/>
      <c r="L269" s="15">
        <v>-2.4499999999999997</v>
      </c>
      <c r="M269" s="54">
        <v>-10.806125000000003</v>
      </c>
    </row>
    <row r="270" spans="1:13" s="15" customFormat="1" x14ac:dyDescent="0.3">
      <c r="A270" s="17"/>
      <c r="B270"/>
      <c r="C270"/>
      <c r="D270"/>
      <c r="E270"/>
      <c r="F270"/>
      <c r="G270"/>
      <c r="H270"/>
      <c r="I270"/>
      <c r="L270" s="15">
        <v>-2.44</v>
      </c>
      <c r="M270" s="54">
        <v>-10.646784</v>
      </c>
    </row>
    <row r="271" spans="1:13" s="15" customFormat="1" x14ac:dyDescent="0.3">
      <c r="A271" s="17"/>
      <c r="B271"/>
      <c r="C271"/>
      <c r="D271"/>
      <c r="E271"/>
      <c r="F271"/>
      <c r="G271"/>
      <c r="H271"/>
      <c r="I271"/>
      <c r="L271" s="15">
        <v>-2.4300000000000002</v>
      </c>
      <c r="M271" s="54">
        <v>-10.488907000000001</v>
      </c>
    </row>
    <row r="272" spans="1:13" s="15" customFormat="1" x14ac:dyDescent="0.3">
      <c r="A272" s="17"/>
      <c r="B272"/>
      <c r="C272"/>
      <c r="D272"/>
      <c r="E272"/>
      <c r="F272"/>
      <c r="G272"/>
      <c r="H272"/>
      <c r="I272"/>
      <c r="L272" s="15">
        <v>-2.42</v>
      </c>
      <c r="M272" s="54">
        <v>-10.332488</v>
      </c>
    </row>
    <row r="273" spans="1:13" s="15" customFormat="1" x14ac:dyDescent="0.3">
      <c r="A273" s="17"/>
      <c r="B273"/>
      <c r="C273"/>
      <c r="D273"/>
      <c r="E273"/>
      <c r="F273"/>
      <c r="G273"/>
      <c r="H273"/>
      <c r="I273"/>
      <c r="L273" s="15">
        <v>-2.41</v>
      </c>
      <c r="M273" s="54">
        <v>-10.177521000000002</v>
      </c>
    </row>
    <row r="274" spans="1:13" s="15" customFormat="1" x14ac:dyDescent="0.3">
      <c r="A274" s="17"/>
      <c r="B274"/>
      <c r="C274"/>
      <c r="D274"/>
      <c r="E274"/>
      <c r="F274"/>
      <c r="G274"/>
      <c r="H274"/>
      <c r="I274"/>
      <c r="L274" s="15">
        <v>-2.4</v>
      </c>
      <c r="M274" s="54">
        <v>-10.024000000000001</v>
      </c>
    </row>
    <row r="275" spans="1:13" s="15" customFormat="1" x14ac:dyDescent="0.3">
      <c r="A275" s="17"/>
      <c r="B275"/>
      <c r="C275"/>
      <c r="D275"/>
      <c r="E275"/>
      <c r="F275"/>
      <c r="G275"/>
      <c r="H275"/>
      <c r="I275"/>
      <c r="L275" s="15">
        <v>-2.39</v>
      </c>
      <c r="M275" s="54">
        <v>-9.8719190000000019</v>
      </c>
    </row>
    <row r="276" spans="1:13" s="15" customFormat="1" x14ac:dyDescent="0.3">
      <c r="A276" s="17"/>
      <c r="B276"/>
      <c r="C276"/>
      <c r="D276"/>
      <c r="E276"/>
      <c r="F276"/>
      <c r="G276"/>
      <c r="H276"/>
      <c r="I276"/>
      <c r="L276" s="15">
        <v>-2.38</v>
      </c>
      <c r="M276" s="54">
        <v>-9.721271999999999</v>
      </c>
    </row>
    <row r="277" spans="1:13" s="15" customFormat="1" x14ac:dyDescent="0.3">
      <c r="A277" s="17"/>
      <c r="B277"/>
      <c r="C277"/>
      <c r="D277"/>
      <c r="E277"/>
      <c r="F277"/>
      <c r="G277"/>
      <c r="H277"/>
      <c r="I277"/>
      <c r="L277" s="15">
        <v>-2.37</v>
      </c>
      <c r="M277" s="54">
        <v>-9.5720530000000004</v>
      </c>
    </row>
    <row r="278" spans="1:13" s="15" customFormat="1" x14ac:dyDescent="0.3">
      <c r="A278" s="17"/>
      <c r="B278"/>
      <c r="C278"/>
      <c r="D278"/>
      <c r="E278"/>
      <c r="F278"/>
      <c r="G278"/>
      <c r="H278"/>
      <c r="I278"/>
      <c r="L278" s="15">
        <v>-2.36</v>
      </c>
      <c r="M278" s="54">
        <v>-9.4242559999999997</v>
      </c>
    </row>
    <row r="279" spans="1:13" s="15" customFormat="1" x14ac:dyDescent="0.3">
      <c r="A279" s="17"/>
      <c r="B279"/>
      <c r="C279"/>
      <c r="D279"/>
      <c r="E279"/>
      <c r="F279"/>
      <c r="G279"/>
      <c r="H279"/>
      <c r="I279"/>
      <c r="L279" s="15">
        <v>-2.35</v>
      </c>
      <c r="M279" s="54">
        <v>-9.2778750000000016</v>
      </c>
    </row>
    <row r="280" spans="1:13" s="15" customFormat="1" x14ac:dyDescent="0.3">
      <c r="A280" s="17"/>
      <c r="B280"/>
      <c r="C280"/>
      <c r="D280"/>
      <c r="E280"/>
      <c r="F280"/>
      <c r="G280"/>
      <c r="H280"/>
      <c r="I280"/>
      <c r="L280" s="15">
        <v>-2.34</v>
      </c>
      <c r="M280" s="54">
        <v>-9.1329039999999981</v>
      </c>
    </row>
    <row r="281" spans="1:13" s="15" customFormat="1" x14ac:dyDescent="0.3">
      <c r="A281" s="17"/>
      <c r="B281"/>
      <c r="C281"/>
      <c r="D281"/>
      <c r="E281"/>
      <c r="F281"/>
      <c r="G281"/>
      <c r="H281"/>
      <c r="I281"/>
      <c r="L281" s="15">
        <v>-2.33</v>
      </c>
      <c r="M281" s="54">
        <v>-8.9893370000000008</v>
      </c>
    </row>
    <row r="282" spans="1:13" s="15" customFormat="1" x14ac:dyDescent="0.3">
      <c r="A282" s="17"/>
      <c r="B282"/>
      <c r="C282"/>
      <c r="D282"/>
      <c r="E282"/>
      <c r="F282"/>
      <c r="G282"/>
      <c r="H282"/>
      <c r="I282"/>
      <c r="L282" s="15">
        <v>-2.3199999999999998</v>
      </c>
      <c r="M282" s="54">
        <v>-8.8471679999999999</v>
      </c>
    </row>
    <row r="283" spans="1:13" s="15" customFormat="1" x14ac:dyDescent="0.3">
      <c r="A283" s="17"/>
      <c r="B283"/>
      <c r="C283"/>
      <c r="D283"/>
      <c r="E283"/>
      <c r="F283"/>
      <c r="G283"/>
      <c r="H283"/>
      <c r="I283"/>
      <c r="L283" s="15">
        <v>-2.31</v>
      </c>
      <c r="M283" s="54">
        <v>-8.706391</v>
      </c>
    </row>
    <row r="284" spans="1:13" s="15" customFormat="1" x14ac:dyDescent="0.3">
      <c r="A284" s="17"/>
      <c r="B284"/>
      <c r="C284"/>
      <c r="D284"/>
      <c r="E284"/>
      <c r="F284"/>
      <c r="G284"/>
      <c r="H284"/>
      <c r="I284"/>
      <c r="L284" s="15">
        <v>-2.2999999999999998</v>
      </c>
      <c r="M284" s="54">
        <v>-8.5669999999999966</v>
      </c>
    </row>
    <row r="285" spans="1:13" s="15" customFormat="1" x14ac:dyDescent="0.3">
      <c r="A285" s="17"/>
      <c r="B285"/>
      <c r="C285"/>
      <c r="D285"/>
      <c r="E285"/>
      <c r="F285"/>
      <c r="G285"/>
      <c r="H285"/>
      <c r="I285"/>
      <c r="L285" s="15">
        <v>-2.29</v>
      </c>
      <c r="M285" s="54">
        <v>-8.4289890000000014</v>
      </c>
    </row>
    <row r="286" spans="1:13" s="15" customFormat="1" x14ac:dyDescent="0.3">
      <c r="A286" s="17"/>
      <c r="B286"/>
      <c r="C286"/>
      <c r="D286"/>
      <c r="E286"/>
      <c r="F286"/>
      <c r="G286"/>
      <c r="H286"/>
      <c r="I286"/>
      <c r="L286" s="15">
        <v>-2.2799999999999998</v>
      </c>
      <c r="M286" s="54">
        <v>-8.2923519999999975</v>
      </c>
    </row>
    <row r="287" spans="1:13" s="15" customFormat="1" x14ac:dyDescent="0.3">
      <c r="A287" s="17"/>
      <c r="B287"/>
      <c r="C287"/>
      <c r="D287"/>
      <c r="E287"/>
      <c r="F287"/>
      <c r="G287"/>
      <c r="H287"/>
      <c r="I287"/>
      <c r="L287" s="15">
        <v>-2.27</v>
      </c>
      <c r="M287" s="54">
        <v>-8.1570830000000001</v>
      </c>
    </row>
    <row r="288" spans="1:13" s="15" customFormat="1" x14ac:dyDescent="0.3">
      <c r="A288" s="17"/>
      <c r="B288"/>
      <c r="C288"/>
      <c r="D288"/>
      <c r="E288"/>
      <c r="F288"/>
      <c r="G288"/>
      <c r="H288"/>
      <c r="I288"/>
      <c r="L288" s="15">
        <v>-2.2599999999999998</v>
      </c>
      <c r="M288" s="54">
        <v>-8.0231759999999959</v>
      </c>
    </row>
    <row r="289" spans="1:13" s="15" customFormat="1" x14ac:dyDescent="0.3">
      <c r="A289" s="17"/>
      <c r="B289"/>
      <c r="C289"/>
      <c r="D289"/>
      <c r="E289"/>
      <c r="F289"/>
      <c r="G289"/>
      <c r="H289"/>
      <c r="I289"/>
      <c r="L289" s="15">
        <v>-2.25</v>
      </c>
      <c r="M289" s="54">
        <v>-7.890625</v>
      </c>
    </row>
    <row r="290" spans="1:13" s="15" customFormat="1" x14ac:dyDescent="0.3">
      <c r="A290" s="17"/>
      <c r="B290"/>
      <c r="C290"/>
      <c r="D290"/>
      <c r="E290"/>
      <c r="F290"/>
      <c r="G290"/>
      <c r="H290"/>
      <c r="I290"/>
      <c r="L290" s="15">
        <v>-2.2399999999999998</v>
      </c>
      <c r="M290" s="54">
        <v>-7.7594240000000028</v>
      </c>
    </row>
    <row r="291" spans="1:13" s="15" customFormat="1" x14ac:dyDescent="0.3">
      <c r="A291" s="17"/>
      <c r="B291"/>
      <c r="C291"/>
      <c r="D291"/>
      <c r="E291"/>
      <c r="F291"/>
      <c r="G291"/>
      <c r="H291"/>
      <c r="I291"/>
      <c r="L291" s="15">
        <v>-2.23</v>
      </c>
      <c r="M291" s="54">
        <v>-7.6295670000000007</v>
      </c>
    </row>
    <row r="292" spans="1:13" s="15" customFormat="1" x14ac:dyDescent="0.3">
      <c r="A292" s="17"/>
      <c r="B292"/>
      <c r="C292"/>
      <c r="D292"/>
      <c r="E292"/>
      <c r="F292"/>
      <c r="G292"/>
      <c r="H292"/>
      <c r="I292"/>
      <c r="L292" s="15">
        <v>-2.2199999999999998</v>
      </c>
      <c r="M292" s="54">
        <v>-7.5010480000000017</v>
      </c>
    </row>
    <row r="293" spans="1:13" s="15" customFormat="1" x14ac:dyDescent="0.3">
      <c r="A293" s="17"/>
      <c r="B293"/>
      <c r="C293"/>
      <c r="D293"/>
      <c r="E293"/>
      <c r="F293"/>
      <c r="G293"/>
      <c r="H293"/>
      <c r="I293"/>
      <c r="L293" s="15">
        <v>-2.21</v>
      </c>
      <c r="M293" s="54">
        <v>-7.3738609999999998</v>
      </c>
    </row>
    <row r="294" spans="1:13" s="15" customFormat="1" x14ac:dyDescent="0.3">
      <c r="A294" s="17"/>
      <c r="B294"/>
      <c r="C294"/>
      <c r="D294"/>
      <c r="E294"/>
      <c r="F294"/>
      <c r="G294"/>
      <c r="H294"/>
      <c r="I294"/>
      <c r="L294" s="15">
        <v>-2.1999999999999997</v>
      </c>
      <c r="M294" s="54">
        <v>-7.2480000000000029</v>
      </c>
    </row>
    <row r="295" spans="1:13" s="15" customFormat="1" x14ac:dyDescent="0.3">
      <c r="A295" s="17"/>
      <c r="B295"/>
      <c r="C295"/>
      <c r="D295"/>
      <c r="E295"/>
      <c r="F295"/>
      <c r="G295"/>
      <c r="H295"/>
      <c r="I295"/>
      <c r="L295" s="15">
        <v>-2.19</v>
      </c>
      <c r="M295" s="54">
        <v>-7.1234589999999995</v>
      </c>
    </row>
    <row r="296" spans="1:13" s="15" customFormat="1" x14ac:dyDescent="0.3">
      <c r="A296" s="17"/>
      <c r="B296"/>
      <c r="C296"/>
      <c r="D296"/>
      <c r="E296"/>
      <c r="F296"/>
      <c r="G296"/>
      <c r="H296"/>
      <c r="I296"/>
      <c r="L296" s="15">
        <v>-2.1800000000000002</v>
      </c>
      <c r="M296" s="54">
        <v>-7.0002320000000013</v>
      </c>
    </row>
    <row r="297" spans="1:13" s="15" customFormat="1" x14ac:dyDescent="0.3">
      <c r="A297" s="17"/>
      <c r="B297"/>
      <c r="C297"/>
      <c r="D297"/>
      <c r="E297"/>
      <c r="F297"/>
      <c r="G297"/>
      <c r="H297"/>
      <c r="I297"/>
      <c r="L297" s="15">
        <v>-2.17</v>
      </c>
      <c r="M297" s="54">
        <v>-6.8783130000000003</v>
      </c>
    </row>
    <row r="298" spans="1:13" s="15" customFormat="1" x14ac:dyDescent="0.3">
      <c r="A298" s="17"/>
      <c r="B298"/>
      <c r="C298"/>
      <c r="D298"/>
      <c r="E298"/>
      <c r="F298"/>
      <c r="G298"/>
      <c r="H298"/>
      <c r="I298"/>
      <c r="L298" s="15">
        <v>-2.16</v>
      </c>
      <c r="M298" s="54">
        <v>-6.757696000000001</v>
      </c>
    </row>
    <row r="299" spans="1:13" s="15" customFormat="1" x14ac:dyDescent="0.3">
      <c r="A299" s="17"/>
      <c r="B299"/>
      <c r="C299"/>
      <c r="D299"/>
      <c r="E299"/>
      <c r="F299"/>
      <c r="G299"/>
      <c r="H299"/>
      <c r="I299"/>
      <c r="L299" s="15">
        <v>-2.15</v>
      </c>
      <c r="M299" s="54">
        <v>-6.638374999999999</v>
      </c>
    </row>
    <row r="300" spans="1:13" s="15" customFormat="1" x14ac:dyDescent="0.3">
      <c r="A300" s="17"/>
      <c r="B300"/>
      <c r="C300"/>
      <c r="D300"/>
      <c r="E300"/>
      <c r="F300"/>
      <c r="G300"/>
      <c r="H300"/>
      <c r="I300"/>
      <c r="L300" s="15">
        <v>-2.14</v>
      </c>
      <c r="M300" s="54">
        <v>-6.5203440000000006</v>
      </c>
    </row>
    <row r="301" spans="1:13" s="15" customFormat="1" x14ac:dyDescent="0.3">
      <c r="A301" s="17"/>
      <c r="B301"/>
      <c r="C301"/>
      <c r="D301"/>
      <c r="E301"/>
      <c r="F301"/>
      <c r="G301"/>
      <c r="H301"/>
      <c r="I301"/>
      <c r="L301" s="15">
        <v>-2.13</v>
      </c>
      <c r="M301" s="54">
        <v>-6.4035969999999978</v>
      </c>
    </row>
    <row r="302" spans="1:13" s="15" customFormat="1" x14ac:dyDescent="0.3">
      <c r="A302" s="17"/>
      <c r="B302"/>
      <c r="C302"/>
      <c r="D302"/>
      <c r="E302"/>
      <c r="F302"/>
      <c r="G302"/>
      <c r="H302"/>
      <c r="I302"/>
      <c r="L302" s="15">
        <v>-2.12</v>
      </c>
      <c r="M302" s="54">
        <v>-6.2881280000000022</v>
      </c>
    </row>
    <row r="303" spans="1:13" s="15" customFormat="1" x14ac:dyDescent="0.3">
      <c r="A303" s="17"/>
      <c r="B303"/>
      <c r="C303"/>
      <c r="D303"/>
      <c r="E303"/>
      <c r="F303"/>
      <c r="G303"/>
      <c r="H303"/>
      <c r="I303"/>
      <c r="L303" s="15">
        <v>-2.11</v>
      </c>
      <c r="M303" s="54">
        <v>-6.1739309999999987</v>
      </c>
    </row>
    <row r="304" spans="1:13" s="15" customFormat="1" x14ac:dyDescent="0.3">
      <c r="A304" s="17"/>
      <c r="B304"/>
      <c r="C304"/>
      <c r="D304"/>
      <c r="E304"/>
      <c r="F304"/>
      <c r="G304"/>
      <c r="H304"/>
      <c r="I304"/>
      <c r="L304" s="15">
        <v>-2.1</v>
      </c>
      <c r="M304" s="54">
        <v>-6.0610000000000008</v>
      </c>
    </row>
    <row r="305" spans="1:13" s="15" customFormat="1" x14ac:dyDescent="0.3">
      <c r="A305" s="17"/>
      <c r="B305"/>
      <c r="C305"/>
      <c r="D305"/>
      <c r="E305"/>
      <c r="F305"/>
      <c r="G305"/>
      <c r="H305"/>
      <c r="I305"/>
      <c r="L305" s="15">
        <v>-2.09</v>
      </c>
      <c r="M305" s="54">
        <v>-5.9493289999999988</v>
      </c>
    </row>
    <row r="306" spans="1:13" s="15" customFormat="1" x14ac:dyDescent="0.3">
      <c r="A306" s="17"/>
      <c r="B306"/>
      <c r="C306"/>
      <c r="D306"/>
      <c r="E306"/>
      <c r="F306"/>
      <c r="G306"/>
      <c r="H306"/>
      <c r="I306"/>
      <c r="L306" s="15">
        <v>-2.08</v>
      </c>
      <c r="M306" s="54">
        <v>-5.8389120000000005</v>
      </c>
    </row>
    <row r="307" spans="1:13" s="15" customFormat="1" x14ac:dyDescent="0.3">
      <c r="A307" s="17"/>
      <c r="B307"/>
      <c r="C307"/>
      <c r="D307"/>
      <c r="E307"/>
      <c r="F307"/>
      <c r="G307"/>
      <c r="H307"/>
      <c r="I307"/>
      <c r="L307" s="15">
        <v>-2.0699999999999998</v>
      </c>
      <c r="M307" s="54">
        <v>-5.7297429999999983</v>
      </c>
    </row>
    <row r="308" spans="1:13" s="15" customFormat="1" x14ac:dyDescent="0.3">
      <c r="A308" s="17"/>
      <c r="B308"/>
      <c r="C308"/>
      <c r="D308"/>
      <c r="E308"/>
      <c r="F308"/>
      <c r="G308"/>
      <c r="H308"/>
      <c r="I308"/>
      <c r="L308" s="15">
        <v>-2.06</v>
      </c>
      <c r="M308" s="54">
        <v>-5.6218159999999999</v>
      </c>
    </row>
    <row r="309" spans="1:13" s="15" customFormat="1" x14ac:dyDescent="0.3">
      <c r="A309" s="17"/>
      <c r="B309"/>
      <c r="C309"/>
      <c r="D309"/>
      <c r="E309"/>
      <c r="F309"/>
      <c r="G309"/>
      <c r="H309"/>
      <c r="I309"/>
      <c r="L309" s="15">
        <v>-2.0499999999999998</v>
      </c>
      <c r="M309" s="54">
        <v>-5.5151249999999994</v>
      </c>
    </row>
    <row r="310" spans="1:13" s="15" customFormat="1" x14ac:dyDescent="0.3">
      <c r="A310" s="17"/>
      <c r="B310"/>
      <c r="C310"/>
      <c r="D310"/>
      <c r="E310"/>
      <c r="F310"/>
      <c r="G310"/>
      <c r="H310"/>
      <c r="I310"/>
      <c r="L310" s="15">
        <v>-2.04</v>
      </c>
      <c r="M310" s="54">
        <v>-5.4096639999999994</v>
      </c>
    </row>
    <row r="311" spans="1:13" s="15" customFormat="1" x14ac:dyDescent="0.3">
      <c r="A311" s="17"/>
      <c r="B311"/>
      <c r="C311"/>
      <c r="D311"/>
      <c r="E311"/>
      <c r="F311"/>
      <c r="G311"/>
      <c r="H311"/>
      <c r="I311"/>
      <c r="L311" s="15">
        <v>-2.0299999999999998</v>
      </c>
      <c r="M311" s="54">
        <v>-5.3054269999999972</v>
      </c>
    </row>
    <row r="312" spans="1:13" s="15" customFormat="1" x14ac:dyDescent="0.3">
      <c r="A312" s="17"/>
      <c r="B312"/>
      <c r="C312"/>
      <c r="D312"/>
      <c r="E312"/>
      <c r="F312"/>
      <c r="G312"/>
      <c r="H312"/>
      <c r="I312"/>
      <c r="L312" s="15">
        <v>-2.02</v>
      </c>
      <c r="M312" s="54">
        <v>-5.2024079999999993</v>
      </c>
    </row>
    <row r="313" spans="1:13" s="15" customFormat="1" x14ac:dyDescent="0.3">
      <c r="A313" s="17"/>
      <c r="B313"/>
      <c r="C313"/>
      <c r="D313"/>
      <c r="E313"/>
      <c r="F313"/>
      <c r="G313"/>
      <c r="H313"/>
      <c r="I313"/>
      <c r="L313" s="15">
        <v>-2.0099999999999998</v>
      </c>
      <c r="M313" s="54">
        <v>-5.1006009999999975</v>
      </c>
    </row>
    <row r="314" spans="1:13" s="15" customFormat="1" x14ac:dyDescent="0.3">
      <c r="A314" s="17"/>
      <c r="B314"/>
      <c r="C314"/>
      <c r="D314"/>
      <c r="E314"/>
      <c r="F314"/>
      <c r="G314"/>
      <c r="H314"/>
      <c r="I314"/>
      <c r="L314" s="15">
        <v>-2</v>
      </c>
      <c r="M314" s="54">
        <v>-5</v>
      </c>
    </row>
    <row r="315" spans="1:13" s="15" customFormat="1" x14ac:dyDescent="0.3">
      <c r="A315" s="17"/>
      <c r="B315"/>
      <c r="C315"/>
      <c r="D315"/>
      <c r="E315"/>
      <c r="F315"/>
      <c r="G315"/>
      <c r="H315"/>
      <c r="I315"/>
      <c r="L315" s="15">
        <v>-1.9899999999999998</v>
      </c>
      <c r="M315" s="54">
        <v>-4.9005989999999997</v>
      </c>
    </row>
    <row r="316" spans="1:13" s="15" customFormat="1" x14ac:dyDescent="0.3">
      <c r="A316" s="17"/>
      <c r="B316"/>
      <c r="C316"/>
      <c r="D316"/>
      <c r="E316"/>
      <c r="F316"/>
      <c r="G316"/>
      <c r="H316"/>
      <c r="I316"/>
      <c r="L316" s="15">
        <v>-1.98</v>
      </c>
      <c r="M316" s="54">
        <v>-4.8023919999999993</v>
      </c>
    </row>
    <row r="317" spans="1:13" s="15" customFormat="1" x14ac:dyDescent="0.3">
      <c r="A317" s="17"/>
      <c r="B317"/>
      <c r="C317"/>
      <c r="D317"/>
      <c r="E317"/>
      <c r="F317"/>
      <c r="G317"/>
      <c r="H317"/>
      <c r="I317"/>
      <c r="L317" s="15">
        <v>-1.9699999999999998</v>
      </c>
      <c r="M317" s="54">
        <v>-4.7053729999999998</v>
      </c>
    </row>
    <row r="318" spans="1:13" s="15" customFormat="1" x14ac:dyDescent="0.3">
      <c r="A318" s="17"/>
      <c r="B318"/>
      <c r="C318"/>
      <c r="D318"/>
      <c r="E318"/>
      <c r="F318"/>
      <c r="G318"/>
      <c r="H318"/>
      <c r="I318"/>
      <c r="L318" s="15">
        <v>-1.96</v>
      </c>
      <c r="M318" s="54">
        <v>-4.6095359999999994</v>
      </c>
    </row>
    <row r="319" spans="1:13" s="15" customFormat="1" x14ac:dyDescent="0.3">
      <c r="A319" s="17"/>
      <c r="B319"/>
      <c r="C319"/>
      <c r="D319"/>
      <c r="E319"/>
      <c r="F319"/>
      <c r="G319"/>
      <c r="H319"/>
      <c r="I319"/>
      <c r="L319" s="15">
        <v>-1.9499999999999997</v>
      </c>
      <c r="M319" s="54">
        <v>-4.514875</v>
      </c>
    </row>
    <row r="320" spans="1:13" s="15" customFormat="1" x14ac:dyDescent="0.3">
      <c r="A320" s="17"/>
      <c r="B320"/>
      <c r="C320"/>
      <c r="D320"/>
      <c r="E320"/>
      <c r="F320"/>
      <c r="G320"/>
      <c r="H320"/>
      <c r="I320"/>
      <c r="L320" s="15">
        <v>-1.94</v>
      </c>
      <c r="M320" s="54">
        <v>-4.4213839999999998</v>
      </c>
    </row>
    <row r="321" spans="1:13" s="15" customFormat="1" x14ac:dyDescent="0.3">
      <c r="A321" s="17"/>
      <c r="B321"/>
      <c r="C321"/>
      <c r="D321"/>
      <c r="E321"/>
      <c r="F321"/>
      <c r="G321"/>
      <c r="H321"/>
      <c r="I321"/>
      <c r="L321" s="15">
        <v>-1.9299999999999997</v>
      </c>
      <c r="M321" s="54">
        <v>-4.3290569999999988</v>
      </c>
    </row>
    <row r="322" spans="1:13" s="15" customFormat="1" x14ac:dyDescent="0.3">
      <c r="A322" s="17"/>
      <c r="B322"/>
      <c r="C322"/>
      <c r="D322"/>
      <c r="E322"/>
      <c r="F322"/>
      <c r="G322"/>
      <c r="H322"/>
      <c r="I322"/>
      <c r="L322" s="15">
        <v>-1.92</v>
      </c>
      <c r="M322" s="54">
        <v>-4.2378879999999999</v>
      </c>
    </row>
    <row r="323" spans="1:13" s="15" customFormat="1" x14ac:dyDescent="0.3">
      <c r="A323" s="17"/>
      <c r="B323"/>
      <c r="C323"/>
      <c r="D323"/>
      <c r="E323"/>
      <c r="F323"/>
      <c r="G323"/>
      <c r="H323"/>
      <c r="I323"/>
      <c r="L323" s="15">
        <v>-1.9100000000000001</v>
      </c>
      <c r="M323" s="54">
        <v>-4.1478710000000003</v>
      </c>
    </row>
    <row r="324" spans="1:13" s="15" customFormat="1" x14ac:dyDescent="0.3">
      <c r="A324" s="17"/>
      <c r="B324"/>
      <c r="C324"/>
      <c r="D324"/>
      <c r="E324"/>
      <c r="F324"/>
      <c r="G324"/>
      <c r="H324"/>
      <c r="I324"/>
      <c r="L324" s="15">
        <v>-1.9</v>
      </c>
      <c r="M324" s="54">
        <v>-4.0589999999999993</v>
      </c>
    </row>
    <row r="325" spans="1:13" s="15" customFormat="1" x14ac:dyDescent="0.3">
      <c r="A325" s="17"/>
      <c r="B325"/>
      <c r="C325"/>
      <c r="D325"/>
      <c r="E325"/>
      <c r="F325"/>
      <c r="G325"/>
      <c r="H325"/>
      <c r="I325"/>
      <c r="L325" s="15">
        <v>-1.8900000000000001</v>
      </c>
      <c r="M325" s="54">
        <v>-3.9712689999999999</v>
      </c>
    </row>
    <row r="326" spans="1:13" s="15" customFormat="1" x14ac:dyDescent="0.3">
      <c r="A326" s="17"/>
      <c r="B326"/>
      <c r="C326"/>
      <c r="D326"/>
      <c r="E326"/>
      <c r="F326"/>
      <c r="G326"/>
      <c r="H326"/>
      <c r="I326"/>
      <c r="L326" s="15">
        <v>-1.88</v>
      </c>
      <c r="M326" s="54">
        <v>-3.8846719999999992</v>
      </c>
    </row>
    <row r="327" spans="1:13" s="15" customFormat="1" x14ac:dyDescent="0.3">
      <c r="A327" s="17"/>
      <c r="B327"/>
      <c r="C327"/>
      <c r="D327"/>
      <c r="E327"/>
      <c r="F327"/>
      <c r="G327"/>
      <c r="H327"/>
      <c r="I327"/>
      <c r="L327" s="15">
        <v>-1.87</v>
      </c>
      <c r="M327" s="54">
        <v>-3.7992030000000012</v>
      </c>
    </row>
    <row r="328" spans="1:13" s="15" customFormat="1" x14ac:dyDescent="0.3">
      <c r="A328" s="17"/>
      <c r="B328"/>
      <c r="C328"/>
      <c r="D328"/>
      <c r="E328"/>
      <c r="F328"/>
      <c r="G328"/>
      <c r="H328"/>
      <c r="I328"/>
      <c r="L328" s="15">
        <v>-1.8599999999999999</v>
      </c>
      <c r="M328" s="54">
        <v>-3.7148560000000006</v>
      </c>
    </row>
    <row r="329" spans="1:13" s="15" customFormat="1" x14ac:dyDescent="0.3">
      <c r="A329" s="17"/>
      <c r="B329"/>
      <c r="C329"/>
      <c r="D329"/>
      <c r="E329"/>
      <c r="F329"/>
      <c r="G329"/>
      <c r="H329"/>
      <c r="I329"/>
      <c r="L329" s="15">
        <v>-1.85</v>
      </c>
      <c r="M329" s="54">
        <v>-3.6316250000000005</v>
      </c>
    </row>
    <row r="330" spans="1:13" s="15" customFormat="1" x14ac:dyDescent="0.3">
      <c r="A330" s="17"/>
      <c r="B330"/>
      <c r="C330"/>
      <c r="D330"/>
      <c r="E330"/>
      <c r="F330"/>
      <c r="G330"/>
      <c r="H330"/>
      <c r="I330"/>
      <c r="L330" s="15">
        <v>-1.8399999999999999</v>
      </c>
      <c r="M330" s="54">
        <v>-3.5495040000000002</v>
      </c>
    </row>
    <row r="331" spans="1:13" s="15" customFormat="1" x14ac:dyDescent="0.3">
      <c r="A331" s="17"/>
      <c r="B331"/>
      <c r="C331"/>
      <c r="D331"/>
      <c r="E331"/>
      <c r="F331"/>
      <c r="G331"/>
      <c r="H331"/>
      <c r="I331"/>
      <c r="L331" s="15">
        <v>-1.83</v>
      </c>
      <c r="M331" s="54">
        <v>-3.4684870000000005</v>
      </c>
    </row>
    <row r="332" spans="1:13" s="15" customFormat="1" x14ac:dyDescent="0.3">
      <c r="A332" s="17"/>
      <c r="B332"/>
      <c r="C332"/>
      <c r="D332"/>
      <c r="E332"/>
      <c r="F332"/>
      <c r="G332"/>
      <c r="H332"/>
      <c r="I332"/>
      <c r="L332" s="15">
        <v>-1.8199999999999998</v>
      </c>
      <c r="M332" s="54">
        <v>-3.3885680000000007</v>
      </c>
    </row>
    <row r="333" spans="1:13" s="15" customFormat="1" x14ac:dyDescent="0.3">
      <c r="A333" s="17"/>
      <c r="B333"/>
      <c r="C333"/>
      <c r="D333"/>
      <c r="E333"/>
      <c r="F333"/>
      <c r="G333"/>
      <c r="H333"/>
      <c r="I333"/>
      <c r="L333" s="15">
        <v>-1.81</v>
      </c>
      <c r="M333" s="54">
        <v>-3.3097409999999998</v>
      </c>
    </row>
    <row r="334" spans="1:13" s="15" customFormat="1" x14ac:dyDescent="0.3">
      <c r="A334" s="17"/>
      <c r="B334"/>
      <c r="C334"/>
      <c r="D334"/>
      <c r="E334"/>
      <c r="F334"/>
      <c r="G334"/>
      <c r="H334"/>
      <c r="I334"/>
      <c r="L334" s="15">
        <v>-1.7999999999999998</v>
      </c>
      <c r="M334" s="54">
        <v>-3.2320000000000007</v>
      </c>
    </row>
    <row r="335" spans="1:13" s="15" customFormat="1" x14ac:dyDescent="0.3">
      <c r="A335" s="17"/>
      <c r="B335"/>
      <c r="C335"/>
      <c r="D335"/>
      <c r="E335"/>
      <c r="F335"/>
      <c r="G335"/>
      <c r="H335"/>
      <c r="I335"/>
      <c r="L335" s="15">
        <v>-1.79</v>
      </c>
      <c r="M335" s="54">
        <v>-3.1553389999999997</v>
      </c>
    </row>
    <row r="336" spans="1:13" s="15" customFormat="1" x14ac:dyDescent="0.3">
      <c r="A336" s="17"/>
      <c r="B336"/>
      <c r="C336"/>
      <c r="D336"/>
      <c r="E336"/>
      <c r="F336"/>
      <c r="G336"/>
      <c r="H336"/>
      <c r="I336"/>
      <c r="L336" s="15">
        <v>-1.7799999999999998</v>
      </c>
      <c r="M336" s="54">
        <v>-3.0797520000000005</v>
      </c>
    </row>
    <row r="337" spans="1:13" s="15" customFormat="1" x14ac:dyDescent="0.3">
      <c r="A337" s="17"/>
      <c r="B337"/>
      <c r="C337"/>
      <c r="D337"/>
      <c r="E337"/>
      <c r="F337"/>
      <c r="G337"/>
      <c r="H337"/>
      <c r="I337"/>
      <c r="L337" s="15">
        <v>-1.77</v>
      </c>
      <c r="M337" s="54">
        <v>-3.0052330000000005</v>
      </c>
    </row>
    <row r="338" spans="1:13" s="15" customFormat="1" x14ac:dyDescent="0.3">
      <c r="A338" s="17"/>
      <c r="B338"/>
      <c r="C338"/>
      <c r="D338"/>
      <c r="E338"/>
      <c r="F338"/>
      <c r="G338"/>
      <c r="H338"/>
      <c r="I338"/>
      <c r="L338" s="15">
        <v>-1.7599999999999998</v>
      </c>
      <c r="M338" s="54">
        <v>-2.9317759999999997</v>
      </c>
    </row>
    <row r="339" spans="1:13" s="15" customFormat="1" x14ac:dyDescent="0.3">
      <c r="A339" s="17"/>
      <c r="B339"/>
      <c r="C339"/>
      <c r="D339"/>
      <c r="E339"/>
      <c r="F339"/>
      <c r="G339"/>
      <c r="H339"/>
      <c r="I339"/>
      <c r="L339" s="15">
        <v>-1.75</v>
      </c>
      <c r="M339" s="54">
        <v>-2.859375</v>
      </c>
    </row>
    <row r="340" spans="1:13" s="15" customFormat="1" x14ac:dyDescent="0.3">
      <c r="A340" s="17"/>
      <c r="B340"/>
      <c r="C340"/>
      <c r="D340"/>
      <c r="E340"/>
      <c r="F340"/>
      <c r="G340"/>
      <c r="H340"/>
      <c r="I340"/>
      <c r="L340" s="15">
        <v>-1.7399999999999998</v>
      </c>
      <c r="M340" s="54">
        <v>-2.7880240000000005</v>
      </c>
    </row>
    <row r="341" spans="1:13" s="15" customFormat="1" x14ac:dyDescent="0.3">
      <c r="A341" s="17"/>
      <c r="B341"/>
      <c r="C341"/>
      <c r="D341"/>
      <c r="E341"/>
      <c r="F341"/>
      <c r="G341"/>
      <c r="H341"/>
      <c r="I341"/>
      <c r="L341" s="15">
        <v>-1.73</v>
      </c>
      <c r="M341" s="54">
        <v>-2.7177170000000004</v>
      </c>
    </row>
    <row r="342" spans="1:13" s="15" customFormat="1" x14ac:dyDescent="0.3">
      <c r="A342" s="17"/>
      <c r="B342"/>
      <c r="C342"/>
      <c r="D342"/>
      <c r="E342"/>
      <c r="F342"/>
      <c r="G342"/>
      <c r="H342"/>
      <c r="I342"/>
      <c r="L342" s="15">
        <v>-1.7199999999999998</v>
      </c>
      <c r="M342" s="54">
        <v>-2.6484479999999997</v>
      </c>
    </row>
    <row r="343" spans="1:13" s="15" customFormat="1" x14ac:dyDescent="0.3">
      <c r="A343" s="17"/>
      <c r="B343"/>
      <c r="C343"/>
      <c r="D343"/>
      <c r="E343"/>
      <c r="F343"/>
      <c r="G343"/>
      <c r="H343"/>
      <c r="I343"/>
      <c r="L343" s="15">
        <v>-1.71</v>
      </c>
      <c r="M343" s="54">
        <v>-2.5802109999999994</v>
      </c>
    </row>
    <row r="344" spans="1:13" s="15" customFormat="1" x14ac:dyDescent="0.3">
      <c r="A344" s="17"/>
      <c r="B344"/>
      <c r="C344"/>
      <c r="D344"/>
      <c r="E344"/>
      <c r="F344"/>
      <c r="G344"/>
      <c r="H344"/>
      <c r="I344"/>
      <c r="L344" s="15">
        <v>-1.6999999999999997</v>
      </c>
      <c r="M344" s="54">
        <v>-2.5129999999999995</v>
      </c>
    </row>
    <row r="345" spans="1:13" s="15" customFormat="1" x14ac:dyDescent="0.3">
      <c r="A345" s="17"/>
      <c r="B345"/>
      <c r="C345"/>
      <c r="D345"/>
      <c r="E345"/>
      <c r="F345"/>
      <c r="G345"/>
      <c r="H345"/>
      <c r="I345"/>
      <c r="L345" s="15">
        <v>-1.69</v>
      </c>
      <c r="M345" s="54">
        <v>-2.4468089999999991</v>
      </c>
    </row>
    <row r="346" spans="1:13" s="15" customFormat="1" x14ac:dyDescent="0.3">
      <c r="A346" s="17"/>
      <c r="B346"/>
      <c r="C346"/>
      <c r="D346"/>
      <c r="E346"/>
      <c r="F346"/>
      <c r="G346"/>
      <c r="H346"/>
      <c r="I346"/>
      <c r="L346" s="15">
        <v>-1.6799999999999997</v>
      </c>
      <c r="M346" s="54">
        <v>-2.3816319999999993</v>
      </c>
    </row>
    <row r="347" spans="1:13" s="15" customFormat="1" x14ac:dyDescent="0.3">
      <c r="A347" s="17"/>
      <c r="B347"/>
      <c r="C347"/>
      <c r="D347"/>
      <c r="E347"/>
      <c r="F347"/>
      <c r="G347"/>
      <c r="H347"/>
      <c r="I347"/>
      <c r="L347" s="15">
        <v>-1.67</v>
      </c>
      <c r="M347" s="54">
        <v>-2.3174630000000001</v>
      </c>
    </row>
    <row r="348" spans="1:13" s="15" customFormat="1" x14ac:dyDescent="0.3">
      <c r="A348" s="17"/>
      <c r="B348"/>
      <c r="C348"/>
      <c r="D348"/>
      <c r="E348"/>
      <c r="F348"/>
      <c r="G348"/>
      <c r="H348"/>
      <c r="I348"/>
      <c r="L348" s="15">
        <v>-1.6600000000000001</v>
      </c>
      <c r="M348" s="54">
        <v>-2.2542959999999996</v>
      </c>
    </row>
    <row r="349" spans="1:13" s="15" customFormat="1" x14ac:dyDescent="0.3">
      <c r="A349" s="17"/>
      <c r="B349"/>
      <c r="C349"/>
      <c r="D349"/>
      <c r="E349"/>
      <c r="F349"/>
      <c r="G349"/>
      <c r="H349"/>
      <c r="I349"/>
      <c r="L349" s="15">
        <v>-1.65</v>
      </c>
      <c r="M349" s="54">
        <v>-2.1921249999999999</v>
      </c>
    </row>
    <row r="350" spans="1:13" s="15" customFormat="1" x14ac:dyDescent="0.3">
      <c r="A350" s="17"/>
      <c r="B350"/>
      <c r="C350"/>
      <c r="D350"/>
      <c r="E350"/>
      <c r="F350"/>
      <c r="G350"/>
      <c r="H350"/>
      <c r="I350"/>
      <c r="L350" s="15">
        <v>-1.6400000000000001</v>
      </c>
      <c r="M350" s="54">
        <v>-2.1309439999999991</v>
      </c>
    </row>
    <row r="351" spans="1:13" s="15" customFormat="1" x14ac:dyDescent="0.3">
      <c r="A351" s="17"/>
      <c r="B351"/>
      <c r="C351"/>
      <c r="D351"/>
      <c r="E351"/>
      <c r="F351"/>
      <c r="G351"/>
      <c r="H351"/>
      <c r="I351"/>
      <c r="L351" s="15">
        <v>-1.63</v>
      </c>
      <c r="M351" s="54">
        <v>-2.0707469999999999</v>
      </c>
    </row>
    <row r="352" spans="1:13" s="15" customFormat="1" x14ac:dyDescent="0.3">
      <c r="A352" s="17"/>
      <c r="B352"/>
      <c r="C352"/>
      <c r="D352"/>
      <c r="E352"/>
      <c r="F352"/>
      <c r="G352"/>
      <c r="H352"/>
      <c r="I352"/>
      <c r="L352" s="15">
        <v>-1.62</v>
      </c>
      <c r="M352" s="54">
        <v>-2.0115280000000011</v>
      </c>
    </row>
    <row r="353" spans="1:13" s="15" customFormat="1" x14ac:dyDescent="0.3">
      <c r="A353" s="17"/>
      <c r="B353"/>
      <c r="C353"/>
      <c r="D353"/>
      <c r="E353"/>
      <c r="F353"/>
      <c r="G353"/>
      <c r="H353"/>
      <c r="I353"/>
      <c r="L353" s="15">
        <v>-1.6099999999999999</v>
      </c>
      <c r="M353" s="54">
        <v>-1.9532810000000009</v>
      </c>
    </row>
    <row r="354" spans="1:13" s="15" customFormat="1" x14ac:dyDescent="0.3">
      <c r="A354" s="17"/>
      <c r="B354"/>
      <c r="C354"/>
      <c r="D354"/>
      <c r="E354"/>
      <c r="F354"/>
      <c r="G354"/>
      <c r="H354"/>
      <c r="I354"/>
      <c r="L354" s="15">
        <v>-1.6</v>
      </c>
      <c r="M354" s="54">
        <v>-1.8960000000000008</v>
      </c>
    </row>
    <row r="355" spans="1:13" s="15" customFormat="1" x14ac:dyDescent="0.3">
      <c r="A355" s="17"/>
      <c r="B355"/>
      <c r="C355"/>
      <c r="D355"/>
      <c r="E355"/>
      <c r="F355"/>
      <c r="G355"/>
      <c r="H355"/>
      <c r="I355"/>
      <c r="L355" s="15">
        <v>-1.5899999999999999</v>
      </c>
      <c r="M355" s="54">
        <v>-1.8396790000000007</v>
      </c>
    </row>
    <row r="356" spans="1:13" s="15" customFormat="1" x14ac:dyDescent="0.3">
      <c r="A356" s="17"/>
      <c r="B356"/>
      <c r="C356"/>
      <c r="D356"/>
      <c r="E356"/>
      <c r="F356"/>
      <c r="G356"/>
      <c r="H356"/>
      <c r="I356"/>
      <c r="L356" s="15">
        <v>-1.58</v>
      </c>
      <c r="M356" s="54">
        <v>-1.7843120000000008</v>
      </c>
    </row>
    <row r="357" spans="1:13" s="15" customFormat="1" x14ac:dyDescent="0.3">
      <c r="A357" s="17"/>
      <c r="B357"/>
      <c r="C357"/>
      <c r="D357"/>
      <c r="E357"/>
      <c r="F357"/>
      <c r="G357"/>
      <c r="H357"/>
      <c r="I357"/>
      <c r="L357" s="15">
        <v>-1.5699999999999998</v>
      </c>
      <c r="M357" s="54">
        <v>-1.7298930000000001</v>
      </c>
    </row>
    <row r="358" spans="1:13" s="15" customFormat="1" x14ac:dyDescent="0.3">
      <c r="A358" s="17"/>
      <c r="B358"/>
      <c r="C358"/>
      <c r="D358"/>
      <c r="E358"/>
      <c r="F358"/>
      <c r="G358"/>
      <c r="H358"/>
      <c r="I358"/>
      <c r="L358" s="15">
        <v>-1.56</v>
      </c>
      <c r="M358" s="54">
        <v>-1.6764160000000001</v>
      </c>
    </row>
    <row r="359" spans="1:13" s="15" customFormat="1" x14ac:dyDescent="0.3">
      <c r="A359" s="17"/>
      <c r="B359"/>
      <c r="C359"/>
      <c r="D359"/>
      <c r="E359"/>
      <c r="F359"/>
      <c r="G359"/>
      <c r="H359"/>
      <c r="I359"/>
      <c r="L359" s="15">
        <v>-1.5499999999999998</v>
      </c>
      <c r="M359" s="54">
        <v>-1.6238750000000004</v>
      </c>
    </row>
    <row r="360" spans="1:13" s="15" customFormat="1" x14ac:dyDescent="0.3">
      <c r="A360" s="17"/>
      <c r="B360"/>
      <c r="C360"/>
      <c r="D360"/>
      <c r="E360"/>
      <c r="F360"/>
      <c r="G360"/>
      <c r="H360"/>
      <c r="I360"/>
      <c r="L360" s="15">
        <v>-1.54</v>
      </c>
      <c r="M360" s="54">
        <v>-1.5722640000000001</v>
      </c>
    </row>
    <row r="361" spans="1:13" s="15" customFormat="1" x14ac:dyDescent="0.3">
      <c r="A361" s="17"/>
      <c r="B361"/>
      <c r="C361"/>
      <c r="D361"/>
      <c r="E361"/>
      <c r="F361"/>
      <c r="G361"/>
      <c r="H361"/>
      <c r="I361"/>
      <c r="L361" s="15">
        <v>-1.5299999999999998</v>
      </c>
      <c r="M361" s="54">
        <v>-1.5215770000000002</v>
      </c>
    </row>
    <row r="362" spans="1:13" s="15" customFormat="1" x14ac:dyDescent="0.3">
      <c r="A362" s="17"/>
      <c r="B362"/>
      <c r="C362"/>
      <c r="D362"/>
      <c r="E362"/>
      <c r="F362"/>
      <c r="G362"/>
      <c r="H362"/>
      <c r="I362"/>
      <c r="L362" s="15">
        <v>-1.52</v>
      </c>
      <c r="M362" s="54">
        <v>-1.4718080000000002</v>
      </c>
    </row>
    <row r="363" spans="1:13" s="15" customFormat="1" x14ac:dyDescent="0.3">
      <c r="A363" s="17"/>
      <c r="B363"/>
      <c r="C363"/>
      <c r="D363"/>
      <c r="E363"/>
      <c r="F363"/>
      <c r="G363"/>
      <c r="H363"/>
      <c r="I363"/>
      <c r="L363" s="15">
        <v>-1.5099999999999998</v>
      </c>
      <c r="M363" s="54">
        <v>-1.4229509999999999</v>
      </c>
    </row>
    <row r="364" spans="1:13" s="15" customFormat="1" x14ac:dyDescent="0.3">
      <c r="A364" s="17"/>
      <c r="B364"/>
      <c r="C364"/>
      <c r="D364"/>
      <c r="E364"/>
      <c r="F364"/>
      <c r="G364"/>
      <c r="H364"/>
      <c r="I364"/>
      <c r="L364" s="15">
        <v>-1.5</v>
      </c>
      <c r="M364" s="54">
        <v>-1.375</v>
      </c>
    </row>
    <row r="365" spans="1:13" s="15" customFormat="1" x14ac:dyDescent="0.3">
      <c r="A365" s="17"/>
      <c r="B365"/>
      <c r="C365"/>
      <c r="D365"/>
      <c r="E365"/>
      <c r="F365"/>
      <c r="G365"/>
      <c r="H365"/>
      <c r="I365"/>
      <c r="L365" s="15">
        <v>-1.4899999999999998</v>
      </c>
      <c r="M365" s="54">
        <v>-1.3279489999999998</v>
      </c>
    </row>
    <row r="366" spans="1:13" s="15" customFormat="1" x14ac:dyDescent="0.3">
      <c r="A366" s="17"/>
      <c r="B366"/>
      <c r="C366"/>
      <c r="D366"/>
      <c r="E366"/>
      <c r="F366"/>
      <c r="G366"/>
      <c r="H366"/>
      <c r="I366"/>
      <c r="L366" s="15">
        <v>-1.48</v>
      </c>
      <c r="M366" s="54">
        <v>-1.2817919999999998</v>
      </c>
    </row>
    <row r="367" spans="1:13" s="15" customFormat="1" x14ac:dyDescent="0.3">
      <c r="A367" s="17"/>
      <c r="B367"/>
      <c r="C367"/>
      <c r="D367"/>
      <c r="E367"/>
      <c r="F367"/>
      <c r="G367"/>
      <c r="H367"/>
      <c r="I367"/>
      <c r="L367" s="15">
        <v>-1.4699999999999998</v>
      </c>
      <c r="M367" s="54">
        <v>-1.2365229999999996</v>
      </c>
    </row>
    <row r="368" spans="1:13" s="15" customFormat="1" x14ac:dyDescent="0.3">
      <c r="A368" s="17"/>
      <c r="B368"/>
      <c r="C368"/>
      <c r="D368"/>
      <c r="E368"/>
      <c r="F368"/>
      <c r="G368"/>
      <c r="H368"/>
      <c r="I368"/>
      <c r="L368" s="15">
        <v>-1.46</v>
      </c>
      <c r="M368" s="54">
        <v>-1.1921359999999996</v>
      </c>
    </row>
    <row r="369" spans="1:13" s="15" customFormat="1" x14ac:dyDescent="0.3">
      <c r="A369" s="17"/>
      <c r="B369"/>
      <c r="C369"/>
      <c r="D369"/>
      <c r="E369"/>
      <c r="F369"/>
      <c r="G369"/>
      <c r="H369"/>
      <c r="I369"/>
      <c r="L369" s="15">
        <v>-1.4499999999999997</v>
      </c>
      <c r="M369" s="54">
        <v>-1.148625</v>
      </c>
    </row>
    <row r="370" spans="1:13" s="15" customFormat="1" x14ac:dyDescent="0.3">
      <c r="A370" s="17"/>
      <c r="B370"/>
      <c r="C370"/>
      <c r="D370"/>
      <c r="E370"/>
      <c r="F370"/>
      <c r="G370"/>
      <c r="H370"/>
      <c r="I370"/>
      <c r="L370" s="15">
        <v>-1.44</v>
      </c>
      <c r="M370" s="54">
        <v>-1.1059839999999999</v>
      </c>
    </row>
    <row r="371" spans="1:13" s="15" customFormat="1" x14ac:dyDescent="0.3">
      <c r="A371" s="17"/>
      <c r="B371"/>
      <c r="C371"/>
      <c r="D371"/>
      <c r="E371"/>
      <c r="F371"/>
      <c r="G371"/>
      <c r="H371"/>
      <c r="I371"/>
      <c r="L371" s="15">
        <v>-1.4299999999999997</v>
      </c>
      <c r="M371" s="54">
        <v>-1.0642069999999997</v>
      </c>
    </row>
    <row r="372" spans="1:13" s="15" customFormat="1" x14ac:dyDescent="0.3">
      <c r="A372" s="17"/>
      <c r="B372"/>
      <c r="C372"/>
      <c r="D372"/>
      <c r="E372"/>
      <c r="F372"/>
      <c r="G372"/>
      <c r="H372"/>
      <c r="I372"/>
      <c r="L372" s="15">
        <v>-1.42</v>
      </c>
      <c r="M372" s="54">
        <v>-1.023288</v>
      </c>
    </row>
    <row r="373" spans="1:13" s="15" customFormat="1" x14ac:dyDescent="0.3">
      <c r="A373" s="17"/>
      <c r="B373"/>
      <c r="C373"/>
      <c r="D373"/>
      <c r="E373"/>
      <c r="F373"/>
      <c r="G373"/>
      <c r="H373"/>
      <c r="I373"/>
      <c r="L373" s="15">
        <v>-1.4100000000000001</v>
      </c>
      <c r="M373" s="54">
        <v>-0.98322099999999946</v>
      </c>
    </row>
    <row r="374" spans="1:13" s="15" customFormat="1" x14ac:dyDescent="0.3">
      <c r="A374" s="17"/>
      <c r="B374"/>
      <c r="C374"/>
      <c r="D374"/>
      <c r="E374"/>
      <c r="F374"/>
      <c r="G374"/>
      <c r="H374"/>
      <c r="I374"/>
      <c r="L374" s="15">
        <v>-1.4</v>
      </c>
      <c r="M374" s="54">
        <v>-0.94399999999999951</v>
      </c>
    </row>
    <row r="375" spans="1:13" s="15" customFormat="1" x14ac:dyDescent="0.3">
      <c r="A375" s="17"/>
      <c r="B375"/>
      <c r="C375"/>
      <c r="D375"/>
      <c r="E375"/>
      <c r="F375"/>
      <c r="G375"/>
      <c r="H375"/>
      <c r="I375"/>
      <c r="L375" s="15">
        <v>-1.3900000000000001</v>
      </c>
      <c r="M375" s="54">
        <v>-0.90561899999999973</v>
      </c>
    </row>
    <row r="376" spans="1:13" s="15" customFormat="1" x14ac:dyDescent="0.3">
      <c r="A376" s="17"/>
      <c r="B376"/>
      <c r="C376"/>
      <c r="D376"/>
      <c r="E376"/>
      <c r="F376"/>
      <c r="G376"/>
      <c r="H376"/>
      <c r="I376"/>
      <c r="L376" s="15">
        <v>-1.38</v>
      </c>
      <c r="M376" s="54">
        <v>-0.86807199999999973</v>
      </c>
    </row>
    <row r="377" spans="1:13" s="15" customFormat="1" x14ac:dyDescent="0.3">
      <c r="A377" s="17"/>
      <c r="B377"/>
      <c r="C377"/>
      <c r="D377"/>
      <c r="E377"/>
      <c r="F377"/>
      <c r="G377"/>
      <c r="H377"/>
      <c r="I377"/>
      <c r="L377" s="15">
        <v>-1.37</v>
      </c>
      <c r="M377" s="54">
        <v>-0.83135300000000045</v>
      </c>
    </row>
    <row r="378" spans="1:13" s="15" customFormat="1" x14ac:dyDescent="0.3">
      <c r="A378" s="17"/>
      <c r="B378"/>
      <c r="C378"/>
      <c r="D378"/>
      <c r="E378"/>
      <c r="F378"/>
      <c r="G378"/>
      <c r="H378"/>
      <c r="I378"/>
      <c r="L378" s="15">
        <v>-1.3599999999999999</v>
      </c>
      <c r="M378" s="54">
        <v>-0.79545600000000061</v>
      </c>
    </row>
    <row r="379" spans="1:13" s="15" customFormat="1" x14ac:dyDescent="0.3">
      <c r="A379" s="17"/>
      <c r="B379"/>
      <c r="C379"/>
      <c r="D379"/>
      <c r="E379"/>
      <c r="F379"/>
      <c r="G379"/>
      <c r="H379"/>
      <c r="I379"/>
      <c r="L379" s="15">
        <v>-1.35</v>
      </c>
      <c r="M379" s="54">
        <v>-0.76037500000000025</v>
      </c>
    </row>
    <row r="380" spans="1:13" s="15" customFormat="1" x14ac:dyDescent="0.3">
      <c r="A380" s="17"/>
      <c r="B380"/>
      <c r="C380"/>
      <c r="D380"/>
      <c r="E380"/>
      <c r="F380"/>
      <c r="G380"/>
      <c r="H380"/>
      <c r="I380"/>
      <c r="L380" s="15">
        <v>-1.3399999999999999</v>
      </c>
      <c r="M380" s="54">
        <v>-0.7261040000000003</v>
      </c>
    </row>
    <row r="381" spans="1:13" s="15" customFormat="1" x14ac:dyDescent="0.3">
      <c r="A381" s="17"/>
      <c r="B381"/>
      <c r="C381"/>
      <c r="D381"/>
      <c r="E381"/>
      <c r="F381"/>
      <c r="G381"/>
      <c r="H381"/>
      <c r="I381"/>
      <c r="L381" s="15">
        <v>-1.33</v>
      </c>
      <c r="M381" s="54">
        <v>-0.69263699999999995</v>
      </c>
    </row>
    <row r="382" spans="1:13" s="15" customFormat="1" x14ac:dyDescent="0.3">
      <c r="A382" s="17"/>
      <c r="B382"/>
      <c r="C382"/>
      <c r="D382"/>
      <c r="E382"/>
      <c r="F382"/>
      <c r="G382"/>
      <c r="H382"/>
      <c r="I382"/>
      <c r="L382" s="15">
        <v>-1.3199999999999998</v>
      </c>
      <c r="M382" s="54">
        <v>-0.65996800000000011</v>
      </c>
    </row>
    <row r="383" spans="1:13" s="15" customFormat="1" x14ac:dyDescent="0.3">
      <c r="A383" s="17"/>
      <c r="B383"/>
      <c r="C383"/>
      <c r="D383"/>
      <c r="E383"/>
      <c r="F383"/>
      <c r="G383"/>
      <c r="H383"/>
      <c r="I383"/>
      <c r="L383" s="15">
        <v>-1.31</v>
      </c>
      <c r="M383" s="54">
        <v>-0.6280910000000004</v>
      </c>
    </row>
    <row r="384" spans="1:13" s="15" customFormat="1" x14ac:dyDescent="0.3">
      <c r="A384" s="17"/>
      <c r="B384"/>
      <c r="C384"/>
      <c r="D384"/>
      <c r="E384"/>
      <c r="F384"/>
      <c r="G384"/>
      <c r="H384"/>
      <c r="I384"/>
      <c r="L384" s="15">
        <v>-1.2999999999999998</v>
      </c>
      <c r="M384" s="54">
        <v>-0.59700000000000042</v>
      </c>
    </row>
    <row r="385" spans="1:13" s="15" customFormat="1" x14ac:dyDescent="0.3">
      <c r="A385" s="17"/>
      <c r="B385"/>
      <c r="C385"/>
      <c r="D385"/>
      <c r="E385"/>
      <c r="F385"/>
      <c r="G385"/>
      <c r="H385"/>
      <c r="I385"/>
      <c r="L385" s="15">
        <v>-1.29</v>
      </c>
      <c r="M385" s="54">
        <v>-0.56668900000000022</v>
      </c>
    </row>
    <row r="386" spans="1:13" s="15" customFormat="1" x14ac:dyDescent="0.3">
      <c r="A386" s="17"/>
      <c r="B386"/>
      <c r="C386"/>
      <c r="D386"/>
      <c r="E386"/>
      <c r="F386"/>
      <c r="G386"/>
      <c r="H386"/>
      <c r="I386"/>
      <c r="L386" s="15">
        <v>-1.2799999999999998</v>
      </c>
      <c r="M386" s="54">
        <v>-0.5371520000000003</v>
      </c>
    </row>
    <row r="387" spans="1:13" s="15" customFormat="1" x14ac:dyDescent="0.3">
      <c r="A387" s="17"/>
      <c r="B387"/>
      <c r="C387"/>
      <c r="D387"/>
      <c r="E387"/>
      <c r="F387"/>
      <c r="G387"/>
      <c r="H387"/>
      <c r="I387"/>
      <c r="L387" s="15">
        <v>-1.27</v>
      </c>
      <c r="M387" s="54">
        <v>-0.50838299999999981</v>
      </c>
    </row>
    <row r="388" spans="1:13" s="15" customFormat="1" x14ac:dyDescent="0.3">
      <c r="A388" s="17"/>
      <c r="B388"/>
      <c r="C388"/>
      <c r="D388"/>
      <c r="E388"/>
      <c r="F388"/>
      <c r="G388"/>
      <c r="H388"/>
      <c r="I388"/>
      <c r="L388" s="15">
        <v>-1.2599999999999998</v>
      </c>
      <c r="M388" s="54">
        <v>-0.48037600000000014</v>
      </c>
    </row>
    <row r="389" spans="1:13" s="15" customFormat="1" x14ac:dyDescent="0.3">
      <c r="A389" s="17"/>
      <c r="B389"/>
      <c r="C389"/>
      <c r="D389"/>
      <c r="E389"/>
      <c r="F389"/>
      <c r="G389"/>
      <c r="H389"/>
      <c r="I389"/>
      <c r="L389" s="15">
        <v>-1.25</v>
      </c>
      <c r="M389" s="54">
        <v>-0.453125</v>
      </c>
    </row>
    <row r="390" spans="1:13" s="15" customFormat="1" x14ac:dyDescent="0.3">
      <c r="A390" s="17"/>
      <c r="B390"/>
      <c r="C390"/>
      <c r="D390"/>
      <c r="E390"/>
      <c r="F390"/>
      <c r="G390"/>
      <c r="H390"/>
      <c r="I390"/>
      <c r="L390" s="15">
        <v>-1.2399999999999998</v>
      </c>
      <c r="M390" s="54">
        <v>-0.42662400000000011</v>
      </c>
    </row>
    <row r="391" spans="1:13" s="15" customFormat="1" x14ac:dyDescent="0.3">
      <c r="A391" s="17"/>
      <c r="B391"/>
      <c r="C391"/>
      <c r="D391"/>
      <c r="E391"/>
      <c r="F391"/>
      <c r="G391"/>
      <c r="H391"/>
      <c r="I391"/>
      <c r="L391" s="15">
        <v>-1.23</v>
      </c>
      <c r="M391" s="54">
        <v>-0.40086699999999986</v>
      </c>
    </row>
    <row r="392" spans="1:13" s="15" customFormat="1" x14ac:dyDescent="0.3">
      <c r="A392" s="17"/>
      <c r="B392"/>
      <c r="C392"/>
      <c r="D392"/>
      <c r="E392"/>
      <c r="F392"/>
      <c r="G392"/>
      <c r="H392"/>
      <c r="I392"/>
      <c r="L392" s="15">
        <v>-1.2199999999999998</v>
      </c>
      <c r="M392" s="54">
        <v>-0.37584799999999996</v>
      </c>
    </row>
    <row r="393" spans="1:13" s="15" customFormat="1" x14ac:dyDescent="0.3">
      <c r="A393" s="17"/>
      <c r="B393"/>
      <c r="C393"/>
      <c r="D393"/>
      <c r="E393"/>
      <c r="F393"/>
      <c r="G393"/>
      <c r="H393"/>
      <c r="I393"/>
      <c r="L393" s="15">
        <v>-1.21</v>
      </c>
      <c r="M393" s="54">
        <v>-0.35156100000000001</v>
      </c>
    </row>
    <row r="394" spans="1:13" s="15" customFormat="1" x14ac:dyDescent="0.3">
      <c r="A394" s="17"/>
      <c r="B394"/>
      <c r="C394"/>
      <c r="D394"/>
      <c r="E394"/>
      <c r="F394"/>
      <c r="G394"/>
      <c r="H394"/>
      <c r="I394"/>
      <c r="L394" s="15">
        <v>-1.1999999999999997</v>
      </c>
      <c r="M394" s="54">
        <v>-0.32800000000000007</v>
      </c>
    </row>
    <row r="395" spans="1:13" s="15" customFormat="1" x14ac:dyDescent="0.3">
      <c r="A395" s="17"/>
      <c r="B395"/>
      <c r="C395"/>
      <c r="D395"/>
      <c r="E395"/>
      <c r="F395"/>
      <c r="G395"/>
      <c r="H395"/>
      <c r="I395"/>
      <c r="L395" s="15">
        <v>-1.19</v>
      </c>
      <c r="M395" s="54">
        <v>-0.30515899999999996</v>
      </c>
    </row>
    <row r="396" spans="1:13" s="15" customFormat="1" x14ac:dyDescent="0.3">
      <c r="A396" s="17"/>
      <c r="B396"/>
      <c r="C396"/>
      <c r="D396"/>
      <c r="E396"/>
      <c r="F396"/>
      <c r="G396"/>
      <c r="H396"/>
      <c r="I396"/>
      <c r="L396" s="15">
        <v>-1.1799999999999997</v>
      </c>
      <c r="M396" s="54">
        <v>-0.28303199999999995</v>
      </c>
    </row>
    <row r="397" spans="1:13" s="15" customFormat="1" x14ac:dyDescent="0.3">
      <c r="A397" s="17"/>
      <c r="B397"/>
      <c r="C397"/>
      <c r="D397"/>
      <c r="E397"/>
      <c r="F397"/>
      <c r="G397"/>
      <c r="H397"/>
      <c r="I397"/>
      <c r="L397" s="15">
        <v>-1.17</v>
      </c>
      <c r="M397" s="54">
        <v>-0.26161299999999987</v>
      </c>
    </row>
    <row r="398" spans="1:13" s="15" customFormat="1" x14ac:dyDescent="0.3">
      <c r="A398" s="17"/>
      <c r="B398"/>
      <c r="C398"/>
      <c r="D398"/>
      <c r="E398"/>
      <c r="F398"/>
      <c r="G398"/>
      <c r="H398"/>
      <c r="I398"/>
      <c r="L398" s="15">
        <v>-1.1600000000000001</v>
      </c>
      <c r="M398" s="54">
        <v>-0.240896</v>
      </c>
    </row>
    <row r="399" spans="1:13" s="15" customFormat="1" x14ac:dyDescent="0.3">
      <c r="A399" s="17"/>
      <c r="B399"/>
      <c r="C399"/>
      <c r="D399"/>
      <c r="E399"/>
      <c r="F399"/>
      <c r="G399"/>
      <c r="H399"/>
      <c r="I399"/>
      <c r="L399" s="15">
        <v>-1.1499999999999999</v>
      </c>
      <c r="M399" s="54">
        <v>-0.22087499999999971</v>
      </c>
    </row>
    <row r="400" spans="1:13" s="15" customFormat="1" x14ac:dyDescent="0.3">
      <c r="A400" s="17"/>
      <c r="B400"/>
      <c r="C400"/>
      <c r="D400"/>
      <c r="E400"/>
      <c r="F400"/>
      <c r="G400"/>
      <c r="H400"/>
      <c r="I400"/>
      <c r="L400" s="15">
        <v>-1.1400000000000001</v>
      </c>
      <c r="M400" s="54">
        <v>-0.20154399999999995</v>
      </c>
    </row>
    <row r="401" spans="1:13" s="15" customFormat="1" x14ac:dyDescent="0.3">
      <c r="A401" s="17"/>
      <c r="B401"/>
      <c r="C401"/>
      <c r="D401"/>
      <c r="E401"/>
      <c r="F401"/>
      <c r="G401"/>
      <c r="H401"/>
      <c r="I401"/>
      <c r="L401" s="15">
        <v>-1.1299999999999999</v>
      </c>
      <c r="M401" s="54">
        <v>-0.18289699999999964</v>
      </c>
    </row>
    <row r="402" spans="1:13" s="15" customFormat="1" x14ac:dyDescent="0.3">
      <c r="A402" s="17"/>
      <c r="B402"/>
      <c r="C402"/>
      <c r="D402"/>
      <c r="E402"/>
      <c r="F402"/>
      <c r="G402"/>
      <c r="H402"/>
      <c r="I402"/>
      <c r="L402" s="15">
        <v>-1.1200000000000001</v>
      </c>
      <c r="M402" s="54">
        <v>-0.16492800000000019</v>
      </c>
    </row>
    <row r="403" spans="1:13" s="15" customFormat="1" x14ac:dyDescent="0.3">
      <c r="A403" s="17"/>
      <c r="B403"/>
      <c r="C403"/>
      <c r="D403"/>
      <c r="E403"/>
      <c r="F403"/>
      <c r="G403"/>
      <c r="H403"/>
      <c r="I403"/>
      <c r="L403" s="15">
        <v>-1.1099999999999999</v>
      </c>
      <c r="M403" s="54">
        <v>-0.14763100000000007</v>
      </c>
    </row>
    <row r="404" spans="1:13" s="15" customFormat="1" x14ac:dyDescent="0.3">
      <c r="A404" s="17"/>
      <c r="B404"/>
      <c r="C404"/>
      <c r="D404"/>
      <c r="E404"/>
      <c r="F404"/>
      <c r="G404"/>
      <c r="H404"/>
      <c r="I404"/>
      <c r="L404" s="15">
        <v>-1.1000000000000001</v>
      </c>
      <c r="M404" s="54">
        <v>-0.13100000000000023</v>
      </c>
    </row>
    <row r="405" spans="1:13" s="15" customFormat="1" x14ac:dyDescent="0.3">
      <c r="A405" s="17"/>
      <c r="B405"/>
      <c r="C405"/>
      <c r="D405"/>
      <c r="E405"/>
      <c r="F405"/>
      <c r="G405"/>
      <c r="H405"/>
      <c r="I405"/>
      <c r="L405" s="15">
        <v>-1.0899999999999999</v>
      </c>
      <c r="M405" s="54">
        <v>-0.11502900000000005</v>
      </c>
    </row>
    <row r="406" spans="1:13" s="15" customFormat="1" x14ac:dyDescent="0.3">
      <c r="A406" s="17"/>
      <c r="B406"/>
      <c r="C406"/>
      <c r="D406"/>
      <c r="E406"/>
      <c r="F406"/>
      <c r="G406"/>
      <c r="H406"/>
      <c r="I406"/>
      <c r="L406" s="15">
        <v>-1.08</v>
      </c>
      <c r="M406" s="54">
        <v>-9.9712000000000023E-2</v>
      </c>
    </row>
    <row r="407" spans="1:13" s="15" customFormat="1" x14ac:dyDescent="0.3">
      <c r="A407" s="17"/>
      <c r="B407"/>
      <c r="C407"/>
      <c r="D407"/>
      <c r="E407"/>
      <c r="F407"/>
      <c r="G407"/>
      <c r="H407"/>
      <c r="I407"/>
      <c r="L407" s="15">
        <v>-1.0699999999999998</v>
      </c>
      <c r="M407" s="54">
        <v>-8.504299999999998E-2</v>
      </c>
    </row>
    <row r="408" spans="1:13" s="15" customFormat="1" x14ac:dyDescent="0.3">
      <c r="A408" s="17"/>
      <c r="B408"/>
      <c r="C408"/>
      <c r="D408"/>
      <c r="E408"/>
      <c r="F408"/>
      <c r="G408"/>
      <c r="H408"/>
      <c r="I408"/>
      <c r="L408" s="15">
        <v>-1.06</v>
      </c>
      <c r="M408" s="54">
        <v>-7.101600000000019E-2</v>
      </c>
    </row>
    <row r="409" spans="1:13" s="15" customFormat="1" x14ac:dyDescent="0.3">
      <c r="A409" s="17"/>
      <c r="B409"/>
      <c r="C409"/>
      <c r="D409"/>
      <c r="E409"/>
      <c r="F409"/>
      <c r="G409"/>
      <c r="H409"/>
      <c r="I409"/>
      <c r="L409" s="15">
        <v>-1.0499999999999998</v>
      </c>
      <c r="M409" s="54">
        <v>-5.7625000000000037E-2</v>
      </c>
    </row>
    <row r="410" spans="1:13" s="15" customFormat="1" x14ac:dyDescent="0.3">
      <c r="A410" s="17"/>
      <c r="B410"/>
      <c r="C410"/>
      <c r="D410"/>
      <c r="E410"/>
      <c r="F410"/>
      <c r="G410"/>
      <c r="H410"/>
      <c r="I410"/>
      <c r="L410" s="15">
        <v>-1.04</v>
      </c>
      <c r="M410" s="54">
        <v>-4.4864000000000015E-2</v>
      </c>
    </row>
    <row r="411" spans="1:13" s="15" customFormat="1" x14ac:dyDescent="0.3">
      <c r="A411" s="17"/>
      <c r="B411"/>
      <c r="C411"/>
      <c r="D411"/>
      <c r="E411"/>
      <c r="F411"/>
      <c r="G411"/>
      <c r="H411"/>
      <c r="I411"/>
      <c r="L411" s="15">
        <v>-1.0299999999999998</v>
      </c>
      <c r="M411" s="54">
        <v>-3.2726999999999951E-2</v>
      </c>
    </row>
    <row r="412" spans="1:13" s="15" customFormat="1" x14ac:dyDescent="0.3">
      <c r="A412" s="17"/>
      <c r="B412"/>
      <c r="C412"/>
      <c r="D412"/>
      <c r="E412"/>
      <c r="F412"/>
      <c r="G412"/>
      <c r="H412"/>
      <c r="I412"/>
      <c r="L412" s="15">
        <v>-1.02</v>
      </c>
      <c r="M412" s="54">
        <v>-2.1207999999999894E-2</v>
      </c>
    </row>
    <row r="413" spans="1:13" s="15" customFormat="1" x14ac:dyDescent="0.3">
      <c r="A413" s="17"/>
      <c r="B413"/>
      <c r="C413"/>
      <c r="D413"/>
      <c r="E413"/>
      <c r="F413"/>
      <c r="G413"/>
      <c r="H413"/>
      <c r="I413"/>
      <c r="L413" s="15">
        <v>-1.0099999999999998</v>
      </c>
      <c r="M413" s="54">
        <v>-1.0300999999999894E-2</v>
      </c>
    </row>
    <row r="414" spans="1:13" s="15" customFormat="1" x14ac:dyDescent="0.3">
      <c r="A414" s="17"/>
      <c r="B414"/>
      <c r="C414"/>
      <c r="D414"/>
      <c r="E414"/>
      <c r="F414"/>
      <c r="G414"/>
      <c r="H414"/>
      <c r="I414"/>
      <c r="L414" s="15">
        <v>-1</v>
      </c>
      <c r="M414" s="54">
        <v>0</v>
      </c>
    </row>
    <row r="415" spans="1:13" s="15" customFormat="1" x14ac:dyDescent="0.3">
      <c r="A415" s="17"/>
      <c r="B415"/>
      <c r="C415"/>
      <c r="D415"/>
      <c r="E415"/>
      <c r="F415"/>
      <c r="G415"/>
      <c r="H415"/>
      <c r="I415"/>
      <c r="L415" s="15">
        <v>-0.99000000000000021</v>
      </c>
      <c r="M415" s="54">
        <v>9.7010000000001817E-3</v>
      </c>
    </row>
    <row r="416" spans="1:13" s="15" customFormat="1" x14ac:dyDescent="0.3">
      <c r="A416" s="17"/>
      <c r="B416"/>
      <c r="C416"/>
      <c r="D416"/>
      <c r="E416"/>
      <c r="F416"/>
      <c r="G416"/>
      <c r="H416"/>
      <c r="I416"/>
      <c r="L416" s="15">
        <v>-0.97999999999999954</v>
      </c>
      <c r="M416" s="54">
        <v>1.8807999999999936E-2</v>
      </c>
    </row>
    <row r="417" spans="1:13" s="15" customFormat="1" x14ac:dyDescent="0.3">
      <c r="A417" s="17"/>
      <c r="B417"/>
      <c r="C417"/>
      <c r="D417"/>
      <c r="E417"/>
      <c r="F417"/>
      <c r="G417"/>
      <c r="H417"/>
      <c r="I417"/>
      <c r="L417" s="15">
        <v>-0.96999999999999975</v>
      </c>
      <c r="M417" s="54">
        <v>2.7327000000000101E-2</v>
      </c>
    </row>
    <row r="418" spans="1:13" s="15" customFormat="1" x14ac:dyDescent="0.3">
      <c r="A418" s="17"/>
      <c r="B418"/>
      <c r="C418"/>
      <c r="D418"/>
      <c r="E418"/>
      <c r="F418"/>
      <c r="G418"/>
      <c r="H418"/>
      <c r="I418"/>
      <c r="L418" s="15">
        <v>-0.96</v>
      </c>
      <c r="M418" s="54">
        <v>3.5263999999999962E-2</v>
      </c>
    </row>
    <row r="419" spans="1:13" s="15" customFormat="1" x14ac:dyDescent="0.3">
      <c r="A419" s="17"/>
      <c r="B419"/>
      <c r="C419"/>
      <c r="D419"/>
      <c r="E419"/>
      <c r="F419"/>
      <c r="G419"/>
      <c r="H419"/>
      <c r="I419"/>
      <c r="L419" s="15">
        <v>-0.95000000000000018</v>
      </c>
      <c r="M419" s="54">
        <v>4.2625000000000135E-2</v>
      </c>
    </row>
    <row r="420" spans="1:13" s="15" customFormat="1" x14ac:dyDescent="0.3">
      <c r="A420" s="17"/>
      <c r="B420"/>
      <c r="C420"/>
      <c r="D420"/>
      <c r="E420"/>
      <c r="F420"/>
      <c r="G420"/>
      <c r="H420"/>
      <c r="I420"/>
      <c r="L420" s="15">
        <v>-0.9399999999999995</v>
      </c>
      <c r="M420" s="54">
        <v>4.9415999999999904E-2</v>
      </c>
    </row>
    <row r="421" spans="1:13" s="15" customFormat="1" x14ac:dyDescent="0.3">
      <c r="A421" s="17"/>
      <c r="B421"/>
      <c r="C421"/>
      <c r="D421"/>
      <c r="E421"/>
      <c r="F421"/>
      <c r="G421"/>
      <c r="H421"/>
      <c r="I421"/>
      <c r="L421" s="15">
        <v>-0.92999999999999972</v>
      </c>
      <c r="M421" s="54">
        <v>5.5642999999999887E-2</v>
      </c>
    </row>
    <row r="422" spans="1:13" s="15" customFormat="1" x14ac:dyDescent="0.3">
      <c r="A422" s="17"/>
      <c r="B422"/>
      <c r="C422"/>
      <c r="D422"/>
      <c r="E422"/>
      <c r="F422"/>
      <c r="G422"/>
      <c r="H422"/>
      <c r="I422"/>
      <c r="L422" s="15">
        <v>-0.91999999999999993</v>
      </c>
      <c r="M422" s="54">
        <v>6.1312000000000033E-2</v>
      </c>
    </row>
    <row r="423" spans="1:13" s="15" customFormat="1" x14ac:dyDescent="0.3">
      <c r="A423" s="17"/>
      <c r="B423"/>
      <c r="C423"/>
      <c r="D423"/>
      <c r="E423"/>
      <c r="F423"/>
      <c r="G423"/>
      <c r="H423"/>
      <c r="I423"/>
      <c r="L423" s="15">
        <v>-0.91000000000000014</v>
      </c>
      <c r="M423" s="54">
        <v>6.6428999999999849E-2</v>
      </c>
    </row>
    <row r="424" spans="1:13" s="15" customFormat="1" x14ac:dyDescent="0.3">
      <c r="A424" s="17"/>
      <c r="B424"/>
      <c r="C424"/>
      <c r="D424"/>
      <c r="E424"/>
      <c r="F424"/>
      <c r="G424"/>
      <c r="H424"/>
      <c r="I424"/>
      <c r="L424" s="15">
        <v>-0.90000000000000036</v>
      </c>
      <c r="M424" s="54">
        <v>7.0999999999999952E-2</v>
      </c>
    </row>
    <row r="425" spans="1:13" s="15" customFormat="1" x14ac:dyDescent="0.3">
      <c r="A425" s="17"/>
      <c r="B425"/>
      <c r="C425"/>
      <c r="D425"/>
      <c r="E425"/>
      <c r="F425"/>
      <c r="G425"/>
      <c r="H425"/>
      <c r="I425"/>
      <c r="L425" s="15">
        <v>-0.88999999999999968</v>
      </c>
      <c r="M425" s="54">
        <v>7.503100000000007E-2</v>
      </c>
    </row>
    <row r="426" spans="1:13" s="15" customFormat="1" x14ac:dyDescent="0.3">
      <c r="A426" s="17"/>
      <c r="B426"/>
      <c r="C426"/>
      <c r="D426"/>
      <c r="E426"/>
      <c r="F426"/>
      <c r="G426"/>
      <c r="H426"/>
      <c r="I426"/>
      <c r="L426" s="15">
        <v>-0.87999999999999989</v>
      </c>
      <c r="M426" s="54">
        <v>7.8527999999999931E-2</v>
      </c>
    </row>
    <row r="427" spans="1:13" s="15" customFormat="1" x14ac:dyDescent="0.3">
      <c r="A427" s="17"/>
      <c r="B427"/>
      <c r="C427"/>
      <c r="D427"/>
      <c r="E427"/>
      <c r="F427"/>
      <c r="G427"/>
      <c r="H427"/>
      <c r="I427"/>
      <c r="L427" s="15">
        <v>-0.87000000000000011</v>
      </c>
      <c r="M427" s="54">
        <v>8.1496999999999931E-2</v>
      </c>
    </row>
    <row r="428" spans="1:13" s="15" customFormat="1" x14ac:dyDescent="0.3">
      <c r="A428" s="17"/>
      <c r="B428"/>
      <c r="C428"/>
      <c r="D428"/>
      <c r="E428"/>
      <c r="F428"/>
      <c r="G428"/>
      <c r="H428"/>
      <c r="I428"/>
      <c r="L428" s="15">
        <v>-0.86000000000000032</v>
      </c>
      <c r="M428" s="54">
        <v>8.3944000000000019E-2</v>
      </c>
    </row>
    <row r="429" spans="1:13" s="15" customFormat="1" x14ac:dyDescent="0.3">
      <c r="A429" s="17"/>
      <c r="B429"/>
      <c r="C429"/>
      <c r="D429"/>
      <c r="E429"/>
      <c r="F429"/>
      <c r="G429"/>
      <c r="H429"/>
      <c r="I429"/>
      <c r="L429" s="15">
        <v>-0.84999999999999964</v>
      </c>
      <c r="M429" s="54">
        <v>8.5875000000000146E-2</v>
      </c>
    </row>
    <row r="430" spans="1:13" s="15" customFormat="1" x14ac:dyDescent="0.3">
      <c r="A430" s="17"/>
      <c r="B430"/>
      <c r="C430"/>
      <c r="D430"/>
      <c r="E430"/>
      <c r="F430"/>
      <c r="G430"/>
      <c r="H430"/>
      <c r="I430"/>
      <c r="L430" s="15">
        <v>-0.83999999999999986</v>
      </c>
      <c r="M430" s="54">
        <v>8.729600000000004E-2</v>
      </c>
    </row>
    <row r="431" spans="1:13" s="15" customFormat="1" x14ac:dyDescent="0.3">
      <c r="A431" s="17"/>
      <c r="B431"/>
      <c r="C431"/>
      <c r="D431"/>
      <c r="E431"/>
      <c r="F431"/>
      <c r="G431"/>
      <c r="H431"/>
      <c r="I431"/>
      <c r="L431" s="15">
        <v>-0.83000000000000007</v>
      </c>
      <c r="M431" s="54">
        <v>8.8213000000000097E-2</v>
      </c>
    </row>
    <row r="432" spans="1:13" s="15" customFormat="1" x14ac:dyDescent="0.3">
      <c r="A432" s="17"/>
      <c r="B432"/>
      <c r="C432"/>
      <c r="D432"/>
      <c r="E432"/>
      <c r="F432"/>
      <c r="G432"/>
      <c r="H432"/>
      <c r="I432"/>
      <c r="L432" s="15">
        <v>-0.82000000000000028</v>
      </c>
      <c r="M432" s="54">
        <v>8.8632000000000044E-2</v>
      </c>
    </row>
    <row r="433" spans="1:13" s="15" customFormat="1" x14ac:dyDescent="0.3">
      <c r="A433" s="17"/>
      <c r="B433"/>
      <c r="C433"/>
      <c r="D433"/>
      <c r="E433"/>
      <c r="F433"/>
      <c r="G433"/>
      <c r="H433"/>
      <c r="I433"/>
      <c r="L433" s="15">
        <v>-0.80999999999999961</v>
      </c>
      <c r="M433" s="54">
        <v>8.8559000000000054E-2</v>
      </c>
    </row>
    <row r="434" spans="1:13" s="15" customFormat="1" x14ac:dyDescent="0.3">
      <c r="A434" s="17"/>
      <c r="B434"/>
      <c r="C434"/>
      <c r="D434"/>
      <c r="E434"/>
      <c r="F434"/>
      <c r="G434"/>
      <c r="H434"/>
      <c r="I434"/>
      <c r="L434" s="15">
        <v>-0.79999999999999982</v>
      </c>
      <c r="M434" s="54">
        <v>8.8000000000000078E-2</v>
      </c>
    </row>
    <row r="435" spans="1:13" s="15" customFormat="1" x14ac:dyDescent="0.3">
      <c r="A435" s="17"/>
      <c r="B435"/>
      <c r="C435"/>
      <c r="D435"/>
      <c r="E435"/>
      <c r="F435"/>
      <c r="G435"/>
      <c r="H435"/>
      <c r="I435"/>
      <c r="L435" s="15">
        <v>-0.79</v>
      </c>
      <c r="M435" s="54">
        <v>8.6961000000000066E-2</v>
      </c>
    </row>
    <row r="436" spans="1:13" s="15" customFormat="1" x14ac:dyDescent="0.3">
      <c r="A436" s="17"/>
      <c r="B436"/>
      <c r="C436"/>
      <c r="D436"/>
      <c r="E436"/>
      <c r="F436"/>
      <c r="G436"/>
      <c r="H436"/>
      <c r="I436"/>
      <c r="L436" s="15">
        <v>-0.78000000000000025</v>
      </c>
      <c r="M436" s="54">
        <v>8.5447999999999968E-2</v>
      </c>
    </row>
    <row r="437" spans="1:13" s="15" customFormat="1" x14ac:dyDescent="0.3">
      <c r="A437" s="17"/>
      <c r="B437"/>
      <c r="C437"/>
      <c r="D437"/>
      <c r="E437"/>
      <c r="F437"/>
      <c r="G437"/>
      <c r="H437"/>
      <c r="I437"/>
      <c r="L437" s="15">
        <v>-0.76999999999999957</v>
      </c>
      <c r="M437" s="54">
        <v>8.3466999999999958E-2</v>
      </c>
    </row>
    <row r="438" spans="1:13" s="15" customFormat="1" x14ac:dyDescent="0.3">
      <c r="A438" s="17"/>
      <c r="B438"/>
      <c r="C438"/>
      <c r="D438"/>
      <c r="E438"/>
      <c r="F438"/>
      <c r="G438"/>
      <c r="H438"/>
      <c r="I438"/>
      <c r="L438" s="15">
        <v>-0.75999999999999979</v>
      </c>
      <c r="M438" s="54">
        <v>8.1023999999999985E-2</v>
      </c>
    </row>
    <row r="439" spans="1:13" s="15" customFormat="1" x14ac:dyDescent="0.3">
      <c r="A439" s="17"/>
      <c r="B439"/>
      <c r="C439"/>
      <c r="D439"/>
      <c r="E439"/>
      <c r="F439"/>
      <c r="G439"/>
      <c r="H439"/>
      <c r="I439"/>
      <c r="L439" s="15">
        <v>-0.75</v>
      </c>
      <c r="M439" s="54">
        <v>7.8125E-2</v>
      </c>
    </row>
    <row r="440" spans="1:13" s="15" customFormat="1" x14ac:dyDescent="0.3">
      <c r="A440" s="17"/>
      <c r="B440"/>
      <c r="C440"/>
      <c r="D440"/>
      <c r="E440"/>
      <c r="F440"/>
      <c r="G440"/>
      <c r="H440"/>
      <c r="I440"/>
      <c r="L440" s="15">
        <v>-0.74000000000000021</v>
      </c>
      <c r="M440" s="54">
        <v>7.4775999999999954E-2</v>
      </c>
    </row>
    <row r="441" spans="1:13" s="15" customFormat="1" x14ac:dyDescent="0.3">
      <c r="A441" s="17"/>
      <c r="B441"/>
      <c r="C441"/>
      <c r="D441"/>
      <c r="E441"/>
      <c r="F441"/>
      <c r="G441"/>
      <c r="H441"/>
      <c r="I441"/>
      <c r="L441" s="15">
        <v>-0.72999999999999954</v>
      </c>
      <c r="M441" s="54">
        <v>7.0983000000000018E-2</v>
      </c>
    </row>
    <row r="442" spans="1:13" s="15" customFormat="1" x14ac:dyDescent="0.3">
      <c r="A442" s="17"/>
      <c r="B442"/>
      <c r="C442"/>
      <c r="D442"/>
      <c r="E442"/>
      <c r="F442"/>
      <c r="G442"/>
      <c r="H442"/>
      <c r="I442"/>
      <c r="L442" s="15">
        <v>-0.71999999999999975</v>
      </c>
      <c r="M442" s="54">
        <v>6.6751999999999923E-2</v>
      </c>
    </row>
    <row r="443" spans="1:13" s="15" customFormat="1" x14ac:dyDescent="0.3">
      <c r="A443" s="17"/>
      <c r="B443"/>
      <c r="C443"/>
      <c r="D443"/>
      <c r="E443"/>
      <c r="F443"/>
      <c r="G443"/>
      <c r="H443"/>
      <c r="I443"/>
      <c r="L443" s="15">
        <v>-0.71</v>
      </c>
      <c r="M443" s="54">
        <v>6.2088999999999839E-2</v>
      </c>
    </row>
    <row r="444" spans="1:13" s="15" customFormat="1" x14ac:dyDescent="0.3">
      <c r="A444" s="17"/>
      <c r="B444"/>
      <c r="C444"/>
      <c r="D444"/>
      <c r="E444"/>
      <c r="F444"/>
      <c r="G444"/>
      <c r="H444"/>
      <c r="I444"/>
      <c r="L444" s="15">
        <v>-0.70000000000000018</v>
      </c>
      <c r="M444" s="54">
        <v>5.699999999999994E-2</v>
      </c>
    </row>
    <row r="445" spans="1:13" s="15" customFormat="1" x14ac:dyDescent="0.3">
      <c r="A445" s="17"/>
      <c r="B445"/>
      <c r="C445"/>
      <c r="D445"/>
      <c r="E445"/>
      <c r="F445"/>
      <c r="G445"/>
      <c r="H445"/>
      <c r="I445"/>
      <c r="L445" s="15">
        <v>-0.6899999999999995</v>
      </c>
      <c r="M445" s="54">
        <v>5.1490999999999953E-2</v>
      </c>
    </row>
    <row r="446" spans="1:13" s="15" customFormat="1" x14ac:dyDescent="0.3">
      <c r="A446" s="17"/>
      <c r="B446"/>
      <c r="C446"/>
      <c r="D446"/>
      <c r="E446"/>
      <c r="F446"/>
      <c r="G446"/>
      <c r="H446"/>
      <c r="I446"/>
      <c r="L446" s="15">
        <v>-0.67999999999999972</v>
      </c>
      <c r="M446" s="54">
        <v>4.5568000000000053E-2</v>
      </c>
    </row>
    <row r="447" spans="1:13" s="15" customFormat="1" x14ac:dyDescent="0.3">
      <c r="A447" s="17"/>
      <c r="B447"/>
      <c r="C447"/>
      <c r="D447"/>
      <c r="E447"/>
      <c r="F447"/>
      <c r="G447"/>
      <c r="H447"/>
      <c r="I447"/>
      <c r="L447" s="15">
        <v>-0.66999999999999993</v>
      </c>
      <c r="M447" s="54">
        <v>3.9236999999999966E-2</v>
      </c>
    </row>
    <row r="448" spans="1:13" s="15" customFormat="1" x14ac:dyDescent="0.3">
      <c r="A448" s="17"/>
      <c r="B448"/>
      <c r="C448"/>
      <c r="D448"/>
      <c r="E448"/>
      <c r="F448"/>
      <c r="G448"/>
      <c r="H448"/>
      <c r="I448"/>
      <c r="L448" s="15">
        <v>-0.66000000000000014</v>
      </c>
      <c r="M448" s="54">
        <v>3.2504000000000088E-2</v>
      </c>
    </row>
    <row r="449" spans="1:13" s="15" customFormat="1" x14ac:dyDescent="0.3">
      <c r="A449" s="17"/>
      <c r="B449"/>
      <c r="C449"/>
      <c r="D449"/>
      <c r="E449"/>
      <c r="F449"/>
      <c r="G449"/>
      <c r="H449"/>
      <c r="I449"/>
      <c r="L449" s="15">
        <v>-0.64999999999999947</v>
      </c>
      <c r="M449" s="54">
        <v>2.5374999999999259E-2</v>
      </c>
    </row>
    <row r="450" spans="1:13" s="15" customFormat="1" x14ac:dyDescent="0.3">
      <c r="A450" s="17"/>
      <c r="B450"/>
      <c r="C450"/>
      <c r="D450"/>
      <c r="E450"/>
      <c r="F450"/>
      <c r="G450"/>
      <c r="H450"/>
      <c r="I450"/>
      <c r="L450" s="15">
        <v>-0.63999999999999968</v>
      </c>
      <c r="M450" s="54">
        <v>1.7856000000000094E-2</v>
      </c>
    </row>
    <row r="451" spans="1:13" s="15" customFormat="1" x14ac:dyDescent="0.3">
      <c r="A451" s="17"/>
      <c r="B451"/>
      <c r="C451"/>
      <c r="D451"/>
      <c r="E451"/>
      <c r="F451"/>
      <c r="G451"/>
      <c r="H451"/>
      <c r="I451"/>
      <c r="L451" s="15">
        <v>-0.62999999999999989</v>
      </c>
      <c r="M451" s="54">
        <v>9.9529999999998786E-3</v>
      </c>
    </row>
    <row r="452" spans="1:13" s="15" customFormat="1" x14ac:dyDescent="0.3">
      <c r="A452" s="17"/>
      <c r="B452"/>
      <c r="C452"/>
      <c r="D452"/>
      <c r="E452"/>
      <c r="F452"/>
      <c r="G452"/>
      <c r="H452"/>
      <c r="I452"/>
      <c r="L452" s="15">
        <v>-0.62000000000000011</v>
      </c>
      <c r="M452" s="54">
        <v>1.6719999999998958E-3</v>
      </c>
    </row>
    <row r="453" spans="1:13" s="15" customFormat="1" x14ac:dyDescent="0.3">
      <c r="A453" s="17"/>
      <c r="B453"/>
      <c r="C453"/>
      <c r="D453"/>
      <c r="E453"/>
      <c r="F453"/>
      <c r="G453"/>
      <c r="H453"/>
      <c r="I453"/>
      <c r="L453" s="15">
        <v>-0.61000000000000032</v>
      </c>
      <c r="M453" s="54">
        <v>-6.981000000000015E-3</v>
      </c>
    </row>
    <row r="454" spans="1:13" s="15" customFormat="1" x14ac:dyDescent="0.3">
      <c r="A454" s="17"/>
      <c r="B454"/>
      <c r="C454"/>
      <c r="D454"/>
      <c r="E454"/>
      <c r="F454"/>
      <c r="G454"/>
      <c r="H454"/>
      <c r="I454"/>
      <c r="L454" s="15">
        <v>-0.59999999999999964</v>
      </c>
      <c r="M454" s="54">
        <v>-1.6000000000000014E-2</v>
      </c>
    </row>
    <row r="455" spans="1:13" s="15" customFormat="1" x14ac:dyDescent="0.3">
      <c r="A455" s="17"/>
      <c r="B455"/>
      <c r="C455"/>
      <c r="D455"/>
      <c r="E455"/>
      <c r="F455"/>
      <c r="G455"/>
      <c r="H455"/>
      <c r="I455"/>
      <c r="L455" s="15">
        <v>-0.58999999999999986</v>
      </c>
      <c r="M455" s="54">
        <v>-2.537900000000004E-2</v>
      </c>
    </row>
    <row r="456" spans="1:13" s="15" customFormat="1" x14ac:dyDescent="0.3">
      <c r="A456" s="17"/>
      <c r="B456"/>
      <c r="C456"/>
      <c r="D456"/>
      <c r="E456"/>
      <c r="F456"/>
      <c r="G456"/>
      <c r="H456"/>
      <c r="I456"/>
      <c r="L456" s="15">
        <v>-0.58000000000000007</v>
      </c>
      <c r="M456" s="54">
        <v>-3.5112000000000032E-2</v>
      </c>
    </row>
    <row r="457" spans="1:13" s="15" customFormat="1" x14ac:dyDescent="0.3">
      <c r="A457" s="17"/>
      <c r="B457"/>
      <c r="C457"/>
      <c r="D457"/>
      <c r="E457"/>
      <c r="F457"/>
      <c r="G457"/>
      <c r="H457"/>
      <c r="I457"/>
      <c r="L457" s="15">
        <v>-0.57000000000000028</v>
      </c>
      <c r="M457" s="54">
        <v>-4.5193000000000039E-2</v>
      </c>
    </row>
    <row r="458" spans="1:13" s="15" customFormat="1" x14ac:dyDescent="0.3">
      <c r="A458" s="17"/>
      <c r="B458"/>
      <c r="C458"/>
      <c r="D458"/>
      <c r="E458"/>
      <c r="F458"/>
      <c r="G458"/>
      <c r="H458"/>
      <c r="I458"/>
      <c r="L458" s="15">
        <v>-0.55999999999999961</v>
      </c>
      <c r="M458" s="54">
        <v>-5.5615999999999888E-2</v>
      </c>
    </row>
    <row r="459" spans="1:13" s="15" customFormat="1" x14ac:dyDescent="0.3">
      <c r="A459" s="17"/>
      <c r="B459"/>
      <c r="C459"/>
      <c r="D459"/>
      <c r="E459"/>
      <c r="F459"/>
      <c r="G459"/>
      <c r="H459"/>
      <c r="I459"/>
      <c r="L459" s="15">
        <v>-0.54999999999999982</v>
      </c>
      <c r="M459" s="54">
        <v>-6.6374999999999962E-2</v>
      </c>
    </row>
    <row r="460" spans="1:13" s="15" customFormat="1" x14ac:dyDescent="0.3">
      <c r="A460" s="17"/>
      <c r="B460"/>
      <c r="C460"/>
      <c r="D460"/>
      <c r="E460"/>
      <c r="F460"/>
      <c r="G460"/>
      <c r="H460"/>
      <c r="I460"/>
      <c r="L460" s="15">
        <v>-0.54</v>
      </c>
      <c r="M460" s="54">
        <v>-7.7463999999999977E-2</v>
      </c>
    </row>
    <row r="461" spans="1:13" s="15" customFormat="1" x14ac:dyDescent="0.3">
      <c r="A461" s="17"/>
      <c r="B461"/>
      <c r="C461"/>
      <c r="D461"/>
      <c r="E461"/>
      <c r="F461"/>
      <c r="G461"/>
      <c r="H461"/>
      <c r="I461"/>
      <c r="L461" s="15">
        <v>-0.53000000000000025</v>
      </c>
      <c r="M461" s="54">
        <v>-8.8876999999999984E-2</v>
      </c>
    </row>
    <row r="462" spans="1:13" s="15" customFormat="1" x14ac:dyDescent="0.3">
      <c r="A462" s="17"/>
      <c r="B462"/>
      <c r="C462"/>
      <c r="D462"/>
      <c r="E462"/>
      <c r="F462"/>
      <c r="G462"/>
      <c r="H462"/>
      <c r="I462"/>
      <c r="L462" s="15">
        <v>-0.51999999999999957</v>
      </c>
      <c r="M462" s="54">
        <v>-0.10060800000000003</v>
      </c>
    </row>
    <row r="463" spans="1:13" s="15" customFormat="1" x14ac:dyDescent="0.3">
      <c r="A463" s="17"/>
      <c r="B463"/>
      <c r="C463"/>
      <c r="D463"/>
      <c r="E463"/>
      <c r="F463"/>
      <c r="G463"/>
      <c r="H463"/>
      <c r="I463"/>
      <c r="L463" s="15">
        <v>-0.50999999999999979</v>
      </c>
      <c r="M463" s="54">
        <v>-0.11265099999999995</v>
      </c>
    </row>
    <row r="464" spans="1:13" s="15" customFormat="1" x14ac:dyDescent="0.3">
      <c r="A464" s="17"/>
      <c r="B464"/>
      <c r="C464"/>
      <c r="D464"/>
      <c r="E464"/>
      <c r="F464"/>
      <c r="G464"/>
      <c r="H464"/>
      <c r="I464"/>
      <c r="L464" s="15">
        <v>-0.5</v>
      </c>
      <c r="M464" s="54">
        <v>-0.125</v>
      </c>
    </row>
    <row r="465" spans="1:13" s="15" customFormat="1" x14ac:dyDescent="0.3">
      <c r="A465" s="17"/>
      <c r="B465"/>
      <c r="C465"/>
      <c r="D465"/>
      <c r="E465"/>
      <c r="F465"/>
      <c r="G465"/>
      <c r="H465"/>
      <c r="I465"/>
      <c r="L465" s="15">
        <v>-0.49000000000000021</v>
      </c>
      <c r="M465" s="54">
        <v>-0.13764900000000002</v>
      </c>
    </row>
    <row r="466" spans="1:13" s="15" customFormat="1" x14ac:dyDescent="0.3">
      <c r="A466" s="17"/>
      <c r="B466"/>
      <c r="C466"/>
      <c r="D466"/>
      <c r="E466"/>
      <c r="F466"/>
      <c r="G466"/>
      <c r="H466"/>
      <c r="I466"/>
      <c r="L466" s="15">
        <v>-0.47999999999999954</v>
      </c>
      <c r="M466" s="54">
        <v>-0.15059200000000006</v>
      </c>
    </row>
    <row r="467" spans="1:13" s="15" customFormat="1" x14ac:dyDescent="0.3">
      <c r="A467" s="17"/>
      <c r="B467"/>
      <c r="C467"/>
      <c r="D467"/>
      <c r="E467"/>
      <c r="F467"/>
      <c r="G467"/>
      <c r="H467"/>
      <c r="I467"/>
      <c r="L467" s="15">
        <v>-0.46999999999999975</v>
      </c>
      <c r="M467" s="54">
        <v>-0.16382300000000005</v>
      </c>
    </row>
    <row r="468" spans="1:13" s="15" customFormat="1" x14ac:dyDescent="0.3">
      <c r="A468" s="17"/>
      <c r="B468"/>
      <c r="C468"/>
      <c r="D468"/>
      <c r="E468"/>
      <c r="F468"/>
      <c r="G468"/>
      <c r="H468"/>
      <c r="I468"/>
      <c r="L468" s="15">
        <v>-0.45999999999999996</v>
      </c>
      <c r="M468" s="54">
        <v>-0.17733599999999994</v>
      </c>
    </row>
    <row r="469" spans="1:13" s="15" customFormat="1" x14ac:dyDescent="0.3">
      <c r="A469" s="17"/>
      <c r="B469"/>
      <c r="C469"/>
      <c r="D469"/>
      <c r="E469"/>
      <c r="F469"/>
      <c r="G469"/>
      <c r="H469"/>
      <c r="I469"/>
      <c r="L469" s="15">
        <v>-0.45000000000000018</v>
      </c>
      <c r="M469" s="54">
        <v>-0.19112499999999999</v>
      </c>
    </row>
    <row r="470" spans="1:13" s="15" customFormat="1" x14ac:dyDescent="0.3">
      <c r="A470" s="17"/>
      <c r="B470"/>
      <c r="C470"/>
      <c r="D470"/>
      <c r="E470"/>
      <c r="F470"/>
      <c r="G470"/>
      <c r="H470"/>
      <c r="I470"/>
      <c r="L470" s="15">
        <v>-0.4399999999999995</v>
      </c>
      <c r="M470" s="54">
        <v>-0.20518400000000003</v>
      </c>
    </row>
    <row r="471" spans="1:13" s="15" customFormat="1" x14ac:dyDescent="0.3">
      <c r="A471" s="17"/>
      <c r="B471"/>
      <c r="C471"/>
      <c r="D471"/>
      <c r="E471"/>
      <c r="F471"/>
      <c r="G471"/>
      <c r="H471"/>
      <c r="I471"/>
      <c r="L471" s="15">
        <v>-0.42999999999999972</v>
      </c>
      <c r="M471" s="54">
        <v>-0.21950700000000001</v>
      </c>
    </row>
    <row r="472" spans="1:13" s="15" customFormat="1" x14ac:dyDescent="0.3">
      <c r="A472" s="17"/>
      <c r="B472"/>
      <c r="C472"/>
      <c r="D472"/>
      <c r="E472"/>
      <c r="F472"/>
      <c r="G472"/>
      <c r="H472"/>
      <c r="I472"/>
      <c r="L472" s="15">
        <v>-0.41999999999999993</v>
      </c>
      <c r="M472" s="54">
        <v>-0.23408800000000007</v>
      </c>
    </row>
    <row r="473" spans="1:13" s="15" customFormat="1" x14ac:dyDescent="0.3">
      <c r="A473" s="17"/>
      <c r="B473"/>
      <c r="C473"/>
      <c r="D473"/>
      <c r="E473"/>
      <c r="F473"/>
      <c r="G473"/>
      <c r="H473"/>
      <c r="I473"/>
      <c r="L473" s="15">
        <v>-0.41000000000000014</v>
      </c>
      <c r="M473" s="54">
        <v>-0.24892100000000006</v>
      </c>
    </row>
    <row r="474" spans="1:13" s="15" customFormat="1" x14ac:dyDescent="0.3">
      <c r="A474" s="17"/>
      <c r="B474"/>
      <c r="C474"/>
      <c r="D474"/>
      <c r="E474"/>
      <c r="F474"/>
      <c r="G474"/>
      <c r="H474"/>
      <c r="I474"/>
      <c r="L474" s="15">
        <v>-0.39999999999999947</v>
      </c>
      <c r="M474" s="54">
        <v>-0.26400000000000146</v>
      </c>
    </row>
    <row r="475" spans="1:13" s="15" customFormat="1" x14ac:dyDescent="0.3">
      <c r="A475" s="17"/>
      <c r="B475"/>
      <c r="C475"/>
      <c r="D475"/>
      <c r="E475"/>
      <c r="F475"/>
      <c r="G475"/>
      <c r="H475"/>
      <c r="I475"/>
      <c r="L475" s="15">
        <v>-0.38999999999999968</v>
      </c>
      <c r="M475" s="54">
        <v>-0.27931899999999998</v>
      </c>
    </row>
    <row r="476" spans="1:13" s="15" customFormat="1" x14ac:dyDescent="0.3">
      <c r="A476" s="17"/>
      <c r="B476"/>
      <c r="C476"/>
      <c r="D476"/>
      <c r="E476"/>
      <c r="F476"/>
      <c r="G476"/>
      <c r="H476"/>
      <c r="I476"/>
      <c r="L476" s="15">
        <v>-0.37999999999999989</v>
      </c>
      <c r="M476" s="54">
        <v>-0.29487200000000002</v>
      </c>
    </row>
    <row r="477" spans="1:13" s="15" customFormat="1" x14ac:dyDescent="0.3">
      <c r="A477" s="17"/>
      <c r="B477"/>
      <c r="C477"/>
      <c r="D477"/>
      <c r="E477"/>
      <c r="F477"/>
      <c r="G477"/>
      <c r="H477"/>
      <c r="I477"/>
      <c r="L477" s="15">
        <v>-0.37000000000000011</v>
      </c>
      <c r="M477" s="54">
        <v>-0.31065299999999996</v>
      </c>
    </row>
    <row r="478" spans="1:13" s="15" customFormat="1" x14ac:dyDescent="0.3">
      <c r="A478" s="17"/>
      <c r="B478"/>
      <c r="C478"/>
      <c r="D478"/>
      <c r="E478"/>
      <c r="F478"/>
      <c r="G478"/>
      <c r="H478"/>
      <c r="I478"/>
      <c r="L478" s="15">
        <v>-0.36000000000000032</v>
      </c>
      <c r="M478" s="54">
        <v>-0.32665600000000006</v>
      </c>
    </row>
    <row r="479" spans="1:13" s="15" customFormat="1" x14ac:dyDescent="0.3">
      <c r="A479" s="17"/>
      <c r="B479"/>
      <c r="C479"/>
      <c r="D479"/>
      <c r="E479"/>
      <c r="F479"/>
      <c r="G479"/>
      <c r="H479"/>
      <c r="I479"/>
      <c r="L479" s="15">
        <v>-0.34999999999999964</v>
      </c>
      <c r="M479" s="54">
        <v>-0.34287500000000004</v>
      </c>
    </row>
    <row r="480" spans="1:13" s="15" customFormat="1" x14ac:dyDescent="0.3">
      <c r="A480" s="17"/>
      <c r="B480"/>
      <c r="C480"/>
      <c r="D480"/>
      <c r="E480"/>
      <c r="F480"/>
      <c r="G480"/>
      <c r="H480"/>
      <c r="I480"/>
      <c r="L480" s="15">
        <v>-0.33999999999999986</v>
      </c>
      <c r="M480" s="54">
        <v>-0.35930399999999996</v>
      </c>
    </row>
    <row r="481" spans="1:13" s="15" customFormat="1" x14ac:dyDescent="0.3">
      <c r="A481" s="17"/>
      <c r="B481"/>
      <c r="C481"/>
      <c r="D481"/>
      <c r="E481"/>
      <c r="F481"/>
      <c r="G481"/>
      <c r="H481"/>
      <c r="I481"/>
      <c r="L481" s="15">
        <v>-0.33000000000000007</v>
      </c>
      <c r="M481" s="54">
        <v>-0.37593699999999997</v>
      </c>
    </row>
    <row r="482" spans="1:13" s="15" customFormat="1" x14ac:dyDescent="0.3">
      <c r="A482" s="17"/>
      <c r="B482"/>
      <c r="C482"/>
      <c r="D482"/>
      <c r="E482"/>
      <c r="F482"/>
      <c r="G482"/>
      <c r="H482"/>
      <c r="I482"/>
      <c r="L482" s="15">
        <v>-0.32000000000000028</v>
      </c>
      <c r="M482" s="54">
        <v>-0.39276800000000001</v>
      </c>
    </row>
    <row r="483" spans="1:13" s="15" customFormat="1" x14ac:dyDescent="0.3">
      <c r="A483" s="17"/>
      <c r="B483"/>
      <c r="C483"/>
      <c r="D483"/>
      <c r="E483"/>
      <c r="F483"/>
      <c r="G483"/>
      <c r="H483"/>
      <c r="I483"/>
      <c r="L483" s="15">
        <v>-0.30999999999999961</v>
      </c>
      <c r="M483" s="54">
        <v>-0.40979100000000002</v>
      </c>
    </row>
    <row r="484" spans="1:13" s="15" customFormat="1" x14ac:dyDescent="0.3">
      <c r="A484" s="17"/>
      <c r="B484"/>
      <c r="C484"/>
      <c r="D484"/>
      <c r="E484"/>
      <c r="F484"/>
      <c r="G484"/>
      <c r="H484"/>
      <c r="I484"/>
      <c r="L484" s="15">
        <v>-0.29999999999999982</v>
      </c>
      <c r="M484" s="54">
        <v>-0.42700000000000005</v>
      </c>
    </row>
    <row r="485" spans="1:13" s="15" customFormat="1" x14ac:dyDescent="0.3">
      <c r="A485" s="17"/>
      <c r="B485"/>
      <c r="C485"/>
      <c r="D485"/>
      <c r="E485"/>
      <c r="F485"/>
      <c r="G485"/>
      <c r="H485"/>
      <c r="I485"/>
      <c r="L485" s="15">
        <v>-0.29000000000000004</v>
      </c>
      <c r="M485" s="54">
        <v>-0.44438900000000003</v>
      </c>
    </row>
    <row r="486" spans="1:13" s="15" customFormat="1" x14ac:dyDescent="0.3">
      <c r="A486" s="17"/>
      <c r="B486"/>
      <c r="C486"/>
      <c r="D486"/>
      <c r="E486"/>
      <c r="F486"/>
      <c r="G486"/>
      <c r="H486"/>
      <c r="I486"/>
      <c r="L486" s="15">
        <v>-0.28000000000000025</v>
      </c>
      <c r="M486" s="54">
        <v>-0.46195199999999992</v>
      </c>
    </row>
    <row r="487" spans="1:13" s="15" customFormat="1" x14ac:dyDescent="0.3">
      <c r="A487" s="17"/>
      <c r="B487"/>
      <c r="C487"/>
      <c r="D487"/>
      <c r="E487"/>
      <c r="F487"/>
      <c r="G487"/>
      <c r="H487"/>
      <c r="I487"/>
      <c r="L487" s="15">
        <v>-0.26999999999999957</v>
      </c>
      <c r="M487" s="54">
        <v>-0.47968299999999997</v>
      </c>
    </row>
    <row r="488" spans="1:13" s="15" customFormat="1" x14ac:dyDescent="0.3">
      <c r="A488" s="17"/>
      <c r="B488"/>
      <c r="C488"/>
      <c r="D488"/>
      <c r="E488"/>
      <c r="F488"/>
      <c r="G488"/>
      <c r="H488"/>
      <c r="I488"/>
      <c r="L488" s="15">
        <v>-0.25999999999999979</v>
      </c>
      <c r="M488" s="54">
        <v>-0.49757600000000002</v>
      </c>
    </row>
    <row r="489" spans="1:13" s="15" customFormat="1" x14ac:dyDescent="0.3">
      <c r="A489" s="17"/>
      <c r="B489"/>
      <c r="C489"/>
      <c r="D489"/>
      <c r="E489"/>
      <c r="F489"/>
      <c r="G489"/>
      <c r="H489"/>
      <c r="I489"/>
      <c r="L489" s="15">
        <v>-0.25</v>
      </c>
      <c r="M489" s="54">
        <v>-0.515625</v>
      </c>
    </row>
    <row r="490" spans="1:13" s="15" customFormat="1" x14ac:dyDescent="0.3">
      <c r="A490" s="17"/>
      <c r="B490"/>
      <c r="C490"/>
      <c r="D490"/>
      <c r="E490"/>
      <c r="F490"/>
      <c r="G490"/>
      <c r="H490"/>
      <c r="I490"/>
      <c r="L490" s="15">
        <v>-0.24000000000000021</v>
      </c>
      <c r="M490" s="54">
        <v>-0.53382400000000008</v>
      </c>
    </row>
    <row r="491" spans="1:13" s="15" customFormat="1" x14ac:dyDescent="0.3">
      <c r="A491" s="17"/>
      <c r="B491"/>
      <c r="C491"/>
      <c r="D491"/>
      <c r="E491"/>
      <c r="F491"/>
      <c r="G491"/>
      <c r="H491"/>
      <c r="I491"/>
      <c r="L491" s="15">
        <v>-0.22999999999999954</v>
      </c>
      <c r="M491" s="54">
        <v>-0.55216699999999996</v>
      </c>
    </row>
    <row r="492" spans="1:13" s="15" customFormat="1" x14ac:dyDescent="0.3">
      <c r="A492" s="17"/>
      <c r="B492"/>
      <c r="C492"/>
      <c r="D492"/>
      <c r="E492"/>
      <c r="F492"/>
      <c r="G492"/>
      <c r="H492"/>
      <c r="I492"/>
      <c r="L492" s="15">
        <v>-0.21999999999999975</v>
      </c>
      <c r="M492" s="54">
        <v>-0.57064800000000004</v>
      </c>
    </row>
    <row r="493" spans="1:13" s="15" customFormat="1" x14ac:dyDescent="0.3">
      <c r="A493" s="17"/>
      <c r="B493"/>
      <c r="C493"/>
      <c r="D493"/>
      <c r="E493"/>
      <c r="F493"/>
      <c r="G493"/>
      <c r="H493"/>
      <c r="I493"/>
      <c r="L493" s="15">
        <v>-0.20999999999999996</v>
      </c>
      <c r="M493" s="54">
        <v>-0.58926100000000003</v>
      </c>
    </row>
    <row r="494" spans="1:13" s="15" customFormat="1" x14ac:dyDescent="0.3">
      <c r="A494" s="17"/>
      <c r="B494"/>
      <c r="C494"/>
      <c r="D494"/>
      <c r="E494"/>
      <c r="F494"/>
      <c r="G494"/>
      <c r="H494"/>
      <c r="I494"/>
      <c r="L494" s="15">
        <v>-0.20000000000000018</v>
      </c>
      <c r="M494" s="54">
        <v>-0.60799999999999998</v>
      </c>
    </row>
    <row r="495" spans="1:13" s="15" customFormat="1" x14ac:dyDescent="0.3">
      <c r="A495" s="17"/>
      <c r="B495"/>
      <c r="C495"/>
      <c r="D495"/>
      <c r="E495"/>
      <c r="F495"/>
      <c r="G495"/>
      <c r="H495"/>
      <c r="I495"/>
      <c r="L495" s="15">
        <v>-0.1899999999999995</v>
      </c>
      <c r="M495" s="54">
        <v>-0.62685900000000006</v>
      </c>
    </row>
    <row r="496" spans="1:13" s="15" customFormat="1" x14ac:dyDescent="0.3">
      <c r="A496" s="17"/>
      <c r="B496"/>
      <c r="C496"/>
      <c r="D496"/>
      <c r="E496"/>
      <c r="F496"/>
      <c r="G496"/>
      <c r="H496"/>
      <c r="I496"/>
      <c r="L496" s="15">
        <v>-0.17999999999999972</v>
      </c>
      <c r="M496" s="54">
        <v>-0.64583199999999996</v>
      </c>
    </row>
    <row r="497" spans="1:13" s="15" customFormat="1" x14ac:dyDescent="0.3">
      <c r="A497" s="17"/>
      <c r="B497"/>
      <c r="C497"/>
      <c r="D497"/>
      <c r="E497"/>
      <c r="F497"/>
      <c r="G497"/>
      <c r="H497"/>
      <c r="I497"/>
      <c r="L497" s="15">
        <v>-0.16999999999999993</v>
      </c>
      <c r="M497" s="54">
        <v>-0.66491299999999998</v>
      </c>
    </row>
    <row r="498" spans="1:13" s="15" customFormat="1" x14ac:dyDescent="0.3">
      <c r="A498" s="17"/>
      <c r="B498"/>
      <c r="C498"/>
      <c r="D498"/>
      <c r="E498"/>
      <c r="F498"/>
      <c r="G498"/>
      <c r="H498"/>
      <c r="I498"/>
      <c r="L498" s="15">
        <v>-0.16000000000000014</v>
      </c>
      <c r="M498" s="54">
        <v>-0.68409600000000004</v>
      </c>
    </row>
    <row r="499" spans="1:13" s="15" customFormat="1" x14ac:dyDescent="0.3">
      <c r="A499" s="17"/>
      <c r="B499"/>
      <c r="C499"/>
      <c r="D499"/>
      <c r="E499"/>
      <c r="F499"/>
      <c r="G499"/>
      <c r="H499"/>
      <c r="I499"/>
      <c r="L499" s="15">
        <v>-0.14999999999999947</v>
      </c>
      <c r="M499" s="54">
        <v>-0.70337500000000186</v>
      </c>
    </row>
    <row r="500" spans="1:13" s="15" customFormat="1" x14ac:dyDescent="0.3">
      <c r="A500" s="17"/>
      <c r="B500"/>
      <c r="C500"/>
      <c r="D500"/>
      <c r="E500"/>
      <c r="F500"/>
      <c r="G500"/>
      <c r="H500"/>
      <c r="I500"/>
      <c r="L500" s="15">
        <v>-0.13999999999999968</v>
      </c>
      <c r="M500" s="54">
        <v>-0.72274400000000005</v>
      </c>
    </row>
    <row r="501" spans="1:13" s="15" customFormat="1" x14ac:dyDescent="0.3">
      <c r="A501" s="17"/>
      <c r="B501"/>
      <c r="C501"/>
      <c r="D501"/>
      <c r="E501"/>
      <c r="F501"/>
      <c r="G501"/>
      <c r="H501"/>
      <c r="I501"/>
      <c r="L501" s="15">
        <v>-0.12999999999999989</v>
      </c>
      <c r="M501" s="54">
        <v>-0.742197</v>
      </c>
    </row>
    <row r="502" spans="1:13" s="15" customFormat="1" x14ac:dyDescent="0.3">
      <c r="A502" s="17"/>
      <c r="B502"/>
      <c r="C502"/>
      <c r="D502"/>
      <c r="E502"/>
      <c r="F502"/>
      <c r="G502"/>
      <c r="H502"/>
      <c r="I502"/>
      <c r="L502" s="15">
        <v>-0.12000000000000011</v>
      </c>
      <c r="M502" s="54">
        <v>-0.76172799999999996</v>
      </c>
    </row>
    <row r="503" spans="1:13" s="15" customFormat="1" x14ac:dyDescent="0.3">
      <c r="A503" s="17"/>
      <c r="B503"/>
      <c r="C503"/>
      <c r="D503"/>
      <c r="E503"/>
      <c r="F503"/>
      <c r="G503"/>
      <c r="H503"/>
      <c r="I503"/>
      <c r="L503" s="15">
        <v>-0.11000000000000032</v>
      </c>
      <c r="M503" s="54">
        <v>-0.781331</v>
      </c>
    </row>
    <row r="504" spans="1:13" s="15" customFormat="1" x14ac:dyDescent="0.3">
      <c r="A504" s="17"/>
      <c r="B504"/>
      <c r="C504"/>
      <c r="D504"/>
      <c r="E504"/>
      <c r="F504"/>
      <c r="G504"/>
      <c r="H504"/>
      <c r="I504"/>
      <c r="L504" s="15">
        <v>-9.9999999999999645E-2</v>
      </c>
      <c r="M504" s="54">
        <v>-0.80100000000000082</v>
      </c>
    </row>
    <row r="505" spans="1:13" s="15" customFormat="1" x14ac:dyDescent="0.3">
      <c r="A505" s="17"/>
      <c r="B505"/>
      <c r="C505"/>
      <c r="D505"/>
      <c r="E505"/>
      <c r="F505"/>
      <c r="G505"/>
      <c r="H505"/>
      <c r="I505"/>
      <c r="L505" s="15">
        <v>-8.9999999999999858E-2</v>
      </c>
      <c r="M505" s="54">
        <v>-0.82072900000000026</v>
      </c>
    </row>
    <row r="506" spans="1:13" s="15" customFormat="1" x14ac:dyDescent="0.3">
      <c r="A506" s="17"/>
      <c r="B506"/>
      <c r="C506"/>
      <c r="D506"/>
      <c r="E506"/>
      <c r="F506"/>
      <c r="G506"/>
      <c r="H506"/>
      <c r="I506"/>
      <c r="L506" s="15">
        <v>-8.0000000000000071E-2</v>
      </c>
      <c r="M506" s="54">
        <v>-0.84051199999999981</v>
      </c>
    </row>
    <row r="507" spans="1:13" s="15" customFormat="1" x14ac:dyDescent="0.3">
      <c r="A507" s="17"/>
      <c r="B507"/>
      <c r="C507"/>
      <c r="D507"/>
      <c r="E507"/>
      <c r="F507"/>
      <c r="G507"/>
      <c r="H507"/>
      <c r="I507"/>
      <c r="L507" s="15">
        <v>-7.0000000000000284E-2</v>
      </c>
      <c r="M507" s="54">
        <v>-0.86034299999999941</v>
      </c>
    </row>
    <row r="508" spans="1:13" s="15" customFormat="1" x14ac:dyDescent="0.3">
      <c r="A508" s="17"/>
      <c r="B508"/>
      <c r="C508"/>
      <c r="D508"/>
      <c r="E508"/>
      <c r="F508"/>
      <c r="G508"/>
      <c r="H508"/>
      <c r="I508"/>
      <c r="L508" s="15">
        <v>-5.9999999999999609E-2</v>
      </c>
      <c r="M508" s="54">
        <v>-0.88021600000000078</v>
      </c>
    </row>
    <row r="509" spans="1:13" s="15" customFormat="1" x14ac:dyDescent="0.3">
      <c r="A509" s="17"/>
      <c r="B509"/>
      <c r="C509"/>
      <c r="D509"/>
      <c r="E509"/>
      <c r="F509"/>
      <c r="G509"/>
      <c r="H509"/>
      <c r="I509"/>
      <c r="L509" s="15">
        <v>-4.9999999999999822E-2</v>
      </c>
      <c r="M509" s="54">
        <v>-0.9001250000000004</v>
      </c>
    </row>
    <row r="510" spans="1:13" s="15" customFormat="1" x14ac:dyDescent="0.3">
      <c r="A510" s="17"/>
      <c r="B510"/>
      <c r="C510"/>
      <c r="D510"/>
      <c r="E510"/>
      <c r="F510"/>
      <c r="G510"/>
      <c r="H510"/>
      <c r="I510"/>
      <c r="L510" s="15">
        <v>-4.0000000000000036E-2</v>
      </c>
      <c r="M510" s="54">
        <v>-0.92006399999999999</v>
      </c>
    </row>
    <row r="511" spans="1:13" s="15" customFormat="1" x14ac:dyDescent="0.3">
      <c r="A511" s="17"/>
      <c r="B511"/>
      <c r="C511"/>
      <c r="D511"/>
      <c r="E511"/>
      <c r="F511"/>
      <c r="G511"/>
      <c r="H511"/>
      <c r="I511"/>
      <c r="L511" s="15">
        <v>-3.0000000000000249E-2</v>
      </c>
      <c r="M511" s="54">
        <v>-0.94002699999999961</v>
      </c>
    </row>
    <row r="512" spans="1:13" s="15" customFormat="1" x14ac:dyDescent="0.3">
      <c r="A512" s="17"/>
      <c r="B512"/>
      <c r="C512"/>
      <c r="D512"/>
      <c r="E512"/>
      <c r="F512"/>
      <c r="G512"/>
      <c r="H512"/>
      <c r="I512"/>
      <c r="L512" s="15">
        <v>-1.9999999999999574E-2</v>
      </c>
      <c r="M512" s="54">
        <v>-0.96000800000000075</v>
      </c>
    </row>
    <row r="513" spans="1:13" s="15" customFormat="1" x14ac:dyDescent="0.3">
      <c r="A513" s="17"/>
      <c r="B513"/>
      <c r="C513"/>
      <c r="D513"/>
      <c r="E513"/>
      <c r="F513"/>
      <c r="G513"/>
      <c r="H513"/>
      <c r="I513"/>
      <c r="L513" s="15">
        <v>-9.9999999999997868E-3</v>
      </c>
      <c r="M513" s="54">
        <v>-0.98000100000000046</v>
      </c>
    </row>
    <row r="514" spans="1:13" s="15" customFormat="1" x14ac:dyDescent="0.3">
      <c r="A514" s="17"/>
      <c r="B514"/>
      <c r="C514"/>
      <c r="D514"/>
      <c r="E514"/>
      <c r="F514"/>
      <c r="G514"/>
      <c r="H514"/>
      <c r="I514"/>
      <c r="L514" s="15">
        <v>0</v>
      </c>
      <c r="M514" s="54">
        <v>-1</v>
      </c>
    </row>
    <row r="515" spans="1:13" s="15" customFormat="1" x14ac:dyDescent="0.3">
      <c r="A515" s="17"/>
      <c r="B515"/>
      <c r="C515"/>
      <c r="D515"/>
      <c r="E515"/>
      <c r="F515"/>
      <c r="G515"/>
      <c r="H515"/>
      <c r="I515"/>
      <c r="L515" s="15">
        <v>9.9999999999997868E-3</v>
      </c>
      <c r="M515" s="54">
        <v>-1.0199989999999997</v>
      </c>
    </row>
    <row r="516" spans="1:13" s="15" customFormat="1" x14ac:dyDescent="0.3">
      <c r="A516" s="17"/>
      <c r="B516"/>
      <c r="C516"/>
      <c r="D516"/>
      <c r="E516"/>
      <c r="F516"/>
      <c r="G516"/>
      <c r="H516"/>
      <c r="I516"/>
      <c r="L516" s="15">
        <v>2.0000000000000462E-2</v>
      </c>
      <c r="M516" s="54">
        <v>-1.0399920000000009</v>
      </c>
    </row>
    <row r="517" spans="1:13" s="15" customFormat="1" x14ac:dyDescent="0.3">
      <c r="A517" s="17"/>
      <c r="B517"/>
      <c r="C517"/>
      <c r="D517"/>
      <c r="E517"/>
      <c r="F517"/>
      <c r="G517"/>
      <c r="H517"/>
      <c r="I517"/>
      <c r="L517" s="15">
        <v>3.0000000000000249E-2</v>
      </c>
      <c r="M517" s="54">
        <v>-1.0599730000000005</v>
      </c>
    </row>
    <row r="518" spans="1:13" s="15" customFormat="1" x14ac:dyDescent="0.3">
      <c r="A518" s="17"/>
      <c r="B518"/>
      <c r="C518"/>
      <c r="D518"/>
      <c r="E518"/>
      <c r="F518"/>
      <c r="G518"/>
      <c r="H518"/>
      <c r="I518"/>
      <c r="L518" s="15">
        <v>4.0000000000000036E-2</v>
      </c>
      <c r="M518" s="54">
        <v>-1.079936</v>
      </c>
    </row>
    <row r="519" spans="1:13" s="15" customFormat="1" x14ac:dyDescent="0.3">
      <c r="A519" s="17"/>
      <c r="B519"/>
      <c r="C519"/>
      <c r="D519"/>
      <c r="E519"/>
      <c r="F519"/>
      <c r="G519"/>
      <c r="H519"/>
      <c r="I519"/>
      <c r="L519" s="15">
        <v>4.9999999999999822E-2</v>
      </c>
      <c r="M519" s="54">
        <v>-1.0998749999999995</v>
      </c>
    </row>
    <row r="520" spans="1:13" s="15" customFormat="1" x14ac:dyDescent="0.3">
      <c r="A520" s="17"/>
      <c r="B520"/>
      <c r="C520"/>
      <c r="D520"/>
      <c r="E520"/>
      <c r="F520"/>
      <c r="G520"/>
      <c r="H520"/>
      <c r="I520"/>
      <c r="L520" s="15">
        <v>6.0000000000000497E-2</v>
      </c>
      <c r="M520" s="54">
        <v>-1.119784000000001</v>
      </c>
    </row>
    <row r="521" spans="1:13" s="15" customFormat="1" x14ac:dyDescent="0.3">
      <c r="A521" s="17"/>
      <c r="B521"/>
      <c r="C521"/>
      <c r="D521"/>
      <c r="E521"/>
      <c r="F521"/>
      <c r="G521"/>
      <c r="H521"/>
      <c r="I521"/>
      <c r="L521" s="15">
        <v>7.0000000000000284E-2</v>
      </c>
      <c r="M521" s="54">
        <v>-1.1396570000000006</v>
      </c>
    </row>
    <row r="522" spans="1:13" s="15" customFormat="1" x14ac:dyDescent="0.3">
      <c r="A522" s="17"/>
      <c r="B522"/>
      <c r="C522"/>
      <c r="D522"/>
      <c r="E522"/>
      <c r="F522"/>
      <c r="G522"/>
      <c r="H522"/>
      <c r="I522"/>
      <c r="L522" s="15">
        <v>8.0000000000000071E-2</v>
      </c>
      <c r="M522" s="54">
        <v>-1.1594880000000001</v>
      </c>
    </row>
    <row r="523" spans="1:13" s="15" customFormat="1" x14ac:dyDescent="0.3">
      <c r="A523" s="17"/>
      <c r="B523"/>
      <c r="C523"/>
      <c r="D523"/>
      <c r="E523"/>
      <c r="F523"/>
      <c r="G523"/>
      <c r="H523"/>
      <c r="I523"/>
      <c r="L523" s="15">
        <v>8.9999999999999858E-2</v>
      </c>
      <c r="M523" s="54">
        <v>-1.1792709999999997</v>
      </c>
    </row>
    <row r="524" spans="1:13" s="15" customFormat="1" x14ac:dyDescent="0.3">
      <c r="A524" s="17"/>
      <c r="B524"/>
      <c r="C524"/>
      <c r="D524"/>
      <c r="E524"/>
      <c r="F524"/>
      <c r="G524"/>
      <c r="H524"/>
      <c r="I524"/>
      <c r="L524" s="15">
        <v>0.10000000000000053</v>
      </c>
      <c r="M524" s="54">
        <v>-1.1990000000000021</v>
      </c>
    </row>
    <row r="525" spans="1:13" s="15" customFormat="1" x14ac:dyDescent="0.3">
      <c r="A525" s="17"/>
      <c r="B525"/>
      <c r="C525"/>
      <c r="D525"/>
      <c r="E525"/>
      <c r="F525"/>
      <c r="G525"/>
      <c r="H525"/>
      <c r="I525"/>
      <c r="L525" s="15">
        <v>0.11000000000000032</v>
      </c>
      <c r="M525" s="54">
        <v>-1.218669</v>
      </c>
    </row>
    <row r="526" spans="1:13" s="15" customFormat="1" x14ac:dyDescent="0.3">
      <c r="A526" s="17"/>
      <c r="B526"/>
      <c r="C526"/>
      <c r="D526"/>
      <c r="E526"/>
      <c r="F526"/>
      <c r="G526"/>
      <c r="H526"/>
      <c r="I526"/>
      <c r="L526" s="15">
        <v>0.12000000000000011</v>
      </c>
      <c r="M526" s="54">
        <v>-1.238272</v>
      </c>
    </row>
    <row r="527" spans="1:13" s="15" customFormat="1" x14ac:dyDescent="0.3">
      <c r="A527" s="17"/>
      <c r="B527"/>
      <c r="C527"/>
      <c r="D527"/>
      <c r="E527"/>
      <c r="F527"/>
      <c r="G527"/>
      <c r="H527"/>
      <c r="I527"/>
      <c r="L527" s="15">
        <v>0.12999999999999989</v>
      </c>
      <c r="M527" s="54">
        <v>-1.257803</v>
      </c>
    </row>
    <row r="528" spans="1:13" s="15" customFormat="1" x14ac:dyDescent="0.3">
      <c r="A528" s="17"/>
      <c r="B528"/>
      <c r="C528"/>
      <c r="D528"/>
      <c r="E528"/>
      <c r="F528"/>
      <c r="G528"/>
      <c r="H528"/>
      <c r="I528"/>
      <c r="L528" s="15">
        <v>0.13999999999999968</v>
      </c>
      <c r="M528" s="54">
        <v>-1.2772559999999999</v>
      </c>
    </row>
    <row r="529" spans="1:13" s="15" customFormat="1" x14ac:dyDescent="0.3">
      <c r="A529" s="17"/>
      <c r="B529"/>
      <c r="C529"/>
      <c r="D529"/>
      <c r="E529"/>
      <c r="F529"/>
      <c r="G529"/>
      <c r="H529"/>
      <c r="I529"/>
      <c r="L529" s="15">
        <v>0.15000000000000036</v>
      </c>
      <c r="M529" s="54">
        <v>-1.2966249999999999</v>
      </c>
    </row>
    <row r="530" spans="1:13" s="15" customFormat="1" x14ac:dyDescent="0.3">
      <c r="A530" s="17"/>
      <c r="B530"/>
      <c r="C530"/>
      <c r="D530"/>
      <c r="E530"/>
      <c r="F530"/>
      <c r="G530"/>
      <c r="H530"/>
      <c r="I530"/>
      <c r="L530" s="15">
        <v>0.16000000000000014</v>
      </c>
      <c r="M530" s="54">
        <v>-1.315904</v>
      </c>
    </row>
    <row r="531" spans="1:13" s="15" customFormat="1" x14ac:dyDescent="0.3">
      <c r="A531" s="17"/>
      <c r="B531"/>
      <c r="C531"/>
      <c r="D531"/>
      <c r="E531"/>
      <c r="F531"/>
      <c r="G531"/>
      <c r="H531"/>
      <c r="I531"/>
      <c r="L531" s="15">
        <v>0.16999999999999993</v>
      </c>
      <c r="M531" s="54">
        <v>-1.3350870000000001</v>
      </c>
    </row>
    <row r="532" spans="1:13" s="15" customFormat="1" x14ac:dyDescent="0.3">
      <c r="A532" s="17"/>
      <c r="B532"/>
      <c r="C532"/>
      <c r="D532"/>
      <c r="E532"/>
      <c r="F532"/>
      <c r="G532"/>
      <c r="H532"/>
      <c r="I532"/>
      <c r="L532" s="15">
        <v>0.17999999999999972</v>
      </c>
      <c r="M532" s="54">
        <v>-1.354168</v>
      </c>
    </row>
    <row r="533" spans="1:13" s="15" customFormat="1" x14ac:dyDescent="0.3">
      <c r="A533" s="17"/>
      <c r="B533"/>
      <c r="C533"/>
      <c r="D533"/>
      <c r="E533"/>
      <c r="F533"/>
      <c r="G533"/>
      <c r="H533"/>
      <c r="I533"/>
      <c r="L533" s="15">
        <v>0.19000000000000039</v>
      </c>
      <c r="M533" s="54">
        <v>-1.3731409999999999</v>
      </c>
    </row>
    <row r="534" spans="1:13" s="15" customFormat="1" x14ac:dyDescent="0.3">
      <c r="A534" s="17"/>
      <c r="B534"/>
      <c r="C534"/>
      <c r="D534"/>
      <c r="E534"/>
      <c r="F534"/>
      <c r="G534"/>
      <c r="H534"/>
      <c r="I534"/>
      <c r="L534" s="15">
        <v>0.20000000000000018</v>
      </c>
      <c r="M534" s="54">
        <v>-1.3919999999999999</v>
      </c>
    </row>
    <row r="535" spans="1:13" s="15" customFormat="1" x14ac:dyDescent="0.3">
      <c r="A535" s="17"/>
      <c r="B535"/>
      <c r="C535"/>
      <c r="D535"/>
      <c r="E535"/>
      <c r="F535"/>
      <c r="G535"/>
      <c r="H535"/>
      <c r="I535"/>
      <c r="L535" s="15">
        <v>0.20999999999999996</v>
      </c>
      <c r="M535" s="54">
        <v>-1.410739</v>
      </c>
    </row>
    <row r="536" spans="1:13" s="15" customFormat="1" x14ac:dyDescent="0.3">
      <c r="A536" s="17"/>
      <c r="B536"/>
      <c r="C536"/>
      <c r="D536"/>
      <c r="E536"/>
      <c r="F536"/>
      <c r="G536"/>
      <c r="H536"/>
      <c r="I536"/>
      <c r="L536" s="15">
        <v>0.21999999999999975</v>
      </c>
      <c r="M536" s="54">
        <v>-1.429352</v>
      </c>
    </row>
    <row r="537" spans="1:13" s="15" customFormat="1" x14ac:dyDescent="0.3">
      <c r="A537" s="17"/>
      <c r="B537"/>
      <c r="C537"/>
      <c r="D537"/>
      <c r="E537"/>
      <c r="F537"/>
      <c r="G537"/>
      <c r="H537"/>
      <c r="I537"/>
      <c r="L537" s="15">
        <v>0.23000000000000043</v>
      </c>
      <c r="M537" s="54">
        <v>-1.4478330000000001</v>
      </c>
    </row>
    <row r="538" spans="1:13" s="15" customFormat="1" x14ac:dyDescent="0.3">
      <c r="A538" s="17"/>
      <c r="B538"/>
      <c r="C538"/>
      <c r="D538"/>
      <c r="E538"/>
      <c r="F538"/>
      <c r="G538"/>
      <c r="H538"/>
      <c r="I538"/>
      <c r="L538" s="15">
        <v>0.24000000000000021</v>
      </c>
      <c r="M538" s="54">
        <v>-1.4661759999999999</v>
      </c>
    </row>
    <row r="539" spans="1:13" s="15" customFormat="1" x14ac:dyDescent="0.3">
      <c r="A539" s="17"/>
      <c r="B539"/>
      <c r="C539"/>
      <c r="D539"/>
      <c r="E539"/>
      <c r="F539"/>
      <c r="G539"/>
      <c r="H539"/>
      <c r="I539"/>
      <c r="L539" s="15">
        <v>0.25</v>
      </c>
      <c r="M539" s="54">
        <v>-1.484375</v>
      </c>
    </row>
    <row r="540" spans="1:13" s="15" customFormat="1" x14ac:dyDescent="0.3">
      <c r="A540" s="17"/>
      <c r="B540"/>
      <c r="C540"/>
      <c r="D540"/>
      <c r="E540"/>
      <c r="F540"/>
      <c r="G540"/>
      <c r="H540"/>
      <c r="I540"/>
      <c r="L540" s="15">
        <v>0.25999999999999979</v>
      </c>
      <c r="M540" s="54">
        <v>-1.502424</v>
      </c>
    </row>
    <row r="541" spans="1:13" s="15" customFormat="1" x14ac:dyDescent="0.3">
      <c r="A541" s="17"/>
      <c r="B541"/>
      <c r="C541"/>
      <c r="D541"/>
      <c r="E541"/>
      <c r="F541"/>
      <c r="G541"/>
      <c r="H541"/>
      <c r="I541"/>
      <c r="L541" s="15">
        <v>0.27000000000000046</v>
      </c>
      <c r="M541" s="54">
        <v>-1.5203169999999999</v>
      </c>
    </row>
    <row r="542" spans="1:13" s="15" customFormat="1" x14ac:dyDescent="0.3">
      <c r="A542" s="17"/>
      <c r="B542"/>
      <c r="C542"/>
      <c r="D542"/>
      <c r="E542"/>
      <c r="F542"/>
      <c r="G542"/>
      <c r="H542"/>
      <c r="I542"/>
      <c r="L542" s="15">
        <v>0.28000000000000025</v>
      </c>
      <c r="M542" s="54">
        <v>-1.5380480000000001</v>
      </c>
    </row>
    <row r="543" spans="1:13" s="15" customFormat="1" x14ac:dyDescent="0.3">
      <c r="A543" s="17"/>
      <c r="B543"/>
      <c r="C543"/>
      <c r="D543"/>
      <c r="E543"/>
      <c r="F543"/>
      <c r="G543"/>
      <c r="H543"/>
      <c r="I543"/>
      <c r="L543" s="15">
        <v>0.29000000000000004</v>
      </c>
      <c r="M543" s="54">
        <v>-1.5556109999999999</v>
      </c>
    </row>
    <row r="544" spans="1:13" s="15" customFormat="1" x14ac:dyDescent="0.3">
      <c r="A544" s="17"/>
      <c r="B544"/>
      <c r="C544"/>
      <c r="D544"/>
      <c r="E544"/>
      <c r="F544"/>
      <c r="G544"/>
      <c r="H544"/>
      <c r="I544"/>
      <c r="L544" s="15">
        <v>0.29999999999999982</v>
      </c>
      <c r="M544" s="54">
        <v>-1.573</v>
      </c>
    </row>
    <row r="545" spans="1:13" s="15" customFormat="1" x14ac:dyDescent="0.3">
      <c r="A545" s="17"/>
      <c r="B545"/>
      <c r="C545"/>
      <c r="D545"/>
      <c r="E545"/>
      <c r="F545"/>
      <c r="G545"/>
      <c r="H545"/>
      <c r="I545"/>
      <c r="L545" s="15">
        <v>0.3100000000000005</v>
      </c>
      <c r="M545" s="54">
        <v>-1.590209</v>
      </c>
    </row>
    <row r="546" spans="1:13" s="15" customFormat="1" x14ac:dyDescent="0.3">
      <c r="A546" s="17"/>
      <c r="B546"/>
      <c r="C546"/>
      <c r="D546"/>
      <c r="E546"/>
      <c r="F546"/>
      <c r="G546"/>
      <c r="H546"/>
      <c r="I546"/>
      <c r="L546" s="15">
        <v>0.32000000000000028</v>
      </c>
      <c r="M546" s="54">
        <v>-1.607232</v>
      </c>
    </row>
    <row r="547" spans="1:13" s="15" customFormat="1" x14ac:dyDescent="0.3">
      <c r="A547" s="17"/>
      <c r="B547"/>
      <c r="C547"/>
      <c r="D547"/>
      <c r="E547"/>
      <c r="F547"/>
      <c r="G547"/>
      <c r="H547"/>
      <c r="I547"/>
      <c r="L547" s="15">
        <v>0.33000000000000007</v>
      </c>
      <c r="M547" s="54">
        <v>-1.624063</v>
      </c>
    </row>
    <row r="548" spans="1:13" s="15" customFormat="1" x14ac:dyDescent="0.3">
      <c r="A548" s="17"/>
      <c r="B548"/>
      <c r="C548"/>
      <c r="D548"/>
      <c r="E548"/>
      <c r="F548"/>
      <c r="G548"/>
      <c r="H548"/>
      <c r="I548"/>
      <c r="L548" s="15">
        <v>0.33999999999999986</v>
      </c>
      <c r="M548" s="54">
        <v>-1.6406960000000002</v>
      </c>
    </row>
    <row r="549" spans="1:13" s="15" customFormat="1" x14ac:dyDescent="0.3">
      <c r="A549" s="17"/>
      <c r="B549"/>
      <c r="C549"/>
      <c r="D549"/>
      <c r="E549"/>
      <c r="F549"/>
      <c r="G549"/>
      <c r="H549"/>
      <c r="I549"/>
      <c r="L549" s="15">
        <v>0.35000000000000053</v>
      </c>
      <c r="M549" s="54">
        <v>-1.6571250000000015</v>
      </c>
    </row>
    <row r="550" spans="1:13" s="15" customFormat="1" x14ac:dyDescent="0.3">
      <c r="A550" s="17"/>
      <c r="B550"/>
      <c r="C550"/>
      <c r="D550"/>
      <c r="E550"/>
      <c r="F550"/>
      <c r="G550"/>
      <c r="H550"/>
      <c r="I550"/>
      <c r="L550" s="15">
        <v>0.36000000000000032</v>
      </c>
      <c r="M550" s="54">
        <v>-1.6733439999999999</v>
      </c>
    </row>
    <row r="551" spans="1:13" s="15" customFormat="1" x14ac:dyDescent="0.3">
      <c r="A551" s="17"/>
      <c r="B551"/>
      <c r="C551"/>
      <c r="D551"/>
      <c r="E551"/>
      <c r="F551"/>
      <c r="G551"/>
      <c r="H551"/>
      <c r="I551"/>
      <c r="L551" s="15">
        <v>0.37000000000000011</v>
      </c>
      <c r="M551" s="54">
        <v>-1.6893470000000002</v>
      </c>
    </row>
    <row r="552" spans="1:13" s="15" customFormat="1" x14ac:dyDescent="0.3">
      <c r="A552" s="17"/>
      <c r="B552"/>
      <c r="C552"/>
      <c r="D552"/>
      <c r="E552"/>
      <c r="F552"/>
      <c r="G552"/>
      <c r="H552"/>
      <c r="I552"/>
      <c r="L552" s="15">
        <v>0.37999999999999989</v>
      </c>
      <c r="M552" s="54">
        <v>-1.705128</v>
      </c>
    </row>
    <row r="553" spans="1:13" s="15" customFormat="1" x14ac:dyDescent="0.3">
      <c r="A553" s="17"/>
      <c r="B553"/>
      <c r="C553"/>
      <c r="D553"/>
      <c r="E553"/>
      <c r="F553"/>
      <c r="G553"/>
      <c r="H553"/>
      <c r="I553"/>
      <c r="L553" s="15">
        <v>0.38999999999999968</v>
      </c>
      <c r="M553" s="54">
        <v>-1.7206809999999999</v>
      </c>
    </row>
    <row r="554" spans="1:13" s="15" customFormat="1" x14ac:dyDescent="0.3">
      <c r="A554" s="17"/>
      <c r="B554"/>
      <c r="C554"/>
      <c r="D554"/>
      <c r="E554"/>
      <c r="F554"/>
      <c r="G554"/>
      <c r="H554"/>
      <c r="I554"/>
      <c r="L554" s="15">
        <v>0.40000000000000036</v>
      </c>
      <c r="M554" s="54">
        <v>-1.736</v>
      </c>
    </row>
    <row r="555" spans="1:13" s="15" customFormat="1" x14ac:dyDescent="0.3">
      <c r="A555" s="17"/>
      <c r="B555"/>
      <c r="C555"/>
      <c r="D555"/>
      <c r="E555"/>
      <c r="F555"/>
      <c r="G555"/>
      <c r="H555"/>
      <c r="I555"/>
      <c r="L555" s="15">
        <v>0.41000000000000014</v>
      </c>
      <c r="M555" s="54">
        <v>-1.7510789999999998</v>
      </c>
    </row>
    <row r="556" spans="1:13" s="15" customFormat="1" x14ac:dyDescent="0.3">
      <c r="A556" s="17"/>
      <c r="B556"/>
      <c r="C556"/>
      <c r="D556"/>
      <c r="E556"/>
      <c r="F556"/>
      <c r="G556"/>
      <c r="H556"/>
      <c r="I556"/>
      <c r="L556" s="15">
        <v>0.41999999999999993</v>
      </c>
      <c r="M556" s="54">
        <v>-1.7659119999999999</v>
      </c>
    </row>
    <row r="557" spans="1:13" s="15" customFormat="1" x14ac:dyDescent="0.3">
      <c r="A557" s="17"/>
      <c r="B557"/>
      <c r="C557"/>
      <c r="D557"/>
      <c r="E557"/>
      <c r="F557"/>
      <c r="G557"/>
      <c r="H557"/>
      <c r="I557"/>
      <c r="L557" s="15">
        <v>0.42999999999999972</v>
      </c>
      <c r="M557" s="54">
        <v>-1.7804929999999999</v>
      </c>
    </row>
    <row r="558" spans="1:13" s="15" customFormat="1" x14ac:dyDescent="0.3">
      <c r="A558" s="17"/>
      <c r="B558"/>
      <c r="C558"/>
      <c r="D558"/>
      <c r="E558"/>
      <c r="F558"/>
      <c r="G558"/>
      <c r="H558"/>
      <c r="I558"/>
      <c r="L558" s="15">
        <v>0.44000000000000039</v>
      </c>
      <c r="M558" s="54">
        <v>-1.794816</v>
      </c>
    </row>
    <row r="559" spans="1:13" s="15" customFormat="1" x14ac:dyDescent="0.3">
      <c r="A559" s="17"/>
      <c r="B559"/>
      <c r="C559"/>
      <c r="D559"/>
      <c r="E559"/>
      <c r="F559"/>
      <c r="G559"/>
      <c r="H559"/>
      <c r="I559"/>
      <c r="L559" s="15">
        <v>0.45000000000000018</v>
      </c>
      <c r="M559" s="54">
        <v>-1.808875</v>
      </c>
    </row>
    <row r="560" spans="1:13" s="15" customFormat="1" x14ac:dyDescent="0.3">
      <c r="A560" s="17"/>
      <c r="B560"/>
      <c r="C560"/>
      <c r="D560"/>
      <c r="E560"/>
      <c r="F560"/>
      <c r="G560"/>
      <c r="H560"/>
      <c r="I560"/>
      <c r="L560" s="15">
        <v>0.45999999999999996</v>
      </c>
      <c r="M560" s="54">
        <v>-1.8226640000000001</v>
      </c>
    </row>
    <row r="561" spans="1:13" s="15" customFormat="1" x14ac:dyDescent="0.3">
      <c r="A561" s="17"/>
      <c r="B561"/>
      <c r="C561"/>
      <c r="D561"/>
      <c r="E561"/>
      <c r="F561"/>
      <c r="G561"/>
      <c r="H561"/>
      <c r="I561"/>
      <c r="L561" s="15">
        <v>0.46999999999999975</v>
      </c>
      <c r="M561" s="54">
        <v>-1.8361769999999999</v>
      </c>
    </row>
    <row r="562" spans="1:13" s="15" customFormat="1" x14ac:dyDescent="0.3">
      <c r="A562" s="17"/>
      <c r="B562"/>
      <c r="C562"/>
      <c r="D562"/>
      <c r="E562"/>
      <c r="F562"/>
      <c r="G562"/>
      <c r="H562"/>
      <c r="I562"/>
      <c r="L562" s="15">
        <v>0.48000000000000043</v>
      </c>
      <c r="M562" s="54">
        <v>-1.8494079999999999</v>
      </c>
    </row>
    <row r="563" spans="1:13" s="15" customFormat="1" x14ac:dyDescent="0.3">
      <c r="A563" s="17"/>
      <c r="B563"/>
      <c r="C563"/>
      <c r="D563"/>
      <c r="E563"/>
      <c r="F563"/>
      <c r="G563"/>
      <c r="H563"/>
      <c r="I563"/>
      <c r="L563" s="15">
        <v>0.49000000000000021</v>
      </c>
      <c r="M563" s="54">
        <v>-1.8623509999999999</v>
      </c>
    </row>
    <row r="564" spans="1:13" s="15" customFormat="1" x14ac:dyDescent="0.3">
      <c r="A564" s="17"/>
      <c r="B564"/>
      <c r="C564"/>
      <c r="D564"/>
      <c r="E564"/>
      <c r="F564"/>
      <c r="G564"/>
      <c r="H564"/>
      <c r="I564"/>
      <c r="L564" s="15">
        <v>0.5</v>
      </c>
      <c r="M564" s="54">
        <v>-1.875</v>
      </c>
    </row>
    <row r="565" spans="1:13" s="15" customFormat="1" x14ac:dyDescent="0.3">
      <c r="A565" s="17"/>
      <c r="B565"/>
      <c r="C565"/>
      <c r="D565"/>
      <c r="E565"/>
      <c r="F565"/>
      <c r="G565"/>
      <c r="H565"/>
      <c r="I565"/>
      <c r="L565" s="15">
        <v>0.50999999999999979</v>
      </c>
      <c r="M565" s="54">
        <v>-1.8873489999999999</v>
      </c>
    </row>
    <row r="566" spans="1:13" s="15" customFormat="1" x14ac:dyDescent="0.3">
      <c r="A566" s="17"/>
      <c r="B566"/>
      <c r="C566"/>
      <c r="D566"/>
      <c r="E566"/>
      <c r="F566"/>
      <c r="G566"/>
      <c r="H566"/>
      <c r="I566"/>
      <c r="L566" s="15">
        <v>0.52000000000000046</v>
      </c>
      <c r="M566" s="54">
        <v>-1.899392</v>
      </c>
    </row>
    <row r="567" spans="1:13" s="15" customFormat="1" x14ac:dyDescent="0.3">
      <c r="A567" s="17"/>
      <c r="B567"/>
      <c r="C567"/>
      <c r="D567"/>
      <c r="E567"/>
      <c r="F567"/>
      <c r="G567"/>
      <c r="H567"/>
      <c r="I567"/>
      <c r="L567" s="15">
        <v>0.53000000000000025</v>
      </c>
      <c r="M567" s="54">
        <v>-1.9111229999999999</v>
      </c>
    </row>
    <row r="568" spans="1:13" s="15" customFormat="1" x14ac:dyDescent="0.3">
      <c r="A568" s="17"/>
      <c r="B568"/>
      <c r="C568"/>
      <c r="D568"/>
      <c r="E568"/>
      <c r="F568"/>
      <c r="G568"/>
      <c r="H568"/>
      <c r="I568"/>
      <c r="L568" s="15">
        <v>0.54</v>
      </c>
      <c r="M568" s="54">
        <v>-1.922536</v>
      </c>
    </row>
    <row r="569" spans="1:13" s="15" customFormat="1" x14ac:dyDescent="0.3">
      <c r="A569" s="17"/>
      <c r="B569"/>
      <c r="C569"/>
      <c r="D569"/>
      <c r="E569"/>
      <c r="F569"/>
      <c r="G569"/>
      <c r="H569"/>
      <c r="I569"/>
      <c r="L569" s="15">
        <v>0.54999999999999982</v>
      </c>
      <c r="M569" s="54">
        <v>-1.9336250000000001</v>
      </c>
    </row>
    <row r="570" spans="1:13" s="15" customFormat="1" x14ac:dyDescent="0.3">
      <c r="A570" s="17"/>
      <c r="B570"/>
      <c r="C570"/>
      <c r="D570"/>
      <c r="E570"/>
      <c r="F570"/>
      <c r="G570"/>
      <c r="H570"/>
      <c r="I570"/>
      <c r="L570" s="15">
        <v>0.5600000000000005</v>
      </c>
      <c r="M570" s="54">
        <v>-1.9443840000000001</v>
      </c>
    </row>
    <row r="571" spans="1:13" s="15" customFormat="1" x14ac:dyDescent="0.3">
      <c r="A571" s="17"/>
      <c r="B571"/>
      <c r="C571"/>
      <c r="D571"/>
      <c r="E571"/>
      <c r="F571"/>
      <c r="G571"/>
      <c r="H571"/>
      <c r="I571"/>
      <c r="L571" s="15">
        <v>0.57000000000000028</v>
      </c>
      <c r="M571" s="54">
        <v>-1.954807</v>
      </c>
    </row>
    <row r="572" spans="1:13" s="15" customFormat="1" x14ac:dyDescent="0.3">
      <c r="A572" s="17"/>
      <c r="B572"/>
      <c r="C572"/>
      <c r="D572"/>
      <c r="E572"/>
      <c r="F572"/>
      <c r="G572"/>
      <c r="H572"/>
      <c r="I572"/>
      <c r="L572" s="15">
        <v>0.58000000000000007</v>
      </c>
      <c r="M572" s="54">
        <v>-1.964888</v>
      </c>
    </row>
    <row r="573" spans="1:13" s="15" customFormat="1" x14ac:dyDescent="0.3">
      <c r="A573" s="17"/>
      <c r="B573"/>
      <c r="C573"/>
      <c r="D573"/>
      <c r="E573"/>
      <c r="F573"/>
      <c r="G573"/>
      <c r="H573"/>
      <c r="I573"/>
      <c r="L573" s="15">
        <v>0.58999999999999986</v>
      </c>
      <c r="M573" s="54">
        <v>-1.974621</v>
      </c>
    </row>
    <row r="574" spans="1:13" s="15" customFormat="1" x14ac:dyDescent="0.3">
      <c r="A574" s="17"/>
      <c r="B574"/>
      <c r="C574"/>
      <c r="D574"/>
      <c r="E574"/>
      <c r="F574"/>
      <c r="G574"/>
      <c r="H574"/>
      <c r="I574"/>
      <c r="L574" s="15">
        <v>0.60000000000000053</v>
      </c>
      <c r="M574" s="54">
        <v>-1.9840000000000009</v>
      </c>
    </row>
    <row r="575" spans="1:13" s="15" customFormat="1" x14ac:dyDescent="0.3">
      <c r="A575" s="17"/>
      <c r="B575"/>
      <c r="C575"/>
      <c r="D575"/>
      <c r="E575"/>
      <c r="F575"/>
      <c r="G575"/>
      <c r="H575"/>
      <c r="I575"/>
      <c r="L575" s="15">
        <v>0.61000000000000032</v>
      </c>
      <c r="M575" s="54">
        <v>-1.9930189999999999</v>
      </c>
    </row>
    <row r="576" spans="1:13" s="15" customFormat="1" x14ac:dyDescent="0.3">
      <c r="A576" s="17"/>
      <c r="B576"/>
      <c r="C576"/>
      <c r="D576"/>
      <c r="E576"/>
      <c r="F576"/>
      <c r="G576"/>
      <c r="H576"/>
      <c r="I576"/>
      <c r="L576" s="15">
        <v>0.62000000000000011</v>
      </c>
      <c r="M576" s="54">
        <v>-2.0016720000000001</v>
      </c>
    </row>
    <row r="577" spans="1:13" s="15" customFormat="1" x14ac:dyDescent="0.3">
      <c r="A577" s="17"/>
      <c r="B577"/>
      <c r="C577"/>
      <c r="D577"/>
      <c r="E577"/>
      <c r="F577"/>
      <c r="G577"/>
      <c r="H577"/>
      <c r="I577"/>
      <c r="L577" s="15">
        <v>0.62999999999999989</v>
      </c>
      <c r="M577" s="54">
        <v>-2.0099529999999999</v>
      </c>
    </row>
    <row r="578" spans="1:13" s="15" customFormat="1" x14ac:dyDescent="0.3">
      <c r="A578" s="17"/>
      <c r="B578"/>
      <c r="C578"/>
      <c r="D578"/>
      <c r="E578"/>
      <c r="F578"/>
      <c r="G578"/>
      <c r="H578"/>
      <c r="I578"/>
      <c r="L578" s="15">
        <v>0.63999999999999968</v>
      </c>
      <c r="M578" s="54">
        <v>-2.0178560000000001</v>
      </c>
    </row>
    <row r="579" spans="1:13" s="15" customFormat="1" x14ac:dyDescent="0.3">
      <c r="A579" s="17"/>
      <c r="B579"/>
      <c r="C579"/>
      <c r="D579"/>
      <c r="E579"/>
      <c r="F579"/>
      <c r="G579"/>
      <c r="H579"/>
      <c r="I579"/>
      <c r="L579" s="15">
        <v>0.65000000000000036</v>
      </c>
      <c r="M579" s="54">
        <v>-2.0253749999999999</v>
      </c>
    </row>
    <row r="580" spans="1:13" s="15" customFormat="1" x14ac:dyDescent="0.3">
      <c r="A580" s="17"/>
      <c r="B580"/>
      <c r="C580"/>
      <c r="D580"/>
      <c r="E580"/>
      <c r="F580"/>
      <c r="G580"/>
      <c r="H580"/>
      <c r="I580"/>
      <c r="L580" s="15">
        <v>0.66000000000000014</v>
      </c>
      <c r="M580" s="54">
        <v>-2.0325040000000003</v>
      </c>
    </row>
    <row r="581" spans="1:13" s="15" customFormat="1" x14ac:dyDescent="0.3">
      <c r="A581" s="17"/>
      <c r="B581"/>
      <c r="C581"/>
      <c r="D581"/>
      <c r="E581"/>
      <c r="F581"/>
      <c r="G581"/>
      <c r="H581"/>
      <c r="I581"/>
      <c r="L581" s="15">
        <v>0.66999999999999993</v>
      </c>
      <c r="M581" s="54">
        <v>-2.039237</v>
      </c>
    </row>
    <row r="582" spans="1:13" s="15" customFormat="1" x14ac:dyDescent="0.3">
      <c r="A582" s="17"/>
      <c r="B582"/>
      <c r="C582"/>
      <c r="D582"/>
      <c r="E582"/>
      <c r="F582"/>
      <c r="G582"/>
      <c r="H582"/>
      <c r="I582"/>
      <c r="L582" s="15">
        <v>0.67999999999999972</v>
      </c>
      <c r="M582" s="54">
        <v>-2.0455680000000003</v>
      </c>
    </row>
    <row r="583" spans="1:13" s="15" customFormat="1" x14ac:dyDescent="0.3">
      <c r="A583" s="17"/>
      <c r="B583"/>
      <c r="C583"/>
      <c r="D583"/>
      <c r="E583"/>
      <c r="F583"/>
      <c r="G583"/>
      <c r="H583"/>
      <c r="I583"/>
      <c r="L583" s="15">
        <v>0.69000000000000039</v>
      </c>
      <c r="M583" s="54">
        <v>-2.051491</v>
      </c>
    </row>
    <row r="584" spans="1:13" s="15" customFormat="1" x14ac:dyDescent="0.3">
      <c r="A584" s="17"/>
      <c r="B584"/>
      <c r="C584"/>
      <c r="D584"/>
      <c r="E584"/>
      <c r="F584"/>
      <c r="G584"/>
      <c r="H584"/>
      <c r="I584"/>
      <c r="L584" s="15">
        <v>0.70000000000000018</v>
      </c>
      <c r="M584" s="54">
        <v>-2.0569999999999999</v>
      </c>
    </row>
    <row r="585" spans="1:13" s="15" customFormat="1" x14ac:dyDescent="0.3">
      <c r="A585" s="17"/>
      <c r="B585"/>
      <c r="C585"/>
      <c r="D585"/>
      <c r="E585"/>
      <c r="F585"/>
      <c r="G585"/>
      <c r="H585"/>
      <c r="I585"/>
      <c r="L585" s="15">
        <v>0.71</v>
      </c>
      <c r="M585" s="54">
        <v>-2.0620889999999998</v>
      </c>
    </row>
    <row r="586" spans="1:13" s="15" customFormat="1" x14ac:dyDescent="0.3">
      <c r="A586" s="17"/>
      <c r="B586"/>
      <c r="C586"/>
      <c r="D586"/>
      <c r="E586"/>
      <c r="F586"/>
      <c r="G586"/>
      <c r="H586"/>
      <c r="I586"/>
      <c r="L586" s="15">
        <v>0.71999999999999975</v>
      </c>
      <c r="M586" s="54">
        <v>-2.0667520000000001</v>
      </c>
    </row>
    <row r="587" spans="1:13" s="15" customFormat="1" x14ac:dyDescent="0.3">
      <c r="A587" s="17"/>
      <c r="B587"/>
      <c r="C587"/>
      <c r="D587"/>
      <c r="E587"/>
      <c r="F587"/>
      <c r="G587"/>
      <c r="H587"/>
      <c r="I587"/>
      <c r="L587" s="15">
        <v>0.73000000000000043</v>
      </c>
      <c r="M587" s="54">
        <v>-2.070983</v>
      </c>
    </row>
    <row r="588" spans="1:13" s="15" customFormat="1" x14ac:dyDescent="0.3">
      <c r="A588" s="17"/>
      <c r="B588"/>
      <c r="C588"/>
      <c r="D588"/>
      <c r="E588"/>
      <c r="F588"/>
      <c r="G588"/>
      <c r="H588"/>
      <c r="I588"/>
      <c r="L588" s="15">
        <v>0.74000000000000021</v>
      </c>
      <c r="M588" s="54">
        <v>-2.074776</v>
      </c>
    </row>
    <row r="589" spans="1:13" s="15" customFormat="1" x14ac:dyDescent="0.3">
      <c r="A589" s="17"/>
      <c r="B589"/>
      <c r="C589"/>
      <c r="D589"/>
      <c r="E589"/>
      <c r="F589"/>
      <c r="G589"/>
      <c r="H589"/>
      <c r="I589"/>
      <c r="L589" s="15">
        <v>0.75</v>
      </c>
      <c r="M589" s="54">
        <v>-2.078125</v>
      </c>
    </row>
    <row r="590" spans="1:13" s="15" customFormat="1" x14ac:dyDescent="0.3">
      <c r="A590" s="17"/>
      <c r="B590"/>
      <c r="C590"/>
      <c r="D590"/>
      <c r="E590"/>
      <c r="F590"/>
      <c r="G590"/>
      <c r="H590"/>
      <c r="I590"/>
      <c r="L590" s="15">
        <v>0.75999999999999979</v>
      </c>
      <c r="M590" s="54">
        <v>-2.0810240000000002</v>
      </c>
    </row>
    <row r="591" spans="1:13" s="15" customFormat="1" x14ac:dyDescent="0.3">
      <c r="A591" s="17"/>
      <c r="B591"/>
      <c r="C591"/>
      <c r="D591"/>
      <c r="E591"/>
      <c r="F591"/>
      <c r="G591"/>
      <c r="H591"/>
      <c r="I591"/>
      <c r="L591" s="15">
        <v>0.77000000000000046</v>
      </c>
      <c r="M591" s="54">
        <v>-2.0834669999999997</v>
      </c>
    </row>
    <row r="592" spans="1:13" s="15" customFormat="1" x14ac:dyDescent="0.3">
      <c r="A592" s="17"/>
      <c r="B592"/>
      <c r="C592"/>
      <c r="D592"/>
      <c r="E592"/>
      <c r="F592"/>
      <c r="G592"/>
      <c r="H592"/>
      <c r="I592"/>
      <c r="L592" s="15">
        <v>0.78000000000000025</v>
      </c>
      <c r="M592" s="54">
        <v>-2.085448</v>
      </c>
    </row>
    <row r="593" spans="1:13" s="15" customFormat="1" x14ac:dyDescent="0.3">
      <c r="A593" s="17"/>
      <c r="B593"/>
      <c r="C593"/>
      <c r="D593"/>
      <c r="E593"/>
      <c r="F593"/>
      <c r="G593"/>
      <c r="H593"/>
      <c r="I593"/>
      <c r="L593" s="15">
        <v>0.79</v>
      </c>
      <c r="M593" s="54">
        <v>-2.0869610000000001</v>
      </c>
    </row>
    <row r="594" spans="1:13" s="15" customFormat="1" x14ac:dyDescent="0.3">
      <c r="A594" s="17"/>
      <c r="B594"/>
      <c r="C594"/>
      <c r="D594"/>
      <c r="E594"/>
      <c r="F594"/>
      <c r="G594"/>
      <c r="H594"/>
      <c r="I594"/>
      <c r="L594" s="15">
        <v>0.79999999999999982</v>
      </c>
      <c r="M594" s="54">
        <v>-2.0880000000000001</v>
      </c>
    </row>
    <row r="595" spans="1:13" s="15" customFormat="1" x14ac:dyDescent="0.3">
      <c r="A595" s="17"/>
      <c r="B595"/>
      <c r="C595"/>
      <c r="D595"/>
      <c r="E595"/>
      <c r="F595"/>
      <c r="G595"/>
      <c r="H595"/>
      <c r="I595"/>
      <c r="L595" s="15">
        <v>0.8100000000000005</v>
      </c>
      <c r="M595" s="54">
        <v>-2.0885590000000001</v>
      </c>
    </row>
    <row r="596" spans="1:13" s="15" customFormat="1" x14ac:dyDescent="0.3">
      <c r="A596" s="17"/>
      <c r="B596"/>
      <c r="C596"/>
      <c r="D596"/>
      <c r="E596"/>
      <c r="F596"/>
      <c r="G596"/>
      <c r="H596"/>
      <c r="I596"/>
      <c r="L596" s="15">
        <v>0.82000000000000028</v>
      </c>
      <c r="M596" s="54">
        <v>-2.088632</v>
      </c>
    </row>
    <row r="597" spans="1:13" s="15" customFormat="1" x14ac:dyDescent="0.3">
      <c r="A597" s="17"/>
      <c r="B597"/>
      <c r="C597"/>
      <c r="D597"/>
      <c r="E597"/>
      <c r="F597"/>
      <c r="G597"/>
      <c r="H597"/>
      <c r="I597"/>
      <c r="L597" s="15">
        <v>0.83000000000000007</v>
      </c>
      <c r="M597" s="54">
        <v>-2.0882130000000001</v>
      </c>
    </row>
    <row r="598" spans="1:13" s="15" customFormat="1" x14ac:dyDescent="0.3">
      <c r="A598" s="17"/>
      <c r="B598"/>
      <c r="C598"/>
      <c r="D598"/>
      <c r="E598"/>
      <c r="F598"/>
      <c r="G598"/>
      <c r="H598"/>
      <c r="I598"/>
      <c r="L598" s="15">
        <v>0.83999999999999986</v>
      </c>
      <c r="M598" s="54">
        <v>-2.0872960000000003</v>
      </c>
    </row>
    <row r="599" spans="1:13" s="15" customFormat="1" x14ac:dyDescent="0.3">
      <c r="A599" s="17"/>
      <c r="B599"/>
      <c r="C599"/>
      <c r="D599"/>
      <c r="E599"/>
      <c r="F599"/>
      <c r="G599"/>
      <c r="H599"/>
      <c r="I599"/>
      <c r="L599" s="15">
        <v>0.85000000000000053</v>
      </c>
      <c r="M599" s="54">
        <v>-2.0858749999999997</v>
      </c>
    </row>
    <row r="600" spans="1:13" s="15" customFormat="1" x14ac:dyDescent="0.3">
      <c r="A600" s="17"/>
      <c r="B600"/>
      <c r="C600"/>
      <c r="D600"/>
      <c r="E600"/>
      <c r="F600"/>
      <c r="G600"/>
      <c r="H600"/>
      <c r="I600"/>
      <c r="L600" s="15">
        <v>0.86000000000000032</v>
      </c>
      <c r="M600" s="54">
        <v>-2.0839439999999998</v>
      </c>
    </row>
    <row r="601" spans="1:13" s="15" customFormat="1" x14ac:dyDescent="0.3">
      <c r="A601" s="17"/>
      <c r="B601"/>
      <c r="C601"/>
      <c r="D601"/>
      <c r="E601"/>
      <c r="F601"/>
      <c r="G601"/>
      <c r="H601"/>
      <c r="I601"/>
      <c r="L601" s="15">
        <v>0.87000000000000011</v>
      </c>
      <c r="M601" s="54">
        <v>-2.0814969999999997</v>
      </c>
    </row>
    <row r="602" spans="1:13" s="15" customFormat="1" x14ac:dyDescent="0.3">
      <c r="A602" s="17"/>
      <c r="B602"/>
      <c r="C602"/>
      <c r="D602"/>
      <c r="E602"/>
      <c r="F602"/>
      <c r="G602"/>
      <c r="H602"/>
      <c r="I602"/>
      <c r="L602" s="15">
        <v>0.87999999999999989</v>
      </c>
      <c r="M602" s="54">
        <v>-2.0785279999999999</v>
      </c>
    </row>
    <row r="603" spans="1:13" s="15" customFormat="1" x14ac:dyDescent="0.3">
      <c r="A603" s="17"/>
      <c r="B603"/>
      <c r="C603"/>
      <c r="D603"/>
      <c r="E603"/>
      <c r="F603"/>
      <c r="G603"/>
      <c r="H603"/>
      <c r="I603"/>
      <c r="L603" s="15">
        <v>0.88999999999999968</v>
      </c>
      <c r="M603" s="54">
        <v>-2.0750310000000001</v>
      </c>
    </row>
    <row r="604" spans="1:13" s="15" customFormat="1" x14ac:dyDescent="0.3">
      <c r="A604" s="17"/>
      <c r="B604"/>
      <c r="C604"/>
      <c r="D604"/>
      <c r="E604"/>
      <c r="F604"/>
      <c r="G604"/>
      <c r="H604"/>
      <c r="I604"/>
      <c r="L604" s="15">
        <v>0.90000000000000036</v>
      </c>
      <c r="M604" s="54">
        <v>-2.0709999999999997</v>
      </c>
    </row>
    <row r="605" spans="1:13" s="15" customFormat="1" x14ac:dyDescent="0.3">
      <c r="A605" s="17"/>
      <c r="B605"/>
      <c r="C605"/>
      <c r="D605"/>
      <c r="E605"/>
      <c r="F605"/>
      <c r="G605"/>
      <c r="H605"/>
      <c r="I605"/>
      <c r="L605" s="15">
        <v>0.91000000000000014</v>
      </c>
      <c r="M605" s="54">
        <v>-2.0664289999999998</v>
      </c>
    </row>
    <row r="606" spans="1:13" s="15" customFormat="1" x14ac:dyDescent="0.3">
      <c r="A606" s="17"/>
      <c r="B606"/>
      <c r="C606"/>
      <c r="D606"/>
      <c r="E606"/>
      <c r="F606"/>
      <c r="G606"/>
      <c r="H606"/>
      <c r="I606"/>
      <c r="L606" s="15">
        <v>0.91999999999999993</v>
      </c>
      <c r="M606" s="54">
        <v>-2.061312</v>
      </c>
    </row>
    <row r="607" spans="1:13" s="15" customFormat="1" x14ac:dyDescent="0.3">
      <c r="A607" s="17"/>
      <c r="B607"/>
      <c r="C607"/>
      <c r="D607"/>
      <c r="E607"/>
      <c r="F607"/>
      <c r="G607"/>
      <c r="H607"/>
      <c r="I607"/>
      <c r="L607" s="15">
        <v>0.92999999999999972</v>
      </c>
      <c r="M607" s="54">
        <v>-2.0556429999999999</v>
      </c>
    </row>
    <row r="608" spans="1:13" s="15" customFormat="1" x14ac:dyDescent="0.3">
      <c r="A608" s="17"/>
      <c r="B608"/>
      <c r="C608"/>
      <c r="D608"/>
      <c r="E608"/>
      <c r="F608"/>
      <c r="G608"/>
      <c r="H608"/>
      <c r="I608"/>
      <c r="L608" s="15">
        <v>0.94000000000000039</v>
      </c>
      <c r="M608" s="54">
        <v>-2.0494159999999999</v>
      </c>
    </row>
    <row r="609" spans="1:13" s="15" customFormat="1" x14ac:dyDescent="0.3">
      <c r="A609" s="17"/>
      <c r="B609"/>
      <c r="C609"/>
      <c r="D609"/>
      <c r="E609"/>
      <c r="F609"/>
      <c r="G609"/>
      <c r="H609"/>
      <c r="I609"/>
      <c r="L609" s="15">
        <v>0.95000000000000018</v>
      </c>
      <c r="M609" s="54">
        <v>-2.0426250000000001</v>
      </c>
    </row>
    <row r="610" spans="1:13" s="15" customFormat="1" x14ac:dyDescent="0.3">
      <c r="A610" s="17"/>
      <c r="B610"/>
      <c r="C610"/>
      <c r="D610"/>
      <c r="E610"/>
      <c r="F610"/>
      <c r="G610"/>
      <c r="H610"/>
      <c r="I610"/>
      <c r="L610" s="15">
        <v>0.96</v>
      </c>
      <c r="M610" s="54">
        <v>-2.0352639999999997</v>
      </c>
    </row>
    <row r="611" spans="1:13" s="15" customFormat="1" x14ac:dyDescent="0.3">
      <c r="A611" s="17"/>
      <c r="B611"/>
      <c r="C611"/>
      <c r="D611"/>
      <c r="E611"/>
      <c r="F611"/>
      <c r="G611"/>
      <c r="H611"/>
      <c r="I611"/>
      <c r="L611" s="15">
        <v>0.96999999999999975</v>
      </c>
      <c r="M611" s="54">
        <v>-2.0273270000000001</v>
      </c>
    </row>
    <row r="612" spans="1:13" s="15" customFormat="1" x14ac:dyDescent="0.3">
      <c r="A612" s="17"/>
      <c r="B612"/>
      <c r="C612"/>
      <c r="D612"/>
      <c r="E612"/>
      <c r="F612"/>
      <c r="G612"/>
      <c r="H612"/>
      <c r="I612"/>
      <c r="L612" s="15">
        <v>0.98000000000000043</v>
      </c>
      <c r="M612" s="54">
        <v>-2.0188079999999999</v>
      </c>
    </row>
    <row r="613" spans="1:13" s="15" customFormat="1" x14ac:dyDescent="0.3">
      <c r="A613" s="17"/>
      <c r="B613"/>
      <c r="C613"/>
      <c r="D613"/>
      <c r="E613"/>
      <c r="F613"/>
      <c r="G613"/>
      <c r="H613"/>
      <c r="I613"/>
      <c r="L613" s="15">
        <v>0.99000000000000021</v>
      </c>
      <c r="M613" s="54">
        <v>-2.0097010000000002</v>
      </c>
    </row>
    <row r="614" spans="1:13" s="15" customFormat="1" x14ac:dyDescent="0.3">
      <c r="A614" s="17"/>
      <c r="B614"/>
      <c r="C614"/>
      <c r="D614"/>
      <c r="E614"/>
      <c r="F614"/>
      <c r="G614"/>
      <c r="H614"/>
      <c r="I614"/>
      <c r="L614" s="15">
        <v>1</v>
      </c>
      <c r="M614" s="54">
        <v>-2</v>
      </c>
    </row>
    <row r="615" spans="1:13" s="15" customFormat="1" x14ac:dyDescent="0.3">
      <c r="A615" s="17"/>
      <c r="B615"/>
      <c r="C615"/>
      <c r="D615"/>
      <c r="E615"/>
      <c r="F615"/>
      <c r="G615"/>
      <c r="H615"/>
      <c r="I615"/>
      <c r="L615" s="15">
        <v>1.0099999999999998</v>
      </c>
      <c r="M615" s="54">
        <v>-1.9896990000000001</v>
      </c>
    </row>
    <row r="616" spans="1:13" s="15" customFormat="1" x14ac:dyDescent="0.3">
      <c r="A616" s="17"/>
      <c r="B616"/>
      <c r="C616"/>
      <c r="D616"/>
      <c r="E616"/>
      <c r="F616"/>
      <c r="G616"/>
      <c r="H616"/>
      <c r="I616"/>
      <c r="L616" s="15">
        <v>1.0200000000000005</v>
      </c>
      <c r="M616" s="54">
        <v>-1.9787920000000001</v>
      </c>
    </row>
    <row r="617" spans="1:13" s="15" customFormat="1" x14ac:dyDescent="0.3">
      <c r="A617" s="17"/>
      <c r="B617"/>
      <c r="C617"/>
      <c r="D617"/>
      <c r="E617"/>
      <c r="F617"/>
      <c r="G617"/>
      <c r="H617"/>
      <c r="I617"/>
      <c r="L617" s="15">
        <v>1.0300000000000002</v>
      </c>
      <c r="M617" s="54">
        <v>-1.967273</v>
      </c>
    </row>
    <row r="618" spans="1:13" s="15" customFormat="1" x14ac:dyDescent="0.3">
      <c r="A618" s="17"/>
      <c r="B618"/>
      <c r="C618"/>
      <c r="D618"/>
      <c r="E618"/>
      <c r="F618"/>
      <c r="G618"/>
      <c r="H618"/>
      <c r="I618"/>
      <c r="L618" s="15">
        <v>1.04</v>
      </c>
      <c r="M618" s="54">
        <v>-1.955136</v>
      </c>
    </row>
    <row r="619" spans="1:13" s="15" customFormat="1" x14ac:dyDescent="0.3">
      <c r="A619" s="17"/>
      <c r="B619"/>
      <c r="C619"/>
      <c r="D619"/>
      <c r="E619"/>
      <c r="F619"/>
      <c r="G619"/>
      <c r="H619"/>
      <c r="I619"/>
      <c r="L619" s="15">
        <v>1.0499999999999998</v>
      </c>
      <c r="M619" s="54">
        <v>-1.942375</v>
      </c>
    </row>
    <row r="620" spans="1:13" s="15" customFormat="1" x14ac:dyDescent="0.3">
      <c r="A620" s="17"/>
      <c r="B620"/>
      <c r="C620"/>
      <c r="D620"/>
      <c r="E620"/>
      <c r="F620"/>
      <c r="G620"/>
      <c r="H620"/>
      <c r="I620"/>
      <c r="L620" s="15">
        <v>1.0600000000000005</v>
      </c>
      <c r="M620" s="54">
        <v>-1.9289839999999998</v>
      </c>
    </row>
    <row r="621" spans="1:13" s="15" customFormat="1" x14ac:dyDescent="0.3">
      <c r="A621" s="17"/>
      <c r="B621"/>
      <c r="C621"/>
      <c r="D621"/>
      <c r="E621"/>
      <c r="F621"/>
      <c r="G621"/>
      <c r="H621"/>
      <c r="I621"/>
      <c r="L621" s="15">
        <v>1.0700000000000003</v>
      </c>
      <c r="M621" s="54">
        <v>-1.914957</v>
      </c>
    </row>
    <row r="622" spans="1:13" s="15" customFormat="1" x14ac:dyDescent="0.3">
      <c r="A622" s="17"/>
      <c r="B622"/>
      <c r="C622"/>
      <c r="D622"/>
      <c r="E622"/>
      <c r="F622"/>
      <c r="G622"/>
      <c r="H622"/>
      <c r="I622"/>
      <c r="L622" s="15">
        <v>1.08</v>
      </c>
      <c r="M622" s="54">
        <v>-1.900288</v>
      </c>
    </row>
    <row r="623" spans="1:13" s="15" customFormat="1" x14ac:dyDescent="0.3">
      <c r="A623" s="17"/>
      <c r="B623"/>
      <c r="C623"/>
      <c r="D623"/>
      <c r="E623"/>
      <c r="F623"/>
      <c r="G623"/>
      <c r="H623"/>
      <c r="I623"/>
      <c r="L623" s="15">
        <v>1.0899999999999999</v>
      </c>
      <c r="M623" s="54">
        <v>-1.884971</v>
      </c>
    </row>
    <row r="624" spans="1:13" s="15" customFormat="1" x14ac:dyDescent="0.3">
      <c r="A624" s="17"/>
      <c r="B624"/>
      <c r="C624"/>
      <c r="D624"/>
      <c r="E624"/>
      <c r="F624"/>
      <c r="G624"/>
      <c r="H624"/>
      <c r="I624"/>
      <c r="L624" s="15">
        <v>1.1000000000000005</v>
      </c>
      <c r="M624" s="54">
        <v>-1.8689999999999998</v>
      </c>
    </row>
    <row r="625" spans="1:13" s="15" customFormat="1" x14ac:dyDescent="0.3">
      <c r="A625" s="17"/>
      <c r="B625"/>
      <c r="C625"/>
      <c r="D625"/>
      <c r="E625"/>
      <c r="F625"/>
      <c r="G625"/>
      <c r="H625"/>
      <c r="I625"/>
      <c r="L625" s="15">
        <v>1.1100000000000003</v>
      </c>
      <c r="M625" s="54">
        <v>-1.8523689999999999</v>
      </c>
    </row>
    <row r="626" spans="1:13" s="15" customFormat="1" x14ac:dyDescent="0.3">
      <c r="A626" s="17"/>
      <c r="B626"/>
      <c r="C626"/>
      <c r="D626"/>
      <c r="E626"/>
      <c r="F626"/>
      <c r="G626"/>
      <c r="H626"/>
      <c r="I626"/>
      <c r="L626" s="15">
        <v>1.1200000000000001</v>
      </c>
      <c r="M626" s="54">
        <v>-1.8350719999999998</v>
      </c>
    </row>
    <row r="627" spans="1:13" s="15" customFormat="1" x14ac:dyDescent="0.3">
      <c r="A627" s="17"/>
      <c r="B627"/>
      <c r="C627"/>
      <c r="D627"/>
      <c r="E627"/>
      <c r="F627"/>
      <c r="G627"/>
      <c r="H627"/>
      <c r="I627"/>
      <c r="L627" s="15">
        <v>1.1299999999999999</v>
      </c>
      <c r="M627" s="54">
        <v>-1.8171030000000004</v>
      </c>
    </row>
    <row r="628" spans="1:13" s="15" customFormat="1" x14ac:dyDescent="0.3">
      <c r="A628" s="17"/>
      <c r="B628"/>
      <c r="C628"/>
      <c r="D628"/>
      <c r="E628"/>
      <c r="F628"/>
      <c r="G628"/>
      <c r="H628"/>
      <c r="I628"/>
      <c r="L628" s="15">
        <v>1.1400000000000006</v>
      </c>
      <c r="M628" s="54">
        <v>-1.7984560000000001</v>
      </c>
    </row>
    <row r="629" spans="1:13" s="15" customFormat="1" x14ac:dyDescent="0.3">
      <c r="A629" s="17"/>
      <c r="B629"/>
      <c r="C629"/>
      <c r="D629"/>
      <c r="E629"/>
      <c r="F629"/>
      <c r="G629"/>
      <c r="H629"/>
      <c r="I629"/>
      <c r="L629" s="15">
        <v>1.1500000000000004</v>
      </c>
      <c r="M629" s="54">
        <v>-1.7791250000000003</v>
      </c>
    </row>
    <row r="630" spans="1:13" s="15" customFormat="1" x14ac:dyDescent="0.3">
      <c r="A630" s="17"/>
      <c r="B630"/>
      <c r="C630"/>
      <c r="D630"/>
      <c r="E630"/>
      <c r="F630"/>
      <c r="G630"/>
      <c r="H630"/>
      <c r="I630"/>
      <c r="L630" s="15">
        <v>1.1600000000000001</v>
      </c>
      <c r="M630" s="54">
        <v>-1.759104</v>
      </c>
    </row>
    <row r="631" spans="1:13" s="15" customFormat="1" x14ac:dyDescent="0.3">
      <c r="A631" s="17"/>
      <c r="B631"/>
      <c r="C631"/>
      <c r="D631"/>
      <c r="E631"/>
      <c r="F631"/>
      <c r="G631"/>
      <c r="H631"/>
      <c r="I631"/>
      <c r="L631" s="15">
        <v>1.17</v>
      </c>
      <c r="M631" s="54">
        <v>-1.7383870000000001</v>
      </c>
    </row>
    <row r="632" spans="1:13" s="15" customFormat="1" x14ac:dyDescent="0.3">
      <c r="A632" s="17"/>
      <c r="B632"/>
      <c r="C632"/>
      <c r="D632"/>
      <c r="E632"/>
      <c r="F632"/>
      <c r="G632"/>
      <c r="H632"/>
      <c r="I632"/>
      <c r="L632" s="15">
        <v>1.1799999999999997</v>
      </c>
      <c r="M632" s="54">
        <v>-1.716968</v>
      </c>
    </row>
    <row r="633" spans="1:13" s="15" customFormat="1" x14ac:dyDescent="0.3">
      <c r="A633" s="17"/>
      <c r="B633"/>
      <c r="C633"/>
      <c r="D633"/>
      <c r="E633"/>
      <c r="F633"/>
      <c r="G633"/>
      <c r="H633"/>
      <c r="I633"/>
      <c r="L633" s="15">
        <v>1.1900000000000004</v>
      </c>
      <c r="M633" s="54">
        <v>-1.694841</v>
      </c>
    </row>
    <row r="634" spans="1:13" s="15" customFormat="1" x14ac:dyDescent="0.3">
      <c r="A634" s="17"/>
      <c r="B634"/>
      <c r="C634"/>
      <c r="D634"/>
      <c r="E634"/>
      <c r="F634"/>
      <c r="G634"/>
      <c r="H634"/>
      <c r="I634"/>
      <c r="L634" s="15">
        <v>1.2000000000000002</v>
      </c>
      <c r="M634" s="54">
        <v>-1.6719999999999999</v>
      </c>
    </row>
    <row r="635" spans="1:13" s="15" customFormat="1" x14ac:dyDescent="0.3">
      <c r="A635" s="17"/>
      <c r="B635"/>
      <c r="C635"/>
      <c r="D635"/>
      <c r="E635"/>
      <c r="F635"/>
      <c r="G635"/>
      <c r="H635"/>
      <c r="I635"/>
      <c r="L635" s="15">
        <v>1.21</v>
      </c>
      <c r="M635" s="54">
        <v>-1.648439</v>
      </c>
    </row>
    <row r="636" spans="1:13" s="15" customFormat="1" x14ac:dyDescent="0.3">
      <c r="A636" s="17"/>
      <c r="B636"/>
      <c r="C636"/>
      <c r="D636"/>
      <c r="E636"/>
      <c r="F636"/>
      <c r="G636"/>
      <c r="H636"/>
      <c r="I636"/>
      <c r="L636" s="15">
        <v>1.2199999999999998</v>
      </c>
      <c r="M636" s="54">
        <v>-1.624152</v>
      </c>
    </row>
    <row r="637" spans="1:13" s="15" customFormat="1" x14ac:dyDescent="0.3">
      <c r="A637" s="17"/>
      <c r="B637"/>
      <c r="C637"/>
      <c r="D637"/>
      <c r="E637"/>
      <c r="F637"/>
      <c r="G637"/>
      <c r="H637"/>
      <c r="I637"/>
      <c r="L637" s="15">
        <v>1.2300000000000004</v>
      </c>
      <c r="M637" s="54">
        <v>-1.5991330000000001</v>
      </c>
    </row>
    <row r="638" spans="1:13" s="15" customFormat="1" x14ac:dyDescent="0.3">
      <c r="A638" s="17"/>
      <c r="B638"/>
      <c r="C638"/>
      <c r="D638"/>
      <c r="E638"/>
      <c r="F638"/>
      <c r="G638"/>
      <c r="H638"/>
      <c r="I638"/>
      <c r="L638" s="15">
        <v>1.2400000000000002</v>
      </c>
      <c r="M638" s="54">
        <v>-1.5733759999999999</v>
      </c>
    </row>
    <row r="639" spans="1:13" s="15" customFormat="1" x14ac:dyDescent="0.3">
      <c r="A639" s="17"/>
      <c r="B639"/>
      <c r="C639"/>
      <c r="D639"/>
      <c r="E639"/>
      <c r="F639"/>
      <c r="G639"/>
      <c r="H639"/>
      <c r="I639"/>
      <c r="L639" s="15">
        <v>1.25</v>
      </c>
      <c r="M639" s="54">
        <v>-1.546875</v>
      </c>
    </row>
    <row r="640" spans="1:13" s="15" customFormat="1" x14ac:dyDescent="0.3">
      <c r="A640" s="17"/>
      <c r="B640"/>
      <c r="C640"/>
      <c r="D640"/>
      <c r="E640"/>
      <c r="F640"/>
      <c r="G640"/>
      <c r="H640"/>
      <c r="I640"/>
      <c r="L640" s="15">
        <v>1.2599999999999998</v>
      </c>
      <c r="M640" s="54">
        <v>-1.5196239999999999</v>
      </c>
    </row>
    <row r="641" spans="1:13" s="15" customFormat="1" x14ac:dyDescent="0.3">
      <c r="A641" s="17"/>
      <c r="B641"/>
      <c r="C641"/>
      <c r="D641"/>
      <c r="E641"/>
      <c r="F641"/>
      <c r="G641"/>
      <c r="H641"/>
      <c r="I641"/>
      <c r="L641" s="15">
        <v>1.2700000000000005</v>
      </c>
      <c r="M641" s="54">
        <v>-1.4916170000000002</v>
      </c>
    </row>
    <row r="642" spans="1:13" s="15" customFormat="1" x14ac:dyDescent="0.3">
      <c r="A642" s="17"/>
      <c r="B642"/>
      <c r="C642"/>
      <c r="D642"/>
      <c r="E642"/>
      <c r="F642"/>
      <c r="G642"/>
      <c r="H642"/>
      <c r="I642"/>
      <c r="L642" s="15">
        <v>1.2800000000000002</v>
      </c>
      <c r="M642" s="54">
        <v>-1.4628479999999997</v>
      </c>
    </row>
    <row r="643" spans="1:13" s="15" customFormat="1" x14ac:dyDescent="0.3">
      <c r="A643" s="17"/>
      <c r="B643"/>
      <c r="C643"/>
      <c r="D643"/>
      <c r="E643"/>
      <c r="F643"/>
      <c r="G643"/>
      <c r="H643"/>
      <c r="I643"/>
      <c r="L643" s="15">
        <v>1.29</v>
      </c>
      <c r="M643" s="54">
        <v>-1.4333109999999998</v>
      </c>
    </row>
    <row r="644" spans="1:13" s="15" customFormat="1" x14ac:dyDescent="0.3">
      <c r="A644" s="17"/>
      <c r="B644"/>
      <c r="C644"/>
      <c r="D644"/>
      <c r="E644"/>
      <c r="F644"/>
      <c r="G644"/>
      <c r="H644"/>
      <c r="I644"/>
      <c r="L644" s="15">
        <v>1.2999999999999998</v>
      </c>
      <c r="M644" s="54">
        <v>-1.4029999999999996</v>
      </c>
    </row>
    <row r="645" spans="1:13" s="15" customFormat="1" x14ac:dyDescent="0.3">
      <c r="A645" s="17"/>
      <c r="B645"/>
      <c r="C645"/>
      <c r="D645"/>
      <c r="E645"/>
      <c r="F645"/>
      <c r="G645"/>
      <c r="H645"/>
      <c r="I645"/>
      <c r="L645" s="15">
        <v>1.3100000000000005</v>
      </c>
      <c r="M645" s="54">
        <v>-1.3719089999999996</v>
      </c>
    </row>
    <row r="646" spans="1:13" s="15" customFormat="1" x14ac:dyDescent="0.3">
      <c r="A646" s="17"/>
      <c r="B646"/>
      <c r="C646"/>
      <c r="D646"/>
      <c r="E646"/>
      <c r="F646"/>
      <c r="G646"/>
      <c r="H646"/>
      <c r="I646"/>
      <c r="L646" s="15">
        <v>1.3200000000000003</v>
      </c>
      <c r="M646" s="54">
        <v>-1.3400319999999999</v>
      </c>
    </row>
    <row r="647" spans="1:13" s="15" customFormat="1" x14ac:dyDescent="0.3">
      <c r="A647" s="17"/>
      <c r="B647"/>
      <c r="C647"/>
      <c r="D647"/>
      <c r="E647"/>
      <c r="F647"/>
      <c r="G647"/>
      <c r="H647"/>
      <c r="I647"/>
      <c r="L647" s="15">
        <v>1.33</v>
      </c>
      <c r="M647" s="54">
        <v>-1.3073630000000001</v>
      </c>
    </row>
    <row r="648" spans="1:13" s="15" customFormat="1" x14ac:dyDescent="0.3">
      <c r="A648" s="17"/>
      <c r="B648"/>
      <c r="C648"/>
      <c r="D648"/>
      <c r="E648"/>
      <c r="F648"/>
      <c r="G648"/>
      <c r="H648"/>
      <c r="I648"/>
      <c r="L648" s="15">
        <v>1.3399999999999999</v>
      </c>
      <c r="M648" s="54">
        <v>-1.2738959999999997</v>
      </c>
    </row>
    <row r="649" spans="1:13" s="15" customFormat="1" x14ac:dyDescent="0.3">
      <c r="A649" s="17"/>
      <c r="B649"/>
      <c r="C649"/>
      <c r="D649"/>
      <c r="E649"/>
      <c r="F649"/>
      <c r="G649"/>
      <c r="H649"/>
      <c r="I649"/>
      <c r="L649" s="15">
        <v>1.3500000000000005</v>
      </c>
      <c r="M649" s="54">
        <v>-1.2396249999999998</v>
      </c>
    </row>
    <row r="650" spans="1:13" s="15" customFormat="1" x14ac:dyDescent="0.3">
      <c r="A650" s="17"/>
      <c r="B650"/>
      <c r="C650"/>
      <c r="D650"/>
      <c r="E650"/>
      <c r="F650"/>
      <c r="G650"/>
      <c r="H650"/>
      <c r="I650"/>
      <c r="L650" s="15">
        <v>1.3600000000000003</v>
      </c>
      <c r="M650" s="54">
        <v>-1.2045439999999994</v>
      </c>
    </row>
    <row r="651" spans="1:13" s="15" customFormat="1" x14ac:dyDescent="0.3">
      <c r="A651" s="17"/>
      <c r="B651"/>
      <c r="C651"/>
      <c r="D651"/>
      <c r="E651"/>
      <c r="F651"/>
      <c r="G651"/>
      <c r="H651"/>
      <c r="I651"/>
      <c r="L651" s="15">
        <v>1.37</v>
      </c>
      <c r="M651" s="54">
        <v>-1.1686469999999995</v>
      </c>
    </row>
    <row r="652" spans="1:13" s="15" customFormat="1" x14ac:dyDescent="0.3">
      <c r="A652" s="17"/>
      <c r="B652"/>
      <c r="C652"/>
      <c r="D652"/>
      <c r="E652"/>
      <c r="F652"/>
      <c r="G652"/>
      <c r="H652"/>
      <c r="I652"/>
      <c r="L652" s="15">
        <v>1.38</v>
      </c>
      <c r="M652" s="54">
        <v>-1.1319280000000003</v>
      </c>
    </row>
    <row r="653" spans="1:13" s="15" customFormat="1" x14ac:dyDescent="0.3">
      <c r="A653" s="17"/>
      <c r="B653"/>
      <c r="C653"/>
      <c r="D653"/>
      <c r="E653"/>
      <c r="F653"/>
      <c r="G653"/>
      <c r="H653"/>
      <c r="I653"/>
      <c r="L653" s="15">
        <v>1.3900000000000006</v>
      </c>
      <c r="M653" s="54">
        <v>-1.0943810000000003</v>
      </c>
    </row>
    <row r="654" spans="1:13" s="15" customFormat="1" x14ac:dyDescent="0.3">
      <c r="A654" s="17"/>
      <c r="B654"/>
      <c r="C654"/>
      <c r="D654"/>
      <c r="E654"/>
      <c r="F654"/>
      <c r="G654"/>
      <c r="H654"/>
      <c r="I654"/>
      <c r="L654" s="15">
        <v>1.4000000000000004</v>
      </c>
      <c r="M654" s="54">
        <v>-1.0560000000000005</v>
      </c>
    </row>
    <row r="655" spans="1:13" s="15" customFormat="1" x14ac:dyDescent="0.3">
      <c r="A655" s="17"/>
      <c r="B655"/>
      <c r="C655"/>
      <c r="D655"/>
      <c r="E655"/>
      <c r="F655"/>
      <c r="G655"/>
      <c r="H655"/>
      <c r="I655"/>
      <c r="L655" s="15">
        <v>1.4100000000000001</v>
      </c>
      <c r="M655" s="54">
        <v>-1.0167790000000005</v>
      </c>
    </row>
    <row r="656" spans="1:13" s="15" customFormat="1" x14ac:dyDescent="0.3">
      <c r="A656" s="17"/>
      <c r="B656"/>
      <c r="C656"/>
      <c r="D656"/>
      <c r="E656"/>
      <c r="F656"/>
      <c r="G656"/>
      <c r="H656"/>
      <c r="I656"/>
      <c r="L656" s="15">
        <v>1.42</v>
      </c>
      <c r="M656" s="54">
        <v>-0.97671200000000002</v>
      </c>
    </row>
    <row r="657" spans="1:13" s="15" customFormat="1" x14ac:dyDescent="0.3">
      <c r="A657" s="17"/>
      <c r="B657"/>
      <c r="C657"/>
      <c r="D657"/>
      <c r="E657"/>
      <c r="F657"/>
      <c r="G657"/>
      <c r="H657"/>
      <c r="I657"/>
      <c r="L657" s="15">
        <v>1.4299999999999997</v>
      </c>
      <c r="M657" s="54">
        <v>-0.93579300000000032</v>
      </c>
    </row>
    <row r="658" spans="1:13" s="15" customFormat="1" x14ac:dyDescent="0.3">
      <c r="A658" s="17"/>
      <c r="B658"/>
      <c r="C658"/>
      <c r="D658"/>
      <c r="E658"/>
      <c r="F658"/>
      <c r="G658"/>
      <c r="H658"/>
      <c r="I658"/>
      <c r="L658" s="15">
        <v>1.4400000000000004</v>
      </c>
      <c r="M658" s="54">
        <v>-0.89401600000000014</v>
      </c>
    </row>
    <row r="659" spans="1:13" s="15" customFormat="1" x14ac:dyDescent="0.3">
      <c r="A659" s="17"/>
      <c r="B659"/>
      <c r="C659"/>
      <c r="D659"/>
      <c r="E659"/>
      <c r="F659"/>
      <c r="G659"/>
      <c r="H659"/>
      <c r="I659"/>
      <c r="L659" s="15">
        <v>1.4500000000000002</v>
      </c>
      <c r="M659" s="54">
        <v>-0.85137499999999999</v>
      </c>
    </row>
    <row r="660" spans="1:13" s="15" customFormat="1" x14ac:dyDescent="0.3">
      <c r="A660" s="17"/>
      <c r="B660"/>
      <c r="C660"/>
      <c r="D660"/>
      <c r="E660"/>
      <c r="F660"/>
      <c r="G660"/>
      <c r="H660"/>
      <c r="I660"/>
      <c r="L660" s="15">
        <v>1.46</v>
      </c>
      <c r="M660" s="54">
        <v>-0.80786400000000036</v>
      </c>
    </row>
    <row r="661" spans="1:13" s="15" customFormat="1" x14ac:dyDescent="0.3">
      <c r="A661" s="17"/>
      <c r="B661"/>
      <c r="C661"/>
      <c r="D661"/>
      <c r="E661"/>
      <c r="F661"/>
      <c r="G661"/>
      <c r="H661"/>
      <c r="I661"/>
      <c r="L661" s="15">
        <v>1.4699999999999998</v>
      </c>
      <c r="M661" s="54">
        <v>-0.76347700000000041</v>
      </c>
    </row>
    <row r="662" spans="1:13" s="15" customFormat="1" x14ac:dyDescent="0.3">
      <c r="A662" s="17"/>
      <c r="B662"/>
      <c r="C662"/>
      <c r="D662"/>
      <c r="E662"/>
      <c r="F662"/>
      <c r="G662"/>
      <c r="H662"/>
      <c r="I662"/>
      <c r="L662" s="15">
        <v>1.4800000000000004</v>
      </c>
      <c r="M662" s="54">
        <v>-0.71820800000000018</v>
      </c>
    </row>
    <row r="663" spans="1:13" s="15" customFormat="1" x14ac:dyDescent="0.3">
      <c r="A663" s="17"/>
      <c r="B663"/>
      <c r="C663"/>
      <c r="D663"/>
      <c r="E663"/>
      <c r="F663"/>
      <c r="G663"/>
      <c r="H663"/>
      <c r="I663"/>
      <c r="L663" s="15">
        <v>1.4900000000000002</v>
      </c>
      <c r="M663" s="54">
        <v>-0.67205100000000018</v>
      </c>
    </row>
    <row r="664" spans="1:13" s="15" customFormat="1" x14ac:dyDescent="0.3">
      <c r="A664" s="17"/>
      <c r="B664"/>
      <c r="C664"/>
      <c r="D664"/>
      <c r="E664"/>
      <c r="F664"/>
      <c r="G664"/>
      <c r="H664"/>
      <c r="I664"/>
      <c r="L664" s="15">
        <v>1.5</v>
      </c>
      <c r="M664" s="54">
        <v>-0.625</v>
      </c>
    </row>
    <row r="665" spans="1:13" s="15" customFormat="1" x14ac:dyDescent="0.3">
      <c r="A665" s="17"/>
      <c r="B665"/>
      <c r="C665"/>
      <c r="D665"/>
      <c r="E665"/>
      <c r="F665"/>
      <c r="G665"/>
      <c r="H665"/>
      <c r="I665"/>
      <c r="L665" s="15">
        <v>1.5099999999999998</v>
      </c>
      <c r="M665" s="54">
        <v>-0.57704900000000015</v>
      </c>
    </row>
    <row r="666" spans="1:13" s="15" customFormat="1" x14ac:dyDescent="0.3">
      <c r="A666" s="17"/>
      <c r="B666"/>
      <c r="C666"/>
      <c r="D666"/>
      <c r="E666"/>
      <c r="F666"/>
      <c r="G666"/>
      <c r="H666"/>
      <c r="I666"/>
      <c r="L666" s="15">
        <v>1.5200000000000005</v>
      </c>
      <c r="M666" s="54">
        <v>-0.52819199999999977</v>
      </c>
    </row>
    <row r="667" spans="1:13" s="15" customFormat="1" x14ac:dyDescent="0.3">
      <c r="A667" s="17"/>
      <c r="B667"/>
      <c r="C667"/>
      <c r="D667"/>
      <c r="E667"/>
      <c r="F667"/>
      <c r="G667"/>
      <c r="H667"/>
      <c r="I667"/>
      <c r="L667" s="15">
        <v>1.5300000000000002</v>
      </c>
      <c r="M667" s="54">
        <v>-0.47842299999999982</v>
      </c>
    </row>
    <row r="668" spans="1:13" s="15" customFormat="1" x14ac:dyDescent="0.3">
      <c r="A668" s="17"/>
      <c r="B668"/>
      <c r="C668"/>
      <c r="D668"/>
      <c r="E668"/>
      <c r="F668"/>
      <c r="G668"/>
      <c r="H668"/>
      <c r="I668"/>
      <c r="L668" s="15">
        <v>1.54</v>
      </c>
      <c r="M668" s="54">
        <v>-0.42773599999999989</v>
      </c>
    </row>
    <row r="669" spans="1:13" s="15" customFormat="1" x14ac:dyDescent="0.3">
      <c r="A669" s="17"/>
      <c r="B669"/>
      <c r="C669"/>
      <c r="D669"/>
      <c r="E669"/>
      <c r="F669"/>
      <c r="G669"/>
      <c r="H669"/>
      <c r="I669"/>
      <c r="L669" s="15">
        <v>1.5499999999999998</v>
      </c>
      <c r="M669" s="54">
        <v>-0.3761249999999996</v>
      </c>
    </row>
    <row r="670" spans="1:13" s="15" customFormat="1" x14ac:dyDescent="0.3">
      <c r="A670" s="17"/>
      <c r="B670"/>
      <c r="C670"/>
      <c r="D670"/>
      <c r="E670"/>
      <c r="F670"/>
      <c r="G670"/>
      <c r="H670"/>
      <c r="I670"/>
      <c r="L670" s="15">
        <v>1.5600000000000005</v>
      </c>
      <c r="M670" s="54">
        <v>-0.32358399999999987</v>
      </c>
    </row>
    <row r="671" spans="1:13" s="15" customFormat="1" x14ac:dyDescent="0.3">
      <c r="A671" s="17"/>
      <c r="B671"/>
      <c r="C671"/>
      <c r="D671"/>
      <c r="E671"/>
      <c r="F671"/>
      <c r="G671"/>
      <c r="H671"/>
      <c r="I671"/>
      <c r="L671" s="15">
        <v>1.5700000000000003</v>
      </c>
      <c r="M671" s="54">
        <v>-0.27010699999999987</v>
      </c>
    </row>
    <row r="672" spans="1:13" s="15" customFormat="1" x14ac:dyDescent="0.3">
      <c r="A672" s="17"/>
      <c r="B672"/>
      <c r="C672"/>
      <c r="D672"/>
      <c r="E672"/>
      <c r="F672"/>
      <c r="G672"/>
      <c r="H672"/>
      <c r="I672"/>
      <c r="L672" s="15">
        <v>1.58</v>
      </c>
      <c r="M672" s="54">
        <v>-0.21568799999999921</v>
      </c>
    </row>
    <row r="673" spans="1:13" s="15" customFormat="1" x14ac:dyDescent="0.3">
      <c r="A673" s="17"/>
      <c r="B673"/>
      <c r="C673"/>
      <c r="D673"/>
      <c r="E673"/>
      <c r="F673"/>
      <c r="G673"/>
      <c r="H673"/>
      <c r="I673"/>
      <c r="L673" s="15">
        <v>1.5899999999999999</v>
      </c>
      <c r="M673" s="54">
        <v>-0.16032099999999927</v>
      </c>
    </row>
    <row r="674" spans="1:13" s="15" customFormat="1" x14ac:dyDescent="0.3">
      <c r="A674" s="17"/>
      <c r="B674"/>
      <c r="C674"/>
      <c r="D674"/>
      <c r="E674"/>
      <c r="F674"/>
      <c r="G674"/>
      <c r="H674"/>
      <c r="I674"/>
      <c r="L674" s="15">
        <v>1.6000000000000005</v>
      </c>
      <c r="M674" s="54">
        <v>-0.1039999999999992</v>
      </c>
    </row>
    <row r="675" spans="1:13" s="15" customFormat="1" x14ac:dyDescent="0.3">
      <c r="A675" s="17"/>
      <c r="B675"/>
      <c r="C675"/>
      <c r="D675"/>
      <c r="E675"/>
      <c r="F675"/>
      <c r="G675"/>
      <c r="H675"/>
      <c r="I675"/>
      <c r="L675" s="15">
        <v>1.6100000000000003</v>
      </c>
      <c r="M675" s="54">
        <v>-4.6718999999999067E-2</v>
      </c>
    </row>
    <row r="676" spans="1:13" s="15" customFormat="1" x14ac:dyDescent="0.3">
      <c r="A676" s="17"/>
      <c r="B676"/>
      <c r="C676"/>
      <c r="D676"/>
      <c r="E676"/>
      <c r="F676"/>
      <c r="G676"/>
      <c r="H676"/>
      <c r="I676"/>
      <c r="L676" s="15">
        <v>1.62</v>
      </c>
      <c r="M676" s="54">
        <v>1.1528000000001093E-2</v>
      </c>
    </row>
    <row r="677" spans="1:13" s="15" customFormat="1" x14ac:dyDescent="0.3">
      <c r="A677" s="17"/>
      <c r="B677"/>
      <c r="C677"/>
      <c r="D677"/>
      <c r="E677"/>
      <c r="F677"/>
      <c r="G677"/>
      <c r="H677"/>
      <c r="I677"/>
      <c r="L677" s="15">
        <v>1.63</v>
      </c>
      <c r="M677" s="54">
        <v>7.0746999999999893E-2</v>
      </c>
    </row>
    <row r="678" spans="1:13" s="15" customFormat="1" x14ac:dyDescent="0.3">
      <c r="A678" s="17"/>
      <c r="B678"/>
      <c r="C678"/>
      <c r="D678"/>
      <c r="E678"/>
      <c r="F678"/>
      <c r="G678"/>
      <c r="H678"/>
      <c r="I678"/>
      <c r="L678" s="15">
        <v>1.6400000000000006</v>
      </c>
      <c r="M678" s="54">
        <v>0.13094399999999906</v>
      </c>
    </row>
    <row r="679" spans="1:13" s="15" customFormat="1" x14ac:dyDescent="0.3">
      <c r="A679" s="17"/>
      <c r="B679"/>
      <c r="C679"/>
      <c r="D679"/>
      <c r="E679"/>
      <c r="F679"/>
      <c r="G679"/>
      <c r="H679"/>
      <c r="I679"/>
      <c r="L679" s="15">
        <v>1.6500000000000004</v>
      </c>
      <c r="M679" s="54">
        <v>0.19212499999999988</v>
      </c>
    </row>
    <row r="680" spans="1:13" s="15" customFormat="1" x14ac:dyDescent="0.3">
      <c r="A680" s="17"/>
      <c r="B680"/>
      <c r="C680"/>
      <c r="D680"/>
      <c r="E680"/>
      <c r="F680"/>
      <c r="G680"/>
      <c r="H680"/>
      <c r="I680"/>
      <c r="L680" s="15">
        <v>1.6600000000000001</v>
      </c>
      <c r="M680" s="54">
        <v>0.25429599999999963</v>
      </c>
    </row>
    <row r="681" spans="1:13" s="15" customFormat="1" x14ac:dyDescent="0.3">
      <c r="A681" s="17"/>
      <c r="B681"/>
      <c r="C681"/>
      <c r="D681"/>
      <c r="E681"/>
      <c r="F681"/>
      <c r="G681"/>
      <c r="H681"/>
      <c r="I681"/>
      <c r="L681" s="15">
        <v>1.67</v>
      </c>
      <c r="M681" s="54">
        <v>0.31746300000000005</v>
      </c>
    </row>
    <row r="682" spans="1:13" s="15" customFormat="1" x14ac:dyDescent="0.3">
      <c r="A682" s="17"/>
      <c r="B682"/>
      <c r="C682"/>
      <c r="D682"/>
      <c r="E682"/>
      <c r="F682"/>
      <c r="G682"/>
      <c r="H682"/>
      <c r="I682"/>
      <c r="L682" s="15">
        <v>1.6799999999999997</v>
      </c>
      <c r="M682" s="54">
        <v>0.38163199999999931</v>
      </c>
    </row>
    <row r="683" spans="1:13" s="15" customFormat="1" x14ac:dyDescent="0.3">
      <c r="A683" s="17"/>
      <c r="B683"/>
      <c r="C683"/>
      <c r="D683"/>
      <c r="E683"/>
      <c r="F683"/>
      <c r="G683"/>
      <c r="H683"/>
      <c r="I683"/>
      <c r="L683" s="15">
        <v>1.6900000000000004</v>
      </c>
      <c r="M683" s="54">
        <v>0.44680899999999912</v>
      </c>
    </row>
    <row r="684" spans="1:13" s="15" customFormat="1" x14ac:dyDescent="0.3">
      <c r="A684" s="17"/>
      <c r="B684"/>
      <c r="C684"/>
      <c r="D684"/>
      <c r="E684"/>
      <c r="F684"/>
      <c r="G684"/>
      <c r="H684"/>
      <c r="I684"/>
      <c r="L684" s="15">
        <v>1.7000000000000002</v>
      </c>
      <c r="M684" s="54">
        <v>0.51299999999999946</v>
      </c>
    </row>
    <row r="685" spans="1:13" s="15" customFormat="1" x14ac:dyDescent="0.3">
      <c r="A685" s="17"/>
      <c r="B685"/>
      <c r="C685"/>
      <c r="D685"/>
      <c r="E685"/>
      <c r="F685"/>
      <c r="G685"/>
      <c r="H685"/>
      <c r="I685"/>
      <c r="L685" s="15">
        <v>1.71</v>
      </c>
      <c r="M685" s="54">
        <v>0.58021099999999937</v>
      </c>
    </row>
    <row r="686" spans="1:13" s="15" customFormat="1" x14ac:dyDescent="0.3">
      <c r="A686" s="17"/>
      <c r="B686"/>
      <c r="C686"/>
      <c r="D686"/>
      <c r="E686"/>
      <c r="F686"/>
      <c r="G686"/>
      <c r="H686"/>
      <c r="I686"/>
      <c r="L686" s="15">
        <v>1.7199999999999998</v>
      </c>
      <c r="M686" s="54">
        <v>0.64844799999999969</v>
      </c>
    </row>
    <row r="687" spans="1:13" s="15" customFormat="1" x14ac:dyDescent="0.3">
      <c r="A687" s="17"/>
      <c r="B687"/>
      <c r="C687"/>
      <c r="D687"/>
      <c r="E687"/>
      <c r="F687"/>
      <c r="G687"/>
      <c r="H687"/>
      <c r="I687"/>
      <c r="L687" s="15">
        <v>1.7300000000000004</v>
      </c>
      <c r="M687" s="54">
        <v>0.71771700000000038</v>
      </c>
    </row>
    <row r="688" spans="1:13" s="15" customFormat="1" x14ac:dyDescent="0.3">
      <c r="A688" s="17"/>
      <c r="B688"/>
      <c r="C688"/>
      <c r="D688"/>
      <c r="E688"/>
      <c r="F688"/>
      <c r="G688"/>
      <c r="H688"/>
      <c r="I688"/>
      <c r="L688" s="15">
        <v>1.7400000000000002</v>
      </c>
      <c r="M688" s="54">
        <v>0.7880240000000005</v>
      </c>
    </row>
    <row r="689" spans="1:13" s="15" customFormat="1" x14ac:dyDescent="0.3">
      <c r="A689" s="17"/>
      <c r="B689"/>
      <c r="C689"/>
      <c r="D689"/>
      <c r="E689"/>
      <c r="F689"/>
      <c r="G689"/>
      <c r="H689"/>
      <c r="I689"/>
      <c r="L689" s="15">
        <v>1.75</v>
      </c>
      <c r="M689" s="54">
        <v>0.859375</v>
      </c>
    </row>
    <row r="690" spans="1:13" s="15" customFormat="1" x14ac:dyDescent="0.3">
      <c r="A690" s="17"/>
      <c r="B690"/>
      <c r="C690"/>
      <c r="D690"/>
      <c r="E690"/>
      <c r="F690"/>
      <c r="G690"/>
      <c r="H690"/>
      <c r="I690"/>
      <c r="L690" s="15">
        <v>1.7599999999999998</v>
      </c>
      <c r="M690" s="54">
        <v>0.93177599999999972</v>
      </c>
    </row>
    <row r="691" spans="1:13" s="15" customFormat="1" x14ac:dyDescent="0.3">
      <c r="A691" s="17"/>
      <c r="B691"/>
      <c r="C691"/>
      <c r="D691"/>
      <c r="E691"/>
      <c r="F691"/>
      <c r="G691"/>
      <c r="H691"/>
      <c r="I691"/>
      <c r="L691" s="15">
        <v>1.7700000000000005</v>
      </c>
      <c r="M691" s="54">
        <v>1.0052330000000005</v>
      </c>
    </row>
    <row r="692" spans="1:13" s="15" customFormat="1" x14ac:dyDescent="0.3">
      <c r="A692" s="17"/>
      <c r="B692"/>
      <c r="C692"/>
      <c r="D692"/>
      <c r="E692"/>
      <c r="F692"/>
      <c r="G692"/>
      <c r="H692"/>
      <c r="I692"/>
      <c r="L692" s="15">
        <v>1.7800000000000002</v>
      </c>
      <c r="M692" s="54">
        <v>1.0797520000000005</v>
      </c>
    </row>
    <row r="693" spans="1:13" s="15" customFormat="1" x14ac:dyDescent="0.3">
      <c r="A693" s="17"/>
      <c r="B693"/>
      <c r="C693"/>
      <c r="D693"/>
      <c r="E693"/>
      <c r="F693"/>
      <c r="G693"/>
      <c r="H693"/>
      <c r="I693"/>
      <c r="L693" s="15">
        <v>1.79</v>
      </c>
      <c r="M693" s="54">
        <v>1.1553389999999997</v>
      </c>
    </row>
    <row r="694" spans="1:13" s="15" customFormat="1" x14ac:dyDescent="0.3">
      <c r="A694" s="17"/>
      <c r="B694"/>
      <c r="C694"/>
      <c r="D694"/>
      <c r="E694"/>
      <c r="F694"/>
      <c r="G694"/>
      <c r="H694"/>
      <c r="I694"/>
      <c r="L694" s="15">
        <v>1.7999999999999998</v>
      </c>
      <c r="M694" s="54">
        <v>1.2320000000000007</v>
      </c>
    </row>
    <row r="695" spans="1:13" s="15" customFormat="1" x14ac:dyDescent="0.3">
      <c r="A695" s="17"/>
      <c r="B695"/>
      <c r="C695"/>
      <c r="D695"/>
      <c r="E695"/>
      <c r="F695"/>
      <c r="G695"/>
      <c r="H695"/>
      <c r="I695"/>
      <c r="L695" s="15">
        <v>1.8100000000000005</v>
      </c>
      <c r="M695" s="54">
        <v>1.3097409999999998</v>
      </c>
    </row>
    <row r="696" spans="1:13" s="15" customFormat="1" x14ac:dyDescent="0.3">
      <c r="A696" s="17"/>
      <c r="B696"/>
      <c r="C696"/>
      <c r="D696"/>
      <c r="E696"/>
      <c r="F696"/>
      <c r="G696"/>
      <c r="H696"/>
      <c r="I696"/>
      <c r="L696" s="15">
        <v>1.8200000000000003</v>
      </c>
      <c r="M696" s="54">
        <v>1.3885680000000007</v>
      </c>
    </row>
    <row r="697" spans="1:13" s="15" customFormat="1" x14ac:dyDescent="0.3">
      <c r="A697" s="17"/>
      <c r="B697"/>
      <c r="C697"/>
      <c r="D697"/>
      <c r="E697"/>
      <c r="F697"/>
      <c r="G697"/>
      <c r="H697"/>
      <c r="I697"/>
      <c r="L697" s="15">
        <v>1.83</v>
      </c>
      <c r="M697" s="54">
        <v>1.4684870000000005</v>
      </c>
    </row>
    <row r="698" spans="1:13" s="15" customFormat="1" x14ac:dyDescent="0.3">
      <c r="A698" s="17"/>
      <c r="B698"/>
      <c r="C698"/>
      <c r="D698"/>
      <c r="E698"/>
      <c r="F698"/>
      <c r="G698"/>
      <c r="H698"/>
      <c r="I698"/>
      <c r="L698" s="15">
        <v>1.8399999999999999</v>
      </c>
      <c r="M698" s="54">
        <v>1.5495040000000002</v>
      </c>
    </row>
    <row r="699" spans="1:13" s="15" customFormat="1" x14ac:dyDescent="0.3">
      <c r="A699" s="17"/>
      <c r="B699"/>
      <c r="C699"/>
      <c r="D699"/>
      <c r="E699"/>
      <c r="F699"/>
      <c r="G699"/>
      <c r="H699"/>
      <c r="I699"/>
      <c r="L699" s="15">
        <v>1.8500000000000005</v>
      </c>
      <c r="M699" s="54">
        <v>1.6316250000000005</v>
      </c>
    </row>
    <row r="700" spans="1:13" s="15" customFormat="1" x14ac:dyDescent="0.3">
      <c r="A700" s="17"/>
      <c r="B700"/>
      <c r="C700"/>
      <c r="D700"/>
      <c r="E700"/>
      <c r="F700"/>
      <c r="G700"/>
      <c r="H700"/>
      <c r="I700"/>
      <c r="L700" s="15">
        <v>1.8600000000000003</v>
      </c>
      <c r="M700" s="54">
        <v>1.7148560000000006</v>
      </c>
    </row>
    <row r="701" spans="1:13" s="15" customFormat="1" x14ac:dyDescent="0.3">
      <c r="A701" s="17"/>
      <c r="B701"/>
      <c r="C701"/>
      <c r="D701"/>
      <c r="E701"/>
      <c r="F701"/>
      <c r="G701"/>
      <c r="H701"/>
      <c r="I701"/>
      <c r="L701" s="15">
        <v>1.87</v>
      </c>
      <c r="M701" s="54">
        <v>1.7992030000000012</v>
      </c>
    </row>
    <row r="702" spans="1:13" s="15" customFormat="1" x14ac:dyDescent="0.3">
      <c r="A702" s="17"/>
      <c r="B702"/>
      <c r="C702"/>
      <c r="D702"/>
      <c r="E702"/>
      <c r="F702"/>
      <c r="G702"/>
      <c r="H702"/>
      <c r="I702"/>
      <c r="L702" s="15">
        <v>1.88</v>
      </c>
      <c r="M702" s="54">
        <v>1.8846719999999992</v>
      </c>
    </row>
    <row r="703" spans="1:13" s="15" customFormat="1" x14ac:dyDescent="0.3">
      <c r="A703" s="17"/>
      <c r="B703"/>
      <c r="C703"/>
      <c r="D703"/>
      <c r="E703"/>
      <c r="F703"/>
      <c r="G703"/>
      <c r="H703"/>
      <c r="I703"/>
      <c r="L703" s="15">
        <v>1.8900000000000006</v>
      </c>
      <c r="M703" s="54">
        <v>1.9712689999999999</v>
      </c>
    </row>
    <row r="704" spans="1:13" s="15" customFormat="1" x14ac:dyDescent="0.3">
      <c r="A704" s="17"/>
      <c r="B704"/>
      <c r="C704"/>
      <c r="D704"/>
      <c r="E704"/>
      <c r="F704"/>
      <c r="G704"/>
      <c r="H704"/>
      <c r="I704"/>
      <c r="L704" s="15">
        <v>1.9000000000000004</v>
      </c>
      <c r="M704" s="54">
        <v>2.0589999999999993</v>
      </c>
    </row>
    <row r="705" spans="1:13" s="15" customFormat="1" x14ac:dyDescent="0.3">
      <c r="A705" s="17"/>
      <c r="B705"/>
      <c r="C705"/>
      <c r="D705"/>
      <c r="E705"/>
      <c r="F705"/>
      <c r="G705"/>
      <c r="H705"/>
      <c r="I705"/>
      <c r="L705" s="15">
        <v>1.9100000000000001</v>
      </c>
      <c r="M705" s="54">
        <v>2.1478709999999999</v>
      </c>
    </row>
    <row r="706" spans="1:13" s="15" customFormat="1" x14ac:dyDescent="0.3">
      <c r="A706" s="17"/>
      <c r="B706"/>
      <c r="C706"/>
      <c r="D706"/>
      <c r="E706"/>
      <c r="F706"/>
      <c r="G706"/>
      <c r="H706"/>
      <c r="I706"/>
      <c r="L706" s="15">
        <v>1.92</v>
      </c>
      <c r="M706" s="54">
        <v>2.2378879999999999</v>
      </c>
    </row>
    <row r="707" spans="1:13" s="15" customFormat="1" x14ac:dyDescent="0.3">
      <c r="A707" s="17"/>
      <c r="B707"/>
      <c r="C707"/>
      <c r="D707"/>
      <c r="E707"/>
      <c r="F707"/>
      <c r="G707"/>
      <c r="H707"/>
      <c r="I707"/>
      <c r="L707" s="15">
        <v>1.9299999999999997</v>
      </c>
      <c r="M707" s="54">
        <v>2.3290569999999993</v>
      </c>
    </row>
    <row r="708" spans="1:13" s="15" customFormat="1" x14ac:dyDescent="0.3">
      <c r="A708" s="17"/>
      <c r="B708"/>
      <c r="C708"/>
      <c r="D708"/>
      <c r="E708"/>
      <c r="F708"/>
      <c r="G708"/>
      <c r="H708"/>
      <c r="I708"/>
      <c r="L708" s="15">
        <v>1.9400000000000004</v>
      </c>
      <c r="M708" s="54">
        <v>2.4213839999999998</v>
      </c>
    </row>
    <row r="709" spans="1:13" s="15" customFormat="1" x14ac:dyDescent="0.3">
      <c r="A709" s="17"/>
      <c r="B709"/>
      <c r="C709"/>
      <c r="D709"/>
      <c r="E709"/>
      <c r="F709"/>
      <c r="G709"/>
      <c r="H709"/>
      <c r="I709"/>
      <c r="L709" s="15">
        <v>1.9500000000000002</v>
      </c>
      <c r="M709" s="54">
        <v>2.5148749999999995</v>
      </c>
    </row>
    <row r="710" spans="1:13" s="15" customFormat="1" x14ac:dyDescent="0.3">
      <c r="A710" s="17"/>
      <c r="B710"/>
      <c r="C710"/>
      <c r="D710"/>
      <c r="E710"/>
      <c r="F710"/>
      <c r="G710"/>
      <c r="H710"/>
      <c r="I710"/>
      <c r="L710" s="15">
        <v>1.96</v>
      </c>
      <c r="M710" s="54">
        <v>2.6095359999999994</v>
      </c>
    </row>
    <row r="711" spans="1:13" s="15" customFormat="1" x14ac:dyDescent="0.3">
      <c r="A711" s="17"/>
      <c r="B711"/>
      <c r="C711"/>
      <c r="D711"/>
      <c r="E711"/>
      <c r="F711"/>
      <c r="G711"/>
      <c r="H711"/>
      <c r="I711"/>
      <c r="L711" s="15">
        <v>1.9699999999999998</v>
      </c>
      <c r="M711" s="54">
        <v>2.7053730000000002</v>
      </c>
    </row>
    <row r="712" spans="1:13" s="15" customFormat="1" x14ac:dyDescent="0.3">
      <c r="A712" s="17"/>
      <c r="B712"/>
      <c r="C712"/>
      <c r="D712"/>
      <c r="E712"/>
      <c r="F712"/>
      <c r="G712"/>
      <c r="H712"/>
      <c r="I712"/>
      <c r="L712" s="15">
        <v>1.9800000000000004</v>
      </c>
      <c r="M712" s="54">
        <v>2.8023919999999993</v>
      </c>
    </row>
    <row r="713" spans="1:13" s="15" customFormat="1" x14ac:dyDescent="0.3">
      <c r="A713" s="17"/>
      <c r="B713"/>
      <c r="C713"/>
      <c r="D713"/>
      <c r="E713"/>
      <c r="F713"/>
      <c r="G713"/>
      <c r="H713"/>
      <c r="I713"/>
      <c r="L713" s="15">
        <v>1.9900000000000002</v>
      </c>
      <c r="M713" s="54">
        <v>2.9005990000000001</v>
      </c>
    </row>
    <row r="714" spans="1:13" s="15" customFormat="1" x14ac:dyDescent="0.3">
      <c r="A714" s="17"/>
      <c r="B714"/>
      <c r="C714"/>
      <c r="D714"/>
      <c r="E714"/>
      <c r="F714"/>
      <c r="G714"/>
      <c r="H714"/>
      <c r="I714"/>
      <c r="L714" s="15">
        <v>2</v>
      </c>
      <c r="M714" s="54">
        <v>3</v>
      </c>
    </row>
    <row r="715" spans="1:13" s="15" customFormat="1" x14ac:dyDescent="0.3">
      <c r="A715" s="17"/>
      <c r="B715"/>
      <c r="C715"/>
      <c r="D715"/>
      <c r="E715"/>
      <c r="F715"/>
      <c r="G715"/>
      <c r="H715"/>
      <c r="I715"/>
      <c r="L715" s="15">
        <v>2.0099999999999998</v>
      </c>
      <c r="M715" s="54">
        <v>3.1006009999999975</v>
      </c>
    </row>
    <row r="716" spans="1:13" s="15" customFormat="1" x14ac:dyDescent="0.3">
      <c r="A716" s="17"/>
      <c r="B716"/>
      <c r="C716"/>
      <c r="D716"/>
      <c r="E716"/>
      <c r="F716"/>
      <c r="G716"/>
      <c r="H716"/>
      <c r="I716"/>
      <c r="L716" s="15">
        <v>2.0200000000000005</v>
      </c>
      <c r="M716" s="54">
        <v>3.2024079999999993</v>
      </c>
    </row>
    <row r="717" spans="1:13" s="15" customFormat="1" x14ac:dyDescent="0.3">
      <c r="A717" s="17"/>
      <c r="B717"/>
      <c r="C717"/>
      <c r="D717"/>
      <c r="E717"/>
      <c r="F717"/>
      <c r="G717"/>
      <c r="H717"/>
      <c r="I717"/>
      <c r="L717" s="15">
        <v>2.0300000000000002</v>
      </c>
      <c r="M717" s="54">
        <v>3.3054269999999972</v>
      </c>
    </row>
    <row r="718" spans="1:13" s="15" customFormat="1" x14ac:dyDescent="0.3">
      <c r="A718" s="17"/>
      <c r="B718"/>
      <c r="C718"/>
      <c r="D718"/>
      <c r="E718"/>
      <c r="F718"/>
      <c r="G718"/>
      <c r="H718"/>
      <c r="I718"/>
      <c r="L718" s="15">
        <v>2.04</v>
      </c>
      <c r="M718" s="54">
        <v>3.4096639999999994</v>
      </c>
    </row>
    <row r="719" spans="1:13" s="15" customFormat="1" x14ac:dyDescent="0.3">
      <c r="A719" s="17"/>
      <c r="B719"/>
      <c r="C719"/>
      <c r="D719"/>
      <c r="E719"/>
      <c r="F719"/>
      <c r="G719"/>
      <c r="H719"/>
      <c r="I719"/>
      <c r="L719" s="15">
        <v>2.0499999999999998</v>
      </c>
      <c r="M719" s="54">
        <v>3.5151249999999994</v>
      </c>
    </row>
    <row r="720" spans="1:13" s="15" customFormat="1" x14ac:dyDescent="0.3">
      <c r="A720" s="17"/>
      <c r="B720"/>
      <c r="C720"/>
      <c r="D720"/>
      <c r="E720"/>
      <c r="F720"/>
      <c r="G720"/>
      <c r="H720"/>
      <c r="I720"/>
      <c r="L720" s="15">
        <v>2.0600000000000005</v>
      </c>
      <c r="M720" s="54">
        <v>3.6218159999999999</v>
      </c>
    </row>
    <row r="721" spans="1:13" s="15" customFormat="1" x14ac:dyDescent="0.3">
      <c r="A721" s="17"/>
      <c r="B721"/>
      <c r="C721"/>
      <c r="D721"/>
      <c r="E721"/>
      <c r="F721"/>
      <c r="G721"/>
      <c r="H721"/>
      <c r="I721"/>
      <c r="L721" s="15">
        <v>2.0700000000000003</v>
      </c>
      <c r="M721" s="54">
        <v>3.7297429999999983</v>
      </c>
    </row>
    <row r="722" spans="1:13" s="15" customFormat="1" x14ac:dyDescent="0.3">
      <c r="A722" s="17"/>
      <c r="B722"/>
      <c r="C722"/>
      <c r="D722"/>
      <c r="E722"/>
      <c r="F722"/>
      <c r="G722"/>
      <c r="H722"/>
      <c r="I722"/>
      <c r="L722" s="15">
        <v>2.08</v>
      </c>
      <c r="M722" s="54">
        <v>3.8389120000000005</v>
      </c>
    </row>
    <row r="723" spans="1:13" s="15" customFormat="1" x14ac:dyDescent="0.3">
      <c r="A723" s="17"/>
      <c r="B723"/>
      <c r="C723"/>
      <c r="D723"/>
      <c r="E723"/>
      <c r="F723"/>
      <c r="G723"/>
      <c r="H723"/>
      <c r="I723"/>
      <c r="L723" s="15">
        <v>2.09</v>
      </c>
      <c r="M723" s="54">
        <v>3.9493289999999988</v>
      </c>
    </row>
    <row r="724" spans="1:13" s="15" customFormat="1" x14ac:dyDescent="0.3">
      <c r="A724" s="17"/>
      <c r="B724"/>
      <c r="C724"/>
      <c r="D724"/>
      <c r="E724"/>
      <c r="F724"/>
      <c r="G724"/>
      <c r="H724"/>
      <c r="I724"/>
      <c r="L724" s="15">
        <v>2.1000000000000005</v>
      </c>
      <c r="M724" s="54">
        <v>4.0610000000000008</v>
      </c>
    </row>
    <row r="725" spans="1:13" s="15" customFormat="1" x14ac:dyDescent="0.3">
      <c r="A725" s="17"/>
      <c r="B725"/>
      <c r="C725"/>
      <c r="D725"/>
      <c r="E725"/>
      <c r="F725"/>
      <c r="G725"/>
      <c r="H725"/>
      <c r="I725"/>
      <c r="L725" s="15">
        <v>2.1100000000000003</v>
      </c>
      <c r="M725" s="54">
        <v>4.1739309999999987</v>
      </c>
    </row>
    <row r="726" spans="1:13" s="15" customFormat="1" x14ac:dyDescent="0.3">
      <c r="A726" s="17"/>
      <c r="B726"/>
      <c r="C726"/>
      <c r="D726"/>
      <c r="E726"/>
      <c r="F726"/>
      <c r="G726"/>
      <c r="H726"/>
      <c r="I726"/>
      <c r="L726" s="15">
        <v>2.12</v>
      </c>
      <c r="M726" s="54">
        <v>4.2881280000000022</v>
      </c>
    </row>
    <row r="727" spans="1:13" s="15" customFormat="1" x14ac:dyDescent="0.3">
      <c r="A727" s="17"/>
      <c r="B727"/>
      <c r="C727"/>
      <c r="D727"/>
      <c r="E727"/>
      <c r="F727"/>
      <c r="G727"/>
      <c r="H727"/>
      <c r="I727"/>
      <c r="L727" s="15">
        <v>2.13</v>
      </c>
      <c r="M727" s="54">
        <v>4.4035969999999978</v>
      </c>
    </row>
    <row r="728" spans="1:13" s="15" customFormat="1" x14ac:dyDescent="0.3">
      <c r="A728" s="17"/>
      <c r="B728"/>
      <c r="C728"/>
      <c r="D728"/>
      <c r="E728"/>
      <c r="F728"/>
      <c r="G728"/>
      <c r="H728"/>
      <c r="I728"/>
      <c r="L728" s="15">
        <v>2.1400000000000006</v>
      </c>
      <c r="M728" s="54">
        <v>4.5203440000000006</v>
      </c>
    </row>
    <row r="729" spans="1:13" s="15" customFormat="1" x14ac:dyDescent="0.3">
      <c r="A729" s="17"/>
      <c r="B729"/>
      <c r="C729"/>
      <c r="D729"/>
      <c r="E729"/>
      <c r="F729"/>
      <c r="G729"/>
      <c r="H729"/>
      <c r="I729"/>
      <c r="L729" s="15">
        <v>2.1500000000000004</v>
      </c>
      <c r="M729" s="54">
        <v>4.638374999999999</v>
      </c>
    </row>
    <row r="730" spans="1:13" s="15" customFormat="1" x14ac:dyDescent="0.3">
      <c r="A730" s="17"/>
      <c r="B730"/>
      <c r="C730"/>
      <c r="D730"/>
      <c r="E730"/>
      <c r="F730"/>
      <c r="G730"/>
      <c r="H730"/>
      <c r="I730"/>
      <c r="L730" s="15">
        <v>2.16</v>
      </c>
      <c r="M730" s="54">
        <v>4.757696000000001</v>
      </c>
    </row>
    <row r="731" spans="1:13" s="15" customFormat="1" x14ac:dyDescent="0.3">
      <c r="A731" s="17"/>
      <c r="B731"/>
      <c r="C731"/>
      <c r="D731"/>
      <c r="E731"/>
      <c r="F731"/>
      <c r="G731"/>
      <c r="H731"/>
      <c r="I731"/>
      <c r="L731" s="15">
        <v>2.17</v>
      </c>
      <c r="M731" s="54">
        <v>4.8783130000000003</v>
      </c>
    </row>
    <row r="732" spans="1:13" s="15" customFormat="1" x14ac:dyDescent="0.3">
      <c r="A732" s="17"/>
      <c r="B732"/>
      <c r="C732"/>
      <c r="D732"/>
      <c r="E732"/>
      <c r="F732"/>
      <c r="G732"/>
      <c r="H732"/>
      <c r="I732"/>
      <c r="L732" s="15">
        <v>2.1799999999999997</v>
      </c>
      <c r="M732" s="54">
        <v>5.0002320000000013</v>
      </c>
    </row>
    <row r="733" spans="1:13" s="15" customFormat="1" x14ac:dyDescent="0.3">
      <c r="A733" s="17"/>
      <c r="B733"/>
      <c r="C733"/>
      <c r="D733"/>
      <c r="E733"/>
      <c r="F733"/>
      <c r="G733"/>
      <c r="H733"/>
      <c r="I733"/>
      <c r="L733" s="15">
        <v>2.1900000000000004</v>
      </c>
      <c r="M733" s="54">
        <v>5.1234589999999995</v>
      </c>
    </row>
    <row r="734" spans="1:13" s="15" customFormat="1" x14ac:dyDescent="0.3">
      <c r="A734" s="17"/>
      <c r="B734"/>
      <c r="C734"/>
      <c r="D734"/>
      <c r="E734"/>
      <c r="F734"/>
      <c r="G734"/>
      <c r="H734"/>
      <c r="I734"/>
      <c r="L734" s="15">
        <v>2.2000000000000002</v>
      </c>
      <c r="M734" s="54">
        <v>5.2480000000000029</v>
      </c>
    </row>
    <row r="735" spans="1:13" s="15" customFormat="1" x14ac:dyDescent="0.3">
      <c r="A735" s="17"/>
      <c r="B735"/>
      <c r="C735"/>
      <c r="D735"/>
      <c r="E735"/>
      <c r="F735"/>
      <c r="G735"/>
      <c r="H735"/>
      <c r="I735"/>
      <c r="L735" s="15">
        <v>2.21</v>
      </c>
      <c r="M735" s="54">
        <v>5.3738609999999998</v>
      </c>
    </row>
    <row r="736" spans="1:13" s="15" customFormat="1" x14ac:dyDescent="0.3">
      <c r="A736" s="17"/>
      <c r="B736"/>
      <c r="C736"/>
      <c r="D736"/>
      <c r="E736"/>
      <c r="F736"/>
      <c r="G736"/>
      <c r="H736"/>
      <c r="I736"/>
      <c r="L736" s="15">
        <v>2.2199999999999998</v>
      </c>
      <c r="M736" s="54">
        <v>5.5010480000000017</v>
      </c>
    </row>
    <row r="737" spans="1:13" s="15" customFormat="1" x14ac:dyDescent="0.3">
      <c r="A737" s="17"/>
      <c r="B737"/>
      <c r="C737"/>
      <c r="D737"/>
      <c r="E737"/>
      <c r="F737"/>
      <c r="G737"/>
      <c r="H737"/>
      <c r="I737"/>
      <c r="L737" s="15">
        <v>2.2300000000000004</v>
      </c>
      <c r="M737" s="54">
        <v>5.6295670000000007</v>
      </c>
    </row>
    <row r="738" spans="1:13" s="15" customFormat="1" x14ac:dyDescent="0.3">
      <c r="A738" s="17"/>
      <c r="B738"/>
      <c r="C738"/>
      <c r="D738"/>
      <c r="E738"/>
      <c r="F738"/>
      <c r="G738"/>
      <c r="H738"/>
      <c r="I738"/>
      <c r="L738" s="15">
        <v>2.2400000000000002</v>
      </c>
      <c r="M738" s="54">
        <v>5.7594240000000028</v>
      </c>
    </row>
    <row r="739" spans="1:13" s="15" customFormat="1" x14ac:dyDescent="0.3">
      <c r="A739" s="17"/>
      <c r="B739"/>
      <c r="C739"/>
      <c r="D739"/>
      <c r="E739"/>
      <c r="F739"/>
      <c r="G739"/>
      <c r="H739"/>
      <c r="I739"/>
      <c r="L739" s="15">
        <v>2.25</v>
      </c>
      <c r="M739" s="54">
        <v>5.890625</v>
      </c>
    </row>
    <row r="740" spans="1:13" s="15" customFormat="1" x14ac:dyDescent="0.3">
      <c r="A740" s="17"/>
      <c r="B740"/>
      <c r="C740"/>
      <c r="D740"/>
      <c r="E740"/>
      <c r="F740"/>
      <c r="G740"/>
      <c r="H740"/>
      <c r="I740"/>
      <c r="L740" s="15">
        <v>2.2599999999999998</v>
      </c>
      <c r="M740" s="54">
        <v>6.0231759999999959</v>
      </c>
    </row>
    <row r="741" spans="1:13" s="15" customFormat="1" x14ac:dyDescent="0.3">
      <c r="A741" s="17"/>
      <c r="B741"/>
      <c r="C741"/>
      <c r="D741"/>
      <c r="E741"/>
      <c r="F741"/>
      <c r="G741"/>
      <c r="H741"/>
      <c r="I741"/>
      <c r="L741" s="15">
        <v>2.2700000000000005</v>
      </c>
      <c r="M741" s="54">
        <v>6.1570829999999992</v>
      </c>
    </row>
    <row r="742" spans="1:13" s="15" customFormat="1" x14ac:dyDescent="0.3">
      <c r="A742" s="17"/>
      <c r="B742"/>
      <c r="C742"/>
      <c r="D742"/>
      <c r="E742"/>
      <c r="F742"/>
      <c r="G742"/>
      <c r="H742"/>
      <c r="I742"/>
      <c r="L742" s="15">
        <v>2.2800000000000002</v>
      </c>
      <c r="M742" s="54">
        <v>6.2923519999999984</v>
      </c>
    </row>
    <row r="743" spans="1:13" s="15" customFormat="1" x14ac:dyDescent="0.3">
      <c r="A743" s="17"/>
      <c r="B743"/>
      <c r="C743"/>
      <c r="D743"/>
      <c r="E743"/>
      <c r="F743"/>
      <c r="G743"/>
      <c r="H743"/>
      <c r="I743"/>
      <c r="L743" s="15">
        <v>2.29</v>
      </c>
      <c r="M743" s="54">
        <v>6.4289890000000014</v>
      </c>
    </row>
    <row r="744" spans="1:13" s="15" customFormat="1" x14ac:dyDescent="0.3">
      <c r="A744" s="17"/>
      <c r="B744"/>
      <c r="C744"/>
      <c r="D744"/>
      <c r="E744"/>
      <c r="F744"/>
      <c r="G744"/>
      <c r="H744"/>
      <c r="I744"/>
      <c r="L744" s="15">
        <v>2.2999999999999998</v>
      </c>
      <c r="M744" s="54">
        <v>6.5669999999999966</v>
      </c>
    </row>
    <row r="745" spans="1:13" s="15" customFormat="1" x14ac:dyDescent="0.3">
      <c r="A745" s="17"/>
      <c r="B745"/>
      <c r="C745"/>
      <c r="D745"/>
      <c r="E745"/>
      <c r="F745"/>
      <c r="G745"/>
      <c r="H745"/>
      <c r="I745"/>
      <c r="L745" s="15">
        <v>2.3100000000000005</v>
      </c>
      <c r="M745" s="54">
        <v>6.7063910000000009</v>
      </c>
    </row>
    <row r="746" spans="1:13" s="15" customFormat="1" x14ac:dyDescent="0.3">
      <c r="A746" s="17"/>
      <c r="B746"/>
      <c r="C746"/>
      <c r="D746"/>
      <c r="E746"/>
      <c r="F746"/>
      <c r="G746"/>
      <c r="H746"/>
      <c r="I746"/>
      <c r="L746" s="15">
        <v>2.3200000000000003</v>
      </c>
      <c r="M746" s="54">
        <v>6.847167999999999</v>
      </c>
    </row>
    <row r="747" spans="1:13" s="15" customFormat="1" x14ac:dyDescent="0.3">
      <c r="A747" s="17"/>
      <c r="B747"/>
      <c r="C747"/>
      <c r="D747"/>
      <c r="E747"/>
      <c r="F747"/>
      <c r="G747"/>
      <c r="H747"/>
      <c r="I747"/>
      <c r="L747" s="15">
        <v>2.33</v>
      </c>
      <c r="M747" s="54">
        <v>6.9893370000000008</v>
      </c>
    </row>
    <row r="748" spans="1:13" s="15" customFormat="1" x14ac:dyDescent="0.3">
      <c r="A748" s="17"/>
      <c r="B748"/>
      <c r="C748"/>
      <c r="D748"/>
      <c r="E748"/>
      <c r="F748"/>
      <c r="G748"/>
      <c r="H748"/>
      <c r="I748"/>
      <c r="L748" s="15">
        <v>2.34</v>
      </c>
      <c r="M748" s="54">
        <v>7.1329039999999981</v>
      </c>
    </row>
    <row r="749" spans="1:13" s="15" customFormat="1" x14ac:dyDescent="0.3">
      <c r="A749" s="17"/>
      <c r="B749"/>
      <c r="C749"/>
      <c r="D749"/>
      <c r="E749"/>
      <c r="F749"/>
      <c r="G749"/>
      <c r="H749"/>
      <c r="I749"/>
      <c r="L749" s="15">
        <v>2.3500000000000005</v>
      </c>
      <c r="M749" s="54">
        <v>7.2778750000000016</v>
      </c>
    </row>
    <row r="750" spans="1:13" s="15" customFormat="1" x14ac:dyDescent="0.3">
      <c r="A750" s="17"/>
      <c r="B750"/>
      <c r="C750"/>
      <c r="D750"/>
      <c r="E750"/>
      <c r="F750"/>
      <c r="G750"/>
      <c r="H750"/>
      <c r="I750"/>
      <c r="L750" s="15">
        <v>2.3600000000000003</v>
      </c>
      <c r="M750" s="54">
        <v>7.4242559999999997</v>
      </c>
    </row>
    <row r="751" spans="1:13" s="15" customFormat="1" x14ac:dyDescent="0.3">
      <c r="A751" s="17"/>
      <c r="B751"/>
      <c r="C751"/>
      <c r="D751"/>
      <c r="E751"/>
      <c r="F751"/>
      <c r="G751"/>
      <c r="H751"/>
      <c r="I751"/>
      <c r="L751" s="15">
        <v>2.37</v>
      </c>
      <c r="M751" s="54">
        <v>7.5720530000000004</v>
      </c>
    </row>
    <row r="752" spans="1:13" s="15" customFormat="1" x14ac:dyDescent="0.3">
      <c r="A752" s="17"/>
      <c r="B752"/>
      <c r="C752"/>
      <c r="D752"/>
      <c r="E752"/>
      <c r="F752"/>
      <c r="G752"/>
      <c r="H752"/>
      <c r="I752"/>
      <c r="L752" s="15">
        <v>2.38</v>
      </c>
      <c r="M752" s="54">
        <v>7.721271999999999</v>
      </c>
    </row>
    <row r="753" spans="1:13" s="15" customFormat="1" x14ac:dyDescent="0.3">
      <c r="A753" s="17"/>
      <c r="B753"/>
      <c r="C753"/>
      <c r="D753"/>
      <c r="E753"/>
      <c r="F753"/>
      <c r="G753"/>
      <c r="H753"/>
      <c r="I753"/>
      <c r="L753" s="15">
        <v>2.3900000000000006</v>
      </c>
      <c r="M753" s="54">
        <v>7.8719190000000019</v>
      </c>
    </row>
    <row r="754" spans="1:13" s="15" customFormat="1" x14ac:dyDescent="0.3">
      <c r="A754" s="17"/>
      <c r="B754"/>
      <c r="C754"/>
      <c r="D754"/>
      <c r="E754"/>
      <c r="F754"/>
      <c r="G754"/>
      <c r="H754"/>
      <c r="I754"/>
      <c r="L754" s="15">
        <v>2.4000000000000004</v>
      </c>
      <c r="M754" s="54">
        <v>8.0240000000000009</v>
      </c>
    </row>
    <row r="755" spans="1:13" s="15" customFormat="1" x14ac:dyDescent="0.3">
      <c r="A755" s="17"/>
      <c r="B755"/>
      <c r="C755"/>
      <c r="D755"/>
      <c r="E755"/>
      <c r="F755"/>
      <c r="G755"/>
      <c r="H755"/>
      <c r="I755"/>
      <c r="L755" s="15">
        <v>2.41</v>
      </c>
      <c r="M755" s="54">
        <v>8.1775210000000023</v>
      </c>
    </row>
    <row r="756" spans="1:13" s="15" customFormat="1" x14ac:dyDescent="0.3">
      <c r="A756" s="17"/>
      <c r="B756"/>
      <c r="C756"/>
      <c r="D756"/>
      <c r="E756"/>
      <c r="F756"/>
      <c r="G756"/>
      <c r="H756"/>
      <c r="I756"/>
      <c r="L756" s="15">
        <v>2.42</v>
      </c>
      <c r="M756" s="54">
        <v>8.3324879999999997</v>
      </c>
    </row>
    <row r="757" spans="1:13" s="15" customFormat="1" x14ac:dyDescent="0.3">
      <c r="A757" s="17"/>
      <c r="B757"/>
      <c r="C757"/>
      <c r="D757"/>
      <c r="E757"/>
      <c r="F757"/>
      <c r="G757"/>
      <c r="H757"/>
      <c r="I757"/>
      <c r="L757" s="15">
        <v>2.4299999999999997</v>
      </c>
      <c r="M757" s="54">
        <v>8.4889070000000011</v>
      </c>
    </row>
    <row r="758" spans="1:13" s="15" customFormat="1" x14ac:dyDescent="0.3">
      <c r="A758" s="17"/>
      <c r="B758"/>
      <c r="C758"/>
      <c r="D758"/>
      <c r="E758"/>
      <c r="F758"/>
      <c r="G758"/>
      <c r="H758"/>
      <c r="I758"/>
      <c r="L758" s="15">
        <v>2.4400000000000004</v>
      </c>
      <c r="M758" s="54">
        <v>8.6467840000000002</v>
      </c>
    </row>
    <row r="759" spans="1:13" s="15" customFormat="1" x14ac:dyDescent="0.3">
      <c r="A759" s="17"/>
      <c r="B759"/>
      <c r="C759"/>
      <c r="D759"/>
      <c r="E759"/>
      <c r="F759"/>
      <c r="G759"/>
      <c r="H759"/>
      <c r="I759"/>
      <c r="L759" s="15">
        <v>2.4500000000000002</v>
      </c>
      <c r="M759" s="54">
        <v>8.8061250000000033</v>
      </c>
    </row>
    <row r="760" spans="1:13" s="15" customFormat="1" x14ac:dyDescent="0.3">
      <c r="A760" s="17"/>
      <c r="B760"/>
      <c r="C760"/>
      <c r="D760"/>
      <c r="E760"/>
      <c r="F760"/>
      <c r="G760"/>
      <c r="H760"/>
      <c r="I760"/>
      <c r="L760" s="15">
        <v>2.46</v>
      </c>
      <c r="M760" s="54">
        <v>8.9669359999999987</v>
      </c>
    </row>
    <row r="761" spans="1:13" s="15" customFormat="1" x14ac:dyDescent="0.3">
      <c r="A761" s="17"/>
      <c r="B761"/>
      <c r="C761"/>
      <c r="D761"/>
      <c r="E761"/>
      <c r="F761"/>
      <c r="G761"/>
      <c r="H761"/>
      <c r="I761"/>
      <c r="L761" s="15">
        <v>2.4699999999999998</v>
      </c>
      <c r="M761" s="54">
        <v>9.1292230000000032</v>
      </c>
    </row>
    <row r="762" spans="1:13" s="15" customFormat="1" x14ac:dyDescent="0.3">
      <c r="A762" s="17"/>
      <c r="B762"/>
      <c r="C762"/>
      <c r="D762"/>
      <c r="E762"/>
      <c r="F762"/>
      <c r="G762"/>
      <c r="H762"/>
      <c r="I762"/>
      <c r="L762" s="15">
        <v>2.4800000000000004</v>
      </c>
      <c r="M762" s="54">
        <v>9.2929920000000017</v>
      </c>
    </row>
    <row r="763" spans="1:13" s="15" customFormat="1" x14ac:dyDescent="0.3">
      <c r="A763" s="17"/>
      <c r="B763"/>
      <c r="C763"/>
      <c r="D763"/>
      <c r="E763"/>
      <c r="F763"/>
      <c r="G763"/>
      <c r="H763"/>
      <c r="I763"/>
      <c r="L763" s="15">
        <v>2.4900000000000002</v>
      </c>
      <c r="M763" s="54">
        <v>9.4582490000000021</v>
      </c>
    </row>
    <row r="764" spans="1:13" s="15" customFormat="1" x14ac:dyDescent="0.3">
      <c r="A764" s="17"/>
      <c r="B764"/>
      <c r="C764"/>
      <c r="D764"/>
      <c r="E764"/>
      <c r="F764"/>
      <c r="G764"/>
      <c r="H764"/>
      <c r="I764"/>
      <c r="L764" s="15">
        <v>2.5</v>
      </c>
      <c r="M764" s="54">
        <v>9.625</v>
      </c>
    </row>
    <row r="765" spans="1:13" s="15" customFormat="1" x14ac:dyDescent="0.3">
      <c r="A765" s="17"/>
      <c r="B765"/>
      <c r="C765"/>
      <c r="D765"/>
      <c r="E765"/>
      <c r="F765"/>
      <c r="G765"/>
      <c r="H765"/>
      <c r="I765"/>
      <c r="L765" s="15">
        <v>2.5099999999999998</v>
      </c>
      <c r="M765" s="54">
        <v>9.7932509999999962</v>
      </c>
    </row>
    <row r="766" spans="1:13" s="15" customFormat="1" x14ac:dyDescent="0.3">
      <c r="A766" s="17"/>
      <c r="B766"/>
      <c r="C766"/>
      <c r="D766"/>
      <c r="E766"/>
      <c r="F766"/>
      <c r="G766"/>
      <c r="H766"/>
      <c r="I766"/>
      <c r="L766" s="15">
        <v>2.5200000000000005</v>
      </c>
      <c r="M766" s="54">
        <v>9.9630080000000021</v>
      </c>
    </row>
    <row r="767" spans="1:13" s="15" customFormat="1" x14ac:dyDescent="0.3">
      <c r="A767" s="17"/>
      <c r="B767"/>
      <c r="C767"/>
      <c r="D767"/>
      <c r="E767"/>
      <c r="F767"/>
      <c r="G767"/>
      <c r="H767"/>
      <c r="I767"/>
      <c r="L767" s="15">
        <v>2.5300000000000002</v>
      </c>
      <c r="M767" s="54">
        <v>10.134276999999997</v>
      </c>
    </row>
    <row r="768" spans="1:13" s="15" customFormat="1" x14ac:dyDescent="0.3">
      <c r="A768" s="17"/>
      <c r="B768"/>
      <c r="C768"/>
      <c r="D768"/>
      <c r="E768"/>
      <c r="F768"/>
      <c r="G768"/>
      <c r="H768"/>
      <c r="I768"/>
      <c r="L768" s="15">
        <v>2.54</v>
      </c>
      <c r="M768" s="54">
        <v>10.307063999999999</v>
      </c>
    </row>
    <row r="769" spans="1:13" s="15" customFormat="1" x14ac:dyDescent="0.3">
      <c r="A769" s="17"/>
      <c r="B769"/>
      <c r="C769"/>
      <c r="D769"/>
      <c r="E769"/>
      <c r="F769"/>
      <c r="G769"/>
      <c r="H769"/>
      <c r="I769"/>
      <c r="L769" s="15">
        <v>2.5499999999999998</v>
      </c>
      <c r="M769" s="54">
        <v>10.481374999999998</v>
      </c>
    </row>
    <row r="770" spans="1:13" s="15" customFormat="1" x14ac:dyDescent="0.3">
      <c r="A770" s="17"/>
      <c r="B770"/>
      <c r="C770"/>
      <c r="D770"/>
      <c r="E770"/>
      <c r="F770"/>
      <c r="G770"/>
      <c r="H770"/>
      <c r="I770"/>
      <c r="L770" s="15">
        <v>2.5600000000000005</v>
      </c>
      <c r="M770" s="54">
        <v>10.657216000000002</v>
      </c>
    </row>
    <row r="771" spans="1:13" s="15" customFormat="1" x14ac:dyDescent="0.3">
      <c r="A771" s="17"/>
      <c r="B771"/>
      <c r="C771"/>
      <c r="D771"/>
      <c r="E771"/>
      <c r="F771"/>
      <c r="G771"/>
      <c r="H771"/>
      <c r="I771"/>
      <c r="L771" s="15">
        <v>2.5700000000000003</v>
      </c>
      <c r="M771" s="54">
        <v>10.834592999999995</v>
      </c>
    </row>
    <row r="772" spans="1:13" s="15" customFormat="1" x14ac:dyDescent="0.3">
      <c r="A772" s="17"/>
      <c r="B772"/>
      <c r="C772"/>
      <c r="D772"/>
      <c r="E772"/>
      <c r="F772"/>
      <c r="G772"/>
      <c r="H772"/>
      <c r="I772"/>
      <c r="L772" s="15">
        <v>2.58</v>
      </c>
      <c r="M772" s="54">
        <v>11.013512000000002</v>
      </c>
    </row>
    <row r="773" spans="1:13" s="15" customFormat="1" x14ac:dyDescent="0.3">
      <c r="A773" s="17"/>
      <c r="B773"/>
      <c r="C773"/>
      <c r="D773"/>
      <c r="E773"/>
      <c r="F773"/>
      <c r="G773"/>
      <c r="H773"/>
      <c r="I773"/>
      <c r="L773" s="15">
        <v>2.59</v>
      </c>
      <c r="M773" s="54">
        <v>11.193978999999995</v>
      </c>
    </row>
    <row r="774" spans="1:13" s="15" customFormat="1" x14ac:dyDescent="0.3">
      <c r="A774" s="17"/>
      <c r="B774"/>
      <c r="C774"/>
      <c r="D774"/>
      <c r="E774"/>
      <c r="F774"/>
      <c r="G774"/>
      <c r="H774"/>
      <c r="I774"/>
      <c r="L774" s="15">
        <v>2.6000000000000005</v>
      </c>
      <c r="M774" s="54">
        <v>11.376000000000005</v>
      </c>
    </row>
    <row r="775" spans="1:13" s="15" customFormat="1" x14ac:dyDescent="0.3">
      <c r="A775" s="17"/>
      <c r="B775"/>
      <c r="C775"/>
      <c r="D775"/>
      <c r="E775"/>
      <c r="F775"/>
      <c r="G775"/>
      <c r="H775"/>
      <c r="I775"/>
      <c r="L775" s="15">
        <v>2.6100000000000003</v>
      </c>
      <c r="M775" s="54">
        <v>11.559580999999998</v>
      </c>
    </row>
    <row r="776" spans="1:13" s="15" customFormat="1" x14ac:dyDescent="0.3">
      <c r="A776" s="17"/>
      <c r="B776"/>
      <c r="C776"/>
      <c r="D776"/>
      <c r="E776"/>
      <c r="F776"/>
      <c r="G776"/>
      <c r="H776"/>
      <c r="I776"/>
      <c r="L776" s="15">
        <v>2.62</v>
      </c>
      <c r="M776" s="54">
        <v>11.744728000000004</v>
      </c>
    </row>
    <row r="777" spans="1:13" s="15" customFormat="1" x14ac:dyDescent="0.3">
      <c r="A777" s="17"/>
      <c r="B777"/>
      <c r="C777"/>
      <c r="D777"/>
      <c r="E777"/>
      <c r="F777"/>
      <c r="G777"/>
      <c r="H777"/>
      <c r="I777"/>
      <c r="L777" s="15">
        <v>2.63</v>
      </c>
      <c r="M777" s="54">
        <v>11.931446999999997</v>
      </c>
    </row>
    <row r="778" spans="1:13" s="15" customFormat="1" x14ac:dyDescent="0.3">
      <c r="A778" s="17"/>
      <c r="B778"/>
      <c r="C778"/>
      <c r="D778"/>
      <c r="E778"/>
      <c r="F778"/>
      <c r="G778"/>
      <c r="H778"/>
      <c r="I778"/>
      <c r="L778" s="15">
        <v>2.6400000000000006</v>
      </c>
      <c r="M778" s="54">
        <v>12.119744000000001</v>
      </c>
    </row>
    <row r="779" spans="1:13" s="15" customFormat="1" x14ac:dyDescent="0.3">
      <c r="A779" s="17"/>
      <c r="B779"/>
      <c r="C779"/>
      <c r="D779"/>
      <c r="E779"/>
      <c r="F779"/>
      <c r="G779"/>
      <c r="H779"/>
      <c r="I779"/>
      <c r="L779" s="15">
        <v>2.6500000000000004</v>
      </c>
      <c r="M779" s="54">
        <v>12.309624999999997</v>
      </c>
    </row>
    <row r="780" spans="1:13" s="15" customFormat="1" x14ac:dyDescent="0.3">
      <c r="A780" s="17"/>
      <c r="B780"/>
      <c r="C780"/>
      <c r="D780"/>
      <c r="E780"/>
      <c r="F780"/>
      <c r="G780"/>
      <c r="H780"/>
      <c r="I780"/>
      <c r="L780" s="15">
        <v>2.66</v>
      </c>
      <c r="M780" s="54">
        <v>12.501096</v>
      </c>
    </row>
    <row r="781" spans="1:13" s="15" customFormat="1" x14ac:dyDescent="0.3">
      <c r="A781" s="17"/>
      <c r="B781"/>
      <c r="C781"/>
      <c r="D781"/>
      <c r="E781"/>
      <c r="F781"/>
      <c r="G781"/>
      <c r="H781"/>
      <c r="I781"/>
      <c r="L781" s="15">
        <v>2.67</v>
      </c>
      <c r="M781" s="54">
        <v>12.694163</v>
      </c>
    </row>
    <row r="782" spans="1:13" s="15" customFormat="1" x14ac:dyDescent="0.3">
      <c r="A782" s="17"/>
      <c r="B782"/>
      <c r="C782"/>
      <c r="D782"/>
      <c r="E782"/>
      <c r="F782"/>
      <c r="G782"/>
      <c r="H782"/>
      <c r="I782"/>
      <c r="L782" s="15">
        <v>2.6799999999999997</v>
      </c>
      <c r="M782" s="54">
        <v>12.888832000000004</v>
      </c>
    </row>
    <row r="783" spans="1:13" s="15" customFormat="1" x14ac:dyDescent="0.3">
      <c r="A783" s="17"/>
      <c r="B783"/>
      <c r="C783"/>
      <c r="D783"/>
      <c r="E783"/>
      <c r="F783"/>
      <c r="G783"/>
      <c r="H783"/>
      <c r="I783"/>
      <c r="L783" s="15">
        <v>2.6900000000000004</v>
      </c>
      <c r="M783" s="54">
        <v>13.085108999999999</v>
      </c>
    </row>
    <row r="784" spans="1:13" s="15" customFormat="1" x14ac:dyDescent="0.3">
      <c r="A784" s="17"/>
      <c r="B784"/>
      <c r="C784"/>
      <c r="D784"/>
      <c r="E784"/>
      <c r="F784"/>
      <c r="G784"/>
      <c r="H784"/>
      <c r="I784"/>
      <c r="L784" s="15">
        <v>2.7</v>
      </c>
      <c r="M784" s="54">
        <v>13.283000000000003</v>
      </c>
    </row>
    <row r="785" spans="1:13" s="15" customFormat="1" x14ac:dyDescent="0.3">
      <c r="A785" s="17"/>
      <c r="B785"/>
      <c r="C785"/>
      <c r="D785"/>
      <c r="E785"/>
      <c r="F785"/>
      <c r="G785"/>
      <c r="H785"/>
      <c r="I785"/>
      <c r="L785" s="15">
        <v>2.71</v>
      </c>
      <c r="M785" s="54">
        <v>13.482511000000001</v>
      </c>
    </row>
    <row r="786" spans="1:13" s="15" customFormat="1" x14ac:dyDescent="0.3">
      <c r="A786" s="17"/>
      <c r="B786"/>
      <c r="C786"/>
      <c r="D786"/>
      <c r="E786"/>
      <c r="F786"/>
      <c r="G786"/>
      <c r="H786"/>
      <c r="I786"/>
      <c r="L786" s="15">
        <v>2.7199999999999998</v>
      </c>
      <c r="M786" s="54">
        <v>13.683648000000005</v>
      </c>
    </row>
    <row r="787" spans="1:13" s="15" customFormat="1" x14ac:dyDescent="0.3">
      <c r="A787" s="17"/>
      <c r="B787"/>
      <c r="C787"/>
      <c r="D787"/>
      <c r="E787"/>
      <c r="F787"/>
      <c r="G787"/>
      <c r="H787"/>
      <c r="I787"/>
      <c r="L787" s="15">
        <v>2.7300000000000004</v>
      </c>
      <c r="M787" s="54">
        <v>13.886416999999998</v>
      </c>
    </row>
    <row r="788" spans="1:13" s="15" customFormat="1" x14ac:dyDescent="0.3">
      <c r="A788" s="17"/>
      <c r="B788"/>
      <c r="C788"/>
      <c r="D788"/>
      <c r="E788"/>
      <c r="F788"/>
      <c r="G788"/>
      <c r="H788"/>
      <c r="I788"/>
      <c r="L788" s="15">
        <v>2.74</v>
      </c>
      <c r="M788" s="54">
        <v>14.090824000000005</v>
      </c>
    </row>
    <row r="789" spans="1:13" s="15" customFormat="1" x14ac:dyDescent="0.3">
      <c r="A789" s="17"/>
      <c r="B789"/>
      <c r="C789"/>
      <c r="D789"/>
      <c r="E789"/>
      <c r="F789"/>
      <c r="G789"/>
      <c r="H789"/>
      <c r="I789"/>
      <c r="L789" s="15">
        <v>2.75</v>
      </c>
      <c r="M789" s="54">
        <v>14.296875</v>
      </c>
    </row>
    <row r="790" spans="1:13" s="15" customFormat="1" x14ac:dyDescent="0.3">
      <c r="A790" s="17"/>
      <c r="B790"/>
      <c r="C790"/>
      <c r="D790"/>
      <c r="E790"/>
      <c r="F790"/>
      <c r="G790"/>
      <c r="H790"/>
      <c r="I790"/>
      <c r="L790" s="15">
        <v>2.76</v>
      </c>
      <c r="M790" s="54">
        <v>14.504575999999997</v>
      </c>
    </row>
    <row r="791" spans="1:13" s="15" customFormat="1" x14ac:dyDescent="0.3">
      <c r="A791" s="17"/>
      <c r="B791"/>
      <c r="C791"/>
      <c r="D791"/>
      <c r="E791"/>
      <c r="F791"/>
      <c r="G791"/>
      <c r="H791"/>
      <c r="I791"/>
      <c r="L791" s="15">
        <v>2.7700000000000005</v>
      </c>
      <c r="M791" s="54">
        <v>14.713933000000001</v>
      </c>
    </row>
    <row r="792" spans="1:13" s="15" customFormat="1" x14ac:dyDescent="0.3">
      <c r="A792" s="17"/>
      <c r="B792"/>
      <c r="C792"/>
      <c r="D792"/>
      <c r="E792"/>
      <c r="F792"/>
      <c r="G792"/>
      <c r="H792"/>
      <c r="I792"/>
      <c r="L792" s="15">
        <v>2.7800000000000002</v>
      </c>
      <c r="M792" s="54">
        <v>14.924951999999998</v>
      </c>
    </row>
    <row r="793" spans="1:13" s="15" customFormat="1" x14ac:dyDescent="0.3">
      <c r="A793" s="17"/>
      <c r="B793"/>
      <c r="C793"/>
      <c r="D793"/>
      <c r="E793"/>
      <c r="F793"/>
      <c r="G793"/>
      <c r="H793"/>
      <c r="I793"/>
      <c r="L793" s="15">
        <v>2.79</v>
      </c>
      <c r="M793" s="54">
        <v>15.137639</v>
      </c>
    </row>
    <row r="794" spans="1:13" s="15" customFormat="1" x14ac:dyDescent="0.3">
      <c r="A794" s="17"/>
      <c r="B794"/>
      <c r="C794"/>
      <c r="D794"/>
      <c r="E794"/>
      <c r="F794"/>
      <c r="G794"/>
      <c r="H794"/>
      <c r="I794"/>
      <c r="L794" s="15">
        <v>2.8</v>
      </c>
      <c r="M794" s="54">
        <v>15.351999999999997</v>
      </c>
    </row>
    <row r="795" spans="1:13" s="15" customFormat="1" x14ac:dyDescent="0.3">
      <c r="A795" s="17"/>
      <c r="B795"/>
      <c r="C795"/>
      <c r="D795"/>
      <c r="E795"/>
      <c r="F795"/>
      <c r="G795"/>
      <c r="H795"/>
      <c r="I795"/>
      <c r="L795" s="15">
        <v>2.8100000000000005</v>
      </c>
      <c r="M795" s="54">
        <v>15.568041000000001</v>
      </c>
    </row>
    <row r="796" spans="1:13" s="15" customFormat="1" x14ac:dyDescent="0.3">
      <c r="A796" s="17"/>
      <c r="B796"/>
      <c r="C796"/>
      <c r="D796"/>
      <c r="E796"/>
      <c r="F796"/>
      <c r="G796"/>
      <c r="H796"/>
      <c r="I796"/>
      <c r="L796" s="15">
        <v>2.8200000000000003</v>
      </c>
      <c r="M796" s="54">
        <v>15.785767999999994</v>
      </c>
    </row>
    <row r="797" spans="1:13" s="15" customFormat="1" x14ac:dyDescent="0.3">
      <c r="A797" s="17"/>
      <c r="B797"/>
      <c r="C797"/>
      <c r="D797"/>
      <c r="E797"/>
      <c r="F797"/>
      <c r="G797"/>
      <c r="H797"/>
      <c r="I797"/>
      <c r="L797" s="15">
        <v>2.83</v>
      </c>
      <c r="M797" s="54">
        <v>16.005187000000003</v>
      </c>
    </row>
    <row r="798" spans="1:13" s="15" customFormat="1" x14ac:dyDescent="0.3">
      <c r="A798" s="17"/>
      <c r="B798"/>
      <c r="C798"/>
      <c r="D798"/>
      <c r="E798"/>
      <c r="F798"/>
      <c r="G798"/>
      <c r="H798"/>
      <c r="I798"/>
      <c r="L798" s="15">
        <v>2.84</v>
      </c>
      <c r="M798" s="54">
        <v>16.226303999999999</v>
      </c>
    </row>
    <row r="799" spans="1:13" s="15" customFormat="1" x14ac:dyDescent="0.3">
      <c r="A799" s="17"/>
      <c r="B799"/>
      <c r="C799"/>
      <c r="D799"/>
      <c r="E799"/>
      <c r="F799"/>
      <c r="G799"/>
      <c r="H799"/>
      <c r="I799"/>
      <c r="L799" s="15">
        <v>2.8500000000000005</v>
      </c>
      <c r="M799" s="54">
        <v>16.449125000000002</v>
      </c>
    </row>
    <row r="800" spans="1:13" s="15" customFormat="1" x14ac:dyDescent="0.3">
      <c r="A800" s="17"/>
      <c r="B800"/>
      <c r="C800"/>
      <c r="D800"/>
      <c r="E800"/>
      <c r="F800"/>
      <c r="G800"/>
      <c r="H800"/>
      <c r="I800"/>
      <c r="L800" s="15">
        <v>2.8600000000000003</v>
      </c>
      <c r="M800" s="54">
        <v>16.673655999999998</v>
      </c>
    </row>
    <row r="801" spans="1:13" s="15" customFormat="1" x14ac:dyDescent="0.3">
      <c r="A801" s="17"/>
      <c r="B801"/>
      <c r="C801"/>
      <c r="D801"/>
      <c r="E801"/>
      <c r="F801"/>
      <c r="G801"/>
      <c r="H801"/>
      <c r="I801"/>
      <c r="L801" s="15">
        <v>2.87</v>
      </c>
      <c r="M801" s="54">
        <v>16.899903000000002</v>
      </c>
    </row>
    <row r="802" spans="1:13" s="15" customFormat="1" x14ac:dyDescent="0.3">
      <c r="A802" s="17"/>
      <c r="B802"/>
      <c r="C802"/>
      <c r="D802"/>
      <c r="E802"/>
      <c r="F802"/>
      <c r="G802"/>
      <c r="H802"/>
      <c r="I802"/>
      <c r="L802" s="15">
        <v>2.88</v>
      </c>
      <c r="M802" s="54">
        <v>17.127871999999996</v>
      </c>
    </row>
    <row r="803" spans="1:13" s="15" customFormat="1" x14ac:dyDescent="0.3">
      <c r="A803" s="17"/>
      <c r="B803"/>
      <c r="C803"/>
      <c r="D803"/>
      <c r="E803"/>
      <c r="F803"/>
      <c r="G803"/>
      <c r="H803"/>
      <c r="I803"/>
      <c r="L803" s="15">
        <v>2.8900000000000006</v>
      </c>
      <c r="M803" s="54">
        <v>17.357569000000002</v>
      </c>
    </row>
    <row r="804" spans="1:13" s="15" customFormat="1" x14ac:dyDescent="0.3">
      <c r="A804" s="17"/>
      <c r="B804"/>
      <c r="C804"/>
      <c r="D804"/>
      <c r="E804"/>
      <c r="F804"/>
      <c r="G804"/>
      <c r="H804"/>
      <c r="I804"/>
      <c r="L804" s="15">
        <v>2.9000000000000004</v>
      </c>
      <c r="M804" s="54">
        <v>17.588999999999999</v>
      </c>
    </row>
    <row r="805" spans="1:13" s="15" customFormat="1" x14ac:dyDescent="0.3">
      <c r="A805" s="17"/>
      <c r="B805"/>
      <c r="C805"/>
      <c r="D805"/>
      <c r="E805"/>
      <c r="F805"/>
      <c r="G805"/>
      <c r="H805"/>
      <c r="I805"/>
      <c r="L805" s="15">
        <v>2.91</v>
      </c>
      <c r="M805" s="54">
        <v>17.822171000000004</v>
      </c>
    </row>
    <row r="806" spans="1:13" s="15" customFormat="1" x14ac:dyDescent="0.3">
      <c r="A806" s="17"/>
      <c r="B806"/>
      <c r="C806"/>
      <c r="D806"/>
      <c r="E806"/>
      <c r="F806"/>
      <c r="G806"/>
      <c r="H806"/>
      <c r="I806"/>
      <c r="L806" s="15">
        <v>2.92</v>
      </c>
      <c r="M806" s="54">
        <v>18.057087999999997</v>
      </c>
    </row>
    <row r="807" spans="1:13" s="15" customFormat="1" x14ac:dyDescent="0.3">
      <c r="A807" s="17"/>
      <c r="B807"/>
      <c r="C807"/>
      <c r="D807"/>
      <c r="E807"/>
      <c r="F807"/>
      <c r="G807"/>
      <c r="H807"/>
      <c r="I807"/>
      <c r="L807" s="15">
        <v>2.9300000000000006</v>
      </c>
      <c r="M807" s="54">
        <v>18.293757000000006</v>
      </c>
    </row>
    <row r="808" spans="1:13" s="15" customFormat="1" x14ac:dyDescent="0.3">
      <c r="A808" s="17"/>
      <c r="B808"/>
      <c r="C808"/>
      <c r="D808"/>
      <c r="E808"/>
      <c r="F808"/>
      <c r="G808"/>
      <c r="H808"/>
      <c r="I808"/>
      <c r="L808" s="15">
        <v>2.9400000000000004</v>
      </c>
      <c r="M808" s="54">
        <v>18.532183999999997</v>
      </c>
    </row>
    <row r="809" spans="1:13" s="15" customFormat="1" x14ac:dyDescent="0.3">
      <c r="A809" s="17"/>
      <c r="B809"/>
      <c r="C809"/>
      <c r="D809"/>
      <c r="E809"/>
      <c r="F809"/>
      <c r="G809"/>
      <c r="H809"/>
      <c r="I809"/>
      <c r="L809" s="15">
        <v>2.95</v>
      </c>
      <c r="M809" s="54">
        <v>18.772375000000004</v>
      </c>
    </row>
    <row r="810" spans="1:13" s="15" customFormat="1" x14ac:dyDescent="0.3">
      <c r="A810" s="17"/>
      <c r="B810"/>
      <c r="C810"/>
      <c r="D810"/>
      <c r="E810"/>
      <c r="F810"/>
      <c r="G810"/>
      <c r="H810"/>
      <c r="I810"/>
      <c r="L810" s="15">
        <v>2.96</v>
      </c>
      <c r="M810" s="54">
        <v>19.014336</v>
      </c>
    </row>
    <row r="811" spans="1:13" s="15" customFormat="1" x14ac:dyDescent="0.3">
      <c r="A811" s="17"/>
      <c r="B811"/>
      <c r="C811"/>
      <c r="D811"/>
      <c r="E811"/>
      <c r="F811"/>
      <c r="G811"/>
      <c r="H811"/>
      <c r="I811"/>
      <c r="L811" s="15">
        <v>2.9699999999999998</v>
      </c>
      <c r="M811" s="54">
        <v>19.258073000000007</v>
      </c>
    </row>
    <row r="812" spans="1:13" s="15" customFormat="1" x14ac:dyDescent="0.3">
      <c r="A812" s="17"/>
      <c r="B812"/>
      <c r="C812"/>
      <c r="D812"/>
      <c r="E812"/>
      <c r="F812"/>
      <c r="G812"/>
      <c r="H812"/>
      <c r="I812"/>
      <c r="L812" s="15">
        <v>2.9800000000000004</v>
      </c>
      <c r="M812" s="54">
        <v>19.503591999999998</v>
      </c>
    </row>
    <row r="813" spans="1:13" s="15" customFormat="1" x14ac:dyDescent="0.3">
      <c r="A813" s="17"/>
      <c r="B813"/>
      <c r="C813"/>
      <c r="D813"/>
      <c r="E813"/>
      <c r="F813"/>
      <c r="G813"/>
      <c r="H813"/>
      <c r="I813"/>
      <c r="L813" s="15">
        <v>2.99</v>
      </c>
      <c r="M813" s="54">
        <v>19.750899000000004</v>
      </c>
    </row>
    <row r="814" spans="1:13" s="15" customFormat="1" x14ac:dyDescent="0.3">
      <c r="A814" s="17"/>
      <c r="B814"/>
      <c r="C814"/>
      <c r="D814"/>
      <c r="E814"/>
      <c r="F814"/>
      <c r="G814"/>
      <c r="H814"/>
      <c r="I814"/>
      <c r="L814" s="15">
        <v>3</v>
      </c>
      <c r="M814" s="54">
        <v>20</v>
      </c>
    </row>
    <row r="815" spans="1:13" s="15" customFormat="1" x14ac:dyDescent="0.3">
      <c r="A815" s="17"/>
      <c r="B815"/>
      <c r="C815"/>
      <c r="D815"/>
      <c r="E815"/>
      <c r="F815"/>
      <c r="G815"/>
      <c r="H815"/>
      <c r="I815"/>
      <c r="L815" s="15">
        <v>3.01</v>
      </c>
      <c r="M815" s="54">
        <v>20.250900999999995</v>
      </c>
    </row>
    <row r="816" spans="1:13" s="15" customFormat="1" x14ac:dyDescent="0.3">
      <c r="A816" s="17"/>
      <c r="B816"/>
      <c r="C816"/>
      <c r="D816"/>
      <c r="E816"/>
      <c r="F816"/>
      <c r="G816"/>
      <c r="H816"/>
      <c r="I816"/>
      <c r="L816" s="15">
        <v>3.0199999999999996</v>
      </c>
      <c r="M816" s="54">
        <v>20.503608</v>
      </c>
    </row>
    <row r="817" spans="1:13" s="15" customFormat="1" x14ac:dyDescent="0.3">
      <c r="A817" s="17"/>
      <c r="B817"/>
      <c r="C817"/>
      <c r="D817"/>
      <c r="E817"/>
      <c r="F817"/>
      <c r="G817"/>
      <c r="H817"/>
      <c r="I817"/>
      <c r="L817" s="15">
        <v>3.0299999999999994</v>
      </c>
      <c r="M817" s="54">
        <v>20.758126999999998</v>
      </c>
    </row>
    <row r="818" spans="1:13" s="15" customFormat="1" x14ac:dyDescent="0.3">
      <c r="A818" s="17"/>
      <c r="B818"/>
      <c r="C818"/>
      <c r="D818"/>
      <c r="E818"/>
      <c r="F818"/>
      <c r="G818"/>
      <c r="H818"/>
      <c r="I818"/>
      <c r="L818" s="15">
        <v>3.0400000000000009</v>
      </c>
      <c r="M818" s="54">
        <v>21.014464000000004</v>
      </c>
    </row>
    <row r="819" spans="1:13" s="15" customFormat="1" x14ac:dyDescent="0.3">
      <c r="A819" s="17"/>
      <c r="B819"/>
      <c r="C819"/>
      <c r="D819"/>
      <c r="E819"/>
      <c r="F819"/>
      <c r="G819"/>
      <c r="H819"/>
      <c r="I819"/>
      <c r="L819" s="15">
        <v>3.0500000000000007</v>
      </c>
      <c r="M819" s="54">
        <v>21.272624999999991</v>
      </c>
    </row>
    <row r="820" spans="1:13" s="15" customFormat="1" x14ac:dyDescent="0.3">
      <c r="A820" s="17"/>
      <c r="B820"/>
      <c r="C820"/>
      <c r="D820"/>
      <c r="E820"/>
      <c r="F820"/>
      <c r="G820"/>
      <c r="H820"/>
      <c r="I820"/>
      <c r="L820" s="15">
        <v>3.0600000000000005</v>
      </c>
      <c r="M820" s="54">
        <v>21.532616000000001</v>
      </c>
    </row>
    <row r="821" spans="1:13" s="15" customFormat="1" x14ac:dyDescent="0.3">
      <c r="A821" s="17"/>
      <c r="B821"/>
      <c r="C821"/>
      <c r="D821"/>
      <c r="E821"/>
      <c r="F821"/>
      <c r="G821"/>
      <c r="H821"/>
      <c r="I821"/>
      <c r="L821" s="15">
        <v>3.0700000000000003</v>
      </c>
      <c r="M821" s="54">
        <v>21.794442999999994</v>
      </c>
    </row>
    <row r="822" spans="1:13" s="15" customFormat="1" x14ac:dyDescent="0.3">
      <c r="A822" s="17"/>
      <c r="B822"/>
      <c r="C822"/>
      <c r="D822"/>
      <c r="E822"/>
      <c r="F822"/>
      <c r="G822"/>
      <c r="H822"/>
      <c r="I822"/>
      <c r="L822" s="15">
        <v>3.08</v>
      </c>
      <c r="M822" s="54">
        <v>22.058112000000001</v>
      </c>
    </row>
    <row r="823" spans="1:13" s="15" customFormat="1" x14ac:dyDescent="0.3">
      <c r="A823" s="17"/>
      <c r="B823"/>
      <c r="C823"/>
      <c r="D823"/>
      <c r="E823"/>
      <c r="F823"/>
      <c r="G823"/>
      <c r="H823"/>
      <c r="I823"/>
      <c r="L823" s="15">
        <v>3.09</v>
      </c>
      <c r="M823" s="54">
        <v>22.323628999999997</v>
      </c>
    </row>
    <row r="824" spans="1:13" s="15" customFormat="1" x14ac:dyDescent="0.3">
      <c r="A824" s="17"/>
      <c r="B824"/>
      <c r="C824"/>
      <c r="D824"/>
      <c r="E824"/>
      <c r="F824"/>
      <c r="G824"/>
      <c r="H824"/>
      <c r="I824"/>
      <c r="L824" s="15">
        <v>3.0999999999999996</v>
      </c>
      <c r="M824" s="54">
        <v>22.591000000000005</v>
      </c>
    </row>
    <row r="825" spans="1:13" s="15" customFormat="1" x14ac:dyDescent="0.3">
      <c r="A825" s="17"/>
      <c r="B825"/>
      <c r="C825"/>
      <c r="D825"/>
      <c r="E825"/>
      <c r="F825"/>
      <c r="G825"/>
      <c r="H825"/>
      <c r="I825"/>
      <c r="L825" s="15">
        <v>3.1099999999999994</v>
      </c>
      <c r="M825" s="54">
        <v>22.860230999999995</v>
      </c>
    </row>
    <row r="826" spans="1:13" s="15" customFormat="1" x14ac:dyDescent="0.3">
      <c r="A826" s="17"/>
      <c r="B826"/>
      <c r="C826"/>
      <c r="D826"/>
      <c r="E826"/>
      <c r="F826"/>
      <c r="G826"/>
      <c r="H826"/>
      <c r="I826"/>
      <c r="L826" s="15">
        <v>3.120000000000001</v>
      </c>
      <c r="M826" s="54">
        <v>23.131328000000003</v>
      </c>
    </row>
    <row r="827" spans="1:13" s="15" customFormat="1" x14ac:dyDescent="0.3">
      <c r="A827" s="17"/>
      <c r="B827"/>
      <c r="C827"/>
      <c r="D827"/>
      <c r="E827"/>
      <c r="F827"/>
      <c r="G827"/>
      <c r="H827"/>
      <c r="I827"/>
      <c r="L827" s="15">
        <v>3.1300000000000008</v>
      </c>
      <c r="M827" s="54">
        <v>23.404297</v>
      </c>
    </row>
    <row r="828" spans="1:13" s="15" customFormat="1" x14ac:dyDescent="0.3">
      <c r="A828" s="17"/>
      <c r="B828"/>
      <c r="C828"/>
      <c r="D828"/>
      <c r="E828"/>
      <c r="F828"/>
      <c r="G828"/>
      <c r="H828"/>
      <c r="I828"/>
      <c r="L828" s="15">
        <v>3.1400000000000006</v>
      </c>
      <c r="M828" s="54">
        <v>23.679144000000001</v>
      </c>
    </row>
    <row r="829" spans="1:13" s="15" customFormat="1" x14ac:dyDescent="0.3">
      <c r="A829" s="17"/>
      <c r="B829"/>
      <c r="C829"/>
      <c r="D829"/>
      <c r="E829"/>
      <c r="F829"/>
      <c r="G829"/>
      <c r="H829"/>
      <c r="I829"/>
      <c r="L829" s="15">
        <v>3.1500000000000004</v>
      </c>
      <c r="M829" s="54">
        <v>23.955874999999995</v>
      </c>
    </row>
    <row r="830" spans="1:13" s="15" customFormat="1" x14ac:dyDescent="0.3">
      <c r="A830" s="17"/>
      <c r="B830"/>
      <c r="C830"/>
      <c r="D830"/>
      <c r="E830"/>
      <c r="F830"/>
      <c r="G830"/>
      <c r="H830"/>
      <c r="I830"/>
      <c r="L830" s="15">
        <v>3.16</v>
      </c>
      <c r="M830" s="54">
        <v>24.234496000000007</v>
      </c>
    </row>
    <row r="831" spans="1:13" s="15" customFormat="1" x14ac:dyDescent="0.3">
      <c r="A831" s="17"/>
      <c r="B831"/>
      <c r="C831"/>
      <c r="D831"/>
      <c r="E831"/>
      <c r="F831"/>
      <c r="G831"/>
      <c r="H831"/>
      <c r="I831"/>
      <c r="L831" s="15">
        <v>3.17</v>
      </c>
      <c r="M831" s="54">
        <v>24.515013</v>
      </c>
    </row>
    <row r="832" spans="1:13" s="15" customFormat="1" x14ac:dyDescent="0.3">
      <c r="A832" s="17"/>
      <c r="B832"/>
      <c r="C832"/>
      <c r="D832"/>
      <c r="E832"/>
      <c r="F832"/>
      <c r="G832"/>
      <c r="H832"/>
      <c r="I832"/>
      <c r="L832" s="15">
        <v>3.1799999999999997</v>
      </c>
      <c r="M832" s="54">
        <v>24.797432000000008</v>
      </c>
    </row>
    <row r="833" spans="1:13" s="15" customFormat="1" x14ac:dyDescent="0.3">
      <c r="A833" s="17"/>
      <c r="B833"/>
      <c r="C833"/>
      <c r="D833"/>
      <c r="E833"/>
      <c r="F833"/>
      <c r="G833"/>
      <c r="H833"/>
      <c r="I833"/>
      <c r="L833" s="15">
        <v>3.1899999999999995</v>
      </c>
      <c r="M833" s="54">
        <v>25.081759000000002</v>
      </c>
    </row>
    <row r="834" spans="1:13" s="15" customFormat="1" x14ac:dyDescent="0.3">
      <c r="A834" s="17"/>
      <c r="B834"/>
      <c r="C834"/>
      <c r="D834"/>
      <c r="E834"/>
      <c r="F834"/>
      <c r="G834"/>
      <c r="H834"/>
      <c r="I834"/>
      <c r="L834" s="15">
        <v>3.1999999999999993</v>
      </c>
      <c r="M834" s="54">
        <v>25.368000000000009</v>
      </c>
    </row>
    <row r="835" spans="1:13" s="15" customFormat="1" x14ac:dyDescent="0.3">
      <c r="A835" s="17"/>
      <c r="B835"/>
      <c r="C835"/>
      <c r="D835"/>
      <c r="E835"/>
      <c r="F835"/>
      <c r="G835"/>
      <c r="H835"/>
      <c r="I835"/>
      <c r="L835" s="15">
        <v>3.2100000000000009</v>
      </c>
      <c r="M835" s="54">
        <v>25.656160999999997</v>
      </c>
    </row>
    <row r="836" spans="1:13" s="15" customFormat="1" x14ac:dyDescent="0.3">
      <c r="A836" s="17"/>
      <c r="B836"/>
      <c r="C836"/>
      <c r="D836"/>
      <c r="E836"/>
      <c r="F836"/>
      <c r="G836"/>
      <c r="H836"/>
      <c r="I836"/>
      <c r="L836" s="15">
        <v>3.2200000000000006</v>
      </c>
      <c r="M836" s="54">
        <v>25.946248000000008</v>
      </c>
    </row>
    <row r="837" spans="1:13" s="15" customFormat="1" x14ac:dyDescent="0.3">
      <c r="A837" s="17"/>
      <c r="B837"/>
      <c r="C837"/>
      <c r="D837"/>
      <c r="E837"/>
      <c r="F837"/>
      <c r="G837"/>
      <c r="H837"/>
      <c r="I837"/>
      <c r="L837" s="15">
        <v>3.2300000000000004</v>
      </c>
      <c r="M837" s="54">
        <v>26.238267</v>
      </c>
    </row>
    <row r="838" spans="1:13" s="15" customFormat="1" x14ac:dyDescent="0.3">
      <c r="A838" s="17"/>
      <c r="B838"/>
      <c r="C838"/>
      <c r="D838"/>
      <c r="E838"/>
      <c r="F838"/>
      <c r="G838"/>
      <c r="H838"/>
      <c r="I838"/>
      <c r="L838" s="15">
        <v>3.24</v>
      </c>
      <c r="M838" s="54">
        <v>26.53222400000001</v>
      </c>
    </row>
    <row r="839" spans="1:13" s="15" customFormat="1" x14ac:dyDescent="0.3">
      <c r="A839" s="17"/>
      <c r="B839"/>
      <c r="C839"/>
      <c r="D839"/>
      <c r="E839"/>
      <c r="F839"/>
      <c r="G839"/>
      <c r="H839"/>
      <c r="I839"/>
      <c r="L839" s="15">
        <v>3.25</v>
      </c>
      <c r="M839" s="54">
        <v>26.828125</v>
      </c>
    </row>
    <row r="840" spans="1:13" s="15" customFormat="1" x14ac:dyDescent="0.3">
      <c r="A840" s="17"/>
      <c r="B840"/>
      <c r="C840"/>
      <c r="D840"/>
      <c r="E840"/>
      <c r="F840"/>
      <c r="G840"/>
      <c r="H840"/>
      <c r="I840"/>
      <c r="L840" s="15">
        <v>3.26</v>
      </c>
      <c r="M840" s="54">
        <v>27.125975999999998</v>
      </c>
    </row>
    <row r="841" spans="1:13" s="15" customFormat="1" x14ac:dyDescent="0.3">
      <c r="A841" s="17"/>
      <c r="B841"/>
      <c r="C841"/>
      <c r="D841"/>
      <c r="E841"/>
      <c r="F841"/>
      <c r="G841"/>
      <c r="H841"/>
      <c r="I841"/>
      <c r="L841" s="15">
        <v>3.2699999999999996</v>
      </c>
      <c r="M841" s="54">
        <v>27.425783000000003</v>
      </c>
    </row>
    <row r="842" spans="1:13" s="15" customFormat="1" x14ac:dyDescent="0.3">
      <c r="A842" s="17"/>
      <c r="B842"/>
      <c r="C842"/>
      <c r="D842"/>
      <c r="E842"/>
      <c r="F842"/>
      <c r="G842"/>
      <c r="H842"/>
      <c r="I842"/>
      <c r="L842" s="15">
        <v>3.2799999999999994</v>
      </c>
      <c r="M842" s="54">
        <v>27.727551999999992</v>
      </c>
    </row>
    <row r="843" spans="1:13" s="15" customFormat="1" x14ac:dyDescent="0.3">
      <c r="A843" s="17"/>
      <c r="B843"/>
      <c r="C843"/>
      <c r="D843"/>
      <c r="E843"/>
      <c r="F843"/>
      <c r="G843"/>
      <c r="H843"/>
      <c r="I843"/>
      <c r="L843" s="15">
        <v>3.2900000000000009</v>
      </c>
      <c r="M843" s="54">
        <v>28.031289000000001</v>
      </c>
    </row>
    <row r="844" spans="1:13" s="15" customFormat="1" x14ac:dyDescent="0.3">
      <c r="A844" s="17"/>
      <c r="B844"/>
      <c r="C844"/>
      <c r="D844"/>
      <c r="E844"/>
      <c r="F844"/>
      <c r="G844"/>
      <c r="H844"/>
      <c r="I844"/>
      <c r="L844" s="15">
        <v>3.3000000000000007</v>
      </c>
      <c r="M844" s="54">
        <v>28.336999999999996</v>
      </c>
    </row>
    <row r="845" spans="1:13" s="15" customFormat="1" x14ac:dyDescent="0.3">
      <c r="A845" s="17"/>
      <c r="B845"/>
      <c r="C845"/>
      <c r="D845"/>
      <c r="E845"/>
      <c r="F845"/>
      <c r="G845"/>
      <c r="H845"/>
      <c r="I845"/>
      <c r="L845" s="15">
        <v>3.3100000000000005</v>
      </c>
      <c r="M845" s="54">
        <v>28.644691000000005</v>
      </c>
    </row>
    <row r="846" spans="1:13" s="15" customFormat="1" x14ac:dyDescent="0.3">
      <c r="A846" s="17"/>
      <c r="B846"/>
      <c r="C846"/>
      <c r="D846"/>
      <c r="E846"/>
      <c r="F846"/>
      <c r="G846"/>
      <c r="H846"/>
      <c r="I846"/>
      <c r="L846" s="15">
        <v>3.3200000000000003</v>
      </c>
      <c r="M846" s="54">
        <v>28.954367999999995</v>
      </c>
    </row>
    <row r="847" spans="1:13" s="15" customFormat="1" x14ac:dyDescent="0.3">
      <c r="A847" s="17"/>
      <c r="B847"/>
      <c r="C847"/>
      <c r="D847"/>
      <c r="E847"/>
      <c r="F847"/>
      <c r="G847"/>
      <c r="H847"/>
      <c r="I847"/>
      <c r="L847" s="15">
        <v>3.33</v>
      </c>
      <c r="M847" s="54">
        <v>29.266037000000001</v>
      </c>
    </row>
    <row r="848" spans="1:13" s="15" customFormat="1" x14ac:dyDescent="0.3">
      <c r="A848" s="17"/>
      <c r="B848"/>
      <c r="C848"/>
      <c r="D848"/>
      <c r="E848"/>
      <c r="F848"/>
      <c r="G848"/>
      <c r="H848"/>
      <c r="I848"/>
      <c r="L848" s="15">
        <v>3.34</v>
      </c>
      <c r="M848" s="54">
        <v>29.579704</v>
      </c>
    </row>
    <row r="849" spans="1:13" s="15" customFormat="1" x14ac:dyDescent="0.3">
      <c r="A849" s="17"/>
      <c r="B849"/>
      <c r="C849"/>
      <c r="D849"/>
      <c r="E849"/>
      <c r="F849"/>
      <c r="G849"/>
      <c r="H849"/>
      <c r="I849"/>
      <c r="L849" s="15">
        <v>3.3499999999999996</v>
      </c>
      <c r="M849" s="54">
        <v>29.895375000000005</v>
      </c>
    </row>
    <row r="850" spans="1:13" s="15" customFormat="1" x14ac:dyDescent="0.3">
      <c r="A850" s="17"/>
      <c r="B850"/>
      <c r="C850"/>
      <c r="D850"/>
      <c r="E850"/>
      <c r="F850"/>
      <c r="G850"/>
      <c r="H850"/>
      <c r="I850"/>
      <c r="L850" s="15">
        <v>3.3599999999999994</v>
      </c>
      <c r="M850" s="54">
        <v>30.213055999999995</v>
      </c>
    </row>
    <row r="851" spans="1:13" s="15" customFormat="1" x14ac:dyDescent="0.3">
      <c r="A851" s="17"/>
      <c r="B851"/>
      <c r="C851"/>
      <c r="D851"/>
      <c r="E851"/>
      <c r="F851"/>
      <c r="G851"/>
      <c r="H851"/>
      <c r="I851"/>
      <c r="L851" s="15">
        <v>3.370000000000001</v>
      </c>
      <c r="M851" s="54">
        <v>30.532753000000007</v>
      </c>
    </row>
    <row r="852" spans="1:13" s="15" customFormat="1" x14ac:dyDescent="0.3">
      <c r="A852" s="17"/>
      <c r="B852"/>
      <c r="C852"/>
      <c r="D852"/>
      <c r="E852"/>
      <c r="F852"/>
      <c r="G852"/>
      <c r="H852"/>
      <c r="I852"/>
      <c r="L852" s="15">
        <v>3.3800000000000008</v>
      </c>
      <c r="M852" s="54">
        <v>30.854471999999994</v>
      </c>
    </row>
    <row r="853" spans="1:13" s="15" customFormat="1" x14ac:dyDescent="0.3">
      <c r="A853" s="17"/>
      <c r="B853"/>
      <c r="C853"/>
      <c r="D853"/>
      <c r="E853"/>
      <c r="F853"/>
      <c r="G853"/>
      <c r="H853"/>
      <c r="I853"/>
      <c r="L853" s="15">
        <v>3.3900000000000006</v>
      </c>
      <c r="M853" s="54">
        <v>31.178219000000006</v>
      </c>
    </row>
    <row r="854" spans="1:13" s="15" customFormat="1" x14ac:dyDescent="0.3">
      <c r="A854" s="17"/>
      <c r="B854"/>
      <c r="C854"/>
      <c r="D854"/>
      <c r="E854"/>
      <c r="F854"/>
      <c r="G854"/>
      <c r="H854"/>
      <c r="I854"/>
      <c r="L854" s="15">
        <v>3.4000000000000004</v>
      </c>
      <c r="M854" s="54">
        <v>31.503999999999998</v>
      </c>
    </row>
    <row r="855" spans="1:13" s="15" customFormat="1" x14ac:dyDescent="0.3">
      <c r="A855" s="17"/>
      <c r="B855"/>
      <c r="C855"/>
      <c r="D855"/>
      <c r="E855"/>
      <c r="F855"/>
      <c r="G855"/>
      <c r="H855"/>
      <c r="I855"/>
      <c r="L855" s="15">
        <v>3.41</v>
      </c>
      <c r="M855" s="54">
        <v>31.831821000000005</v>
      </c>
    </row>
    <row r="856" spans="1:13" s="15" customFormat="1" x14ac:dyDescent="0.3">
      <c r="A856" s="17"/>
      <c r="B856"/>
      <c r="C856"/>
      <c r="D856"/>
      <c r="E856"/>
      <c r="F856"/>
      <c r="G856"/>
      <c r="H856"/>
      <c r="I856"/>
      <c r="L856" s="15">
        <v>3.42</v>
      </c>
      <c r="M856" s="54">
        <v>32.161687999999998</v>
      </c>
    </row>
    <row r="857" spans="1:13" s="15" customFormat="1" x14ac:dyDescent="0.3">
      <c r="A857" s="17"/>
      <c r="B857"/>
      <c r="C857"/>
      <c r="D857"/>
      <c r="E857"/>
      <c r="F857"/>
      <c r="G857"/>
      <c r="H857"/>
      <c r="I857"/>
      <c r="L857" s="15">
        <v>3.4299999999999997</v>
      </c>
      <c r="M857" s="54">
        <v>32.493607000000004</v>
      </c>
    </row>
    <row r="858" spans="1:13" s="15" customFormat="1" x14ac:dyDescent="0.3">
      <c r="A858" s="17"/>
      <c r="B858"/>
      <c r="C858"/>
      <c r="D858"/>
      <c r="E858"/>
      <c r="F858"/>
      <c r="G858"/>
      <c r="H858"/>
      <c r="I858"/>
      <c r="L858" s="15">
        <v>3.4399999999999995</v>
      </c>
      <c r="M858" s="54">
        <v>32.827583999999995</v>
      </c>
    </row>
    <row r="859" spans="1:13" s="15" customFormat="1" x14ac:dyDescent="0.3">
      <c r="A859" s="17"/>
      <c r="B859"/>
      <c r="C859"/>
      <c r="D859"/>
      <c r="E859"/>
      <c r="F859"/>
      <c r="G859"/>
      <c r="H859"/>
      <c r="I859"/>
      <c r="L859" s="15">
        <v>3.4499999999999993</v>
      </c>
      <c r="M859" s="54">
        <v>33.16362500000001</v>
      </c>
    </row>
    <row r="860" spans="1:13" s="15" customFormat="1" x14ac:dyDescent="0.3">
      <c r="A860" s="17"/>
      <c r="B860"/>
      <c r="C860"/>
      <c r="D860"/>
      <c r="E860"/>
      <c r="F860"/>
      <c r="G860"/>
      <c r="H860"/>
      <c r="I860"/>
      <c r="L860" s="15">
        <v>3.4600000000000009</v>
      </c>
      <c r="M860" s="54">
        <v>33.501736000000001</v>
      </c>
    </row>
    <row r="861" spans="1:13" s="15" customFormat="1" x14ac:dyDescent="0.3">
      <c r="A861" s="17"/>
      <c r="B861"/>
      <c r="C861"/>
      <c r="D861"/>
      <c r="E861"/>
      <c r="F861"/>
      <c r="G861"/>
      <c r="H861"/>
      <c r="I861"/>
      <c r="L861" s="15">
        <v>3.4700000000000006</v>
      </c>
      <c r="M861" s="54">
        <v>33.841923000000008</v>
      </c>
    </row>
    <row r="862" spans="1:13" s="15" customFormat="1" x14ac:dyDescent="0.3">
      <c r="A862" s="17"/>
      <c r="B862"/>
      <c r="C862"/>
      <c r="D862"/>
      <c r="E862"/>
      <c r="F862"/>
      <c r="G862"/>
      <c r="H862"/>
      <c r="I862"/>
      <c r="L862" s="15">
        <v>3.4800000000000004</v>
      </c>
      <c r="M862" s="54">
        <v>34.184192000000003</v>
      </c>
    </row>
    <row r="863" spans="1:13" s="15" customFormat="1" x14ac:dyDescent="0.3">
      <c r="A863" s="17"/>
      <c r="B863"/>
      <c r="C863"/>
      <c r="D863"/>
      <c r="E863"/>
      <c r="F863"/>
      <c r="G863"/>
      <c r="H863"/>
      <c r="I863"/>
      <c r="L863" s="15">
        <v>3.49</v>
      </c>
      <c r="M863" s="54">
        <v>34.528549000000012</v>
      </c>
    </row>
    <row r="864" spans="1:13" s="15" customFormat="1" x14ac:dyDescent="0.3">
      <c r="A864" s="17"/>
      <c r="B864"/>
      <c r="C864"/>
      <c r="D864"/>
      <c r="E864"/>
      <c r="F864"/>
      <c r="G864"/>
      <c r="H864"/>
      <c r="I864"/>
      <c r="L864" s="15">
        <v>3.5</v>
      </c>
      <c r="M864" s="54">
        <v>34.875</v>
      </c>
    </row>
    <row r="865" spans="1:13" s="15" customFormat="1" x14ac:dyDescent="0.3">
      <c r="A865" s="17"/>
      <c r="B865"/>
      <c r="C865"/>
      <c r="D865"/>
      <c r="E865"/>
      <c r="F865"/>
      <c r="G865"/>
      <c r="H865"/>
      <c r="I865"/>
      <c r="L865" s="15">
        <v>3.51</v>
      </c>
      <c r="M865" s="54">
        <v>35.223550999999986</v>
      </c>
    </row>
    <row r="866" spans="1:13" s="15" customFormat="1" x14ac:dyDescent="0.3">
      <c r="A866" s="17"/>
      <c r="B866"/>
      <c r="C866"/>
      <c r="D866"/>
      <c r="E866"/>
      <c r="F866"/>
      <c r="G866"/>
      <c r="H866"/>
      <c r="I866"/>
      <c r="L866" s="15">
        <v>3.5199999999999996</v>
      </c>
      <c r="M866" s="54">
        <v>35.574207999999999</v>
      </c>
    </row>
    <row r="867" spans="1:13" s="15" customFormat="1" x14ac:dyDescent="0.3">
      <c r="A867" s="17"/>
      <c r="B867"/>
      <c r="C867"/>
      <c r="D867"/>
      <c r="E867"/>
      <c r="F867"/>
      <c r="G867"/>
      <c r="H867"/>
      <c r="I867"/>
      <c r="L867" s="15">
        <v>3.5299999999999994</v>
      </c>
      <c r="M867" s="54">
        <v>35.926976999999994</v>
      </c>
    </row>
    <row r="868" spans="1:13" s="15" customFormat="1" x14ac:dyDescent="0.3">
      <c r="A868" s="17"/>
      <c r="B868"/>
      <c r="C868"/>
      <c r="D868"/>
      <c r="E868"/>
      <c r="F868"/>
      <c r="G868"/>
      <c r="H868"/>
      <c r="I868"/>
      <c r="L868" s="15">
        <v>3.5400000000000009</v>
      </c>
      <c r="M868" s="54">
        <v>36.281864000000006</v>
      </c>
    </row>
    <row r="869" spans="1:13" s="15" customFormat="1" x14ac:dyDescent="0.3">
      <c r="A869" s="17"/>
      <c r="B869"/>
      <c r="C869"/>
      <c r="D869"/>
      <c r="E869"/>
      <c r="F869"/>
      <c r="G869"/>
      <c r="H869"/>
      <c r="I869"/>
      <c r="L869" s="15">
        <v>3.5500000000000007</v>
      </c>
      <c r="M869" s="54">
        <v>36.638874999999992</v>
      </c>
    </row>
    <row r="870" spans="1:13" s="15" customFormat="1" x14ac:dyDescent="0.3">
      <c r="A870" s="17"/>
      <c r="B870"/>
      <c r="C870"/>
      <c r="D870"/>
      <c r="E870"/>
      <c r="F870"/>
      <c r="G870"/>
      <c r="H870"/>
      <c r="I870"/>
      <c r="L870" s="15">
        <v>3.5600000000000005</v>
      </c>
      <c r="M870" s="54">
        <v>36.998016000000007</v>
      </c>
    </row>
    <row r="871" spans="1:13" s="15" customFormat="1" x14ac:dyDescent="0.3">
      <c r="A871" s="17"/>
      <c r="B871"/>
      <c r="C871"/>
      <c r="D871"/>
      <c r="E871"/>
      <c r="F871"/>
      <c r="G871"/>
      <c r="H871"/>
      <c r="I871"/>
      <c r="L871" s="15">
        <v>3.5700000000000003</v>
      </c>
      <c r="M871" s="54">
        <v>37.359292999999994</v>
      </c>
    </row>
    <row r="872" spans="1:13" s="15" customFormat="1" x14ac:dyDescent="0.3">
      <c r="A872" s="17"/>
      <c r="B872"/>
      <c r="C872"/>
      <c r="D872"/>
      <c r="E872"/>
      <c r="F872"/>
      <c r="G872"/>
      <c r="H872"/>
      <c r="I872"/>
      <c r="L872" s="15">
        <v>3.58</v>
      </c>
      <c r="M872" s="54">
        <v>37.722712000000001</v>
      </c>
    </row>
    <row r="873" spans="1:13" s="15" customFormat="1" x14ac:dyDescent="0.3">
      <c r="A873" s="17"/>
      <c r="B873"/>
      <c r="C873"/>
      <c r="D873"/>
      <c r="E873"/>
      <c r="F873"/>
      <c r="G873"/>
      <c r="H873"/>
      <c r="I873"/>
      <c r="L873" s="15">
        <v>3.59</v>
      </c>
      <c r="M873" s="54">
        <v>38.088279</v>
      </c>
    </row>
    <row r="874" spans="1:13" s="15" customFormat="1" x14ac:dyDescent="0.3">
      <c r="A874" s="17"/>
      <c r="B874"/>
      <c r="C874"/>
      <c r="D874"/>
      <c r="E874"/>
      <c r="F874"/>
      <c r="G874"/>
      <c r="H874"/>
      <c r="I874"/>
      <c r="L874" s="15">
        <v>3.5999999999999996</v>
      </c>
      <c r="M874" s="54">
        <v>38.456000000000003</v>
      </c>
    </row>
    <row r="875" spans="1:13" s="15" customFormat="1" x14ac:dyDescent="0.3">
      <c r="A875" s="17"/>
      <c r="B875"/>
      <c r="C875"/>
      <c r="D875"/>
      <c r="E875"/>
      <c r="F875"/>
      <c r="G875"/>
      <c r="H875"/>
      <c r="I875"/>
      <c r="L875" s="15">
        <v>3.6099999999999994</v>
      </c>
      <c r="M875" s="54">
        <v>38.825880999999995</v>
      </c>
    </row>
    <row r="876" spans="1:13" s="15" customFormat="1" x14ac:dyDescent="0.3">
      <c r="A876" s="17"/>
      <c r="B876"/>
      <c r="C876"/>
      <c r="D876"/>
      <c r="E876"/>
      <c r="F876"/>
      <c r="G876"/>
      <c r="H876"/>
      <c r="I876"/>
      <c r="L876" s="15">
        <v>3.620000000000001</v>
      </c>
      <c r="M876" s="54">
        <v>39.197927999999997</v>
      </c>
    </row>
    <row r="877" spans="1:13" s="15" customFormat="1" x14ac:dyDescent="0.3">
      <c r="A877" s="17"/>
      <c r="B877"/>
      <c r="C877"/>
      <c r="D877"/>
      <c r="E877"/>
      <c r="F877"/>
      <c r="G877"/>
      <c r="H877"/>
      <c r="I877"/>
      <c r="L877" s="15">
        <v>3.6300000000000008</v>
      </c>
      <c r="M877" s="54">
        <v>39.572147000000001</v>
      </c>
    </row>
    <row r="878" spans="1:13" s="15" customFormat="1" x14ac:dyDescent="0.3">
      <c r="A878" s="17"/>
      <c r="B878"/>
      <c r="C878"/>
      <c r="D878"/>
      <c r="E878"/>
      <c r="F878"/>
      <c r="G878"/>
      <c r="H878"/>
      <c r="I878"/>
      <c r="L878" s="15">
        <v>3.6400000000000006</v>
      </c>
      <c r="M878" s="54">
        <v>39.948544000000005</v>
      </c>
    </row>
    <row r="879" spans="1:13" s="15" customFormat="1" x14ac:dyDescent="0.3">
      <c r="A879" s="17"/>
      <c r="B879"/>
      <c r="C879"/>
      <c r="D879"/>
      <c r="E879"/>
      <c r="F879"/>
      <c r="G879"/>
      <c r="H879"/>
      <c r="I879"/>
      <c r="L879" s="15">
        <v>3.6500000000000004</v>
      </c>
      <c r="M879" s="54">
        <v>40.327125000000002</v>
      </c>
    </row>
    <row r="880" spans="1:13" s="15" customFormat="1" x14ac:dyDescent="0.3">
      <c r="A880" s="17"/>
      <c r="B880"/>
      <c r="C880"/>
      <c r="D880"/>
      <c r="E880"/>
      <c r="F880"/>
      <c r="G880"/>
      <c r="H880"/>
      <c r="I880"/>
      <c r="L880" s="15">
        <v>3.66</v>
      </c>
      <c r="M880" s="54">
        <v>40.707896000000005</v>
      </c>
    </row>
    <row r="881" spans="1:13" s="15" customFormat="1" x14ac:dyDescent="0.3">
      <c r="A881" s="17"/>
      <c r="B881"/>
      <c r="C881"/>
      <c r="D881"/>
      <c r="E881"/>
      <c r="F881"/>
      <c r="G881"/>
      <c r="H881"/>
      <c r="I881"/>
      <c r="L881" s="15">
        <v>3.67</v>
      </c>
      <c r="M881" s="54">
        <v>41.090862999999999</v>
      </c>
    </row>
    <row r="882" spans="1:13" s="15" customFormat="1" x14ac:dyDescent="0.3">
      <c r="A882" s="17"/>
      <c r="B882"/>
      <c r="C882"/>
      <c r="D882"/>
      <c r="E882"/>
      <c r="F882"/>
      <c r="G882"/>
      <c r="H882"/>
      <c r="I882"/>
      <c r="L882" s="15">
        <v>3.6799999999999997</v>
      </c>
      <c r="M882" s="54">
        <v>41.476032000000004</v>
      </c>
    </row>
    <row r="883" spans="1:13" s="15" customFormat="1" x14ac:dyDescent="0.3">
      <c r="A883" s="17"/>
      <c r="B883"/>
      <c r="C883"/>
      <c r="D883"/>
      <c r="E883"/>
      <c r="F883"/>
      <c r="G883"/>
      <c r="H883"/>
      <c r="I883"/>
      <c r="L883" s="15">
        <v>3.6899999999999995</v>
      </c>
      <c r="M883" s="54">
        <v>41.863408999999997</v>
      </c>
    </row>
    <row r="884" spans="1:13" s="15" customFormat="1" x14ac:dyDescent="0.3">
      <c r="A884" s="17"/>
      <c r="B884"/>
      <c r="C884"/>
      <c r="D884"/>
      <c r="E884"/>
      <c r="F884"/>
      <c r="G884"/>
      <c r="H884"/>
      <c r="I884"/>
      <c r="L884" s="15">
        <v>3.7000000000000011</v>
      </c>
      <c r="M884" s="54">
        <v>42.253000000000007</v>
      </c>
    </row>
    <row r="885" spans="1:13" s="15" customFormat="1" x14ac:dyDescent="0.3">
      <c r="A885" s="17"/>
      <c r="B885"/>
      <c r="C885"/>
      <c r="D885"/>
      <c r="E885"/>
      <c r="F885"/>
      <c r="G885"/>
      <c r="H885"/>
      <c r="I885"/>
      <c r="L885" s="15">
        <v>3.7100000000000009</v>
      </c>
      <c r="M885" s="54">
        <v>42.644810999999997</v>
      </c>
    </row>
    <row r="886" spans="1:13" s="15" customFormat="1" x14ac:dyDescent="0.3">
      <c r="A886" s="17"/>
      <c r="B886"/>
      <c r="C886"/>
      <c r="D886"/>
      <c r="E886"/>
      <c r="F886"/>
      <c r="G886"/>
      <c r="H886"/>
      <c r="I886"/>
      <c r="L886" s="15">
        <v>3.7200000000000006</v>
      </c>
      <c r="M886" s="54">
        <v>43.038848000000009</v>
      </c>
    </row>
    <row r="887" spans="1:13" s="15" customFormat="1" x14ac:dyDescent="0.3">
      <c r="A887" s="17"/>
      <c r="B887"/>
      <c r="C887"/>
      <c r="D887"/>
      <c r="E887"/>
      <c r="F887"/>
      <c r="G887"/>
      <c r="H887"/>
      <c r="I887"/>
      <c r="L887" s="15">
        <v>3.7300000000000004</v>
      </c>
      <c r="M887" s="54">
        <v>43.435116999999998</v>
      </c>
    </row>
    <row r="888" spans="1:13" s="15" customFormat="1" x14ac:dyDescent="0.3">
      <c r="A888" s="17"/>
      <c r="B888"/>
      <c r="C888"/>
      <c r="D888"/>
      <c r="E888"/>
      <c r="F888"/>
      <c r="G888"/>
      <c r="H888"/>
      <c r="I888"/>
      <c r="L888" s="15">
        <v>3.74</v>
      </c>
      <c r="M888" s="54">
        <v>43.833624000000015</v>
      </c>
    </row>
    <row r="889" spans="1:13" s="15" customFormat="1" x14ac:dyDescent="0.3">
      <c r="A889" s="17"/>
      <c r="B889"/>
      <c r="C889"/>
      <c r="D889"/>
      <c r="E889"/>
      <c r="F889"/>
      <c r="G889"/>
      <c r="H889"/>
      <c r="I889"/>
      <c r="L889" s="15">
        <v>3.75</v>
      </c>
      <c r="M889" s="54">
        <v>44.234375</v>
      </c>
    </row>
    <row r="890" spans="1:13" s="15" customFormat="1" x14ac:dyDescent="0.3">
      <c r="A890" s="17"/>
      <c r="B890"/>
      <c r="C890"/>
      <c r="D890"/>
      <c r="E890"/>
      <c r="F890"/>
      <c r="G890"/>
      <c r="H890"/>
      <c r="I890"/>
      <c r="L890" s="15">
        <v>3.76</v>
      </c>
      <c r="M890" s="54">
        <v>44.637375999999989</v>
      </c>
    </row>
    <row r="891" spans="1:13" s="15" customFormat="1" x14ac:dyDescent="0.3">
      <c r="A891" s="17"/>
      <c r="B891"/>
      <c r="C891"/>
      <c r="D891"/>
      <c r="E891"/>
      <c r="F891"/>
      <c r="G891"/>
      <c r="H891"/>
      <c r="I891"/>
      <c r="L891" s="15">
        <v>3.7699999999999996</v>
      </c>
      <c r="M891" s="54">
        <v>45.042633000000002</v>
      </c>
    </row>
    <row r="892" spans="1:13" s="15" customFormat="1" x14ac:dyDescent="0.3">
      <c r="A892" s="17"/>
      <c r="B892"/>
      <c r="C892"/>
      <c r="D892"/>
      <c r="E892"/>
      <c r="F892"/>
      <c r="G892"/>
      <c r="H892"/>
      <c r="I892"/>
      <c r="L892" s="15">
        <v>3.7799999999999994</v>
      </c>
      <c r="M892" s="54">
        <v>45.450151999999996</v>
      </c>
    </row>
    <row r="893" spans="1:13" s="15" customFormat="1" x14ac:dyDescent="0.3">
      <c r="A893" s="17"/>
      <c r="B893"/>
      <c r="C893"/>
      <c r="D893"/>
      <c r="E893"/>
      <c r="F893"/>
      <c r="G893"/>
      <c r="H893"/>
      <c r="I893"/>
      <c r="L893" s="15">
        <v>3.7900000000000009</v>
      </c>
      <c r="M893" s="54">
        <v>45.859939000000004</v>
      </c>
    </row>
    <row r="894" spans="1:13" s="15" customFormat="1" x14ac:dyDescent="0.3">
      <c r="A894" s="17"/>
      <c r="B894"/>
      <c r="C894"/>
      <c r="D894"/>
      <c r="E894"/>
      <c r="F894"/>
      <c r="G894"/>
      <c r="H894"/>
      <c r="I894"/>
      <c r="L894" s="15">
        <v>3.8000000000000007</v>
      </c>
      <c r="M894" s="54">
        <v>46.271999999999991</v>
      </c>
    </row>
    <row r="895" spans="1:13" s="15" customFormat="1" x14ac:dyDescent="0.3">
      <c r="A895" s="17"/>
      <c r="B895"/>
      <c r="C895"/>
      <c r="D895"/>
      <c r="E895"/>
      <c r="F895"/>
      <c r="G895"/>
      <c r="H895"/>
      <c r="I895"/>
      <c r="L895" s="15">
        <v>3.8100000000000005</v>
      </c>
      <c r="M895" s="54">
        <v>46.686341000000006</v>
      </c>
    </row>
    <row r="896" spans="1:13" s="15" customFormat="1" x14ac:dyDescent="0.3">
      <c r="A896" s="17"/>
      <c r="B896"/>
      <c r="C896"/>
      <c r="D896"/>
      <c r="E896"/>
      <c r="F896"/>
      <c r="G896"/>
      <c r="H896"/>
      <c r="I896"/>
      <c r="L896" s="15">
        <v>3.8200000000000003</v>
      </c>
      <c r="M896" s="54">
        <v>47.102967999999997</v>
      </c>
    </row>
    <row r="897" spans="1:13" s="15" customFormat="1" x14ac:dyDescent="0.3">
      <c r="A897" s="17"/>
      <c r="B897"/>
      <c r="C897"/>
      <c r="D897"/>
      <c r="E897"/>
      <c r="F897"/>
      <c r="G897"/>
      <c r="H897"/>
      <c r="I897"/>
      <c r="L897" s="15">
        <v>3.83</v>
      </c>
      <c r="M897" s="54">
        <v>47.521887000000007</v>
      </c>
    </row>
    <row r="898" spans="1:13" s="15" customFormat="1" x14ac:dyDescent="0.3">
      <c r="A898" s="17"/>
      <c r="B898"/>
      <c r="C898"/>
      <c r="D898"/>
      <c r="E898"/>
      <c r="F898"/>
      <c r="G898"/>
      <c r="H898"/>
      <c r="I898"/>
      <c r="L898" s="15">
        <v>3.84</v>
      </c>
      <c r="M898" s="54">
        <v>47.943103999999998</v>
      </c>
    </row>
    <row r="899" spans="1:13" s="15" customFormat="1" x14ac:dyDescent="0.3">
      <c r="A899" s="17"/>
      <c r="B899"/>
      <c r="C899"/>
      <c r="D899"/>
      <c r="E899"/>
      <c r="F899"/>
      <c r="G899"/>
      <c r="H899"/>
      <c r="I899"/>
      <c r="L899" s="15">
        <v>3.8499999999999996</v>
      </c>
      <c r="M899" s="54">
        <v>48.366625000000006</v>
      </c>
    </row>
    <row r="900" spans="1:13" s="15" customFormat="1" x14ac:dyDescent="0.3">
      <c r="A900" s="17"/>
      <c r="B900"/>
      <c r="C900"/>
      <c r="D900"/>
      <c r="E900"/>
      <c r="F900"/>
      <c r="G900"/>
      <c r="H900"/>
      <c r="I900"/>
      <c r="L900" s="15">
        <v>3.8599999999999994</v>
      </c>
      <c r="M900" s="54">
        <v>48.792455999999994</v>
      </c>
    </row>
    <row r="901" spans="1:13" s="15" customFormat="1" x14ac:dyDescent="0.3">
      <c r="A901" s="17"/>
      <c r="B901"/>
      <c r="C901"/>
      <c r="D901"/>
      <c r="E901"/>
      <c r="F901"/>
      <c r="G901"/>
      <c r="H901"/>
      <c r="I901"/>
      <c r="L901" s="15">
        <v>3.870000000000001</v>
      </c>
      <c r="M901" s="54">
        <v>49.220603000000004</v>
      </c>
    </row>
    <row r="902" spans="1:13" s="15" customFormat="1" x14ac:dyDescent="0.3">
      <c r="A902" s="17"/>
      <c r="B902"/>
      <c r="C902"/>
      <c r="D902"/>
      <c r="E902"/>
      <c r="F902"/>
      <c r="G902"/>
      <c r="H902"/>
      <c r="I902"/>
      <c r="L902" s="15">
        <v>3.8800000000000008</v>
      </c>
      <c r="M902" s="54">
        <v>49.651071999999999</v>
      </c>
    </row>
    <row r="903" spans="1:13" s="15" customFormat="1" x14ac:dyDescent="0.3">
      <c r="A903" s="17"/>
      <c r="B903"/>
      <c r="C903"/>
      <c r="D903"/>
      <c r="E903"/>
      <c r="F903"/>
      <c r="G903"/>
      <c r="H903"/>
      <c r="I903"/>
      <c r="L903" s="15">
        <v>3.8900000000000006</v>
      </c>
      <c r="M903" s="54">
        <v>50.083869000000007</v>
      </c>
    </row>
    <row r="904" spans="1:13" s="15" customFormat="1" x14ac:dyDescent="0.3">
      <c r="A904" s="17"/>
      <c r="B904"/>
      <c r="C904"/>
      <c r="D904"/>
      <c r="E904"/>
      <c r="F904"/>
      <c r="G904"/>
      <c r="H904"/>
      <c r="I904"/>
      <c r="L904" s="15">
        <v>3.9000000000000004</v>
      </c>
      <c r="M904" s="54">
        <v>50.518999999999998</v>
      </c>
    </row>
    <row r="905" spans="1:13" s="15" customFormat="1" x14ac:dyDescent="0.3">
      <c r="A905" s="17"/>
      <c r="B905"/>
      <c r="C905"/>
      <c r="D905"/>
      <c r="E905"/>
      <c r="F905"/>
      <c r="G905"/>
      <c r="H905"/>
      <c r="I905"/>
      <c r="L905" s="15">
        <v>3.91</v>
      </c>
      <c r="M905" s="54">
        <v>50.956471000000008</v>
      </c>
    </row>
    <row r="906" spans="1:13" s="15" customFormat="1" x14ac:dyDescent="0.3">
      <c r="A906" s="17"/>
      <c r="B906"/>
      <c r="C906"/>
      <c r="D906"/>
      <c r="E906"/>
      <c r="F906"/>
      <c r="G906"/>
      <c r="H906"/>
      <c r="I906"/>
      <c r="L906" s="15">
        <v>3.92</v>
      </c>
      <c r="M906" s="54">
        <v>51.396287999999998</v>
      </c>
    </row>
    <row r="907" spans="1:13" s="15" customFormat="1" x14ac:dyDescent="0.3">
      <c r="A907" s="17"/>
      <c r="B907"/>
      <c r="C907"/>
      <c r="D907"/>
      <c r="E907"/>
      <c r="F907"/>
      <c r="G907"/>
      <c r="H907"/>
      <c r="I907"/>
      <c r="L907" s="15">
        <v>3.9299999999999997</v>
      </c>
      <c r="M907" s="54">
        <v>51.838457000000005</v>
      </c>
    </row>
    <row r="908" spans="1:13" s="15" customFormat="1" x14ac:dyDescent="0.3">
      <c r="A908" s="17"/>
      <c r="B908"/>
      <c r="C908"/>
      <c r="D908"/>
      <c r="E908"/>
      <c r="F908"/>
      <c r="G908"/>
      <c r="H908"/>
      <c r="I908"/>
      <c r="L908" s="15">
        <v>3.9399999999999995</v>
      </c>
      <c r="M908" s="54">
        <v>52.282983999999999</v>
      </c>
    </row>
    <row r="909" spans="1:13" s="15" customFormat="1" x14ac:dyDescent="0.3">
      <c r="A909" s="17"/>
      <c r="B909"/>
      <c r="C909"/>
      <c r="D909"/>
      <c r="E909"/>
      <c r="F909"/>
      <c r="G909"/>
      <c r="H909"/>
      <c r="I909"/>
      <c r="L909" s="15">
        <v>3.9500000000000011</v>
      </c>
      <c r="M909" s="54">
        <v>52.729875000000007</v>
      </c>
    </row>
    <row r="910" spans="1:13" s="15" customFormat="1" x14ac:dyDescent="0.3">
      <c r="A910" s="17"/>
      <c r="B910"/>
      <c r="C910"/>
      <c r="D910"/>
      <c r="E910"/>
      <c r="F910"/>
      <c r="G910"/>
      <c r="H910"/>
      <c r="I910"/>
      <c r="L910" s="15">
        <v>3.9600000000000009</v>
      </c>
      <c r="M910" s="54">
        <v>53.179135999999993</v>
      </c>
    </row>
    <row r="911" spans="1:13" s="15" customFormat="1" x14ac:dyDescent="0.3">
      <c r="A911" s="17"/>
      <c r="B911"/>
      <c r="C911"/>
      <c r="D911"/>
      <c r="E911"/>
      <c r="F911"/>
      <c r="G911"/>
      <c r="H911"/>
      <c r="I911"/>
      <c r="L911" s="15">
        <v>3.9700000000000006</v>
      </c>
      <c r="M911" s="54">
        <v>53.630773000000012</v>
      </c>
    </row>
    <row r="912" spans="1:13" s="15" customFormat="1" x14ac:dyDescent="0.3">
      <c r="A912" s="17"/>
      <c r="B912"/>
      <c r="C912"/>
      <c r="D912"/>
      <c r="E912"/>
      <c r="F912"/>
      <c r="G912"/>
      <c r="H912"/>
      <c r="I912"/>
      <c r="L912" s="15">
        <v>3.9800000000000004</v>
      </c>
      <c r="M912" s="54">
        <v>54.084792</v>
      </c>
    </row>
    <row r="913" spans="1:13" s="15" customFormat="1" x14ac:dyDescent="0.3">
      <c r="A913" s="17"/>
      <c r="B913"/>
      <c r="C913"/>
      <c r="D913"/>
      <c r="E913"/>
      <c r="F913"/>
      <c r="G913"/>
      <c r="H913"/>
      <c r="I913"/>
      <c r="L913" s="15">
        <v>3.99</v>
      </c>
      <c r="M913" s="54">
        <v>54.541199000000006</v>
      </c>
    </row>
    <row r="914" spans="1:13" s="15" customFormat="1" x14ac:dyDescent="0.3">
      <c r="A914" s="17"/>
      <c r="B914"/>
      <c r="C914"/>
      <c r="D914"/>
      <c r="E914"/>
      <c r="F914"/>
      <c r="G914"/>
      <c r="H914"/>
      <c r="I914"/>
      <c r="L914" s="15">
        <v>4</v>
      </c>
      <c r="M914" s="54">
        <v>55</v>
      </c>
    </row>
    <row r="915" spans="1:13" s="15" customFormat="1" x14ac:dyDescent="0.3">
      <c r="A915" s="17"/>
      <c r="B915"/>
      <c r="C915"/>
      <c r="D915"/>
      <c r="E915"/>
      <c r="F915"/>
      <c r="G915"/>
      <c r="H915"/>
      <c r="I915"/>
      <c r="L915" s="15">
        <v>4.01</v>
      </c>
      <c r="M915" s="54">
        <v>55.461200999999988</v>
      </c>
    </row>
    <row r="916" spans="1:13" s="15" customFormat="1" x14ac:dyDescent="0.3">
      <c r="A916" s="17"/>
      <c r="B916"/>
      <c r="C916"/>
      <c r="D916"/>
      <c r="E916"/>
      <c r="F916"/>
      <c r="G916"/>
      <c r="H916"/>
      <c r="I916"/>
      <c r="L916" s="15">
        <v>4.0199999999999996</v>
      </c>
      <c r="M916" s="54">
        <v>55.924807999999977</v>
      </c>
    </row>
    <row r="917" spans="1:13" s="15" customFormat="1" x14ac:dyDescent="0.3">
      <c r="A917" s="17"/>
      <c r="B917"/>
      <c r="C917"/>
      <c r="D917"/>
      <c r="E917"/>
      <c r="F917"/>
      <c r="G917"/>
      <c r="H917"/>
      <c r="I917"/>
      <c r="L917" s="15">
        <v>4.0299999999999994</v>
      </c>
      <c r="M917" s="54">
        <v>56.390827000000016</v>
      </c>
    </row>
    <row r="918" spans="1:13" s="15" customFormat="1" x14ac:dyDescent="0.3">
      <c r="A918" s="17"/>
      <c r="B918"/>
      <c r="C918"/>
      <c r="D918"/>
      <c r="E918"/>
      <c r="F918"/>
      <c r="G918"/>
      <c r="H918"/>
      <c r="I918"/>
      <c r="L918" s="15">
        <v>4.0400000000000009</v>
      </c>
      <c r="M918" s="54">
        <v>56.859263999999996</v>
      </c>
    </row>
    <row r="919" spans="1:13" s="15" customFormat="1" x14ac:dyDescent="0.3">
      <c r="A919" s="17"/>
      <c r="B919"/>
      <c r="C919"/>
      <c r="D919"/>
      <c r="E919"/>
      <c r="F919"/>
      <c r="G919"/>
      <c r="H919"/>
      <c r="I919"/>
      <c r="L919" s="15">
        <v>4.0500000000000007</v>
      </c>
      <c r="M919" s="54">
        <v>57.330124999999988</v>
      </c>
    </row>
    <row r="920" spans="1:13" s="15" customFormat="1" x14ac:dyDescent="0.3">
      <c r="A920" s="17"/>
      <c r="B920"/>
      <c r="C920"/>
      <c r="D920"/>
      <c r="E920"/>
      <c r="F920"/>
      <c r="G920"/>
      <c r="H920"/>
      <c r="I920"/>
      <c r="L920" s="15">
        <v>4.0600000000000005</v>
      </c>
      <c r="M920" s="54">
        <v>57.803415999999977</v>
      </c>
    </row>
    <row r="921" spans="1:13" s="15" customFormat="1" x14ac:dyDescent="0.3">
      <c r="A921" s="17"/>
      <c r="B921"/>
      <c r="C921"/>
      <c r="D921"/>
      <c r="E921"/>
      <c r="F921"/>
      <c r="G921"/>
      <c r="H921"/>
      <c r="I921"/>
      <c r="L921" s="15">
        <v>4.07</v>
      </c>
      <c r="M921" s="54">
        <v>58.279143000000005</v>
      </c>
    </row>
    <row r="922" spans="1:13" s="15" customFormat="1" x14ac:dyDescent="0.3">
      <c r="A922" s="17"/>
      <c r="B922"/>
      <c r="C922"/>
      <c r="D922"/>
      <c r="E922"/>
      <c r="F922"/>
      <c r="G922"/>
      <c r="H922"/>
      <c r="I922"/>
      <c r="L922" s="15">
        <v>4.08</v>
      </c>
      <c r="M922" s="54">
        <v>58.757311999999999</v>
      </c>
    </row>
    <row r="923" spans="1:13" s="15" customFormat="1" x14ac:dyDescent="0.3">
      <c r="A923" s="17"/>
      <c r="B923"/>
      <c r="C923"/>
      <c r="D923"/>
      <c r="E923"/>
      <c r="F923"/>
      <c r="G923"/>
      <c r="H923"/>
      <c r="I923"/>
      <c r="L923" s="15">
        <v>4.09</v>
      </c>
      <c r="M923" s="54">
        <v>59.237928999999987</v>
      </c>
    </row>
    <row r="924" spans="1:13" s="15" customFormat="1" x14ac:dyDescent="0.3">
      <c r="A924" s="17"/>
      <c r="B924"/>
      <c r="C924"/>
      <c r="D924"/>
      <c r="E924"/>
      <c r="F924"/>
      <c r="G924"/>
      <c r="H924"/>
      <c r="I924"/>
      <c r="L924" s="15">
        <v>4.0999999999999996</v>
      </c>
      <c r="M924" s="54">
        <v>59.720999999999989</v>
      </c>
    </row>
    <row r="925" spans="1:13" s="15" customFormat="1" x14ac:dyDescent="0.3">
      <c r="A925" s="17"/>
      <c r="B925"/>
      <c r="C925"/>
      <c r="D925"/>
      <c r="E925"/>
      <c r="F925"/>
      <c r="G925"/>
      <c r="H925"/>
      <c r="I925"/>
      <c r="L925" s="15">
        <v>4.1099999999999994</v>
      </c>
      <c r="M925" s="54">
        <v>60.206531000000012</v>
      </c>
    </row>
    <row r="926" spans="1:13" s="15" customFormat="1" x14ac:dyDescent="0.3">
      <c r="A926" s="17"/>
      <c r="B926"/>
      <c r="C926"/>
      <c r="D926"/>
      <c r="E926"/>
      <c r="F926"/>
      <c r="G926"/>
      <c r="H926"/>
      <c r="I926"/>
      <c r="L926" s="15">
        <v>4.120000000000001</v>
      </c>
      <c r="M926" s="54">
        <v>60.694527999999998</v>
      </c>
    </row>
    <row r="927" spans="1:13" s="15" customFormat="1" x14ac:dyDescent="0.3">
      <c r="A927" s="17"/>
      <c r="B927"/>
      <c r="C927"/>
      <c r="D927"/>
      <c r="E927"/>
      <c r="F927"/>
      <c r="G927"/>
      <c r="H927"/>
      <c r="I927"/>
      <c r="L927" s="15">
        <v>4.1300000000000008</v>
      </c>
      <c r="M927" s="54">
        <v>61.184996999999989</v>
      </c>
    </row>
    <row r="928" spans="1:13" s="15" customFormat="1" x14ac:dyDescent="0.3">
      <c r="A928" s="17"/>
      <c r="B928"/>
      <c r="C928"/>
      <c r="D928"/>
      <c r="E928"/>
      <c r="F928"/>
      <c r="G928"/>
      <c r="H928"/>
      <c r="I928"/>
      <c r="L928" s="15">
        <v>4.1400000000000006</v>
      </c>
      <c r="M928" s="54">
        <v>61.677943999999982</v>
      </c>
    </row>
    <row r="929" spans="1:13" s="15" customFormat="1" x14ac:dyDescent="0.3">
      <c r="A929" s="17"/>
      <c r="B929"/>
      <c r="C929"/>
      <c r="D929"/>
      <c r="E929"/>
      <c r="F929"/>
      <c r="G929"/>
      <c r="H929"/>
      <c r="I929"/>
      <c r="L929" s="15">
        <v>4.1500000000000004</v>
      </c>
      <c r="M929" s="54">
        <v>62.173375000000021</v>
      </c>
    </row>
    <row r="930" spans="1:13" s="15" customFormat="1" x14ac:dyDescent="0.3">
      <c r="A930" s="17"/>
      <c r="B930"/>
      <c r="C930"/>
      <c r="D930"/>
      <c r="E930"/>
      <c r="F930"/>
      <c r="G930"/>
      <c r="H930"/>
      <c r="I930"/>
      <c r="L930" s="15">
        <v>4.16</v>
      </c>
      <c r="M930" s="54">
        <v>62.671296000000005</v>
      </c>
    </row>
    <row r="931" spans="1:13" s="15" customFormat="1" x14ac:dyDescent="0.3">
      <c r="A931" s="17"/>
      <c r="B931"/>
      <c r="C931"/>
      <c r="D931"/>
      <c r="E931"/>
      <c r="F931"/>
      <c r="G931"/>
      <c r="H931"/>
      <c r="I931"/>
      <c r="L931" s="15">
        <v>4.17</v>
      </c>
      <c r="M931" s="54">
        <v>63.171712999999997</v>
      </c>
    </row>
    <row r="932" spans="1:13" s="15" customFormat="1" x14ac:dyDescent="0.3">
      <c r="A932" s="17"/>
      <c r="B932"/>
      <c r="C932"/>
      <c r="D932"/>
      <c r="E932"/>
      <c r="F932"/>
      <c r="G932"/>
      <c r="H932"/>
      <c r="I932"/>
      <c r="L932" s="15">
        <v>4.18</v>
      </c>
      <c r="M932" s="54">
        <v>63.674631999999988</v>
      </c>
    </row>
    <row r="933" spans="1:13" s="15" customFormat="1" x14ac:dyDescent="0.3">
      <c r="A933" s="17"/>
      <c r="B933"/>
      <c r="C933"/>
      <c r="D933"/>
      <c r="E933"/>
      <c r="F933"/>
      <c r="G933"/>
      <c r="H933"/>
      <c r="I933"/>
      <c r="L933" s="15">
        <v>4.1899999999999995</v>
      </c>
      <c r="M933" s="54">
        <v>64.180059000000028</v>
      </c>
    </row>
    <row r="934" spans="1:13" s="15" customFormat="1" x14ac:dyDescent="0.3">
      <c r="A934" s="17"/>
      <c r="B934"/>
      <c r="C934"/>
      <c r="D934"/>
      <c r="E934"/>
      <c r="F934"/>
      <c r="G934"/>
      <c r="H934"/>
      <c r="I934"/>
      <c r="L934" s="15">
        <v>4.2000000000000011</v>
      </c>
      <c r="M934" s="54">
        <v>64.688000000000002</v>
      </c>
    </row>
    <row r="935" spans="1:13" s="15" customFormat="1" x14ac:dyDescent="0.3">
      <c r="A935" s="17"/>
      <c r="B935"/>
      <c r="C935"/>
      <c r="D935"/>
      <c r="E935"/>
      <c r="F935"/>
      <c r="G935"/>
      <c r="H935"/>
      <c r="I935"/>
      <c r="L935" s="15">
        <v>4.2100000000000009</v>
      </c>
      <c r="M935" s="54">
        <v>65.198460999999995</v>
      </c>
    </row>
    <row r="936" spans="1:13" s="15" customFormat="1" x14ac:dyDescent="0.3">
      <c r="A936" s="17"/>
      <c r="B936"/>
      <c r="C936"/>
      <c r="D936"/>
      <c r="E936"/>
      <c r="F936"/>
      <c r="G936"/>
      <c r="H936"/>
      <c r="I936"/>
      <c r="L936" s="15">
        <v>4.2200000000000006</v>
      </c>
      <c r="M936" s="54">
        <v>65.71144799999999</v>
      </c>
    </row>
    <row r="937" spans="1:13" s="15" customFormat="1" x14ac:dyDescent="0.3">
      <c r="A937" s="17"/>
      <c r="B937"/>
      <c r="C937"/>
      <c r="D937"/>
      <c r="E937"/>
      <c r="F937"/>
      <c r="G937"/>
      <c r="H937"/>
      <c r="I937"/>
      <c r="L937" s="15">
        <v>4.2300000000000004</v>
      </c>
      <c r="M937" s="54">
        <v>66.22696700000003</v>
      </c>
    </row>
    <row r="938" spans="1:13" s="15" customFormat="1" x14ac:dyDescent="0.3">
      <c r="A938" s="17"/>
      <c r="B938"/>
      <c r="C938"/>
      <c r="D938"/>
      <c r="E938"/>
      <c r="F938"/>
      <c r="G938"/>
      <c r="H938"/>
      <c r="I938"/>
      <c r="L938" s="15">
        <v>4.24</v>
      </c>
      <c r="M938" s="54">
        <v>66.745024000000015</v>
      </c>
    </row>
    <row r="939" spans="1:13" s="15" customFormat="1" x14ac:dyDescent="0.3">
      <c r="A939" s="17"/>
      <c r="B939"/>
      <c r="C939"/>
      <c r="D939"/>
      <c r="E939"/>
      <c r="F939"/>
      <c r="G939"/>
      <c r="H939"/>
      <c r="I939"/>
      <c r="L939" s="15">
        <v>4.25</v>
      </c>
      <c r="M939" s="54">
        <v>67.265625</v>
      </c>
    </row>
    <row r="940" spans="1:13" s="15" customFormat="1" x14ac:dyDescent="0.3">
      <c r="A940" s="17"/>
      <c r="B940"/>
      <c r="C940"/>
      <c r="D940"/>
      <c r="E940"/>
      <c r="F940"/>
      <c r="G940"/>
      <c r="H940"/>
      <c r="I940"/>
      <c r="L940" s="15">
        <v>4.26</v>
      </c>
      <c r="M940" s="54">
        <v>67.788775999999984</v>
      </c>
    </row>
    <row r="941" spans="1:13" s="15" customFormat="1" x14ac:dyDescent="0.3">
      <c r="A941" s="17"/>
      <c r="B941"/>
      <c r="C941"/>
      <c r="D941"/>
      <c r="E941"/>
      <c r="F941"/>
      <c r="G941"/>
      <c r="H941"/>
      <c r="I941"/>
      <c r="L941" s="15">
        <v>4.2699999999999996</v>
      </c>
      <c r="M941" s="54">
        <v>68.314482999999967</v>
      </c>
    </row>
    <row r="942" spans="1:13" s="15" customFormat="1" x14ac:dyDescent="0.3">
      <c r="A942" s="17"/>
      <c r="B942"/>
      <c r="C942"/>
      <c r="D942"/>
      <c r="E942"/>
      <c r="F942"/>
      <c r="G942"/>
      <c r="H942"/>
      <c r="I942"/>
      <c r="L942" s="15">
        <v>4.2799999999999994</v>
      </c>
      <c r="M942" s="54">
        <v>68.842752000000004</v>
      </c>
    </row>
    <row r="943" spans="1:13" s="15" customFormat="1" x14ac:dyDescent="0.3">
      <c r="A943" s="17"/>
      <c r="B943"/>
      <c r="C943"/>
      <c r="D943"/>
      <c r="E943"/>
      <c r="F943"/>
      <c r="G943"/>
      <c r="H943"/>
      <c r="I943"/>
      <c r="L943" s="15">
        <v>4.2900000000000009</v>
      </c>
      <c r="M943" s="54">
        <v>69.373588999999996</v>
      </c>
    </row>
    <row r="944" spans="1:13" s="15" customFormat="1" x14ac:dyDescent="0.3">
      <c r="A944" s="17"/>
      <c r="B944"/>
      <c r="C944"/>
      <c r="D944"/>
      <c r="E944"/>
      <c r="F944"/>
      <c r="G944"/>
      <c r="H944"/>
      <c r="I944"/>
      <c r="L944" s="15">
        <v>4.3000000000000007</v>
      </c>
      <c r="M944" s="54">
        <v>69.906999999999996</v>
      </c>
    </row>
    <row r="945" spans="1:13" s="15" customFormat="1" x14ac:dyDescent="0.3">
      <c r="A945" s="17"/>
      <c r="B945"/>
      <c r="C945"/>
      <c r="D945"/>
      <c r="E945"/>
      <c r="F945"/>
      <c r="G945"/>
      <c r="H945"/>
      <c r="I945"/>
      <c r="L945" s="15">
        <v>4.3100000000000005</v>
      </c>
      <c r="M945" s="54">
        <v>70.442990999999978</v>
      </c>
    </row>
    <row r="946" spans="1:13" s="15" customFormat="1" x14ac:dyDescent="0.3">
      <c r="A946" s="17"/>
      <c r="B946"/>
      <c r="C946"/>
      <c r="D946"/>
      <c r="E946"/>
      <c r="F946"/>
      <c r="G946"/>
      <c r="H946"/>
      <c r="I946"/>
      <c r="L946" s="15">
        <v>4.32</v>
      </c>
      <c r="M946" s="54">
        <v>70.98156800000001</v>
      </c>
    </row>
    <row r="947" spans="1:13" s="15" customFormat="1" x14ac:dyDescent="0.3">
      <c r="A947" s="17"/>
      <c r="B947"/>
      <c r="C947"/>
      <c r="D947"/>
      <c r="E947"/>
      <c r="F947"/>
      <c r="G947"/>
      <c r="H947"/>
      <c r="I947"/>
      <c r="L947" s="15">
        <v>4.33</v>
      </c>
      <c r="M947" s="54">
        <v>71.522737000000006</v>
      </c>
    </row>
    <row r="948" spans="1:13" s="15" customFormat="1" x14ac:dyDescent="0.3">
      <c r="A948" s="17"/>
      <c r="B948"/>
      <c r="C948"/>
      <c r="D948"/>
      <c r="E948"/>
      <c r="F948"/>
      <c r="G948"/>
      <c r="H948"/>
      <c r="I948"/>
      <c r="L948" s="15">
        <v>4.34</v>
      </c>
      <c r="M948" s="54">
        <v>72.066504000000009</v>
      </c>
    </row>
    <row r="949" spans="1:13" s="15" customFormat="1" x14ac:dyDescent="0.3">
      <c r="A949" s="17"/>
      <c r="B949"/>
      <c r="C949"/>
      <c r="D949"/>
      <c r="E949"/>
      <c r="F949"/>
      <c r="G949"/>
      <c r="H949"/>
      <c r="I949"/>
      <c r="L949" s="15">
        <v>4.3499999999999996</v>
      </c>
      <c r="M949" s="54">
        <v>72.612874999999974</v>
      </c>
    </row>
    <row r="950" spans="1:13" s="15" customFormat="1" x14ac:dyDescent="0.3">
      <c r="A950" s="17"/>
      <c r="B950"/>
      <c r="C950"/>
      <c r="D950"/>
      <c r="E950"/>
      <c r="F950"/>
      <c r="G950"/>
      <c r="H950"/>
      <c r="I950"/>
      <c r="L950" s="15">
        <v>4.3599999999999994</v>
      </c>
      <c r="M950" s="54">
        <v>73.161856000000014</v>
      </c>
    </row>
    <row r="951" spans="1:13" s="15" customFormat="1" x14ac:dyDescent="0.3">
      <c r="A951" s="17"/>
      <c r="B951"/>
      <c r="C951"/>
      <c r="D951"/>
      <c r="E951"/>
      <c r="F951"/>
      <c r="G951"/>
      <c r="H951"/>
      <c r="I951"/>
      <c r="L951" s="15">
        <v>4.370000000000001</v>
      </c>
      <c r="M951" s="54">
        <v>73.713453000000015</v>
      </c>
    </row>
    <row r="952" spans="1:13" s="15" customFormat="1" x14ac:dyDescent="0.3">
      <c r="A952" s="17"/>
      <c r="B952"/>
      <c r="C952"/>
      <c r="D952"/>
      <c r="E952"/>
      <c r="F952"/>
      <c r="G952"/>
      <c r="H952"/>
      <c r="I952"/>
      <c r="L952" s="15">
        <v>4.3800000000000008</v>
      </c>
      <c r="M952" s="54">
        <v>74.26767199999999</v>
      </c>
    </row>
    <row r="953" spans="1:13" s="15" customFormat="1" x14ac:dyDescent="0.3">
      <c r="A953" s="17"/>
      <c r="B953"/>
      <c r="C953"/>
      <c r="D953"/>
      <c r="E953"/>
      <c r="F953"/>
      <c r="G953"/>
      <c r="H953"/>
      <c r="I953"/>
      <c r="L953" s="15">
        <v>4.3900000000000006</v>
      </c>
      <c r="M953" s="54">
        <v>74.824518999999981</v>
      </c>
    </row>
    <row r="954" spans="1:13" s="15" customFormat="1" x14ac:dyDescent="0.3">
      <c r="A954" s="17"/>
      <c r="B954"/>
      <c r="C954"/>
      <c r="D954"/>
      <c r="E954"/>
      <c r="F954"/>
      <c r="G954"/>
      <c r="H954"/>
      <c r="I954"/>
      <c r="L954" s="15">
        <v>4.4000000000000004</v>
      </c>
      <c r="M954" s="54">
        <v>75.384000000000029</v>
      </c>
    </row>
    <row r="955" spans="1:13" s="15" customFormat="1" x14ac:dyDescent="0.3">
      <c r="A955" s="17"/>
      <c r="B955"/>
      <c r="C955"/>
      <c r="D955"/>
      <c r="E955"/>
      <c r="F955"/>
      <c r="G955"/>
      <c r="H955"/>
      <c r="I955"/>
      <c r="L955" s="15">
        <v>4.41</v>
      </c>
      <c r="M955" s="54">
        <v>75.946121000000005</v>
      </c>
    </row>
    <row r="956" spans="1:13" s="15" customFormat="1" x14ac:dyDescent="0.3">
      <c r="A956" s="17"/>
      <c r="B956"/>
      <c r="C956"/>
      <c r="D956"/>
      <c r="E956"/>
      <c r="F956"/>
      <c r="G956"/>
      <c r="H956"/>
      <c r="I956"/>
      <c r="L956" s="15">
        <v>4.42</v>
      </c>
      <c r="M956" s="54">
        <v>76.510887999999994</v>
      </c>
    </row>
    <row r="957" spans="1:13" s="15" customFormat="1" x14ac:dyDescent="0.3">
      <c r="A957" s="17"/>
      <c r="B957"/>
      <c r="C957"/>
      <c r="D957"/>
      <c r="E957"/>
      <c r="F957"/>
      <c r="G957"/>
      <c r="H957"/>
      <c r="I957"/>
      <c r="L957" s="15">
        <v>4.43</v>
      </c>
      <c r="M957" s="54">
        <v>77.078306999999981</v>
      </c>
    </row>
    <row r="958" spans="1:13" s="15" customFormat="1" x14ac:dyDescent="0.3">
      <c r="A958" s="17"/>
      <c r="B958"/>
      <c r="C958"/>
      <c r="D958"/>
      <c r="E958"/>
      <c r="F958"/>
      <c r="G958"/>
      <c r="H958"/>
      <c r="I958"/>
      <c r="L958" s="15">
        <v>4.4399999999999995</v>
      </c>
      <c r="M958" s="54">
        <v>77.648384000000021</v>
      </c>
    </row>
    <row r="959" spans="1:13" s="15" customFormat="1" x14ac:dyDescent="0.3">
      <c r="A959" s="17"/>
      <c r="B959"/>
      <c r="C959"/>
      <c r="D959"/>
      <c r="E959"/>
      <c r="F959"/>
      <c r="G959"/>
      <c r="H959"/>
      <c r="I959"/>
      <c r="L959" s="15">
        <v>4.4500000000000011</v>
      </c>
      <c r="M959" s="54">
        <v>78.221125000000001</v>
      </c>
    </row>
    <row r="960" spans="1:13" s="15" customFormat="1" x14ac:dyDescent="0.3">
      <c r="A960" s="17"/>
      <c r="B960"/>
      <c r="C960"/>
      <c r="D960"/>
      <c r="E960"/>
      <c r="F960"/>
      <c r="G960"/>
      <c r="H960"/>
      <c r="I960"/>
      <c r="L960" s="15">
        <v>4.4600000000000009</v>
      </c>
      <c r="M960" s="54">
        <v>78.796536000000003</v>
      </c>
    </row>
    <row r="961" spans="1:13" s="15" customFormat="1" x14ac:dyDescent="0.3">
      <c r="A961" s="17"/>
      <c r="B961"/>
      <c r="C961"/>
      <c r="D961"/>
      <c r="E961"/>
      <c r="F961"/>
      <c r="G961"/>
      <c r="H961"/>
      <c r="I961"/>
      <c r="L961" s="15">
        <v>4.4700000000000006</v>
      </c>
      <c r="M961" s="54">
        <v>79.374622999999985</v>
      </c>
    </row>
    <row r="962" spans="1:13" s="15" customFormat="1" x14ac:dyDescent="0.3">
      <c r="A962" s="17"/>
      <c r="B962"/>
      <c r="C962"/>
      <c r="D962"/>
      <c r="E962"/>
      <c r="F962"/>
      <c r="G962"/>
      <c r="H962"/>
      <c r="I962"/>
      <c r="L962" s="15">
        <v>4.4800000000000004</v>
      </c>
      <c r="M962" s="54">
        <v>79.955392000000018</v>
      </c>
    </row>
    <row r="963" spans="1:13" s="15" customFormat="1" x14ac:dyDescent="0.3">
      <c r="A963" s="17"/>
      <c r="B963"/>
      <c r="C963"/>
      <c r="D963"/>
      <c r="E963"/>
      <c r="F963"/>
      <c r="G963"/>
      <c r="H963"/>
      <c r="I963"/>
      <c r="L963" s="15">
        <v>4.49</v>
      </c>
      <c r="M963" s="54">
        <v>80.538849000000013</v>
      </c>
    </row>
    <row r="964" spans="1:13" s="15" customFormat="1" x14ac:dyDescent="0.3">
      <c r="A964" s="17"/>
      <c r="B964"/>
      <c r="C964"/>
      <c r="D964"/>
      <c r="E964"/>
      <c r="F964"/>
      <c r="G964"/>
      <c r="H964"/>
      <c r="I964"/>
      <c r="L964" s="15">
        <v>4.5</v>
      </c>
      <c r="M964" s="54">
        <v>81.125</v>
      </c>
    </row>
    <row r="965" spans="1:13" s="15" customFormat="1" x14ac:dyDescent="0.3">
      <c r="A965" s="17"/>
      <c r="B965"/>
      <c r="C965"/>
      <c r="D965"/>
      <c r="E965"/>
      <c r="F965"/>
      <c r="G965"/>
      <c r="H965"/>
      <c r="I965"/>
      <c r="L965" s="15">
        <v>4.51</v>
      </c>
      <c r="M965" s="54">
        <v>81.713850999999991</v>
      </c>
    </row>
    <row r="966" spans="1:13" s="15" customFormat="1" x14ac:dyDescent="0.3">
      <c r="A966" s="17"/>
      <c r="B966"/>
      <c r="C966"/>
      <c r="D966"/>
      <c r="E966"/>
      <c r="F966"/>
      <c r="G966"/>
      <c r="H966"/>
      <c r="I966"/>
      <c r="L966" s="15">
        <v>4.5199999999999996</v>
      </c>
      <c r="M966" s="54">
        <v>82.305407999999971</v>
      </c>
    </row>
    <row r="967" spans="1:13" s="15" customFormat="1" x14ac:dyDescent="0.3">
      <c r="A967" s="17"/>
      <c r="B967"/>
      <c r="C967"/>
      <c r="D967"/>
      <c r="E967"/>
      <c r="F967"/>
      <c r="G967"/>
      <c r="H967"/>
      <c r="I967"/>
      <c r="L967" s="15">
        <v>4.5299999999999994</v>
      </c>
      <c r="M967" s="54">
        <v>82.899677000000011</v>
      </c>
    </row>
    <row r="968" spans="1:13" s="15" customFormat="1" x14ac:dyDescent="0.3">
      <c r="A968" s="17"/>
      <c r="B968"/>
      <c r="C968"/>
      <c r="D968"/>
      <c r="E968"/>
      <c r="F968"/>
      <c r="G968"/>
      <c r="H968"/>
      <c r="I968"/>
      <c r="L968" s="15">
        <v>4.5400000000000009</v>
      </c>
      <c r="M968" s="54">
        <v>83.496663999999996</v>
      </c>
    </row>
    <row r="969" spans="1:13" s="15" customFormat="1" x14ac:dyDescent="0.3">
      <c r="A969" s="17"/>
      <c r="B969"/>
      <c r="C969"/>
      <c r="D969"/>
      <c r="E969"/>
      <c r="F969"/>
      <c r="G969"/>
      <c r="H969"/>
      <c r="I969"/>
      <c r="L969" s="15">
        <v>4.5500000000000007</v>
      </c>
      <c r="M969" s="54">
        <v>84.096374999999995</v>
      </c>
    </row>
    <row r="970" spans="1:13" s="15" customFormat="1" x14ac:dyDescent="0.3">
      <c r="A970" s="17"/>
      <c r="B970"/>
      <c r="C970"/>
      <c r="D970"/>
      <c r="E970"/>
      <c r="F970"/>
      <c r="G970"/>
      <c r="H970"/>
      <c r="I970"/>
      <c r="L970" s="15">
        <v>4.5600000000000005</v>
      </c>
      <c r="M970" s="54">
        <v>84.698815999999979</v>
      </c>
    </row>
    <row r="971" spans="1:13" s="15" customFormat="1" x14ac:dyDescent="0.3">
      <c r="A971" s="17"/>
      <c r="B971"/>
      <c r="C971"/>
      <c r="D971"/>
      <c r="E971"/>
      <c r="F971"/>
      <c r="G971"/>
      <c r="H971"/>
      <c r="I971"/>
      <c r="L971" s="15">
        <v>4.57</v>
      </c>
      <c r="M971" s="54">
        <v>85.30399300000002</v>
      </c>
    </row>
    <row r="972" spans="1:13" s="15" customFormat="1" x14ac:dyDescent="0.3">
      <c r="A972" s="17"/>
      <c r="B972"/>
      <c r="C972"/>
      <c r="D972"/>
      <c r="E972"/>
      <c r="F972"/>
      <c r="G972"/>
      <c r="H972"/>
      <c r="I972"/>
      <c r="L972" s="15">
        <v>4.58</v>
      </c>
      <c r="M972" s="54">
        <v>85.911912000000015</v>
      </c>
    </row>
    <row r="973" spans="1:13" s="15" customFormat="1" x14ac:dyDescent="0.3">
      <c r="A973" s="17"/>
      <c r="B973"/>
      <c r="C973"/>
      <c r="D973"/>
      <c r="E973"/>
      <c r="F973"/>
      <c r="G973"/>
      <c r="H973"/>
      <c r="I973"/>
      <c r="L973" s="15">
        <v>4.59</v>
      </c>
      <c r="M973" s="54">
        <v>86.522578999999979</v>
      </c>
    </row>
    <row r="974" spans="1:13" s="15" customFormat="1" x14ac:dyDescent="0.3">
      <c r="A974" s="17"/>
      <c r="B974"/>
      <c r="C974"/>
      <c r="D974"/>
      <c r="E974"/>
      <c r="F974"/>
      <c r="G974"/>
      <c r="H974"/>
      <c r="I974"/>
      <c r="L974" s="15">
        <v>4.5999999999999996</v>
      </c>
      <c r="M974" s="54">
        <v>87.135999999999967</v>
      </c>
    </row>
    <row r="975" spans="1:13" s="15" customFormat="1" x14ac:dyDescent="0.3">
      <c r="A975" s="17"/>
      <c r="B975"/>
      <c r="C975"/>
      <c r="D975"/>
      <c r="E975"/>
      <c r="F975"/>
      <c r="G975"/>
      <c r="H975"/>
      <c r="I975"/>
      <c r="L975" s="15">
        <v>4.6099999999999994</v>
      </c>
      <c r="M975" s="54">
        <v>87.752181000000022</v>
      </c>
    </row>
    <row r="976" spans="1:13" s="15" customFormat="1" x14ac:dyDescent="0.3">
      <c r="A976" s="17"/>
      <c r="B976"/>
      <c r="C976"/>
      <c r="D976"/>
      <c r="E976"/>
      <c r="F976"/>
      <c r="G976"/>
      <c r="H976"/>
      <c r="I976"/>
      <c r="L976" s="15">
        <v>4.620000000000001</v>
      </c>
      <c r="M976" s="54">
        <v>88.371128000000013</v>
      </c>
    </row>
    <row r="977" spans="1:13" s="15" customFormat="1" x14ac:dyDescent="0.3">
      <c r="A977" s="17"/>
      <c r="B977"/>
      <c r="C977"/>
      <c r="D977"/>
      <c r="E977"/>
      <c r="F977"/>
      <c r="G977"/>
      <c r="H977"/>
      <c r="I977"/>
      <c r="L977" s="15">
        <v>4.6300000000000008</v>
      </c>
      <c r="M977" s="54">
        <v>88.992846999999983</v>
      </c>
    </row>
    <row r="978" spans="1:13" s="15" customFormat="1" x14ac:dyDescent="0.3">
      <c r="A978" s="17"/>
      <c r="B978"/>
      <c r="C978"/>
      <c r="D978"/>
      <c r="E978"/>
      <c r="F978"/>
      <c r="G978"/>
      <c r="H978"/>
      <c r="I978"/>
      <c r="L978" s="15">
        <v>4.6400000000000006</v>
      </c>
      <c r="M978" s="54">
        <v>89.617343999999989</v>
      </c>
    </row>
    <row r="979" spans="1:13" s="15" customFormat="1" x14ac:dyDescent="0.3">
      <c r="A979" s="17"/>
      <c r="B979"/>
      <c r="C979"/>
      <c r="D979"/>
      <c r="E979"/>
      <c r="F979"/>
      <c r="G979"/>
      <c r="H979"/>
      <c r="I979"/>
      <c r="L979" s="15">
        <v>4.6500000000000004</v>
      </c>
      <c r="M979" s="54">
        <v>90.244625000000028</v>
      </c>
    </row>
    <row r="980" spans="1:13" s="15" customFormat="1" x14ac:dyDescent="0.3">
      <c r="A980" s="17"/>
      <c r="B980"/>
      <c r="C980"/>
      <c r="D980"/>
      <c r="E980"/>
      <c r="F980"/>
      <c r="G980"/>
      <c r="H980"/>
      <c r="I980"/>
      <c r="L980" s="15">
        <v>4.66</v>
      </c>
      <c r="M980" s="54">
        <v>90.874696</v>
      </c>
    </row>
    <row r="981" spans="1:13" s="15" customFormat="1" x14ac:dyDescent="0.3">
      <c r="A981" s="17"/>
      <c r="B981"/>
      <c r="C981"/>
      <c r="D981"/>
      <c r="E981"/>
      <c r="F981"/>
      <c r="G981"/>
      <c r="H981"/>
      <c r="I981"/>
      <c r="L981" s="15">
        <v>4.67</v>
      </c>
      <c r="M981" s="54">
        <v>91.50756299999999</v>
      </c>
    </row>
    <row r="982" spans="1:13" s="15" customFormat="1" x14ac:dyDescent="0.3">
      <c r="A982" s="17"/>
      <c r="B982"/>
      <c r="C982"/>
      <c r="D982"/>
      <c r="E982"/>
      <c r="F982"/>
      <c r="G982"/>
      <c r="H982"/>
      <c r="I982"/>
      <c r="L982" s="15">
        <v>4.68</v>
      </c>
      <c r="M982" s="54">
        <v>92.143231999999983</v>
      </c>
    </row>
    <row r="983" spans="1:13" s="15" customFormat="1" x14ac:dyDescent="0.3">
      <c r="A983" s="17"/>
      <c r="B983"/>
      <c r="C983"/>
      <c r="D983"/>
      <c r="E983"/>
      <c r="F983"/>
      <c r="G983"/>
      <c r="H983"/>
      <c r="I983"/>
      <c r="L983" s="15">
        <v>4.6899999999999995</v>
      </c>
      <c r="M983" s="54">
        <v>92.781709000000021</v>
      </c>
    </row>
    <row r="984" spans="1:13" s="15" customFormat="1" x14ac:dyDescent="0.3">
      <c r="A984" s="17"/>
      <c r="B984"/>
      <c r="C984"/>
      <c r="D984"/>
      <c r="E984"/>
      <c r="F984"/>
      <c r="G984"/>
      <c r="H984"/>
      <c r="I984"/>
      <c r="L984" s="15">
        <v>4.7000000000000011</v>
      </c>
      <c r="M984" s="54">
        <v>93.423000000000016</v>
      </c>
    </row>
    <row r="985" spans="1:13" s="15" customFormat="1" x14ac:dyDescent="0.3">
      <c r="A985" s="17"/>
      <c r="B985"/>
      <c r="C985"/>
      <c r="D985"/>
      <c r="E985"/>
      <c r="F985"/>
      <c r="G985"/>
      <c r="H985"/>
      <c r="I985"/>
      <c r="L985" s="15">
        <v>4.7100000000000009</v>
      </c>
      <c r="M985" s="54">
        <v>94.067110999999997</v>
      </c>
    </row>
    <row r="986" spans="1:13" s="15" customFormat="1" x14ac:dyDescent="0.3">
      <c r="A986" s="17"/>
      <c r="B986"/>
      <c r="C986"/>
      <c r="D986"/>
      <c r="E986"/>
      <c r="F986"/>
      <c r="G986"/>
      <c r="H986"/>
      <c r="I986"/>
      <c r="L986" s="15">
        <v>4.7200000000000006</v>
      </c>
      <c r="M986" s="54">
        <v>94.714047999999991</v>
      </c>
    </row>
    <row r="987" spans="1:13" s="15" customFormat="1" x14ac:dyDescent="0.3">
      <c r="A987" s="17"/>
      <c r="B987"/>
      <c r="C987"/>
      <c r="D987"/>
      <c r="E987"/>
      <c r="F987"/>
      <c r="G987"/>
      <c r="H987"/>
      <c r="I987"/>
      <c r="L987" s="15">
        <v>4.7300000000000004</v>
      </c>
      <c r="M987" s="54">
        <v>95.36381700000004</v>
      </c>
    </row>
    <row r="988" spans="1:13" s="15" customFormat="1" x14ac:dyDescent="0.3">
      <c r="A988" s="17"/>
      <c r="B988"/>
      <c r="C988"/>
      <c r="D988"/>
      <c r="E988"/>
      <c r="F988"/>
      <c r="G988"/>
      <c r="H988"/>
      <c r="I988"/>
      <c r="L988" s="15">
        <v>4.74</v>
      </c>
      <c r="M988" s="54">
        <v>96.016424000000001</v>
      </c>
    </row>
    <row r="989" spans="1:13" s="15" customFormat="1" x14ac:dyDescent="0.3">
      <c r="A989" s="17"/>
      <c r="B989"/>
      <c r="C989"/>
      <c r="D989"/>
      <c r="E989"/>
      <c r="F989"/>
      <c r="G989"/>
      <c r="H989"/>
      <c r="I989"/>
      <c r="L989" s="15">
        <v>4.75</v>
      </c>
      <c r="M989" s="54">
        <v>96.671875</v>
      </c>
    </row>
    <row r="990" spans="1:13" s="15" customFormat="1" x14ac:dyDescent="0.3">
      <c r="A990" s="17"/>
      <c r="B990"/>
      <c r="C990"/>
      <c r="D990"/>
      <c r="E990"/>
      <c r="F990"/>
      <c r="G990"/>
      <c r="H990"/>
      <c r="I990"/>
      <c r="L990" s="15">
        <v>4.76</v>
      </c>
      <c r="M990" s="54">
        <v>97.330175999999994</v>
      </c>
    </row>
    <row r="991" spans="1:13" s="15" customFormat="1" x14ac:dyDescent="0.3">
      <c r="A991" s="17"/>
      <c r="B991"/>
      <c r="C991"/>
      <c r="D991"/>
      <c r="E991"/>
      <c r="F991"/>
      <c r="G991"/>
      <c r="H991"/>
      <c r="I991"/>
      <c r="L991" s="15">
        <v>4.7699999999999996</v>
      </c>
      <c r="M991" s="54">
        <v>97.991332999999969</v>
      </c>
    </row>
    <row r="992" spans="1:13" s="15" customFormat="1" x14ac:dyDescent="0.3">
      <c r="A992" s="17"/>
      <c r="B992"/>
      <c r="C992"/>
      <c r="D992"/>
      <c r="E992"/>
      <c r="F992"/>
      <c r="G992"/>
      <c r="H992"/>
      <c r="I992"/>
      <c r="L992" s="15">
        <v>4.7799999999999994</v>
      </c>
      <c r="M992" s="54">
        <v>98.655352000000008</v>
      </c>
    </row>
    <row r="993" spans="1:13" s="15" customFormat="1" x14ac:dyDescent="0.3">
      <c r="A993" s="17"/>
      <c r="B993"/>
      <c r="C993"/>
      <c r="D993"/>
      <c r="E993"/>
      <c r="F993"/>
      <c r="G993"/>
      <c r="H993"/>
      <c r="I993"/>
      <c r="L993" s="15">
        <v>4.7900000000000009</v>
      </c>
      <c r="M993" s="54">
        <v>99.322238999999996</v>
      </c>
    </row>
    <row r="994" spans="1:13" s="15" customFormat="1" x14ac:dyDescent="0.3">
      <c r="A994" s="17"/>
      <c r="B994"/>
      <c r="C994"/>
      <c r="D994"/>
      <c r="E994"/>
      <c r="F994"/>
      <c r="G994"/>
      <c r="H994"/>
      <c r="I994"/>
      <c r="L994" s="15">
        <v>4.8000000000000007</v>
      </c>
      <c r="M994" s="54">
        <v>99.992000000000004</v>
      </c>
    </row>
    <row r="995" spans="1:13" s="15" customFormat="1" x14ac:dyDescent="0.3">
      <c r="A995" s="17"/>
      <c r="B995"/>
      <c r="C995"/>
      <c r="D995"/>
      <c r="E995"/>
      <c r="F995"/>
      <c r="G995"/>
      <c r="H995"/>
      <c r="I995"/>
      <c r="L995" s="15">
        <v>4.8100000000000005</v>
      </c>
      <c r="M995" s="54">
        <v>100.66464099999996</v>
      </c>
    </row>
    <row r="996" spans="1:13" s="15" customFormat="1" x14ac:dyDescent="0.3">
      <c r="A996" s="17"/>
      <c r="B996"/>
      <c r="C996"/>
      <c r="D996"/>
      <c r="E996"/>
      <c r="F996"/>
      <c r="G996"/>
      <c r="H996"/>
      <c r="I996"/>
      <c r="L996" s="15">
        <v>4.82</v>
      </c>
      <c r="M996" s="54">
        <v>101.34016800000002</v>
      </c>
    </row>
    <row r="997" spans="1:13" s="15" customFormat="1" x14ac:dyDescent="0.3">
      <c r="A997" s="17"/>
      <c r="B997"/>
      <c r="C997"/>
      <c r="D997"/>
      <c r="E997"/>
      <c r="F997"/>
      <c r="G997"/>
      <c r="H997"/>
      <c r="I997"/>
      <c r="L997" s="15">
        <v>4.83</v>
      </c>
      <c r="M997" s="54">
        <v>102.01858700000001</v>
      </c>
    </row>
    <row r="998" spans="1:13" s="15" customFormat="1" x14ac:dyDescent="0.3">
      <c r="A998" s="17"/>
      <c r="B998"/>
      <c r="C998"/>
      <c r="D998"/>
      <c r="E998"/>
      <c r="F998"/>
      <c r="G998"/>
      <c r="H998"/>
      <c r="I998"/>
      <c r="L998" s="15">
        <v>4.84</v>
      </c>
      <c r="M998" s="54">
        <v>102.699904</v>
      </c>
    </row>
    <row r="999" spans="1:13" s="15" customFormat="1" x14ac:dyDescent="0.3">
      <c r="A999" s="17"/>
      <c r="B999"/>
      <c r="C999"/>
      <c r="D999"/>
      <c r="E999"/>
      <c r="F999"/>
      <c r="G999"/>
      <c r="H999"/>
      <c r="I999"/>
      <c r="L999" s="15">
        <v>4.8499999999999996</v>
      </c>
      <c r="M999" s="54">
        <v>103.38412499999997</v>
      </c>
    </row>
    <row r="1000" spans="1:13" s="15" customFormat="1" x14ac:dyDescent="0.3">
      <c r="A1000" s="17"/>
      <c r="B1000"/>
      <c r="C1000"/>
      <c r="D1000"/>
      <c r="E1000"/>
      <c r="F1000"/>
      <c r="G1000"/>
      <c r="H1000"/>
      <c r="I1000"/>
      <c r="L1000" s="15">
        <v>4.8599999999999994</v>
      </c>
      <c r="M1000" s="54">
        <v>104.07125600000002</v>
      </c>
    </row>
    <row r="1001" spans="1:13" s="15" customFormat="1" x14ac:dyDescent="0.3">
      <c r="A1001" s="17"/>
      <c r="B1001"/>
      <c r="C1001"/>
      <c r="D1001"/>
      <c r="E1001"/>
      <c r="F1001"/>
      <c r="G1001"/>
      <c r="H1001"/>
      <c r="I1001"/>
      <c r="L1001" s="15">
        <v>4.870000000000001</v>
      </c>
      <c r="M1001" s="54">
        <v>104.76130300000003</v>
      </c>
    </row>
    <row r="1002" spans="1:13" s="15" customFormat="1" x14ac:dyDescent="0.3">
      <c r="A1002" s="17"/>
      <c r="B1002"/>
      <c r="C1002"/>
      <c r="D1002"/>
      <c r="E1002"/>
      <c r="F1002"/>
      <c r="G1002"/>
      <c r="H1002"/>
      <c r="I1002"/>
      <c r="L1002" s="15">
        <v>4.8800000000000008</v>
      </c>
      <c r="M1002" s="54">
        <v>105.45427199999999</v>
      </c>
    </row>
    <row r="1003" spans="1:13" s="15" customFormat="1" x14ac:dyDescent="0.3">
      <c r="A1003" s="17"/>
      <c r="B1003"/>
      <c r="C1003"/>
      <c r="D1003"/>
      <c r="E1003"/>
      <c r="F1003"/>
      <c r="G1003"/>
      <c r="H1003"/>
      <c r="I1003"/>
      <c r="L1003" s="15">
        <v>4.8900000000000006</v>
      </c>
      <c r="M1003" s="54">
        <v>106.15016899999996</v>
      </c>
    </row>
    <row r="1004" spans="1:13" s="15" customFormat="1" x14ac:dyDescent="0.3">
      <c r="A1004" s="17"/>
      <c r="B1004"/>
      <c r="C1004"/>
      <c r="D1004"/>
      <c r="E1004"/>
      <c r="F1004"/>
      <c r="G1004"/>
      <c r="H1004"/>
      <c r="I1004"/>
      <c r="L1004" s="15">
        <v>4.9000000000000004</v>
      </c>
      <c r="M1004" s="54">
        <v>106.84900000000003</v>
      </c>
    </row>
    <row r="1005" spans="1:13" s="15" customFormat="1" x14ac:dyDescent="0.3">
      <c r="A1005" s="17"/>
      <c r="B1005"/>
      <c r="C1005"/>
      <c r="D1005"/>
      <c r="E1005"/>
      <c r="F1005"/>
      <c r="G1005"/>
      <c r="H1005"/>
      <c r="I1005"/>
      <c r="L1005" s="15">
        <v>4.91</v>
      </c>
      <c r="M1005" s="54">
        <v>107.550771</v>
      </c>
    </row>
    <row r="1006" spans="1:13" s="15" customFormat="1" x14ac:dyDescent="0.3">
      <c r="A1006" s="17"/>
      <c r="B1006"/>
      <c r="C1006"/>
      <c r="D1006"/>
      <c r="E1006"/>
      <c r="F1006"/>
      <c r="G1006"/>
      <c r="H1006"/>
      <c r="I1006"/>
      <c r="L1006" s="15">
        <v>4.92</v>
      </c>
      <c r="M1006" s="54">
        <v>108.25548799999999</v>
      </c>
    </row>
    <row r="1007" spans="1:13" s="15" customFormat="1" x14ac:dyDescent="0.3">
      <c r="A1007" s="17"/>
      <c r="B1007"/>
      <c r="C1007"/>
      <c r="D1007"/>
      <c r="E1007"/>
      <c r="F1007"/>
      <c r="G1007"/>
      <c r="H1007"/>
      <c r="I1007"/>
      <c r="L1007" s="15">
        <v>4.93</v>
      </c>
      <c r="M1007" s="54">
        <v>108.96315699999998</v>
      </c>
    </row>
    <row r="1008" spans="1:13" s="15" customFormat="1" x14ac:dyDescent="0.3">
      <c r="A1008" s="17"/>
      <c r="B1008"/>
      <c r="C1008"/>
      <c r="D1008"/>
      <c r="E1008"/>
      <c r="F1008"/>
      <c r="G1008"/>
      <c r="H1008"/>
      <c r="I1008"/>
      <c r="L1008" s="15">
        <v>4.9399999999999995</v>
      </c>
      <c r="M1008" s="54">
        <v>109.67378400000004</v>
      </c>
    </row>
    <row r="1009" spans="1:13" s="15" customFormat="1" x14ac:dyDescent="0.3">
      <c r="A1009" s="17"/>
      <c r="B1009"/>
      <c r="C1009"/>
      <c r="D1009"/>
      <c r="E1009"/>
      <c r="F1009"/>
      <c r="G1009"/>
      <c r="H1009"/>
      <c r="I1009"/>
      <c r="L1009" s="15">
        <v>4.9500000000000011</v>
      </c>
      <c r="M1009" s="54">
        <v>110.38737500000001</v>
      </c>
    </row>
    <row r="1010" spans="1:13" s="15" customFormat="1" x14ac:dyDescent="0.3">
      <c r="A1010" s="17"/>
      <c r="B1010"/>
      <c r="C1010"/>
      <c r="D1010"/>
      <c r="E1010"/>
      <c r="F1010"/>
      <c r="G1010"/>
      <c r="H1010"/>
      <c r="I1010"/>
      <c r="L1010" s="15">
        <v>4.9600000000000009</v>
      </c>
      <c r="M1010" s="54">
        <v>111.103936</v>
      </c>
    </row>
    <row r="1011" spans="1:13" s="15" customFormat="1" x14ac:dyDescent="0.3">
      <c r="A1011" s="17"/>
      <c r="B1011"/>
      <c r="C1011"/>
      <c r="D1011"/>
      <c r="E1011"/>
      <c r="F1011"/>
      <c r="G1011"/>
      <c r="H1011"/>
      <c r="I1011"/>
      <c r="L1011" s="15">
        <v>4.9700000000000006</v>
      </c>
      <c r="M1011" s="54">
        <v>111.82347299999998</v>
      </c>
    </row>
    <row r="1012" spans="1:13" s="15" customFormat="1" x14ac:dyDescent="0.3">
      <c r="A1012" s="17"/>
      <c r="B1012"/>
      <c r="C1012"/>
      <c r="D1012"/>
      <c r="E1012"/>
      <c r="F1012"/>
      <c r="G1012"/>
      <c r="H1012"/>
      <c r="I1012"/>
      <c r="L1012" s="15">
        <v>4.9800000000000004</v>
      </c>
      <c r="M1012" s="54">
        <v>112.54599200000001</v>
      </c>
    </row>
    <row r="1013" spans="1:13" s="15" customFormat="1" x14ac:dyDescent="0.3">
      <c r="A1013" s="17"/>
      <c r="B1013"/>
      <c r="C1013"/>
      <c r="D1013"/>
      <c r="E1013"/>
      <c r="F1013"/>
      <c r="G1013"/>
      <c r="H1013"/>
      <c r="I1013"/>
      <c r="L1013" s="15">
        <v>4.99</v>
      </c>
      <c r="M1013" s="54">
        <v>113.27149900000001</v>
      </c>
    </row>
    <row r="1014" spans="1:13" s="15" customFormat="1" x14ac:dyDescent="0.3">
      <c r="A1014" s="17"/>
      <c r="B1014"/>
      <c r="C1014"/>
      <c r="D1014"/>
      <c r="E1014"/>
      <c r="F1014"/>
      <c r="G1014"/>
      <c r="H1014"/>
      <c r="I1014"/>
      <c r="L1014" s="15">
        <v>5</v>
      </c>
      <c r="M1014" s="54">
        <v>114</v>
      </c>
    </row>
    <row r="1015" spans="1:13" s="15" customFormat="1" x14ac:dyDescent="0.3">
      <c r="A1015" s="17"/>
      <c r="B1015"/>
      <c r="C1015"/>
      <c r="D1015"/>
      <c r="E1015"/>
      <c r="F1015"/>
      <c r="G1015"/>
      <c r="H1015"/>
      <c r="I1015"/>
      <c r="M1015" s="54"/>
    </row>
    <row r="1016" spans="1:13" s="15" customFormat="1" x14ac:dyDescent="0.3">
      <c r="A1016" s="17"/>
      <c r="B1016"/>
      <c r="C1016"/>
      <c r="D1016"/>
      <c r="E1016"/>
      <c r="F1016"/>
      <c r="G1016"/>
      <c r="H1016"/>
      <c r="I1016"/>
      <c r="M1016" s="54"/>
    </row>
    <row r="1017" spans="1:13" s="15" customFormat="1" x14ac:dyDescent="0.3">
      <c r="A1017" s="17"/>
      <c r="B1017"/>
      <c r="C1017"/>
      <c r="D1017"/>
      <c r="E1017"/>
      <c r="F1017"/>
      <c r="G1017"/>
      <c r="H1017"/>
      <c r="I1017"/>
      <c r="M1017" s="54"/>
    </row>
    <row r="1018" spans="1:13" s="15" customFormat="1" x14ac:dyDescent="0.3">
      <c r="A1018" s="17"/>
      <c r="B1018"/>
      <c r="C1018"/>
      <c r="D1018"/>
      <c r="E1018"/>
      <c r="F1018"/>
      <c r="G1018"/>
      <c r="H1018"/>
      <c r="I1018"/>
      <c r="M1018" s="54"/>
    </row>
    <row r="1019" spans="1:13" s="15" customFormat="1" x14ac:dyDescent="0.3">
      <c r="A1019" s="17"/>
      <c r="B1019"/>
      <c r="C1019"/>
      <c r="D1019"/>
      <c r="E1019"/>
      <c r="F1019"/>
      <c r="G1019"/>
      <c r="H1019"/>
      <c r="I1019"/>
      <c r="M1019" s="54"/>
    </row>
    <row r="1020" spans="1:13" s="15" customFormat="1" x14ac:dyDescent="0.3">
      <c r="A1020" s="17"/>
      <c r="B1020"/>
      <c r="C1020"/>
      <c r="D1020"/>
      <c r="E1020"/>
      <c r="F1020"/>
      <c r="G1020"/>
      <c r="H1020"/>
      <c r="I1020"/>
      <c r="M1020" s="54"/>
    </row>
    <row r="1021" spans="1:13" s="15" customFormat="1" x14ac:dyDescent="0.3">
      <c r="A1021" s="17"/>
      <c r="B1021"/>
      <c r="C1021"/>
      <c r="D1021"/>
      <c r="E1021"/>
      <c r="F1021"/>
      <c r="G1021"/>
      <c r="H1021"/>
      <c r="I1021"/>
      <c r="M1021" s="54"/>
    </row>
    <row r="1022" spans="1:13" s="15" customFormat="1" x14ac:dyDescent="0.3">
      <c r="A1022" s="17"/>
      <c r="B1022"/>
      <c r="C1022"/>
      <c r="D1022"/>
      <c r="E1022"/>
      <c r="F1022"/>
      <c r="G1022"/>
      <c r="H1022"/>
      <c r="I1022"/>
      <c r="M1022" s="54"/>
    </row>
    <row r="1023" spans="1:13" s="15" customFormat="1" x14ac:dyDescent="0.3">
      <c r="A1023" s="17"/>
      <c r="B1023"/>
      <c r="C1023"/>
      <c r="D1023"/>
      <c r="E1023"/>
      <c r="F1023"/>
      <c r="G1023"/>
      <c r="H1023"/>
      <c r="I1023"/>
      <c r="M1023" s="54"/>
    </row>
    <row r="1024" spans="1:13" s="15" customFormat="1" x14ac:dyDescent="0.3">
      <c r="A1024" s="17"/>
      <c r="B1024"/>
      <c r="C1024"/>
      <c r="D1024"/>
      <c r="E1024"/>
      <c r="F1024"/>
      <c r="G1024"/>
      <c r="H1024"/>
      <c r="I1024"/>
      <c r="M1024" s="54"/>
    </row>
    <row r="1025" spans="1:13" s="15" customFormat="1" x14ac:dyDescent="0.3">
      <c r="A1025" s="17"/>
      <c r="B1025"/>
      <c r="C1025"/>
      <c r="D1025"/>
      <c r="E1025"/>
      <c r="F1025"/>
      <c r="G1025"/>
      <c r="H1025"/>
      <c r="I1025"/>
      <c r="M1025" s="54"/>
    </row>
    <row r="1026" spans="1:13" s="15" customFormat="1" x14ac:dyDescent="0.3">
      <c r="A1026" s="17"/>
      <c r="B1026"/>
      <c r="C1026"/>
      <c r="D1026"/>
      <c r="E1026"/>
      <c r="F1026"/>
      <c r="G1026"/>
      <c r="H1026"/>
      <c r="I1026"/>
      <c r="M1026" s="54"/>
    </row>
    <row r="1027" spans="1:13" s="15" customFormat="1" x14ac:dyDescent="0.3">
      <c r="A1027" s="17"/>
      <c r="B1027"/>
      <c r="C1027"/>
      <c r="D1027"/>
      <c r="E1027"/>
      <c r="F1027"/>
      <c r="G1027"/>
      <c r="H1027"/>
      <c r="I1027"/>
      <c r="M1027" s="54"/>
    </row>
    <row r="1028" spans="1:13" s="15" customFormat="1" x14ac:dyDescent="0.3">
      <c r="A1028" s="17"/>
      <c r="B1028"/>
      <c r="C1028"/>
      <c r="D1028"/>
      <c r="E1028"/>
      <c r="F1028"/>
      <c r="G1028"/>
      <c r="H1028"/>
      <c r="I1028"/>
      <c r="M1028" s="54"/>
    </row>
    <row r="1029" spans="1:13" s="15" customFormat="1" x14ac:dyDescent="0.3">
      <c r="A1029" s="17"/>
      <c r="B1029"/>
      <c r="C1029"/>
      <c r="D1029"/>
      <c r="E1029"/>
      <c r="F1029"/>
      <c r="G1029"/>
      <c r="H1029"/>
      <c r="I1029"/>
      <c r="M1029" s="54"/>
    </row>
    <row r="1030" spans="1:13" s="15" customFormat="1" x14ac:dyDescent="0.3">
      <c r="A1030" s="17"/>
      <c r="B1030"/>
      <c r="C1030"/>
      <c r="D1030"/>
      <c r="E1030"/>
      <c r="F1030"/>
      <c r="G1030"/>
      <c r="H1030"/>
      <c r="I1030"/>
      <c r="M1030" s="54"/>
    </row>
    <row r="1031" spans="1:13" s="15" customFormat="1" x14ac:dyDescent="0.3">
      <c r="A1031" s="17"/>
      <c r="B1031"/>
      <c r="C1031"/>
      <c r="D1031"/>
      <c r="E1031"/>
      <c r="F1031"/>
      <c r="G1031"/>
      <c r="H1031"/>
      <c r="I1031"/>
      <c r="M1031" s="54"/>
    </row>
    <row r="1032" spans="1:13" s="15" customFormat="1" x14ac:dyDescent="0.3">
      <c r="A1032" s="17"/>
      <c r="B1032"/>
      <c r="C1032"/>
      <c r="D1032"/>
      <c r="E1032"/>
      <c r="F1032"/>
      <c r="G1032"/>
      <c r="H1032"/>
      <c r="I1032"/>
      <c r="M1032" s="54"/>
    </row>
    <row r="1033" spans="1:13" s="15" customFormat="1" x14ac:dyDescent="0.3">
      <c r="A1033" s="17"/>
      <c r="B1033"/>
      <c r="C1033"/>
      <c r="D1033"/>
      <c r="E1033"/>
      <c r="F1033"/>
      <c r="G1033"/>
      <c r="H1033"/>
      <c r="I1033"/>
      <c r="M1033" s="54"/>
    </row>
    <row r="1034" spans="1:13" s="15" customFormat="1" x14ac:dyDescent="0.3">
      <c r="A1034" s="17"/>
      <c r="B1034"/>
      <c r="C1034"/>
      <c r="D1034"/>
      <c r="E1034"/>
      <c r="F1034"/>
      <c r="G1034"/>
      <c r="H1034"/>
      <c r="I1034"/>
      <c r="M1034" s="54"/>
    </row>
    <row r="1035" spans="1:13" s="15" customFormat="1" x14ac:dyDescent="0.3">
      <c r="A1035" s="17"/>
      <c r="B1035"/>
      <c r="C1035"/>
      <c r="D1035"/>
      <c r="E1035"/>
      <c r="F1035"/>
      <c r="G1035"/>
      <c r="H1035"/>
      <c r="I1035"/>
      <c r="M1035" s="54"/>
    </row>
    <row r="1036" spans="1:13" s="15" customFormat="1" x14ac:dyDescent="0.3">
      <c r="A1036" s="17"/>
      <c r="B1036"/>
      <c r="C1036"/>
      <c r="D1036"/>
      <c r="E1036"/>
      <c r="F1036"/>
      <c r="G1036"/>
      <c r="H1036"/>
      <c r="I1036"/>
      <c r="M1036" s="54"/>
    </row>
    <row r="1037" spans="1:13" s="15" customFormat="1" x14ac:dyDescent="0.3">
      <c r="A1037" s="17"/>
      <c r="B1037"/>
      <c r="C1037"/>
      <c r="D1037"/>
      <c r="E1037"/>
      <c r="F1037"/>
      <c r="G1037"/>
      <c r="H1037"/>
      <c r="I1037"/>
      <c r="M1037" s="54"/>
    </row>
    <row r="1038" spans="1:13" s="15" customFormat="1" x14ac:dyDescent="0.3">
      <c r="A1038" s="17"/>
      <c r="B1038"/>
      <c r="C1038"/>
      <c r="D1038"/>
      <c r="E1038"/>
      <c r="F1038"/>
      <c r="G1038"/>
      <c r="H1038"/>
      <c r="I1038"/>
      <c r="M1038" s="54"/>
    </row>
    <row r="1039" spans="1:13" s="15" customFormat="1" x14ac:dyDescent="0.3">
      <c r="A1039" s="17"/>
      <c r="B1039"/>
      <c r="C1039"/>
      <c r="D1039"/>
      <c r="E1039"/>
      <c r="F1039"/>
      <c r="G1039"/>
      <c r="H1039"/>
      <c r="I1039"/>
      <c r="M1039" s="54"/>
    </row>
    <row r="1040" spans="1:13" s="15" customFormat="1" x14ac:dyDescent="0.3">
      <c r="A1040" s="17"/>
      <c r="B1040"/>
      <c r="C1040"/>
      <c r="D1040"/>
      <c r="E1040"/>
      <c r="F1040"/>
      <c r="G1040"/>
      <c r="H1040"/>
      <c r="I1040"/>
      <c r="M1040" s="54"/>
    </row>
    <row r="1041" spans="1:13" s="15" customFormat="1" x14ac:dyDescent="0.3">
      <c r="A1041" s="17"/>
      <c r="B1041"/>
      <c r="C1041"/>
      <c r="D1041"/>
      <c r="E1041"/>
      <c r="F1041"/>
      <c r="G1041"/>
      <c r="H1041"/>
      <c r="I1041"/>
      <c r="M1041" s="54"/>
    </row>
    <row r="1042" spans="1:13" s="15" customFormat="1" x14ac:dyDescent="0.3">
      <c r="A1042" s="17"/>
      <c r="B1042"/>
      <c r="C1042"/>
      <c r="D1042"/>
      <c r="E1042"/>
      <c r="F1042"/>
      <c r="G1042"/>
      <c r="H1042"/>
      <c r="I1042"/>
      <c r="M1042" s="54"/>
    </row>
    <row r="1043" spans="1:13" s="15" customFormat="1" x14ac:dyDescent="0.3">
      <c r="A1043" s="17"/>
      <c r="B1043"/>
      <c r="C1043"/>
      <c r="D1043"/>
      <c r="E1043"/>
      <c r="F1043"/>
      <c r="G1043"/>
      <c r="H1043"/>
      <c r="I1043"/>
      <c r="M1043" s="54"/>
    </row>
    <row r="1044" spans="1:13" s="15" customFormat="1" x14ac:dyDescent="0.3">
      <c r="A1044" s="17"/>
      <c r="B1044"/>
      <c r="C1044"/>
      <c r="D1044"/>
      <c r="E1044"/>
      <c r="F1044"/>
      <c r="G1044"/>
      <c r="H1044"/>
      <c r="I1044"/>
      <c r="M1044" s="54"/>
    </row>
    <row r="1045" spans="1:13" s="15" customFormat="1" x14ac:dyDescent="0.3">
      <c r="A1045" s="17"/>
      <c r="B1045"/>
      <c r="C1045"/>
      <c r="D1045"/>
      <c r="E1045"/>
      <c r="F1045"/>
      <c r="G1045"/>
      <c r="H1045"/>
      <c r="I1045"/>
      <c r="M1045" s="54"/>
    </row>
    <row r="1046" spans="1:13" s="15" customFormat="1" x14ac:dyDescent="0.3">
      <c r="A1046" s="17"/>
      <c r="B1046"/>
      <c r="C1046"/>
      <c r="D1046"/>
      <c r="E1046"/>
      <c r="F1046"/>
      <c r="G1046"/>
      <c r="H1046"/>
      <c r="I1046"/>
      <c r="M1046" s="54"/>
    </row>
    <row r="1047" spans="1:13" s="15" customFormat="1" x14ac:dyDescent="0.3">
      <c r="A1047" s="17"/>
      <c r="B1047"/>
      <c r="C1047"/>
      <c r="D1047"/>
      <c r="E1047"/>
      <c r="F1047"/>
      <c r="G1047"/>
      <c r="H1047"/>
      <c r="I1047"/>
      <c r="M1047" s="54"/>
    </row>
    <row r="1048" spans="1:13" s="15" customFormat="1" x14ac:dyDescent="0.3">
      <c r="A1048" s="17"/>
      <c r="B1048"/>
      <c r="C1048"/>
      <c r="D1048"/>
      <c r="E1048"/>
      <c r="F1048"/>
      <c r="G1048"/>
      <c r="H1048"/>
      <c r="I1048"/>
      <c r="M1048" s="54"/>
    </row>
    <row r="1049" spans="1:13" s="15" customFormat="1" x14ac:dyDescent="0.3">
      <c r="A1049" s="17"/>
      <c r="B1049"/>
      <c r="C1049"/>
      <c r="D1049"/>
      <c r="E1049"/>
      <c r="F1049"/>
      <c r="G1049"/>
      <c r="H1049"/>
      <c r="I1049"/>
      <c r="M1049" s="54"/>
    </row>
    <row r="1050" spans="1:13" s="15" customFormat="1" x14ac:dyDescent="0.3">
      <c r="A1050" s="17"/>
      <c r="B1050"/>
      <c r="C1050"/>
      <c r="D1050"/>
      <c r="E1050"/>
      <c r="F1050"/>
      <c r="G1050"/>
      <c r="H1050"/>
      <c r="I1050"/>
      <c r="M1050" s="54"/>
    </row>
    <row r="1051" spans="1:13" s="15" customFormat="1" x14ac:dyDescent="0.3">
      <c r="A1051" s="17"/>
      <c r="B1051"/>
      <c r="C1051"/>
      <c r="D1051"/>
      <c r="E1051"/>
      <c r="F1051"/>
      <c r="G1051"/>
      <c r="H1051"/>
      <c r="I1051"/>
      <c r="M1051" s="54"/>
    </row>
    <row r="1052" spans="1:13" s="15" customFormat="1" x14ac:dyDescent="0.3">
      <c r="A1052" s="17"/>
      <c r="B1052"/>
      <c r="C1052"/>
      <c r="D1052"/>
      <c r="E1052"/>
      <c r="F1052"/>
      <c r="G1052"/>
      <c r="H1052"/>
      <c r="I1052"/>
      <c r="M1052" s="54"/>
    </row>
    <row r="1053" spans="1:13" s="15" customFormat="1" x14ac:dyDescent="0.3">
      <c r="A1053" s="17"/>
      <c r="B1053"/>
      <c r="C1053"/>
      <c r="D1053"/>
      <c r="E1053"/>
      <c r="F1053"/>
      <c r="G1053"/>
      <c r="H1053"/>
      <c r="I1053"/>
      <c r="M1053" s="54"/>
    </row>
    <row r="1054" spans="1:13" s="15" customFormat="1" x14ac:dyDescent="0.3">
      <c r="A1054" s="17"/>
      <c r="B1054"/>
      <c r="C1054"/>
      <c r="D1054"/>
      <c r="E1054"/>
      <c r="F1054"/>
      <c r="G1054"/>
      <c r="H1054"/>
      <c r="I1054"/>
      <c r="M1054" s="54"/>
    </row>
    <row r="1055" spans="1:13" s="15" customFormat="1" x14ac:dyDescent="0.3">
      <c r="A1055" s="17"/>
      <c r="B1055"/>
      <c r="C1055"/>
      <c r="D1055"/>
      <c r="E1055"/>
      <c r="F1055"/>
      <c r="G1055"/>
      <c r="H1055"/>
      <c r="I1055"/>
      <c r="M1055" s="54"/>
    </row>
    <row r="1056" spans="1:13" s="15" customFormat="1" x14ac:dyDescent="0.3">
      <c r="A1056" s="17"/>
      <c r="B1056"/>
      <c r="C1056"/>
      <c r="D1056"/>
      <c r="E1056"/>
      <c r="F1056"/>
      <c r="G1056"/>
      <c r="H1056"/>
      <c r="I1056"/>
      <c r="M1056" s="54"/>
    </row>
    <row r="1057" spans="1:13" s="15" customFormat="1" x14ac:dyDescent="0.3">
      <c r="A1057" s="17"/>
      <c r="B1057"/>
      <c r="C1057"/>
      <c r="D1057"/>
      <c r="E1057"/>
      <c r="F1057"/>
      <c r="G1057"/>
      <c r="H1057"/>
      <c r="I1057"/>
      <c r="M1057" s="54"/>
    </row>
    <row r="1058" spans="1:13" s="15" customFormat="1" x14ac:dyDescent="0.3">
      <c r="A1058" s="17"/>
      <c r="B1058"/>
      <c r="C1058"/>
      <c r="D1058"/>
      <c r="E1058"/>
      <c r="F1058"/>
      <c r="G1058"/>
      <c r="H1058"/>
      <c r="I1058"/>
      <c r="M1058" s="54"/>
    </row>
    <row r="1059" spans="1:13" s="15" customFormat="1" x14ac:dyDescent="0.3">
      <c r="A1059" s="17"/>
      <c r="B1059"/>
      <c r="C1059"/>
      <c r="D1059"/>
      <c r="E1059"/>
      <c r="F1059"/>
      <c r="G1059"/>
      <c r="H1059"/>
      <c r="I1059"/>
      <c r="M1059" s="54"/>
    </row>
    <row r="1060" spans="1:13" s="15" customFormat="1" x14ac:dyDescent="0.3">
      <c r="A1060" s="17"/>
      <c r="B1060"/>
      <c r="C1060"/>
      <c r="D1060"/>
      <c r="E1060"/>
      <c r="F1060"/>
      <c r="G1060"/>
      <c r="H1060"/>
      <c r="I1060"/>
      <c r="M1060" s="54"/>
    </row>
    <row r="1061" spans="1:13" s="15" customFormat="1" x14ac:dyDescent="0.3">
      <c r="A1061" s="17"/>
      <c r="B1061"/>
      <c r="C1061"/>
      <c r="D1061"/>
      <c r="E1061"/>
      <c r="F1061"/>
      <c r="G1061"/>
      <c r="H1061"/>
      <c r="I1061"/>
      <c r="M1061" s="54"/>
    </row>
    <row r="1062" spans="1:13" s="15" customFormat="1" x14ac:dyDescent="0.3">
      <c r="A1062" s="17"/>
      <c r="B1062"/>
      <c r="C1062"/>
      <c r="D1062"/>
      <c r="E1062"/>
      <c r="F1062"/>
      <c r="G1062"/>
      <c r="H1062"/>
      <c r="I1062"/>
      <c r="M1062" s="54"/>
    </row>
    <row r="1063" spans="1:13" s="15" customFormat="1" x14ac:dyDescent="0.3">
      <c r="A1063" s="17"/>
      <c r="B1063"/>
      <c r="C1063"/>
      <c r="D1063"/>
      <c r="E1063"/>
      <c r="F1063"/>
      <c r="G1063"/>
      <c r="H1063"/>
      <c r="I1063"/>
      <c r="M1063" s="54"/>
    </row>
    <row r="1064" spans="1:13" s="15" customFormat="1" x14ac:dyDescent="0.3">
      <c r="A1064" s="17"/>
      <c r="B1064"/>
      <c r="C1064"/>
      <c r="D1064"/>
      <c r="E1064"/>
      <c r="F1064"/>
      <c r="G1064"/>
      <c r="H1064"/>
      <c r="I1064"/>
      <c r="M1064" s="54"/>
    </row>
    <row r="1065" spans="1:13" s="15" customFormat="1" x14ac:dyDescent="0.3">
      <c r="A1065" s="17"/>
      <c r="B1065"/>
      <c r="C1065"/>
      <c r="D1065"/>
      <c r="E1065"/>
      <c r="F1065"/>
      <c r="G1065"/>
      <c r="H1065"/>
      <c r="I1065"/>
      <c r="M1065" s="54"/>
    </row>
    <row r="1066" spans="1:13" s="15" customFormat="1" x14ac:dyDescent="0.3">
      <c r="A1066" s="17"/>
      <c r="B1066"/>
      <c r="C1066"/>
      <c r="D1066"/>
      <c r="E1066"/>
      <c r="F1066"/>
      <c r="G1066"/>
      <c r="H1066"/>
      <c r="I1066"/>
      <c r="M1066" s="54"/>
    </row>
    <row r="1067" spans="1:13" s="15" customFormat="1" x14ac:dyDescent="0.3">
      <c r="A1067" s="17"/>
      <c r="B1067"/>
      <c r="C1067"/>
      <c r="D1067"/>
      <c r="E1067"/>
      <c r="F1067"/>
      <c r="G1067"/>
      <c r="H1067"/>
      <c r="I1067"/>
      <c r="M1067" s="54"/>
    </row>
    <row r="1068" spans="1:13" s="15" customFormat="1" x14ac:dyDescent="0.3">
      <c r="A1068" s="17"/>
      <c r="B1068"/>
      <c r="C1068"/>
      <c r="D1068"/>
      <c r="E1068"/>
      <c r="F1068"/>
      <c r="G1068"/>
      <c r="H1068"/>
      <c r="I1068"/>
      <c r="M1068" s="54"/>
    </row>
    <row r="1069" spans="1:13" s="15" customFormat="1" x14ac:dyDescent="0.3">
      <c r="A1069" s="17"/>
      <c r="B1069"/>
      <c r="C1069"/>
      <c r="D1069"/>
      <c r="E1069"/>
      <c r="F1069"/>
      <c r="G1069"/>
      <c r="H1069"/>
      <c r="I1069"/>
      <c r="M1069" s="54"/>
    </row>
    <row r="1070" spans="1:13" s="15" customFormat="1" x14ac:dyDescent="0.3">
      <c r="A1070" s="17"/>
      <c r="B1070"/>
      <c r="C1070"/>
      <c r="D1070"/>
      <c r="E1070"/>
      <c r="F1070"/>
      <c r="G1070"/>
      <c r="H1070"/>
      <c r="I1070"/>
      <c r="M1070" s="54"/>
    </row>
    <row r="1071" spans="1:13" s="15" customFormat="1" x14ac:dyDescent="0.3">
      <c r="A1071" s="17"/>
      <c r="B1071"/>
      <c r="C1071"/>
      <c r="D1071"/>
      <c r="E1071"/>
      <c r="F1071"/>
      <c r="G1071"/>
      <c r="H1071"/>
      <c r="I1071"/>
      <c r="M1071" s="54"/>
    </row>
    <row r="1072" spans="1:13" s="15" customFormat="1" x14ac:dyDescent="0.3">
      <c r="A1072" s="17"/>
      <c r="B1072"/>
      <c r="C1072"/>
      <c r="D1072"/>
      <c r="E1072"/>
      <c r="F1072"/>
      <c r="G1072"/>
      <c r="H1072"/>
      <c r="I1072"/>
      <c r="M1072" s="54"/>
    </row>
    <row r="1073" spans="1:13" s="15" customFormat="1" x14ac:dyDescent="0.3">
      <c r="A1073" s="17"/>
      <c r="B1073"/>
      <c r="C1073"/>
      <c r="D1073"/>
      <c r="E1073"/>
      <c r="F1073"/>
      <c r="G1073"/>
      <c r="H1073"/>
      <c r="I1073"/>
      <c r="M1073" s="54"/>
    </row>
    <row r="1074" spans="1:13" s="15" customFormat="1" x14ac:dyDescent="0.3">
      <c r="A1074" s="17"/>
      <c r="B1074"/>
      <c r="C1074"/>
      <c r="D1074"/>
      <c r="E1074"/>
      <c r="F1074"/>
      <c r="G1074"/>
      <c r="H1074"/>
      <c r="I1074"/>
      <c r="M1074" s="54"/>
    </row>
    <row r="1075" spans="1:13" s="15" customFormat="1" x14ac:dyDescent="0.3">
      <c r="A1075" s="17"/>
      <c r="B1075"/>
      <c r="C1075"/>
      <c r="D1075"/>
      <c r="E1075"/>
      <c r="F1075"/>
      <c r="G1075"/>
      <c r="H1075"/>
      <c r="I1075"/>
      <c r="M1075" s="54"/>
    </row>
    <row r="1076" spans="1:13" s="15" customFormat="1" x14ac:dyDescent="0.3">
      <c r="A1076" s="17"/>
      <c r="B1076"/>
      <c r="C1076"/>
      <c r="D1076"/>
      <c r="E1076"/>
      <c r="F1076"/>
      <c r="G1076"/>
      <c r="H1076"/>
      <c r="I1076"/>
      <c r="M1076" s="54"/>
    </row>
    <row r="1077" spans="1:13" s="15" customFormat="1" x14ac:dyDescent="0.3">
      <c r="A1077" s="17"/>
      <c r="B1077"/>
      <c r="C1077"/>
      <c r="D1077"/>
      <c r="E1077"/>
      <c r="F1077"/>
      <c r="G1077"/>
      <c r="H1077"/>
      <c r="I1077"/>
      <c r="M1077" s="54"/>
    </row>
    <row r="1078" spans="1:13" s="15" customFormat="1" x14ac:dyDescent="0.3">
      <c r="A1078" s="17"/>
      <c r="B1078"/>
      <c r="C1078"/>
      <c r="D1078"/>
      <c r="E1078"/>
      <c r="F1078"/>
      <c r="G1078"/>
      <c r="H1078"/>
      <c r="I1078"/>
      <c r="M1078" s="54"/>
    </row>
    <row r="1079" spans="1:13" s="15" customFormat="1" x14ac:dyDescent="0.3">
      <c r="A1079" s="17"/>
      <c r="B1079"/>
      <c r="C1079"/>
      <c r="D1079"/>
      <c r="E1079"/>
      <c r="F1079"/>
      <c r="G1079"/>
      <c r="H1079"/>
      <c r="I1079"/>
      <c r="M1079" s="54"/>
    </row>
    <row r="1080" spans="1:13" s="15" customFormat="1" x14ac:dyDescent="0.3">
      <c r="A1080" s="17"/>
      <c r="B1080"/>
      <c r="C1080"/>
      <c r="D1080"/>
      <c r="E1080"/>
      <c r="F1080"/>
      <c r="G1080"/>
      <c r="H1080"/>
      <c r="I1080"/>
      <c r="M1080" s="54"/>
    </row>
    <row r="1081" spans="1:13" s="15" customFormat="1" x14ac:dyDescent="0.3">
      <c r="A1081" s="17"/>
      <c r="B1081"/>
      <c r="C1081"/>
      <c r="D1081"/>
      <c r="E1081"/>
      <c r="F1081"/>
      <c r="G1081"/>
      <c r="H1081"/>
      <c r="I1081"/>
      <c r="M1081" s="54"/>
    </row>
    <row r="1082" spans="1:13" s="15" customFormat="1" x14ac:dyDescent="0.3">
      <c r="A1082" s="17"/>
      <c r="B1082"/>
      <c r="C1082"/>
      <c r="D1082"/>
      <c r="E1082"/>
      <c r="F1082"/>
      <c r="G1082"/>
      <c r="H1082"/>
      <c r="I1082"/>
      <c r="M1082" s="54"/>
    </row>
    <row r="1083" spans="1:13" s="15" customFormat="1" x14ac:dyDescent="0.3">
      <c r="A1083" s="17"/>
      <c r="B1083"/>
      <c r="C1083"/>
      <c r="D1083"/>
      <c r="E1083"/>
      <c r="F1083"/>
      <c r="G1083"/>
      <c r="H1083"/>
      <c r="I1083"/>
      <c r="M1083" s="54"/>
    </row>
    <row r="1084" spans="1:13" s="15" customFormat="1" x14ac:dyDescent="0.3">
      <c r="A1084" s="17"/>
      <c r="B1084"/>
      <c r="C1084"/>
      <c r="D1084"/>
      <c r="E1084"/>
      <c r="F1084"/>
      <c r="G1084"/>
      <c r="H1084"/>
      <c r="I1084"/>
      <c r="M1084" s="54"/>
    </row>
    <row r="1085" spans="1:13" s="15" customFormat="1" x14ac:dyDescent="0.3">
      <c r="A1085" s="17"/>
      <c r="B1085"/>
      <c r="C1085"/>
      <c r="D1085"/>
      <c r="E1085"/>
      <c r="F1085"/>
      <c r="G1085"/>
      <c r="H1085"/>
      <c r="I1085"/>
      <c r="M1085" s="54"/>
    </row>
    <row r="1086" spans="1:13" s="15" customFormat="1" x14ac:dyDescent="0.3">
      <c r="A1086" s="17"/>
      <c r="B1086"/>
      <c r="C1086"/>
      <c r="D1086"/>
      <c r="E1086"/>
      <c r="F1086"/>
      <c r="G1086"/>
      <c r="H1086"/>
      <c r="I1086"/>
      <c r="M1086" s="54"/>
    </row>
    <row r="1087" spans="1:13" s="15" customFormat="1" x14ac:dyDescent="0.3">
      <c r="A1087" s="17"/>
      <c r="B1087"/>
      <c r="C1087"/>
      <c r="D1087"/>
      <c r="E1087"/>
      <c r="F1087"/>
      <c r="G1087"/>
      <c r="H1087"/>
      <c r="I1087"/>
      <c r="M1087" s="54"/>
    </row>
    <row r="1088" spans="1:13" s="15" customFormat="1" x14ac:dyDescent="0.3">
      <c r="A1088" s="17"/>
      <c r="B1088"/>
      <c r="C1088"/>
      <c r="D1088"/>
      <c r="E1088"/>
      <c r="F1088"/>
      <c r="G1088"/>
      <c r="H1088"/>
      <c r="I1088"/>
      <c r="M1088" s="54"/>
    </row>
    <row r="1089" spans="1:13" s="15" customFormat="1" x14ac:dyDescent="0.3">
      <c r="A1089" s="17"/>
      <c r="B1089"/>
      <c r="C1089"/>
      <c r="D1089"/>
      <c r="E1089"/>
      <c r="F1089"/>
      <c r="G1089"/>
      <c r="H1089"/>
      <c r="I1089"/>
      <c r="M1089" s="54"/>
    </row>
    <row r="1090" spans="1:13" s="15" customFormat="1" x14ac:dyDescent="0.3">
      <c r="A1090" s="17"/>
      <c r="B1090"/>
      <c r="C1090"/>
      <c r="D1090"/>
      <c r="E1090"/>
      <c r="F1090"/>
      <c r="G1090"/>
      <c r="H1090"/>
      <c r="I1090"/>
      <c r="M1090" s="54"/>
    </row>
    <row r="1091" spans="1:13" s="15" customFormat="1" x14ac:dyDescent="0.3">
      <c r="A1091" s="17"/>
      <c r="B1091"/>
      <c r="C1091"/>
      <c r="D1091"/>
      <c r="E1091"/>
      <c r="F1091"/>
      <c r="G1091"/>
      <c r="H1091"/>
      <c r="I1091"/>
      <c r="M1091" s="54"/>
    </row>
    <row r="1092" spans="1:13" s="15" customFormat="1" x14ac:dyDescent="0.3">
      <c r="A1092" s="17"/>
      <c r="B1092"/>
      <c r="C1092"/>
      <c r="D1092"/>
      <c r="E1092"/>
      <c r="F1092"/>
      <c r="G1092"/>
      <c r="H1092"/>
      <c r="I1092"/>
      <c r="M1092" s="54"/>
    </row>
    <row r="1093" spans="1:13" s="15" customFormat="1" x14ac:dyDescent="0.3">
      <c r="A1093" s="17"/>
      <c r="B1093"/>
      <c r="C1093"/>
      <c r="D1093"/>
      <c r="E1093"/>
      <c r="F1093"/>
      <c r="G1093"/>
      <c r="H1093"/>
      <c r="I1093"/>
      <c r="M1093" s="54"/>
    </row>
    <row r="1094" spans="1:13" s="15" customFormat="1" x14ac:dyDescent="0.3">
      <c r="A1094" s="17"/>
      <c r="B1094"/>
      <c r="C1094"/>
      <c r="D1094"/>
      <c r="E1094"/>
      <c r="F1094"/>
      <c r="G1094"/>
      <c r="H1094"/>
      <c r="I1094"/>
      <c r="M1094" s="54"/>
    </row>
    <row r="1095" spans="1:13" s="15" customFormat="1" x14ac:dyDescent="0.3">
      <c r="A1095" s="17"/>
      <c r="B1095"/>
      <c r="C1095"/>
      <c r="D1095"/>
      <c r="E1095"/>
      <c r="F1095"/>
      <c r="G1095"/>
      <c r="H1095"/>
      <c r="I1095"/>
      <c r="M1095" s="54"/>
    </row>
    <row r="1096" spans="1:13" s="15" customFormat="1" x14ac:dyDescent="0.3">
      <c r="A1096" s="17"/>
      <c r="B1096"/>
      <c r="C1096"/>
      <c r="D1096"/>
      <c r="E1096"/>
      <c r="F1096"/>
      <c r="G1096"/>
      <c r="H1096"/>
      <c r="I1096"/>
      <c r="M1096" s="54"/>
    </row>
    <row r="1097" spans="1:13" s="15" customFormat="1" x14ac:dyDescent="0.3">
      <c r="A1097" s="17"/>
      <c r="B1097"/>
      <c r="C1097"/>
      <c r="D1097"/>
      <c r="E1097"/>
      <c r="F1097"/>
      <c r="G1097"/>
      <c r="H1097"/>
      <c r="I1097"/>
      <c r="M1097" s="54"/>
    </row>
    <row r="1098" spans="1:13" s="15" customFormat="1" x14ac:dyDescent="0.3">
      <c r="A1098" s="17"/>
      <c r="B1098"/>
      <c r="C1098"/>
      <c r="D1098"/>
      <c r="E1098"/>
      <c r="F1098"/>
      <c r="G1098"/>
      <c r="H1098"/>
      <c r="I1098"/>
      <c r="M1098" s="54"/>
    </row>
    <row r="1099" spans="1:13" s="15" customFormat="1" x14ac:dyDescent="0.3">
      <c r="A1099" s="17"/>
      <c r="B1099"/>
      <c r="C1099"/>
      <c r="D1099"/>
      <c r="E1099"/>
      <c r="F1099"/>
      <c r="G1099"/>
      <c r="H1099"/>
      <c r="I1099"/>
      <c r="M1099" s="54"/>
    </row>
    <row r="1100" spans="1:13" s="15" customFormat="1" x14ac:dyDescent="0.3">
      <c r="A1100" s="17"/>
      <c r="B1100"/>
      <c r="C1100"/>
      <c r="D1100"/>
      <c r="E1100"/>
      <c r="F1100"/>
      <c r="G1100"/>
      <c r="H1100"/>
      <c r="I1100"/>
      <c r="M1100" s="54"/>
    </row>
    <row r="1101" spans="1:13" s="15" customFormat="1" x14ac:dyDescent="0.3">
      <c r="A1101" s="17"/>
      <c r="B1101"/>
      <c r="C1101"/>
      <c r="D1101"/>
      <c r="E1101"/>
      <c r="F1101"/>
      <c r="G1101"/>
      <c r="H1101"/>
      <c r="I1101"/>
      <c r="M1101" s="54"/>
    </row>
    <row r="1102" spans="1:13" s="15" customFormat="1" x14ac:dyDescent="0.3">
      <c r="A1102" s="17"/>
      <c r="B1102"/>
      <c r="C1102"/>
      <c r="D1102"/>
      <c r="E1102"/>
      <c r="F1102"/>
      <c r="G1102"/>
      <c r="H1102"/>
      <c r="I1102"/>
      <c r="M1102" s="54"/>
    </row>
    <row r="1103" spans="1:13" s="15" customFormat="1" x14ac:dyDescent="0.3">
      <c r="A1103" s="17"/>
      <c r="B1103"/>
      <c r="C1103"/>
      <c r="D1103"/>
      <c r="E1103"/>
      <c r="F1103"/>
      <c r="G1103"/>
      <c r="H1103"/>
      <c r="I1103"/>
      <c r="M1103" s="54"/>
    </row>
    <row r="1104" spans="1:13" s="15" customFormat="1" x14ac:dyDescent="0.3">
      <c r="A1104" s="17"/>
      <c r="B1104"/>
      <c r="C1104"/>
      <c r="D1104"/>
      <c r="E1104"/>
      <c r="F1104"/>
      <c r="G1104"/>
      <c r="H1104"/>
      <c r="I1104"/>
      <c r="M1104" s="54"/>
    </row>
    <row r="1105" spans="1:13" s="15" customFormat="1" x14ac:dyDescent="0.3">
      <c r="A1105" s="17"/>
      <c r="B1105"/>
      <c r="C1105"/>
      <c r="D1105"/>
      <c r="E1105"/>
      <c r="F1105"/>
      <c r="G1105"/>
      <c r="H1105"/>
      <c r="I1105"/>
      <c r="M1105" s="54"/>
    </row>
    <row r="1106" spans="1:13" s="15" customFormat="1" x14ac:dyDescent="0.3">
      <c r="A1106" s="17"/>
      <c r="B1106"/>
      <c r="C1106"/>
      <c r="D1106"/>
      <c r="E1106"/>
      <c r="F1106"/>
      <c r="G1106"/>
      <c r="H1106"/>
      <c r="I1106"/>
      <c r="M1106" s="54"/>
    </row>
    <row r="1107" spans="1:13" s="15" customFormat="1" x14ac:dyDescent="0.3">
      <c r="A1107" s="17"/>
      <c r="B1107"/>
      <c r="C1107"/>
      <c r="D1107"/>
      <c r="E1107"/>
      <c r="F1107"/>
      <c r="G1107"/>
      <c r="H1107"/>
      <c r="I1107"/>
      <c r="M1107" s="54"/>
    </row>
    <row r="1108" spans="1:13" s="15" customFormat="1" x14ac:dyDescent="0.3">
      <c r="A1108" s="17"/>
      <c r="B1108"/>
      <c r="C1108"/>
      <c r="D1108"/>
      <c r="E1108"/>
      <c r="F1108"/>
      <c r="G1108"/>
      <c r="H1108"/>
      <c r="I1108"/>
      <c r="M1108" s="54"/>
    </row>
    <row r="1109" spans="1:13" s="15" customFormat="1" x14ac:dyDescent="0.3">
      <c r="A1109" s="17"/>
      <c r="B1109"/>
      <c r="C1109"/>
      <c r="D1109"/>
      <c r="E1109"/>
      <c r="F1109"/>
      <c r="G1109"/>
      <c r="H1109"/>
      <c r="I1109"/>
      <c r="M1109" s="54"/>
    </row>
    <row r="1110" spans="1:13" s="15" customFormat="1" x14ac:dyDescent="0.3">
      <c r="A1110" s="17"/>
      <c r="B1110"/>
      <c r="C1110"/>
      <c r="D1110"/>
      <c r="E1110"/>
      <c r="F1110"/>
      <c r="G1110"/>
      <c r="H1110"/>
      <c r="I1110"/>
      <c r="M1110" s="54"/>
    </row>
    <row r="1111" spans="1:13" s="15" customFormat="1" x14ac:dyDescent="0.3">
      <c r="A1111" s="17"/>
      <c r="B1111"/>
      <c r="C1111"/>
      <c r="D1111"/>
      <c r="E1111"/>
      <c r="F1111"/>
      <c r="G1111"/>
      <c r="H1111"/>
      <c r="I1111"/>
      <c r="M1111" s="54"/>
    </row>
    <row r="1112" spans="1:13" s="15" customFormat="1" x14ac:dyDescent="0.3">
      <c r="A1112" s="17"/>
      <c r="B1112"/>
      <c r="C1112"/>
      <c r="D1112"/>
      <c r="E1112"/>
      <c r="F1112"/>
      <c r="G1112"/>
      <c r="H1112"/>
      <c r="I1112"/>
      <c r="M1112" s="54"/>
    </row>
    <row r="1113" spans="1:13" s="15" customFormat="1" x14ac:dyDescent="0.3">
      <c r="A1113" s="17"/>
      <c r="B1113"/>
      <c r="C1113"/>
      <c r="D1113"/>
      <c r="E1113"/>
      <c r="F1113"/>
      <c r="G1113"/>
      <c r="H1113"/>
      <c r="I1113"/>
      <c r="M1113" s="54"/>
    </row>
    <row r="1114" spans="1:13" s="15" customFormat="1" x14ac:dyDescent="0.3">
      <c r="A1114" s="17"/>
      <c r="B1114"/>
      <c r="C1114"/>
      <c r="D1114"/>
      <c r="E1114"/>
      <c r="F1114"/>
      <c r="G1114"/>
      <c r="H1114"/>
      <c r="I1114"/>
      <c r="M1114" s="54"/>
    </row>
    <row r="1115" spans="1:13" s="15" customFormat="1" x14ac:dyDescent="0.3">
      <c r="A1115" s="17"/>
      <c r="B1115"/>
      <c r="C1115"/>
      <c r="D1115"/>
      <c r="E1115"/>
      <c r="F1115"/>
      <c r="G1115"/>
      <c r="H1115"/>
      <c r="I1115"/>
      <c r="M1115" s="54"/>
    </row>
    <row r="1116" spans="1:13" s="15" customFormat="1" x14ac:dyDescent="0.3">
      <c r="A1116" s="17"/>
      <c r="B1116"/>
      <c r="C1116"/>
      <c r="D1116"/>
      <c r="E1116"/>
      <c r="F1116"/>
      <c r="G1116"/>
      <c r="H1116"/>
      <c r="I1116"/>
      <c r="M1116" s="54"/>
    </row>
    <row r="1117" spans="1:13" s="15" customFormat="1" x14ac:dyDescent="0.3">
      <c r="A1117" s="17"/>
      <c r="B1117"/>
      <c r="C1117"/>
      <c r="D1117"/>
      <c r="E1117"/>
      <c r="F1117"/>
      <c r="G1117"/>
      <c r="H1117"/>
      <c r="I1117"/>
      <c r="M1117" s="54"/>
    </row>
    <row r="1118" spans="1:13" s="15" customFormat="1" x14ac:dyDescent="0.3">
      <c r="A1118" s="17"/>
      <c r="B1118"/>
      <c r="C1118"/>
      <c r="D1118"/>
      <c r="E1118"/>
      <c r="F1118"/>
      <c r="G1118"/>
      <c r="H1118"/>
      <c r="I1118"/>
      <c r="M1118" s="54"/>
    </row>
    <row r="1119" spans="1:13" s="15" customFormat="1" x14ac:dyDescent="0.3">
      <c r="A1119" s="17"/>
      <c r="B1119"/>
      <c r="C1119"/>
      <c r="D1119"/>
      <c r="E1119"/>
      <c r="F1119"/>
      <c r="G1119"/>
      <c r="H1119"/>
      <c r="I1119"/>
      <c r="M1119" s="54"/>
    </row>
    <row r="1120" spans="1:13" s="15" customFormat="1" x14ac:dyDescent="0.3">
      <c r="A1120" s="17"/>
      <c r="B1120"/>
      <c r="C1120"/>
      <c r="D1120"/>
      <c r="E1120"/>
      <c r="F1120"/>
      <c r="G1120"/>
      <c r="H1120"/>
      <c r="I1120"/>
      <c r="M1120" s="54"/>
    </row>
    <row r="1121" spans="1:13" s="15" customFormat="1" x14ac:dyDescent="0.3">
      <c r="A1121" s="17"/>
      <c r="B1121"/>
      <c r="C1121"/>
      <c r="D1121"/>
      <c r="E1121"/>
      <c r="F1121"/>
      <c r="G1121"/>
      <c r="H1121"/>
      <c r="I1121"/>
      <c r="M1121" s="54"/>
    </row>
    <row r="1122" spans="1:13" s="15" customFormat="1" x14ac:dyDescent="0.3">
      <c r="A1122" s="17"/>
      <c r="B1122"/>
      <c r="C1122"/>
      <c r="D1122"/>
      <c r="E1122"/>
      <c r="F1122"/>
      <c r="G1122"/>
      <c r="H1122"/>
      <c r="I1122"/>
      <c r="M1122" s="54"/>
    </row>
    <row r="1123" spans="1:13" s="15" customFormat="1" x14ac:dyDescent="0.3">
      <c r="A1123" s="17"/>
      <c r="B1123"/>
      <c r="C1123"/>
      <c r="D1123"/>
      <c r="E1123"/>
      <c r="F1123"/>
      <c r="G1123"/>
      <c r="H1123"/>
      <c r="I1123"/>
      <c r="M1123" s="54"/>
    </row>
    <row r="1124" spans="1:13" s="15" customFormat="1" x14ac:dyDescent="0.3">
      <c r="A1124" s="17"/>
      <c r="B1124"/>
      <c r="C1124"/>
      <c r="D1124"/>
      <c r="E1124"/>
      <c r="F1124"/>
      <c r="G1124"/>
      <c r="H1124"/>
      <c r="I1124"/>
      <c r="M1124" s="54"/>
    </row>
    <row r="1125" spans="1:13" s="15" customFormat="1" x14ac:dyDescent="0.3">
      <c r="A1125" s="17"/>
      <c r="B1125"/>
      <c r="C1125"/>
      <c r="D1125"/>
      <c r="E1125"/>
      <c r="F1125"/>
      <c r="G1125"/>
      <c r="H1125"/>
      <c r="I1125"/>
      <c r="M1125" s="54"/>
    </row>
    <row r="1126" spans="1:13" s="15" customFormat="1" x14ac:dyDescent="0.3">
      <c r="A1126" s="17"/>
      <c r="B1126"/>
      <c r="C1126"/>
      <c r="D1126"/>
      <c r="E1126"/>
      <c r="F1126"/>
      <c r="G1126"/>
      <c r="H1126"/>
      <c r="I1126"/>
      <c r="M1126" s="54"/>
    </row>
    <row r="1127" spans="1:13" s="15" customFormat="1" x14ac:dyDescent="0.3">
      <c r="A1127" s="17"/>
      <c r="B1127"/>
      <c r="C1127"/>
      <c r="D1127"/>
      <c r="E1127"/>
      <c r="F1127"/>
      <c r="G1127"/>
      <c r="H1127"/>
      <c r="I1127"/>
      <c r="M1127" s="54"/>
    </row>
    <row r="1128" spans="1:13" s="15" customFormat="1" x14ac:dyDescent="0.3">
      <c r="A1128" s="17"/>
      <c r="B1128"/>
      <c r="C1128"/>
      <c r="D1128"/>
      <c r="E1128"/>
      <c r="F1128"/>
      <c r="G1128"/>
      <c r="H1128"/>
      <c r="I1128"/>
      <c r="M1128" s="54"/>
    </row>
    <row r="1129" spans="1:13" s="15" customFormat="1" x14ac:dyDescent="0.3">
      <c r="A1129" s="17"/>
      <c r="B1129"/>
      <c r="C1129"/>
      <c r="D1129"/>
      <c r="E1129"/>
      <c r="F1129"/>
      <c r="G1129"/>
      <c r="H1129"/>
      <c r="I1129"/>
      <c r="M1129" s="54"/>
    </row>
    <row r="1130" spans="1:13" s="15" customFormat="1" x14ac:dyDescent="0.3">
      <c r="A1130" s="17"/>
      <c r="B1130"/>
      <c r="C1130"/>
      <c r="D1130"/>
      <c r="E1130"/>
      <c r="F1130"/>
      <c r="G1130"/>
      <c r="H1130"/>
      <c r="I1130"/>
      <c r="M1130" s="54"/>
    </row>
    <row r="1131" spans="1:13" s="15" customFormat="1" x14ac:dyDescent="0.3">
      <c r="A1131" s="17"/>
      <c r="B1131"/>
      <c r="C1131"/>
      <c r="D1131"/>
      <c r="E1131"/>
      <c r="F1131"/>
      <c r="G1131"/>
      <c r="H1131"/>
      <c r="I1131"/>
      <c r="M1131" s="54"/>
    </row>
    <row r="1132" spans="1:13" s="15" customFormat="1" x14ac:dyDescent="0.3">
      <c r="A1132" s="17"/>
      <c r="B1132"/>
      <c r="C1132"/>
      <c r="D1132"/>
      <c r="E1132"/>
      <c r="F1132"/>
      <c r="G1132"/>
      <c r="H1132"/>
      <c r="I1132"/>
      <c r="M1132" s="54"/>
    </row>
    <row r="1133" spans="1:13" s="15" customFormat="1" x14ac:dyDescent="0.3">
      <c r="A1133" s="17"/>
      <c r="B1133"/>
      <c r="C1133"/>
      <c r="D1133"/>
      <c r="E1133"/>
      <c r="F1133"/>
      <c r="G1133"/>
      <c r="H1133"/>
      <c r="I1133"/>
      <c r="M1133" s="54"/>
    </row>
    <row r="1134" spans="1:13" s="15" customFormat="1" x14ac:dyDescent="0.3">
      <c r="A1134" s="17"/>
      <c r="B1134"/>
      <c r="C1134"/>
      <c r="D1134"/>
      <c r="E1134"/>
      <c r="F1134"/>
      <c r="G1134"/>
      <c r="H1134"/>
      <c r="I1134"/>
      <c r="M1134" s="54"/>
    </row>
    <row r="1135" spans="1:13" s="15" customFormat="1" x14ac:dyDescent="0.3">
      <c r="A1135" s="17"/>
      <c r="B1135"/>
      <c r="C1135"/>
      <c r="D1135"/>
      <c r="E1135"/>
      <c r="F1135"/>
      <c r="G1135"/>
      <c r="H1135"/>
      <c r="I1135"/>
      <c r="M1135" s="54"/>
    </row>
    <row r="1136" spans="1:13" s="15" customFormat="1" x14ac:dyDescent="0.3">
      <c r="A1136" s="17"/>
      <c r="B1136"/>
      <c r="C1136"/>
      <c r="D1136"/>
      <c r="E1136"/>
      <c r="F1136"/>
      <c r="G1136"/>
      <c r="H1136"/>
      <c r="I1136"/>
      <c r="M1136" s="54"/>
    </row>
    <row r="1137" spans="1:13" s="15" customFormat="1" x14ac:dyDescent="0.3">
      <c r="A1137" s="17"/>
      <c r="B1137"/>
      <c r="C1137"/>
      <c r="D1137"/>
      <c r="E1137"/>
      <c r="F1137"/>
      <c r="G1137"/>
      <c r="H1137"/>
      <c r="I1137"/>
      <c r="M1137" s="54"/>
    </row>
    <row r="1138" spans="1:13" s="15" customFormat="1" x14ac:dyDescent="0.3">
      <c r="A1138" s="17"/>
      <c r="B1138"/>
      <c r="C1138"/>
      <c r="D1138"/>
      <c r="E1138"/>
      <c r="F1138"/>
      <c r="G1138"/>
      <c r="H1138"/>
      <c r="I1138"/>
      <c r="M1138" s="54"/>
    </row>
    <row r="1139" spans="1:13" s="15" customFormat="1" x14ac:dyDescent="0.3">
      <c r="A1139" s="17"/>
      <c r="B1139"/>
      <c r="C1139"/>
      <c r="D1139"/>
      <c r="E1139"/>
      <c r="F1139"/>
      <c r="G1139"/>
      <c r="H1139"/>
      <c r="I1139"/>
      <c r="M1139" s="54"/>
    </row>
    <row r="1140" spans="1:13" s="15" customFormat="1" x14ac:dyDescent="0.3">
      <c r="A1140" s="17"/>
      <c r="B1140"/>
      <c r="C1140"/>
      <c r="D1140"/>
      <c r="E1140"/>
      <c r="F1140"/>
      <c r="G1140"/>
      <c r="H1140"/>
      <c r="I1140"/>
      <c r="M1140" s="54"/>
    </row>
    <row r="1141" spans="1:13" s="15" customFormat="1" x14ac:dyDescent="0.3">
      <c r="A1141" s="17"/>
      <c r="B1141"/>
      <c r="C1141"/>
      <c r="D1141"/>
      <c r="E1141"/>
      <c r="F1141"/>
      <c r="G1141"/>
      <c r="H1141"/>
      <c r="I1141"/>
      <c r="M1141" s="54"/>
    </row>
    <row r="1142" spans="1:13" s="15" customFormat="1" x14ac:dyDescent="0.3">
      <c r="A1142" s="17"/>
      <c r="B1142"/>
      <c r="C1142"/>
      <c r="D1142"/>
      <c r="E1142"/>
      <c r="F1142"/>
      <c r="G1142"/>
      <c r="H1142"/>
      <c r="I1142"/>
      <c r="M1142" s="54"/>
    </row>
    <row r="1143" spans="1:13" s="15" customFormat="1" x14ac:dyDescent="0.3">
      <c r="A1143" s="17"/>
      <c r="B1143"/>
      <c r="C1143"/>
      <c r="D1143"/>
      <c r="E1143"/>
      <c r="F1143"/>
      <c r="G1143"/>
      <c r="H1143"/>
      <c r="I1143"/>
      <c r="M1143" s="54"/>
    </row>
    <row r="1144" spans="1:13" s="15" customFormat="1" x14ac:dyDescent="0.3">
      <c r="A1144" s="17"/>
      <c r="B1144"/>
      <c r="C1144"/>
      <c r="D1144"/>
      <c r="E1144"/>
      <c r="F1144"/>
      <c r="G1144"/>
      <c r="H1144"/>
      <c r="I1144"/>
      <c r="M1144" s="54"/>
    </row>
    <row r="1145" spans="1:13" s="15" customFormat="1" x14ac:dyDescent="0.3">
      <c r="A1145" s="17"/>
      <c r="B1145"/>
      <c r="C1145"/>
      <c r="D1145"/>
      <c r="E1145"/>
      <c r="F1145"/>
      <c r="G1145"/>
      <c r="H1145"/>
      <c r="I1145"/>
      <c r="M1145" s="54"/>
    </row>
    <row r="1146" spans="1:13" s="15" customFormat="1" x14ac:dyDescent="0.3">
      <c r="A1146" s="17"/>
      <c r="B1146"/>
      <c r="C1146"/>
      <c r="D1146"/>
      <c r="E1146"/>
      <c r="F1146"/>
      <c r="G1146"/>
      <c r="H1146"/>
      <c r="I1146"/>
      <c r="M1146" s="54"/>
    </row>
    <row r="1147" spans="1:13" s="15" customFormat="1" x14ac:dyDescent="0.3">
      <c r="A1147" s="17"/>
      <c r="B1147"/>
      <c r="C1147"/>
      <c r="D1147"/>
      <c r="E1147"/>
      <c r="F1147"/>
      <c r="G1147"/>
      <c r="H1147"/>
      <c r="I1147"/>
      <c r="M1147" s="54"/>
    </row>
    <row r="1148" spans="1:13" s="15" customFormat="1" x14ac:dyDescent="0.3">
      <c r="A1148" s="17"/>
      <c r="B1148"/>
      <c r="C1148"/>
      <c r="D1148"/>
      <c r="E1148"/>
      <c r="F1148"/>
      <c r="G1148"/>
      <c r="H1148"/>
      <c r="I1148"/>
      <c r="M1148" s="54"/>
    </row>
    <row r="1149" spans="1:13" s="15" customFormat="1" x14ac:dyDescent="0.3">
      <c r="A1149" s="17"/>
      <c r="B1149"/>
      <c r="C1149"/>
      <c r="D1149"/>
      <c r="E1149"/>
      <c r="F1149"/>
      <c r="G1149"/>
      <c r="H1149"/>
      <c r="I1149"/>
      <c r="M1149" s="54"/>
    </row>
    <row r="1150" spans="1:13" s="15" customFormat="1" x14ac:dyDescent="0.3">
      <c r="A1150" s="17"/>
      <c r="B1150"/>
      <c r="C1150"/>
      <c r="D1150"/>
      <c r="E1150"/>
      <c r="F1150"/>
      <c r="G1150"/>
      <c r="H1150"/>
      <c r="I1150"/>
      <c r="M1150" s="54"/>
    </row>
    <row r="1151" spans="1:13" s="15" customFormat="1" x14ac:dyDescent="0.3">
      <c r="A1151" s="17"/>
      <c r="B1151"/>
      <c r="C1151"/>
      <c r="D1151"/>
      <c r="E1151"/>
      <c r="F1151"/>
      <c r="G1151"/>
      <c r="H1151"/>
      <c r="I1151"/>
      <c r="M1151" s="54"/>
    </row>
    <row r="1152" spans="1:13" s="15" customFormat="1" x14ac:dyDescent="0.3">
      <c r="A1152" s="17"/>
      <c r="B1152"/>
      <c r="C1152"/>
      <c r="D1152"/>
      <c r="E1152"/>
      <c r="F1152"/>
      <c r="G1152"/>
      <c r="H1152"/>
      <c r="I1152"/>
      <c r="M1152" s="54"/>
    </row>
    <row r="1153" spans="1:13" s="15" customFormat="1" x14ac:dyDescent="0.3">
      <c r="A1153" s="17"/>
      <c r="B1153"/>
      <c r="C1153"/>
      <c r="D1153"/>
      <c r="E1153"/>
      <c r="F1153"/>
      <c r="G1153"/>
      <c r="H1153"/>
      <c r="I1153"/>
      <c r="M1153" s="54"/>
    </row>
    <row r="1154" spans="1:13" s="15" customFormat="1" x14ac:dyDescent="0.3">
      <c r="A1154" s="17"/>
      <c r="B1154"/>
      <c r="C1154"/>
      <c r="D1154"/>
      <c r="E1154"/>
      <c r="F1154"/>
      <c r="G1154"/>
      <c r="H1154"/>
      <c r="I1154"/>
      <c r="M1154" s="54"/>
    </row>
    <row r="1155" spans="1:13" s="15" customFormat="1" x14ac:dyDescent="0.3">
      <c r="A1155" s="17"/>
      <c r="B1155"/>
      <c r="C1155"/>
      <c r="D1155"/>
      <c r="E1155"/>
      <c r="F1155"/>
      <c r="G1155"/>
      <c r="H1155"/>
      <c r="I1155"/>
      <c r="M1155" s="54"/>
    </row>
    <row r="1156" spans="1:13" s="15" customFormat="1" x14ac:dyDescent="0.3">
      <c r="A1156" s="17"/>
      <c r="B1156"/>
      <c r="C1156"/>
      <c r="D1156"/>
      <c r="E1156"/>
      <c r="F1156"/>
      <c r="G1156"/>
      <c r="H1156"/>
      <c r="I1156"/>
      <c r="M1156" s="54"/>
    </row>
    <row r="1157" spans="1:13" s="15" customFormat="1" x14ac:dyDescent="0.3">
      <c r="A1157" s="17"/>
      <c r="B1157"/>
      <c r="C1157"/>
      <c r="D1157"/>
      <c r="E1157"/>
      <c r="F1157"/>
      <c r="G1157"/>
      <c r="H1157"/>
      <c r="I1157"/>
      <c r="M1157" s="54"/>
    </row>
    <row r="1158" spans="1:13" s="15" customFormat="1" x14ac:dyDescent="0.3">
      <c r="A1158" s="17"/>
      <c r="B1158"/>
      <c r="C1158"/>
      <c r="D1158"/>
      <c r="E1158"/>
      <c r="F1158"/>
      <c r="G1158"/>
      <c r="H1158"/>
      <c r="I1158"/>
      <c r="M1158" s="54"/>
    </row>
    <row r="1159" spans="1:13" s="15" customFormat="1" x14ac:dyDescent="0.3">
      <c r="A1159" s="17"/>
      <c r="B1159"/>
      <c r="C1159"/>
      <c r="D1159"/>
      <c r="E1159"/>
      <c r="F1159"/>
      <c r="G1159"/>
      <c r="H1159"/>
      <c r="I1159"/>
      <c r="M1159" s="54"/>
    </row>
    <row r="1160" spans="1:13" s="15" customFormat="1" x14ac:dyDescent="0.3">
      <c r="A1160" s="17"/>
      <c r="B1160"/>
      <c r="C1160"/>
      <c r="D1160"/>
      <c r="E1160"/>
      <c r="F1160"/>
      <c r="G1160"/>
      <c r="H1160"/>
      <c r="I1160"/>
      <c r="M1160" s="54"/>
    </row>
    <row r="1161" spans="1:13" s="15" customFormat="1" x14ac:dyDescent="0.3">
      <c r="A1161" s="17"/>
      <c r="B1161"/>
      <c r="C1161"/>
      <c r="D1161"/>
      <c r="E1161"/>
      <c r="F1161"/>
      <c r="G1161"/>
      <c r="H1161"/>
      <c r="I1161"/>
      <c r="M1161" s="54"/>
    </row>
    <row r="1162" spans="1:13" s="15" customFormat="1" x14ac:dyDescent="0.3">
      <c r="A1162" s="17"/>
      <c r="B1162"/>
      <c r="C1162"/>
      <c r="D1162"/>
      <c r="E1162"/>
      <c r="F1162"/>
      <c r="G1162"/>
      <c r="H1162"/>
      <c r="I1162"/>
      <c r="M1162" s="54"/>
    </row>
    <row r="1163" spans="1:13" s="15" customFormat="1" x14ac:dyDescent="0.3">
      <c r="A1163" s="17"/>
      <c r="B1163"/>
      <c r="C1163"/>
      <c r="D1163"/>
      <c r="E1163"/>
      <c r="F1163"/>
      <c r="G1163"/>
      <c r="H1163"/>
      <c r="I1163"/>
      <c r="M1163" s="54"/>
    </row>
    <row r="1164" spans="1:13" s="15" customFormat="1" x14ac:dyDescent="0.3">
      <c r="A1164" s="17"/>
      <c r="B1164"/>
      <c r="C1164"/>
      <c r="D1164"/>
      <c r="E1164"/>
      <c r="F1164"/>
      <c r="G1164"/>
      <c r="H1164"/>
      <c r="I1164"/>
      <c r="M1164" s="54"/>
    </row>
    <row r="1165" spans="1:13" s="15" customFormat="1" x14ac:dyDescent="0.3">
      <c r="A1165" s="17"/>
      <c r="B1165"/>
      <c r="C1165"/>
      <c r="D1165"/>
      <c r="E1165"/>
      <c r="F1165"/>
      <c r="G1165"/>
      <c r="H1165"/>
      <c r="I1165"/>
      <c r="M1165" s="54"/>
    </row>
    <row r="1166" spans="1:13" s="15" customFormat="1" x14ac:dyDescent="0.3">
      <c r="A1166" s="17"/>
      <c r="B1166"/>
      <c r="C1166"/>
      <c r="D1166"/>
      <c r="E1166"/>
      <c r="F1166"/>
      <c r="G1166"/>
      <c r="H1166"/>
      <c r="I1166"/>
      <c r="M1166" s="54"/>
    </row>
    <row r="1167" spans="1:13" s="15" customFormat="1" x14ac:dyDescent="0.3">
      <c r="A1167" s="17"/>
      <c r="B1167"/>
      <c r="C1167"/>
      <c r="D1167"/>
      <c r="E1167"/>
      <c r="F1167"/>
      <c r="G1167"/>
      <c r="H1167"/>
      <c r="I1167"/>
      <c r="M1167" s="54"/>
    </row>
    <row r="1168" spans="1:13" s="15" customFormat="1" x14ac:dyDescent="0.3">
      <c r="A1168" s="17"/>
      <c r="B1168"/>
      <c r="C1168"/>
      <c r="D1168"/>
      <c r="E1168"/>
      <c r="F1168"/>
      <c r="G1168"/>
      <c r="H1168"/>
      <c r="I1168"/>
      <c r="M1168" s="54"/>
    </row>
    <row r="1169" spans="1:13" s="15" customFormat="1" x14ac:dyDescent="0.3">
      <c r="A1169" s="17"/>
      <c r="B1169"/>
      <c r="C1169"/>
      <c r="D1169"/>
      <c r="E1169"/>
      <c r="F1169"/>
      <c r="G1169"/>
      <c r="H1169"/>
      <c r="I1169"/>
      <c r="M1169" s="54"/>
    </row>
    <row r="1170" spans="1:13" s="15" customFormat="1" x14ac:dyDescent="0.3">
      <c r="A1170" s="17"/>
      <c r="B1170"/>
      <c r="C1170"/>
      <c r="D1170"/>
      <c r="E1170"/>
      <c r="F1170"/>
      <c r="G1170"/>
      <c r="H1170"/>
      <c r="I1170"/>
      <c r="M1170" s="54"/>
    </row>
    <row r="1171" spans="1:13" s="15" customFormat="1" x14ac:dyDescent="0.3">
      <c r="A1171" s="17"/>
      <c r="B1171"/>
      <c r="C1171"/>
      <c r="D1171"/>
      <c r="E1171"/>
      <c r="F1171"/>
      <c r="G1171"/>
      <c r="H1171"/>
      <c r="I1171"/>
      <c r="M1171" s="54"/>
    </row>
    <row r="1172" spans="1:13" s="15" customFormat="1" x14ac:dyDescent="0.3">
      <c r="A1172" s="17"/>
      <c r="B1172"/>
      <c r="C1172"/>
      <c r="D1172"/>
      <c r="E1172"/>
      <c r="F1172"/>
      <c r="G1172"/>
      <c r="H1172"/>
      <c r="I1172"/>
      <c r="M1172" s="54"/>
    </row>
    <row r="1173" spans="1:13" s="15" customFormat="1" x14ac:dyDescent="0.3">
      <c r="A1173" s="17"/>
      <c r="B1173"/>
      <c r="C1173"/>
      <c r="D1173"/>
      <c r="E1173"/>
      <c r="F1173"/>
      <c r="G1173"/>
      <c r="H1173"/>
      <c r="I1173"/>
      <c r="M1173" s="54"/>
    </row>
    <row r="1174" spans="1:13" s="15" customFormat="1" x14ac:dyDescent="0.3">
      <c r="A1174" s="17"/>
      <c r="B1174"/>
      <c r="C1174"/>
      <c r="D1174"/>
      <c r="E1174"/>
      <c r="F1174"/>
      <c r="G1174"/>
      <c r="H1174"/>
      <c r="I1174"/>
      <c r="M1174" s="54"/>
    </row>
    <row r="1175" spans="1:13" s="15" customFormat="1" x14ac:dyDescent="0.3">
      <c r="A1175" s="17"/>
      <c r="B1175"/>
      <c r="C1175"/>
      <c r="D1175"/>
      <c r="E1175"/>
      <c r="F1175"/>
      <c r="G1175"/>
      <c r="H1175"/>
      <c r="I1175"/>
      <c r="M1175" s="54"/>
    </row>
    <row r="1176" spans="1:13" s="15" customFormat="1" x14ac:dyDescent="0.3">
      <c r="A1176" s="17"/>
      <c r="B1176"/>
      <c r="C1176"/>
      <c r="D1176"/>
      <c r="E1176"/>
      <c r="F1176"/>
      <c r="G1176"/>
      <c r="H1176"/>
      <c r="I1176"/>
      <c r="M1176" s="54"/>
    </row>
    <row r="1177" spans="1:13" s="15" customFormat="1" x14ac:dyDescent="0.3">
      <c r="A1177" s="17"/>
      <c r="B1177"/>
      <c r="C1177"/>
      <c r="D1177"/>
      <c r="E1177"/>
      <c r="F1177"/>
      <c r="G1177"/>
      <c r="H1177"/>
      <c r="I1177"/>
      <c r="M1177" s="54"/>
    </row>
    <row r="1178" spans="1:13" s="15" customFormat="1" x14ac:dyDescent="0.3">
      <c r="A1178" s="17"/>
      <c r="B1178"/>
      <c r="C1178"/>
      <c r="D1178"/>
      <c r="E1178"/>
      <c r="F1178"/>
      <c r="G1178"/>
      <c r="H1178"/>
      <c r="I1178"/>
      <c r="M1178" s="54"/>
    </row>
    <row r="1179" spans="1:13" s="15" customFormat="1" x14ac:dyDescent="0.3">
      <c r="A1179" s="17"/>
      <c r="B1179"/>
      <c r="C1179"/>
      <c r="D1179"/>
      <c r="E1179"/>
      <c r="F1179"/>
      <c r="G1179"/>
      <c r="H1179"/>
      <c r="I1179"/>
      <c r="M1179" s="54"/>
    </row>
    <row r="1180" spans="1:13" s="15" customFormat="1" x14ac:dyDescent="0.3">
      <c r="A1180" s="17"/>
      <c r="B1180"/>
      <c r="C1180"/>
      <c r="D1180"/>
      <c r="E1180"/>
      <c r="F1180"/>
      <c r="G1180"/>
      <c r="H1180"/>
      <c r="I1180"/>
      <c r="M1180" s="54"/>
    </row>
    <row r="1181" spans="1:13" s="15" customFormat="1" x14ac:dyDescent="0.3">
      <c r="A1181" s="17"/>
      <c r="B1181"/>
      <c r="C1181"/>
      <c r="D1181"/>
      <c r="E1181"/>
      <c r="F1181"/>
      <c r="G1181"/>
      <c r="H1181"/>
      <c r="I1181"/>
      <c r="M1181" s="54"/>
    </row>
    <row r="1182" spans="1:13" s="15" customFormat="1" x14ac:dyDescent="0.3">
      <c r="A1182" s="17"/>
      <c r="B1182"/>
      <c r="C1182"/>
      <c r="D1182"/>
      <c r="E1182"/>
      <c r="F1182"/>
      <c r="G1182"/>
      <c r="H1182"/>
      <c r="I1182"/>
      <c r="M1182" s="54"/>
    </row>
    <row r="1183" spans="1:13" s="15" customFormat="1" x14ac:dyDescent="0.3">
      <c r="A1183" s="17"/>
      <c r="B1183"/>
      <c r="C1183"/>
      <c r="D1183"/>
      <c r="E1183"/>
      <c r="F1183"/>
      <c r="G1183"/>
      <c r="H1183"/>
      <c r="I1183"/>
      <c r="M1183" s="54"/>
    </row>
    <row r="1184" spans="1:13" s="15" customFormat="1" x14ac:dyDescent="0.3">
      <c r="A1184" s="17"/>
      <c r="B1184"/>
      <c r="C1184"/>
      <c r="D1184"/>
      <c r="E1184"/>
      <c r="F1184"/>
      <c r="G1184"/>
      <c r="H1184"/>
      <c r="I1184"/>
      <c r="M1184" s="54"/>
    </row>
    <row r="1185" spans="1:13" s="15" customFormat="1" x14ac:dyDescent="0.3">
      <c r="A1185" s="17"/>
      <c r="B1185"/>
      <c r="C1185"/>
      <c r="D1185"/>
      <c r="E1185"/>
      <c r="F1185"/>
      <c r="G1185"/>
      <c r="H1185"/>
      <c r="I1185"/>
      <c r="M1185" s="54"/>
    </row>
    <row r="1186" spans="1:13" s="15" customFormat="1" x14ac:dyDescent="0.3">
      <c r="A1186" s="17"/>
      <c r="B1186"/>
      <c r="C1186"/>
      <c r="D1186"/>
      <c r="E1186"/>
      <c r="F1186"/>
      <c r="G1186"/>
      <c r="H1186"/>
      <c r="I1186"/>
      <c r="M1186" s="54"/>
    </row>
    <row r="1187" spans="1:13" s="15" customFormat="1" x14ac:dyDescent="0.3">
      <c r="A1187" s="17"/>
      <c r="B1187"/>
      <c r="C1187"/>
      <c r="D1187"/>
      <c r="E1187"/>
      <c r="F1187"/>
      <c r="G1187"/>
      <c r="H1187"/>
      <c r="I1187"/>
      <c r="M1187" s="54"/>
    </row>
    <row r="1188" spans="1:13" s="15" customFormat="1" x14ac:dyDescent="0.3">
      <c r="A1188" s="17"/>
      <c r="B1188"/>
      <c r="C1188"/>
      <c r="D1188"/>
      <c r="E1188"/>
      <c r="F1188"/>
      <c r="G1188"/>
      <c r="H1188"/>
      <c r="I1188"/>
      <c r="M1188" s="54"/>
    </row>
    <row r="1189" spans="1:13" s="15" customFormat="1" x14ac:dyDescent="0.3">
      <c r="A1189" s="17"/>
      <c r="B1189"/>
      <c r="C1189"/>
      <c r="D1189"/>
      <c r="E1189"/>
      <c r="F1189"/>
      <c r="G1189"/>
      <c r="H1189"/>
      <c r="I1189"/>
      <c r="M1189" s="54"/>
    </row>
    <row r="1190" spans="1:13" s="15" customFormat="1" x14ac:dyDescent="0.3">
      <c r="A1190" s="17"/>
      <c r="B1190"/>
      <c r="C1190"/>
      <c r="D1190"/>
      <c r="E1190"/>
      <c r="F1190"/>
      <c r="G1190"/>
      <c r="H1190"/>
      <c r="I1190"/>
      <c r="M1190" s="54"/>
    </row>
    <row r="1191" spans="1:13" s="15" customFormat="1" x14ac:dyDescent="0.3">
      <c r="A1191" s="17"/>
      <c r="B1191"/>
      <c r="C1191"/>
      <c r="D1191"/>
      <c r="E1191"/>
      <c r="F1191"/>
      <c r="G1191"/>
      <c r="H1191"/>
      <c r="I1191"/>
      <c r="M1191" s="54"/>
    </row>
    <row r="1192" spans="1:13" s="15" customFormat="1" x14ac:dyDescent="0.3">
      <c r="A1192" s="17"/>
      <c r="B1192"/>
      <c r="C1192"/>
      <c r="D1192"/>
      <c r="E1192"/>
      <c r="F1192"/>
      <c r="G1192"/>
      <c r="H1192"/>
      <c r="I1192"/>
      <c r="M1192" s="54"/>
    </row>
    <row r="1193" spans="1:13" s="15" customFormat="1" x14ac:dyDescent="0.3">
      <c r="A1193" s="17"/>
      <c r="B1193"/>
      <c r="C1193"/>
      <c r="D1193"/>
      <c r="E1193"/>
      <c r="F1193"/>
      <c r="G1193"/>
      <c r="H1193"/>
      <c r="I1193"/>
      <c r="M1193" s="54"/>
    </row>
    <row r="1194" spans="1:13" s="15" customFormat="1" x14ac:dyDescent="0.3">
      <c r="A1194" s="17"/>
      <c r="B1194"/>
      <c r="C1194"/>
      <c r="D1194"/>
      <c r="E1194"/>
      <c r="F1194"/>
      <c r="G1194"/>
      <c r="H1194"/>
      <c r="I1194"/>
      <c r="M1194" s="54"/>
    </row>
    <row r="1195" spans="1:13" s="15" customFormat="1" x14ac:dyDescent="0.3">
      <c r="A1195" s="17"/>
      <c r="B1195"/>
      <c r="C1195"/>
      <c r="D1195"/>
      <c r="E1195"/>
      <c r="F1195"/>
      <c r="G1195"/>
      <c r="H1195"/>
      <c r="I1195"/>
      <c r="M1195" s="54"/>
    </row>
    <row r="1196" spans="1:13" s="15" customFormat="1" x14ac:dyDescent="0.3">
      <c r="A1196" s="17"/>
      <c r="B1196"/>
      <c r="C1196"/>
      <c r="D1196"/>
      <c r="E1196"/>
      <c r="F1196"/>
      <c r="G1196"/>
      <c r="H1196"/>
      <c r="I1196"/>
      <c r="M1196" s="54"/>
    </row>
    <row r="1197" spans="1:13" s="15" customFormat="1" x14ac:dyDescent="0.3">
      <c r="A1197" s="17"/>
      <c r="B1197"/>
      <c r="C1197"/>
      <c r="D1197"/>
      <c r="E1197"/>
      <c r="F1197"/>
      <c r="G1197"/>
      <c r="H1197"/>
      <c r="I1197"/>
      <c r="M1197" s="54"/>
    </row>
    <row r="1198" spans="1:13" s="15" customFormat="1" x14ac:dyDescent="0.3">
      <c r="A1198" s="17"/>
      <c r="B1198"/>
      <c r="C1198"/>
      <c r="D1198"/>
      <c r="E1198"/>
      <c r="F1198"/>
      <c r="G1198"/>
      <c r="H1198"/>
      <c r="I1198"/>
      <c r="M1198" s="54"/>
    </row>
    <row r="1199" spans="1:13" s="15" customFormat="1" x14ac:dyDescent="0.3">
      <c r="A1199" s="17"/>
      <c r="B1199"/>
      <c r="C1199"/>
      <c r="D1199"/>
      <c r="E1199"/>
      <c r="F1199"/>
      <c r="G1199"/>
      <c r="H1199"/>
      <c r="I1199"/>
      <c r="M1199" s="54"/>
    </row>
    <row r="1200" spans="1:13" s="15" customFormat="1" x14ac:dyDescent="0.3">
      <c r="A1200" s="17"/>
      <c r="B1200"/>
      <c r="C1200"/>
      <c r="D1200"/>
      <c r="E1200"/>
      <c r="F1200"/>
      <c r="G1200"/>
      <c r="H1200"/>
      <c r="I1200"/>
      <c r="M1200" s="54"/>
    </row>
    <row r="1201" spans="1:13" s="15" customFormat="1" x14ac:dyDescent="0.3">
      <c r="A1201" s="17"/>
      <c r="B1201"/>
      <c r="C1201"/>
      <c r="D1201"/>
      <c r="E1201"/>
      <c r="F1201"/>
      <c r="G1201"/>
      <c r="H1201"/>
      <c r="I1201"/>
      <c r="M1201" s="54"/>
    </row>
    <row r="1202" spans="1:13" s="15" customFormat="1" x14ac:dyDescent="0.3">
      <c r="A1202" s="17"/>
      <c r="B1202"/>
      <c r="C1202"/>
      <c r="D1202"/>
      <c r="E1202"/>
      <c r="F1202"/>
      <c r="G1202"/>
      <c r="H1202"/>
      <c r="I1202"/>
      <c r="M1202" s="54"/>
    </row>
    <row r="1203" spans="1:13" s="15" customFormat="1" x14ac:dyDescent="0.3">
      <c r="A1203" s="17"/>
      <c r="B1203"/>
      <c r="C1203"/>
      <c r="D1203"/>
      <c r="E1203"/>
      <c r="F1203"/>
      <c r="G1203"/>
      <c r="H1203"/>
      <c r="I1203"/>
      <c r="M1203" s="54"/>
    </row>
    <row r="1204" spans="1:13" s="15" customFormat="1" x14ac:dyDescent="0.3">
      <c r="A1204" s="17"/>
      <c r="B1204"/>
      <c r="C1204"/>
      <c r="D1204"/>
      <c r="E1204"/>
      <c r="F1204"/>
      <c r="G1204"/>
      <c r="H1204"/>
      <c r="I1204"/>
      <c r="M1204" s="54"/>
    </row>
    <row r="1205" spans="1:13" s="15" customFormat="1" x14ac:dyDescent="0.3">
      <c r="A1205" s="17"/>
      <c r="B1205"/>
      <c r="C1205"/>
      <c r="D1205"/>
      <c r="E1205"/>
      <c r="F1205"/>
      <c r="G1205"/>
      <c r="H1205"/>
      <c r="I1205"/>
      <c r="M1205" s="54"/>
    </row>
    <row r="1206" spans="1:13" s="15" customFormat="1" x14ac:dyDescent="0.3">
      <c r="A1206" s="17"/>
      <c r="B1206"/>
      <c r="C1206"/>
      <c r="D1206"/>
      <c r="E1206"/>
      <c r="F1206"/>
      <c r="G1206"/>
      <c r="H1206"/>
      <c r="I1206"/>
      <c r="M1206" s="54"/>
    </row>
    <row r="1207" spans="1:13" s="15" customFormat="1" x14ac:dyDescent="0.3">
      <c r="A1207" s="17"/>
      <c r="B1207"/>
      <c r="C1207"/>
      <c r="D1207"/>
      <c r="E1207"/>
      <c r="F1207"/>
      <c r="G1207"/>
      <c r="H1207"/>
      <c r="I1207"/>
      <c r="M1207" s="54"/>
    </row>
    <row r="1208" spans="1:13" s="15" customFormat="1" x14ac:dyDescent="0.3">
      <c r="A1208" s="17"/>
      <c r="B1208"/>
      <c r="C1208"/>
      <c r="D1208"/>
      <c r="E1208"/>
      <c r="F1208"/>
      <c r="G1208"/>
      <c r="H1208"/>
      <c r="I1208"/>
      <c r="M1208" s="54"/>
    </row>
    <row r="1209" spans="1:13" s="15" customFormat="1" x14ac:dyDescent="0.3">
      <c r="A1209" s="17"/>
      <c r="B1209"/>
      <c r="C1209"/>
      <c r="D1209"/>
      <c r="E1209"/>
      <c r="F1209"/>
      <c r="G1209"/>
      <c r="H1209"/>
      <c r="I1209"/>
      <c r="M1209" s="54"/>
    </row>
    <row r="1210" spans="1:13" s="15" customFormat="1" x14ac:dyDescent="0.3">
      <c r="A1210" s="17"/>
      <c r="B1210"/>
      <c r="C1210"/>
      <c r="D1210"/>
      <c r="E1210"/>
      <c r="F1210"/>
      <c r="G1210"/>
      <c r="H1210"/>
      <c r="I1210"/>
      <c r="M1210" s="54"/>
    </row>
    <row r="1211" spans="1:13" s="15" customFormat="1" x14ac:dyDescent="0.3">
      <c r="A1211" s="17"/>
      <c r="B1211"/>
      <c r="C1211"/>
      <c r="D1211"/>
      <c r="E1211"/>
      <c r="F1211"/>
      <c r="G1211"/>
      <c r="H1211"/>
      <c r="I1211"/>
      <c r="M1211" s="54"/>
    </row>
    <row r="1212" spans="1:13" s="15" customFormat="1" x14ac:dyDescent="0.3">
      <c r="A1212" s="17"/>
      <c r="B1212"/>
      <c r="C1212"/>
      <c r="D1212"/>
      <c r="E1212"/>
      <c r="F1212"/>
      <c r="G1212"/>
      <c r="H1212"/>
      <c r="I1212"/>
      <c r="M1212" s="54"/>
    </row>
    <row r="1213" spans="1:13" s="15" customFormat="1" x14ac:dyDescent="0.3">
      <c r="A1213" s="17"/>
      <c r="B1213"/>
      <c r="C1213"/>
      <c r="D1213"/>
      <c r="E1213"/>
      <c r="F1213"/>
      <c r="G1213"/>
      <c r="H1213"/>
      <c r="I1213"/>
      <c r="M1213" s="54"/>
    </row>
    <row r="1214" spans="1:13" s="15" customFormat="1" x14ac:dyDescent="0.3">
      <c r="A1214" s="17"/>
      <c r="B1214"/>
      <c r="C1214"/>
      <c r="D1214"/>
      <c r="E1214"/>
      <c r="F1214"/>
      <c r="G1214"/>
      <c r="H1214"/>
      <c r="I1214"/>
      <c r="M1214" s="54"/>
    </row>
    <row r="1215" spans="1:13" s="15" customFormat="1" x14ac:dyDescent="0.3">
      <c r="A1215" s="17"/>
      <c r="B1215"/>
      <c r="C1215"/>
      <c r="D1215"/>
      <c r="E1215"/>
      <c r="F1215"/>
      <c r="G1215"/>
      <c r="H1215"/>
      <c r="I1215"/>
      <c r="M1215" s="54"/>
    </row>
    <row r="1216" spans="1:13" s="15" customFormat="1" x14ac:dyDescent="0.3">
      <c r="A1216" s="17"/>
      <c r="B1216"/>
      <c r="C1216"/>
      <c r="D1216"/>
      <c r="E1216"/>
      <c r="F1216"/>
      <c r="G1216"/>
      <c r="H1216"/>
      <c r="I1216"/>
      <c r="M1216" s="54"/>
    </row>
    <row r="1217" spans="1:13" s="15" customFormat="1" x14ac:dyDescent="0.3">
      <c r="A1217" s="17"/>
      <c r="B1217"/>
      <c r="C1217"/>
      <c r="D1217"/>
      <c r="E1217"/>
      <c r="F1217"/>
      <c r="G1217"/>
      <c r="H1217"/>
      <c r="I1217"/>
      <c r="M1217" s="54"/>
    </row>
    <row r="1218" spans="1:13" s="15" customFormat="1" x14ac:dyDescent="0.3">
      <c r="A1218" s="17"/>
      <c r="B1218"/>
      <c r="C1218"/>
      <c r="D1218"/>
      <c r="E1218"/>
      <c r="F1218"/>
      <c r="G1218"/>
      <c r="H1218"/>
      <c r="I1218"/>
      <c r="M1218" s="54"/>
    </row>
    <row r="1219" spans="1:13" s="15" customFormat="1" x14ac:dyDescent="0.3">
      <c r="A1219" s="17"/>
      <c r="B1219"/>
      <c r="C1219"/>
      <c r="D1219"/>
      <c r="E1219"/>
      <c r="F1219"/>
      <c r="G1219"/>
      <c r="H1219"/>
      <c r="I1219"/>
      <c r="M1219" s="54"/>
    </row>
    <row r="1220" spans="1:13" s="15" customFormat="1" x14ac:dyDescent="0.3">
      <c r="A1220" s="17"/>
      <c r="B1220"/>
      <c r="C1220"/>
      <c r="D1220"/>
      <c r="E1220"/>
      <c r="F1220"/>
      <c r="G1220"/>
      <c r="H1220"/>
      <c r="I1220"/>
      <c r="M1220" s="54"/>
    </row>
    <row r="1221" spans="1:13" s="15" customFormat="1" x14ac:dyDescent="0.3">
      <c r="A1221" s="17"/>
      <c r="B1221"/>
      <c r="C1221"/>
      <c r="D1221"/>
      <c r="E1221"/>
      <c r="F1221"/>
      <c r="G1221"/>
      <c r="H1221"/>
      <c r="I1221"/>
      <c r="M1221" s="54"/>
    </row>
    <row r="1222" spans="1:13" s="15" customFormat="1" x14ac:dyDescent="0.3">
      <c r="A1222" s="17"/>
      <c r="B1222"/>
      <c r="C1222"/>
      <c r="D1222"/>
      <c r="E1222"/>
      <c r="F1222"/>
      <c r="G1222"/>
      <c r="H1222"/>
      <c r="I1222"/>
      <c r="M1222" s="54"/>
    </row>
    <row r="1223" spans="1:13" s="15" customFormat="1" x14ac:dyDescent="0.3">
      <c r="A1223" s="17"/>
      <c r="B1223"/>
      <c r="C1223"/>
      <c r="D1223"/>
      <c r="E1223"/>
      <c r="F1223"/>
      <c r="G1223"/>
      <c r="H1223"/>
      <c r="I1223"/>
      <c r="M1223" s="54"/>
    </row>
    <row r="1224" spans="1:13" s="15" customFormat="1" x14ac:dyDescent="0.3">
      <c r="A1224" s="17"/>
      <c r="B1224"/>
      <c r="C1224"/>
      <c r="D1224"/>
      <c r="E1224"/>
      <c r="F1224"/>
      <c r="G1224"/>
      <c r="H1224"/>
      <c r="I1224"/>
      <c r="M1224" s="54"/>
    </row>
    <row r="1225" spans="1:13" s="15" customFormat="1" x14ac:dyDescent="0.3">
      <c r="A1225" s="17"/>
      <c r="B1225"/>
      <c r="C1225"/>
      <c r="D1225"/>
      <c r="E1225"/>
      <c r="F1225"/>
      <c r="G1225"/>
      <c r="H1225"/>
      <c r="I1225"/>
      <c r="M1225" s="54"/>
    </row>
    <row r="1226" spans="1:13" s="15" customFormat="1" x14ac:dyDescent="0.3">
      <c r="A1226" s="17"/>
      <c r="B1226"/>
      <c r="C1226"/>
      <c r="D1226"/>
      <c r="E1226"/>
      <c r="F1226"/>
      <c r="G1226"/>
      <c r="H1226"/>
      <c r="I1226"/>
      <c r="M1226" s="54"/>
    </row>
    <row r="1227" spans="1:13" s="15" customFormat="1" x14ac:dyDescent="0.3">
      <c r="A1227" s="17"/>
      <c r="B1227"/>
      <c r="C1227"/>
      <c r="D1227"/>
      <c r="E1227"/>
      <c r="F1227"/>
      <c r="G1227"/>
      <c r="H1227"/>
      <c r="I1227"/>
      <c r="M1227" s="54"/>
    </row>
    <row r="1228" spans="1:13" s="15" customFormat="1" x14ac:dyDescent="0.3">
      <c r="A1228" s="17"/>
      <c r="B1228"/>
      <c r="C1228"/>
      <c r="D1228"/>
      <c r="E1228"/>
      <c r="F1228"/>
      <c r="G1228"/>
      <c r="H1228"/>
      <c r="I1228"/>
      <c r="M1228" s="54"/>
    </row>
    <row r="1229" spans="1:13" s="15" customFormat="1" x14ac:dyDescent="0.3">
      <c r="A1229" s="17"/>
      <c r="B1229"/>
      <c r="C1229"/>
      <c r="D1229"/>
      <c r="E1229"/>
      <c r="F1229"/>
      <c r="G1229"/>
      <c r="H1229"/>
      <c r="I1229"/>
      <c r="M1229" s="54"/>
    </row>
    <row r="1230" spans="1:13" s="15" customFormat="1" x14ac:dyDescent="0.3">
      <c r="A1230" s="17"/>
      <c r="B1230"/>
      <c r="C1230"/>
      <c r="D1230"/>
      <c r="E1230"/>
      <c r="F1230"/>
      <c r="G1230"/>
      <c r="H1230"/>
      <c r="I1230"/>
      <c r="M1230" s="54"/>
    </row>
    <row r="1231" spans="1:13" s="15" customFormat="1" x14ac:dyDescent="0.3">
      <c r="A1231" s="17"/>
      <c r="B1231"/>
      <c r="C1231"/>
      <c r="D1231"/>
      <c r="E1231"/>
      <c r="F1231"/>
      <c r="G1231"/>
      <c r="H1231"/>
      <c r="I1231"/>
      <c r="M1231" s="54"/>
    </row>
    <row r="1232" spans="1:13" s="15" customFormat="1" x14ac:dyDescent="0.3">
      <c r="A1232" s="17"/>
      <c r="B1232"/>
      <c r="C1232"/>
      <c r="D1232"/>
      <c r="E1232"/>
      <c r="F1232"/>
      <c r="G1232"/>
      <c r="H1232"/>
      <c r="I1232"/>
      <c r="M1232" s="54"/>
    </row>
    <row r="1233" spans="1:13" s="15" customFormat="1" x14ac:dyDescent="0.3">
      <c r="A1233" s="17"/>
      <c r="B1233"/>
      <c r="C1233"/>
      <c r="D1233"/>
      <c r="E1233"/>
      <c r="F1233"/>
      <c r="G1233"/>
      <c r="H1233"/>
      <c r="I1233"/>
      <c r="M1233" s="54"/>
    </row>
    <row r="1234" spans="1:13" s="15" customFormat="1" x14ac:dyDescent="0.3">
      <c r="A1234" s="17"/>
      <c r="B1234"/>
      <c r="C1234"/>
      <c r="D1234"/>
      <c r="E1234"/>
      <c r="F1234"/>
      <c r="G1234"/>
      <c r="H1234"/>
      <c r="I1234"/>
      <c r="M1234" s="54"/>
    </row>
    <row r="1235" spans="1:13" s="15" customFormat="1" x14ac:dyDescent="0.3">
      <c r="A1235" s="17"/>
      <c r="B1235"/>
      <c r="C1235"/>
      <c r="D1235"/>
      <c r="E1235"/>
      <c r="F1235"/>
      <c r="G1235"/>
      <c r="H1235"/>
      <c r="I1235"/>
      <c r="M1235" s="54"/>
    </row>
    <row r="1236" spans="1:13" s="15" customFormat="1" x14ac:dyDescent="0.3">
      <c r="A1236" s="17"/>
      <c r="B1236"/>
      <c r="C1236"/>
      <c r="D1236"/>
      <c r="E1236"/>
      <c r="F1236"/>
      <c r="G1236"/>
      <c r="H1236"/>
      <c r="I1236"/>
      <c r="M1236" s="54"/>
    </row>
    <row r="1237" spans="1:13" s="15" customFormat="1" x14ac:dyDescent="0.3">
      <c r="A1237" s="17"/>
      <c r="B1237"/>
      <c r="C1237"/>
      <c r="D1237"/>
      <c r="E1237"/>
      <c r="F1237"/>
      <c r="G1237"/>
      <c r="H1237"/>
      <c r="I1237"/>
      <c r="M1237" s="54"/>
    </row>
    <row r="1238" spans="1:13" s="15" customFormat="1" x14ac:dyDescent="0.3">
      <c r="A1238" s="17"/>
      <c r="B1238"/>
      <c r="C1238"/>
      <c r="D1238"/>
      <c r="E1238"/>
      <c r="F1238"/>
      <c r="G1238"/>
      <c r="H1238"/>
      <c r="I1238"/>
      <c r="M1238" s="54"/>
    </row>
    <row r="1239" spans="1:13" s="15" customFormat="1" x14ac:dyDescent="0.3">
      <c r="A1239" s="17"/>
      <c r="B1239"/>
      <c r="C1239"/>
      <c r="D1239"/>
      <c r="E1239"/>
      <c r="F1239"/>
      <c r="G1239"/>
      <c r="H1239"/>
      <c r="I1239"/>
      <c r="M1239" s="54"/>
    </row>
    <row r="1240" spans="1:13" s="15" customFormat="1" x14ac:dyDescent="0.3">
      <c r="A1240" s="17"/>
      <c r="B1240"/>
      <c r="C1240"/>
      <c r="D1240"/>
      <c r="E1240"/>
      <c r="F1240"/>
      <c r="G1240"/>
      <c r="H1240"/>
      <c r="I1240"/>
      <c r="M1240" s="54"/>
    </row>
    <row r="1241" spans="1:13" s="15" customFormat="1" x14ac:dyDescent="0.3">
      <c r="A1241" s="17"/>
      <c r="B1241"/>
      <c r="C1241"/>
      <c r="D1241"/>
      <c r="E1241"/>
      <c r="F1241"/>
      <c r="G1241"/>
      <c r="H1241"/>
      <c r="I1241"/>
      <c r="M1241" s="54"/>
    </row>
    <row r="1242" spans="1:13" s="15" customFormat="1" x14ac:dyDescent="0.3">
      <c r="A1242" s="17"/>
      <c r="B1242"/>
      <c r="C1242"/>
      <c r="D1242"/>
      <c r="E1242"/>
      <c r="F1242"/>
      <c r="G1242"/>
      <c r="H1242"/>
      <c r="I1242"/>
      <c r="M1242" s="54"/>
    </row>
    <row r="1243" spans="1:13" s="15" customFormat="1" x14ac:dyDescent="0.3">
      <c r="A1243" s="17"/>
      <c r="B1243"/>
      <c r="C1243"/>
      <c r="D1243"/>
      <c r="E1243"/>
      <c r="F1243"/>
      <c r="G1243"/>
      <c r="H1243"/>
      <c r="I1243"/>
      <c r="M1243" s="54"/>
    </row>
    <row r="1244" spans="1:13" s="15" customFormat="1" x14ac:dyDescent="0.3">
      <c r="A1244" s="17"/>
      <c r="B1244"/>
      <c r="C1244"/>
      <c r="D1244"/>
      <c r="E1244"/>
      <c r="F1244"/>
      <c r="G1244"/>
      <c r="H1244"/>
      <c r="I1244"/>
      <c r="M1244" s="54"/>
    </row>
    <row r="1245" spans="1:13" s="15" customFormat="1" x14ac:dyDescent="0.3">
      <c r="A1245" s="17"/>
      <c r="B1245"/>
      <c r="C1245"/>
      <c r="D1245"/>
      <c r="E1245"/>
      <c r="F1245"/>
      <c r="G1245"/>
      <c r="H1245"/>
      <c r="I1245"/>
      <c r="M1245" s="54"/>
    </row>
    <row r="1246" spans="1:13" s="15" customFormat="1" x14ac:dyDescent="0.3">
      <c r="A1246" s="17"/>
      <c r="B1246"/>
      <c r="C1246"/>
      <c r="D1246"/>
      <c r="E1246"/>
      <c r="F1246"/>
      <c r="G1246"/>
      <c r="H1246"/>
      <c r="I1246"/>
      <c r="M1246" s="54"/>
    </row>
    <row r="1247" spans="1:13" s="15" customFormat="1" x14ac:dyDescent="0.3">
      <c r="A1247" s="17"/>
      <c r="B1247"/>
      <c r="C1247"/>
      <c r="D1247"/>
      <c r="E1247"/>
      <c r="F1247"/>
      <c r="G1247"/>
      <c r="H1247"/>
      <c r="I1247"/>
      <c r="M1247" s="54"/>
    </row>
    <row r="1248" spans="1:13" s="15" customFormat="1" x14ac:dyDescent="0.3">
      <c r="A1248" s="17"/>
      <c r="B1248"/>
      <c r="C1248"/>
      <c r="D1248"/>
      <c r="E1248"/>
      <c r="F1248"/>
      <c r="G1248"/>
      <c r="H1248"/>
      <c r="I1248"/>
      <c r="M1248" s="54"/>
    </row>
    <row r="1249" spans="1:13" s="15" customFormat="1" x14ac:dyDescent="0.3">
      <c r="A1249" s="17"/>
      <c r="B1249"/>
      <c r="C1249"/>
      <c r="D1249"/>
      <c r="E1249"/>
      <c r="F1249"/>
      <c r="G1249"/>
      <c r="H1249"/>
      <c r="I1249"/>
      <c r="M1249" s="54"/>
    </row>
    <row r="1250" spans="1:13" s="15" customFormat="1" x14ac:dyDescent="0.3">
      <c r="A1250" s="17"/>
      <c r="B1250"/>
      <c r="C1250"/>
      <c r="D1250"/>
      <c r="E1250"/>
      <c r="F1250"/>
      <c r="G1250"/>
      <c r="H1250"/>
      <c r="I1250"/>
      <c r="M1250" s="54"/>
    </row>
    <row r="1251" spans="1:13" s="15" customFormat="1" x14ac:dyDescent="0.3">
      <c r="A1251" s="17"/>
      <c r="B1251"/>
      <c r="C1251"/>
      <c r="D1251"/>
      <c r="E1251"/>
      <c r="F1251"/>
      <c r="G1251"/>
      <c r="H1251"/>
      <c r="I1251"/>
      <c r="M1251" s="54"/>
    </row>
    <row r="1252" spans="1:13" s="15" customFormat="1" x14ac:dyDescent="0.3">
      <c r="A1252" s="17"/>
      <c r="B1252"/>
      <c r="C1252"/>
      <c r="D1252"/>
      <c r="E1252"/>
      <c r="F1252"/>
      <c r="G1252"/>
      <c r="H1252"/>
      <c r="I1252"/>
      <c r="M1252" s="54"/>
    </row>
    <row r="1253" spans="1:13" s="15" customFormat="1" x14ac:dyDescent="0.3">
      <c r="A1253" s="17"/>
      <c r="B1253"/>
      <c r="C1253"/>
      <c r="D1253"/>
      <c r="E1253"/>
      <c r="F1253"/>
      <c r="G1253"/>
      <c r="H1253"/>
      <c r="I1253"/>
      <c r="M1253" s="54"/>
    </row>
    <row r="1254" spans="1:13" s="15" customFormat="1" x14ac:dyDescent="0.3">
      <c r="A1254" s="17"/>
      <c r="B1254"/>
      <c r="C1254"/>
      <c r="D1254"/>
      <c r="E1254"/>
      <c r="F1254"/>
      <c r="G1254"/>
      <c r="H1254"/>
      <c r="I1254"/>
      <c r="M1254" s="54"/>
    </row>
    <row r="1255" spans="1:13" s="15" customFormat="1" x14ac:dyDescent="0.3">
      <c r="A1255" s="17"/>
      <c r="B1255"/>
      <c r="C1255"/>
      <c r="D1255"/>
      <c r="E1255"/>
      <c r="F1255"/>
      <c r="G1255"/>
      <c r="H1255"/>
      <c r="I1255"/>
      <c r="M1255" s="54"/>
    </row>
    <row r="1256" spans="1:13" s="15" customFormat="1" x14ac:dyDescent="0.3">
      <c r="A1256" s="17"/>
      <c r="B1256"/>
      <c r="C1256"/>
      <c r="D1256"/>
      <c r="E1256"/>
      <c r="F1256"/>
      <c r="G1256"/>
      <c r="H1256"/>
      <c r="I1256"/>
      <c r="M1256" s="54"/>
    </row>
    <row r="1257" spans="1:13" s="15" customFormat="1" x14ac:dyDescent="0.3">
      <c r="A1257" s="17"/>
      <c r="B1257"/>
      <c r="C1257"/>
      <c r="D1257"/>
      <c r="E1257"/>
      <c r="F1257"/>
      <c r="G1257"/>
      <c r="H1257"/>
      <c r="I1257"/>
      <c r="M1257" s="54"/>
    </row>
    <row r="1258" spans="1:13" s="15" customFormat="1" x14ac:dyDescent="0.3">
      <c r="A1258" s="17"/>
      <c r="B1258"/>
      <c r="C1258"/>
      <c r="D1258"/>
      <c r="E1258"/>
      <c r="F1258"/>
      <c r="G1258"/>
      <c r="H1258"/>
      <c r="I1258"/>
      <c r="M1258" s="54"/>
    </row>
    <row r="1259" spans="1:13" s="15" customFormat="1" x14ac:dyDescent="0.3">
      <c r="A1259" s="17"/>
      <c r="B1259"/>
      <c r="C1259"/>
      <c r="D1259"/>
      <c r="E1259"/>
      <c r="F1259"/>
      <c r="G1259"/>
      <c r="H1259"/>
      <c r="I1259"/>
      <c r="M1259" s="54"/>
    </row>
    <row r="1260" spans="1:13" s="15" customFormat="1" x14ac:dyDescent="0.3">
      <c r="A1260" s="17"/>
      <c r="B1260"/>
      <c r="C1260"/>
      <c r="D1260"/>
      <c r="E1260"/>
      <c r="F1260"/>
      <c r="G1260"/>
      <c r="H1260"/>
      <c r="I1260"/>
      <c r="M1260" s="54"/>
    </row>
    <row r="1261" spans="1:13" s="15" customFormat="1" x14ac:dyDescent="0.3">
      <c r="A1261" s="17"/>
      <c r="B1261"/>
      <c r="C1261"/>
      <c r="D1261"/>
      <c r="E1261"/>
      <c r="F1261"/>
      <c r="G1261"/>
      <c r="H1261"/>
      <c r="I1261"/>
      <c r="M1261" s="54"/>
    </row>
    <row r="1262" spans="1:13" s="15" customFormat="1" x14ac:dyDescent="0.3">
      <c r="A1262" s="17"/>
      <c r="B1262"/>
      <c r="C1262"/>
      <c r="D1262"/>
      <c r="E1262"/>
      <c r="F1262"/>
      <c r="G1262"/>
      <c r="H1262"/>
      <c r="I1262"/>
      <c r="M1262" s="54"/>
    </row>
    <row r="1263" spans="1:13" s="15" customFormat="1" x14ac:dyDescent="0.3">
      <c r="A1263" s="17"/>
      <c r="B1263"/>
      <c r="C1263"/>
      <c r="D1263"/>
      <c r="E1263"/>
      <c r="F1263"/>
      <c r="G1263"/>
      <c r="H1263"/>
      <c r="I1263"/>
      <c r="M1263" s="54"/>
    </row>
    <row r="1264" spans="1:13" s="15" customFormat="1" x14ac:dyDescent="0.3">
      <c r="A1264" s="17"/>
      <c r="B1264"/>
      <c r="C1264"/>
      <c r="D1264"/>
      <c r="E1264"/>
      <c r="F1264"/>
      <c r="G1264"/>
      <c r="H1264"/>
      <c r="I1264"/>
      <c r="M1264" s="54"/>
    </row>
    <row r="1265" spans="1:13" s="15" customFormat="1" x14ac:dyDescent="0.3">
      <c r="A1265" s="17"/>
      <c r="B1265"/>
      <c r="C1265"/>
      <c r="D1265"/>
      <c r="E1265"/>
      <c r="F1265"/>
      <c r="G1265"/>
      <c r="H1265"/>
      <c r="I1265"/>
      <c r="M1265" s="54"/>
    </row>
    <row r="1266" spans="1:13" s="15" customFormat="1" x14ac:dyDescent="0.3">
      <c r="A1266" s="17"/>
      <c r="B1266"/>
      <c r="C1266"/>
      <c r="D1266"/>
      <c r="E1266"/>
      <c r="F1266"/>
      <c r="G1266"/>
      <c r="H1266"/>
      <c r="I1266"/>
      <c r="M1266" s="54"/>
    </row>
    <row r="1267" spans="1:13" s="15" customFormat="1" x14ac:dyDescent="0.3">
      <c r="A1267" s="17"/>
      <c r="B1267"/>
      <c r="C1267"/>
      <c r="D1267"/>
      <c r="E1267"/>
      <c r="F1267"/>
      <c r="G1267"/>
      <c r="H1267"/>
      <c r="I1267"/>
      <c r="M1267" s="54"/>
    </row>
    <row r="1268" spans="1:13" s="15" customFormat="1" x14ac:dyDescent="0.3">
      <c r="A1268" s="17"/>
      <c r="B1268"/>
      <c r="C1268"/>
      <c r="D1268"/>
      <c r="E1268"/>
      <c r="F1268"/>
      <c r="G1268"/>
      <c r="H1268"/>
      <c r="I1268"/>
      <c r="M1268" s="54"/>
    </row>
    <row r="1269" spans="1:13" s="15" customFormat="1" x14ac:dyDescent="0.3">
      <c r="A1269" s="17"/>
      <c r="B1269"/>
      <c r="C1269"/>
      <c r="D1269"/>
      <c r="E1269"/>
      <c r="F1269"/>
      <c r="G1269"/>
      <c r="H1269"/>
      <c r="I1269"/>
      <c r="M1269" s="54"/>
    </row>
    <row r="1270" spans="1:13" s="15" customFormat="1" x14ac:dyDescent="0.3">
      <c r="A1270" s="17"/>
      <c r="B1270"/>
      <c r="C1270"/>
      <c r="D1270"/>
      <c r="E1270"/>
      <c r="F1270"/>
      <c r="G1270"/>
      <c r="H1270"/>
      <c r="I1270"/>
      <c r="M1270" s="54"/>
    </row>
    <row r="1271" spans="1:13" s="15" customFormat="1" x14ac:dyDescent="0.3">
      <c r="A1271" s="17"/>
      <c r="B1271"/>
      <c r="C1271"/>
      <c r="D1271"/>
      <c r="E1271"/>
      <c r="F1271"/>
      <c r="G1271"/>
      <c r="H1271"/>
      <c r="I1271"/>
      <c r="M1271" s="54"/>
    </row>
    <row r="1272" spans="1:13" s="15" customFormat="1" x14ac:dyDescent="0.3">
      <c r="A1272" s="17"/>
      <c r="B1272"/>
      <c r="C1272"/>
      <c r="D1272"/>
      <c r="E1272"/>
      <c r="F1272"/>
      <c r="G1272"/>
      <c r="H1272"/>
      <c r="I1272"/>
      <c r="M1272" s="54"/>
    </row>
    <row r="1273" spans="1:13" s="15" customFormat="1" x14ac:dyDescent="0.3">
      <c r="A1273" s="17"/>
      <c r="B1273"/>
      <c r="C1273"/>
      <c r="D1273"/>
      <c r="E1273"/>
      <c r="F1273"/>
      <c r="G1273"/>
      <c r="H1273"/>
      <c r="I1273"/>
      <c r="M1273" s="54"/>
    </row>
    <row r="1274" spans="1:13" s="15" customFormat="1" x14ac:dyDescent="0.3">
      <c r="A1274" s="17"/>
      <c r="B1274"/>
      <c r="C1274"/>
      <c r="D1274"/>
      <c r="E1274"/>
      <c r="F1274"/>
      <c r="G1274"/>
      <c r="H1274"/>
      <c r="I1274"/>
      <c r="M1274" s="54"/>
    </row>
    <row r="1275" spans="1:13" s="15" customFormat="1" x14ac:dyDescent="0.3">
      <c r="A1275" s="17"/>
      <c r="B1275"/>
      <c r="C1275"/>
      <c r="D1275"/>
      <c r="E1275"/>
      <c r="F1275"/>
      <c r="G1275"/>
      <c r="H1275"/>
      <c r="I1275"/>
      <c r="M1275" s="54"/>
    </row>
    <row r="1276" spans="1:13" s="15" customFormat="1" x14ac:dyDescent="0.3">
      <c r="A1276" s="17"/>
      <c r="B1276"/>
      <c r="C1276"/>
      <c r="D1276"/>
      <c r="E1276"/>
      <c r="F1276"/>
      <c r="G1276"/>
      <c r="H1276"/>
      <c r="I1276"/>
      <c r="M1276" s="54"/>
    </row>
    <row r="1277" spans="1:13" s="15" customFormat="1" x14ac:dyDescent="0.3">
      <c r="A1277" s="17"/>
      <c r="B1277"/>
      <c r="C1277"/>
      <c r="D1277"/>
      <c r="E1277"/>
      <c r="F1277"/>
      <c r="G1277"/>
      <c r="H1277"/>
      <c r="I1277"/>
      <c r="M1277" s="54"/>
    </row>
    <row r="1278" spans="1:13" s="15" customFormat="1" x14ac:dyDescent="0.3">
      <c r="A1278" s="17"/>
      <c r="B1278"/>
      <c r="C1278"/>
      <c r="D1278"/>
      <c r="E1278"/>
      <c r="F1278"/>
      <c r="G1278"/>
      <c r="H1278"/>
      <c r="I1278"/>
      <c r="M1278" s="54"/>
    </row>
    <row r="1279" spans="1:13" s="15" customFormat="1" x14ac:dyDescent="0.3">
      <c r="A1279" s="17"/>
      <c r="B1279"/>
      <c r="C1279"/>
      <c r="D1279"/>
      <c r="E1279"/>
      <c r="F1279"/>
      <c r="G1279"/>
      <c r="H1279"/>
      <c r="I1279"/>
      <c r="M1279" s="54"/>
    </row>
    <row r="1280" spans="1:13" s="15" customFormat="1" x14ac:dyDescent="0.3">
      <c r="A1280" s="17"/>
      <c r="B1280"/>
      <c r="C1280"/>
      <c r="D1280"/>
      <c r="E1280"/>
      <c r="F1280"/>
      <c r="G1280"/>
      <c r="H1280"/>
      <c r="I1280"/>
      <c r="M1280" s="54"/>
    </row>
    <row r="1281" spans="1:13" s="15" customFormat="1" x14ac:dyDescent="0.3">
      <c r="A1281" s="17"/>
      <c r="B1281"/>
      <c r="C1281"/>
      <c r="D1281"/>
      <c r="E1281"/>
      <c r="F1281"/>
      <c r="G1281"/>
      <c r="H1281"/>
      <c r="I1281"/>
      <c r="M1281" s="54"/>
    </row>
    <row r="1282" spans="1:13" s="15" customFormat="1" x14ac:dyDescent="0.3">
      <c r="A1282" s="17"/>
      <c r="B1282"/>
      <c r="C1282"/>
      <c r="D1282"/>
      <c r="E1282"/>
      <c r="F1282"/>
      <c r="G1282"/>
      <c r="H1282"/>
      <c r="I1282"/>
      <c r="M1282" s="54"/>
    </row>
    <row r="1283" spans="1:13" s="15" customFormat="1" x14ac:dyDescent="0.3">
      <c r="A1283" s="17"/>
      <c r="B1283"/>
      <c r="C1283"/>
      <c r="D1283"/>
      <c r="E1283"/>
      <c r="F1283"/>
      <c r="G1283"/>
      <c r="H1283"/>
      <c r="I1283"/>
      <c r="M1283" s="54"/>
    </row>
    <row r="1284" spans="1:13" s="15" customFormat="1" x14ac:dyDescent="0.3">
      <c r="A1284" s="17"/>
      <c r="B1284"/>
      <c r="C1284"/>
      <c r="D1284"/>
      <c r="E1284"/>
      <c r="F1284"/>
      <c r="G1284"/>
      <c r="H1284"/>
      <c r="I1284"/>
      <c r="M1284" s="54"/>
    </row>
    <row r="1285" spans="1:13" s="15" customFormat="1" x14ac:dyDescent="0.3">
      <c r="A1285" s="17"/>
      <c r="B1285"/>
      <c r="C1285"/>
      <c r="D1285"/>
      <c r="E1285"/>
      <c r="F1285"/>
      <c r="G1285"/>
      <c r="H1285"/>
      <c r="I1285"/>
      <c r="M1285" s="54"/>
    </row>
    <row r="1286" spans="1:13" s="15" customFormat="1" x14ac:dyDescent="0.3">
      <c r="A1286" s="17"/>
      <c r="B1286"/>
      <c r="C1286"/>
      <c r="D1286"/>
      <c r="E1286"/>
      <c r="F1286"/>
      <c r="G1286"/>
      <c r="H1286"/>
      <c r="I1286"/>
      <c r="M1286" s="54"/>
    </row>
    <row r="1287" spans="1:13" s="15" customFormat="1" x14ac:dyDescent="0.3">
      <c r="A1287" s="17"/>
      <c r="B1287"/>
      <c r="C1287"/>
      <c r="D1287"/>
      <c r="E1287"/>
      <c r="F1287"/>
      <c r="G1287"/>
      <c r="H1287"/>
      <c r="I1287"/>
      <c r="M1287" s="54"/>
    </row>
    <row r="1288" spans="1:13" s="15" customFormat="1" x14ac:dyDescent="0.3">
      <c r="A1288" s="17"/>
      <c r="B1288"/>
      <c r="C1288"/>
      <c r="D1288"/>
      <c r="E1288"/>
      <c r="F1288"/>
      <c r="G1288"/>
      <c r="H1288"/>
      <c r="I1288"/>
      <c r="M1288" s="54"/>
    </row>
    <row r="1289" spans="1:13" s="15" customFormat="1" x14ac:dyDescent="0.3">
      <c r="A1289" s="17"/>
      <c r="B1289"/>
      <c r="C1289"/>
      <c r="D1289"/>
      <c r="E1289"/>
      <c r="F1289"/>
      <c r="G1289"/>
      <c r="H1289"/>
      <c r="I1289"/>
      <c r="M1289" s="54"/>
    </row>
    <row r="1290" spans="1:13" s="15" customFormat="1" x14ac:dyDescent="0.3">
      <c r="A1290" s="17"/>
      <c r="B1290"/>
      <c r="C1290"/>
      <c r="D1290"/>
      <c r="E1290"/>
      <c r="F1290"/>
      <c r="G1290"/>
      <c r="H1290"/>
      <c r="I1290"/>
      <c r="M1290" s="54"/>
    </row>
    <row r="1291" spans="1:13" s="15" customFormat="1" x14ac:dyDescent="0.3">
      <c r="A1291" s="17"/>
      <c r="B1291"/>
      <c r="C1291"/>
      <c r="D1291"/>
      <c r="E1291"/>
      <c r="F1291"/>
      <c r="G1291"/>
      <c r="H1291"/>
      <c r="I1291"/>
      <c r="M1291" s="54"/>
    </row>
    <row r="1292" spans="1:13" s="15" customFormat="1" x14ac:dyDescent="0.3">
      <c r="A1292" s="17"/>
      <c r="B1292"/>
      <c r="C1292"/>
      <c r="D1292"/>
      <c r="E1292"/>
      <c r="F1292"/>
      <c r="G1292"/>
      <c r="H1292"/>
      <c r="I1292"/>
      <c r="M1292" s="54"/>
    </row>
    <row r="1293" spans="1:13" s="15" customFormat="1" x14ac:dyDescent="0.3">
      <c r="A1293" s="17"/>
      <c r="B1293"/>
      <c r="C1293"/>
      <c r="D1293"/>
      <c r="E1293"/>
      <c r="F1293"/>
      <c r="G1293"/>
      <c r="H1293"/>
      <c r="I1293"/>
      <c r="M1293" s="54"/>
    </row>
    <row r="1294" spans="1:13" s="15" customFormat="1" x14ac:dyDescent="0.3">
      <c r="A1294" s="17"/>
      <c r="B1294"/>
      <c r="C1294"/>
      <c r="D1294"/>
      <c r="E1294"/>
      <c r="F1294"/>
      <c r="G1294"/>
      <c r="H1294"/>
      <c r="I1294"/>
      <c r="M1294" s="54"/>
    </row>
    <row r="1295" spans="1:13" s="15" customFormat="1" x14ac:dyDescent="0.3">
      <c r="A1295" s="17"/>
      <c r="B1295"/>
      <c r="C1295"/>
      <c r="D1295"/>
      <c r="E1295"/>
      <c r="F1295"/>
      <c r="G1295"/>
      <c r="H1295"/>
      <c r="I1295"/>
      <c r="M1295" s="54"/>
    </row>
    <row r="1296" spans="1:13" s="15" customFormat="1" x14ac:dyDescent="0.3">
      <c r="A1296" s="17"/>
      <c r="B1296"/>
      <c r="C1296"/>
      <c r="D1296"/>
      <c r="E1296"/>
      <c r="F1296"/>
      <c r="G1296"/>
      <c r="H1296"/>
      <c r="I1296"/>
      <c r="M1296" s="54"/>
    </row>
    <row r="1297" spans="1:13" s="15" customFormat="1" x14ac:dyDescent="0.3">
      <c r="A1297" s="17"/>
      <c r="B1297"/>
      <c r="C1297"/>
      <c r="D1297"/>
      <c r="E1297"/>
      <c r="F1297"/>
      <c r="G1297"/>
      <c r="H1297"/>
      <c r="I1297"/>
      <c r="M1297" s="54"/>
    </row>
    <row r="1298" spans="1:13" s="15" customFormat="1" x14ac:dyDescent="0.3">
      <c r="A1298" s="17"/>
      <c r="B1298"/>
      <c r="C1298"/>
      <c r="D1298"/>
      <c r="E1298"/>
      <c r="F1298"/>
      <c r="G1298"/>
      <c r="H1298"/>
      <c r="I1298"/>
      <c r="M1298" s="54"/>
    </row>
    <row r="1299" spans="1:13" s="15" customFormat="1" x14ac:dyDescent="0.3">
      <c r="A1299" s="17"/>
      <c r="B1299"/>
      <c r="C1299"/>
      <c r="D1299"/>
      <c r="E1299"/>
      <c r="F1299"/>
      <c r="G1299"/>
      <c r="H1299"/>
      <c r="I1299"/>
      <c r="M1299" s="54"/>
    </row>
    <row r="1300" spans="1:13" s="15" customFormat="1" x14ac:dyDescent="0.3">
      <c r="A1300" s="17"/>
      <c r="B1300"/>
      <c r="C1300"/>
      <c r="D1300"/>
      <c r="E1300"/>
      <c r="F1300"/>
      <c r="G1300"/>
      <c r="H1300"/>
      <c r="I1300"/>
      <c r="M1300" s="54"/>
    </row>
    <row r="1301" spans="1:13" s="15" customFormat="1" x14ac:dyDescent="0.3">
      <c r="A1301" s="17"/>
      <c r="B1301"/>
      <c r="C1301"/>
      <c r="D1301"/>
      <c r="E1301"/>
      <c r="F1301"/>
      <c r="G1301"/>
      <c r="H1301"/>
      <c r="I1301"/>
      <c r="M1301" s="54"/>
    </row>
    <row r="1302" spans="1:13" s="15" customFormat="1" x14ac:dyDescent="0.3">
      <c r="A1302" s="17"/>
      <c r="B1302"/>
      <c r="C1302"/>
      <c r="D1302"/>
      <c r="E1302"/>
      <c r="F1302"/>
      <c r="G1302"/>
      <c r="H1302"/>
      <c r="I1302"/>
      <c r="M1302" s="54"/>
    </row>
    <row r="1303" spans="1:13" s="15" customFormat="1" x14ac:dyDescent="0.3">
      <c r="A1303" s="17"/>
      <c r="B1303"/>
      <c r="C1303"/>
      <c r="D1303"/>
      <c r="E1303"/>
      <c r="F1303"/>
      <c r="G1303"/>
      <c r="H1303"/>
      <c r="I1303"/>
      <c r="M1303" s="54"/>
    </row>
    <row r="1304" spans="1:13" s="15" customFormat="1" x14ac:dyDescent="0.3">
      <c r="A1304" s="17"/>
      <c r="B1304"/>
      <c r="C1304"/>
      <c r="D1304"/>
      <c r="E1304"/>
      <c r="F1304"/>
      <c r="G1304"/>
      <c r="H1304"/>
      <c r="I1304"/>
      <c r="M1304" s="54"/>
    </row>
    <row r="1305" spans="1:13" s="15" customFormat="1" x14ac:dyDescent="0.3">
      <c r="A1305" s="17"/>
      <c r="B1305"/>
      <c r="C1305"/>
      <c r="D1305"/>
      <c r="E1305"/>
      <c r="F1305"/>
      <c r="G1305"/>
      <c r="H1305"/>
      <c r="I1305"/>
      <c r="M1305" s="54"/>
    </row>
    <row r="1306" spans="1:13" s="15" customFormat="1" x14ac:dyDescent="0.3">
      <c r="A1306" s="17"/>
      <c r="B1306"/>
      <c r="C1306"/>
      <c r="D1306"/>
      <c r="E1306"/>
      <c r="F1306"/>
      <c r="G1306"/>
      <c r="H1306"/>
      <c r="I1306"/>
      <c r="M1306" s="54"/>
    </row>
    <row r="1307" spans="1:13" s="15" customFormat="1" x14ac:dyDescent="0.3">
      <c r="A1307" s="17"/>
      <c r="B1307"/>
      <c r="C1307"/>
      <c r="D1307"/>
      <c r="E1307"/>
      <c r="F1307"/>
      <c r="G1307"/>
      <c r="H1307"/>
      <c r="I1307"/>
      <c r="M1307" s="54"/>
    </row>
    <row r="1308" spans="1:13" s="15" customFormat="1" x14ac:dyDescent="0.3">
      <c r="A1308" s="17"/>
      <c r="B1308"/>
      <c r="C1308"/>
      <c r="D1308"/>
      <c r="E1308"/>
      <c r="F1308"/>
      <c r="G1308"/>
      <c r="H1308"/>
      <c r="I1308"/>
      <c r="M1308" s="54"/>
    </row>
    <row r="1309" spans="1:13" s="15" customFormat="1" x14ac:dyDescent="0.3">
      <c r="A1309" s="17"/>
      <c r="B1309"/>
      <c r="C1309"/>
      <c r="D1309"/>
      <c r="E1309"/>
      <c r="F1309"/>
      <c r="G1309"/>
      <c r="H1309"/>
      <c r="I1309"/>
      <c r="M1309" s="54"/>
    </row>
    <row r="1310" spans="1:13" s="15" customFormat="1" x14ac:dyDescent="0.3">
      <c r="A1310" s="17"/>
      <c r="B1310"/>
      <c r="C1310"/>
      <c r="D1310"/>
      <c r="E1310"/>
      <c r="F1310"/>
      <c r="G1310"/>
      <c r="H1310"/>
      <c r="I1310"/>
      <c r="M1310" s="54"/>
    </row>
    <row r="1311" spans="1:13" s="15" customFormat="1" x14ac:dyDescent="0.3">
      <c r="A1311" s="17"/>
      <c r="B1311"/>
      <c r="C1311"/>
      <c r="D1311"/>
      <c r="E1311"/>
      <c r="F1311"/>
      <c r="G1311"/>
      <c r="H1311"/>
      <c r="I1311"/>
      <c r="M1311" s="54"/>
    </row>
    <row r="1312" spans="1:13" s="15" customFormat="1" x14ac:dyDescent="0.3">
      <c r="A1312" s="17"/>
      <c r="B1312"/>
      <c r="C1312"/>
      <c r="D1312"/>
      <c r="E1312"/>
      <c r="F1312"/>
      <c r="G1312"/>
      <c r="H1312"/>
      <c r="I1312"/>
      <c r="M1312" s="54"/>
    </row>
    <row r="1313" spans="1:13" s="15" customFormat="1" x14ac:dyDescent="0.3">
      <c r="A1313" s="17"/>
      <c r="B1313"/>
      <c r="C1313"/>
      <c r="D1313"/>
      <c r="E1313"/>
      <c r="F1313"/>
      <c r="G1313"/>
      <c r="H1313"/>
      <c r="I1313"/>
      <c r="M1313" s="54"/>
    </row>
    <row r="1314" spans="1:13" s="15" customFormat="1" x14ac:dyDescent="0.3">
      <c r="A1314" s="17"/>
      <c r="B1314"/>
      <c r="C1314"/>
      <c r="D1314"/>
      <c r="E1314"/>
      <c r="F1314"/>
      <c r="G1314"/>
      <c r="H1314"/>
      <c r="I1314"/>
      <c r="M1314" s="54"/>
    </row>
    <row r="1315" spans="1:13" s="15" customFormat="1" x14ac:dyDescent="0.3">
      <c r="A1315" s="17"/>
      <c r="B1315"/>
      <c r="C1315"/>
      <c r="D1315"/>
      <c r="E1315"/>
      <c r="F1315"/>
      <c r="G1315"/>
      <c r="H1315"/>
      <c r="I1315"/>
      <c r="M1315" s="54"/>
    </row>
    <row r="1316" spans="1:13" s="15" customFormat="1" x14ac:dyDescent="0.3">
      <c r="A1316" s="17"/>
      <c r="B1316"/>
      <c r="C1316"/>
      <c r="D1316"/>
      <c r="E1316"/>
      <c r="F1316"/>
      <c r="G1316"/>
      <c r="H1316"/>
      <c r="I1316"/>
      <c r="M1316" s="54"/>
    </row>
    <row r="1317" spans="1:13" s="15" customFormat="1" x14ac:dyDescent="0.3">
      <c r="A1317" s="17"/>
      <c r="B1317"/>
      <c r="C1317"/>
      <c r="D1317"/>
      <c r="E1317"/>
      <c r="F1317"/>
      <c r="G1317"/>
      <c r="H1317"/>
      <c r="I1317"/>
      <c r="M1317" s="54"/>
    </row>
    <row r="1318" spans="1:13" s="15" customFormat="1" x14ac:dyDescent="0.3">
      <c r="A1318" s="17"/>
      <c r="B1318"/>
      <c r="C1318"/>
      <c r="D1318"/>
      <c r="E1318"/>
      <c r="F1318"/>
      <c r="G1318"/>
      <c r="H1318"/>
      <c r="I1318"/>
      <c r="M1318" s="54"/>
    </row>
    <row r="1319" spans="1:13" s="15" customFormat="1" x14ac:dyDescent="0.3">
      <c r="A1319" s="17"/>
      <c r="B1319"/>
      <c r="C1319"/>
      <c r="D1319"/>
      <c r="E1319"/>
      <c r="F1319"/>
      <c r="G1319"/>
      <c r="H1319"/>
      <c r="I1319"/>
      <c r="M1319" s="54"/>
    </row>
    <row r="1320" spans="1:13" s="15" customFormat="1" x14ac:dyDescent="0.3">
      <c r="A1320" s="17"/>
      <c r="B1320"/>
      <c r="C1320"/>
      <c r="D1320"/>
      <c r="E1320"/>
      <c r="F1320"/>
      <c r="G1320"/>
      <c r="H1320"/>
      <c r="I1320"/>
      <c r="M1320" s="54"/>
    </row>
    <row r="1321" spans="1:13" s="15" customFormat="1" x14ac:dyDescent="0.3">
      <c r="A1321" s="17"/>
      <c r="B1321"/>
      <c r="C1321"/>
      <c r="D1321"/>
      <c r="E1321"/>
      <c r="F1321"/>
      <c r="G1321"/>
      <c r="H1321"/>
      <c r="I1321"/>
      <c r="M1321" s="54"/>
    </row>
    <row r="1322" spans="1:13" s="15" customFormat="1" x14ac:dyDescent="0.3">
      <c r="A1322" s="17"/>
      <c r="B1322"/>
      <c r="C1322"/>
      <c r="D1322"/>
      <c r="E1322"/>
      <c r="F1322"/>
      <c r="G1322"/>
      <c r="H1322"/>
      <c r="I1322"/>
      <c r="M1322" s="54"/>
    </row>
    <row r="1323" spans="1:13" s="15" customFormat="1" x14ac:dyDescent="0.3">
      <c r="A1323" s="17"/>
      <c r="B1323"/>
      <c r="C1323"/>
      <c r="D1323"/>
      <c r="E1323"/>
      <c r="F1323"/>
      <c r="G1323"/>
      <c r="H1323"/>
      <c r="I1323"/>
      <c r="M1323" s="54"/>
    </row>
    <row r="1324" spans="1:13" s="15" customFormat="1" x14ac:dyDescent="0.3">
      <c r="A1324" s="17"/>
      <c r="B1324"/>
      <c r="C1324"/>
      <c r="D1324"/>
      <c r="E1324"/>
      <c r="F1324"/>
      <c r="G1324"/>
      <c r="H1324"/>
      <c r="I1324"/>
      <c r="M1324" s="54"/>
    </row>
    <row r="1325" spans="1:13" s="15" customFormat="1" x14ac:dyDescent="0.3">
      <c r="A1325" s="17"/>
      <c r="B1325"/>
      <c r="C1325"/>
      <c r="D1325"/>
      <c r="E1325"/>
      <c r="F1325"/>
      <c r="G1325"/>
      <c r="H1325"/>
      <c r="I1325"/>
      <c r="M1325" s="54"/>
    </row>
    <row r="1326" spans="1:13" s="15" customFormat="1" x14ac:dyDescent="0.3">
      <c r="A1326" s="17"/>
      <c r="B1326"/>
      <c r="C1326"/>
      <c r="D1326"/>
      <c r="E1326"/>
      <c r="F1326"/>
      <c r="G1326"/>
      <c r="H1326"/>
      <c r="I1326"/>
      <c r="M1326" s="54"/>
    </row>
    <row r="1327" spans="1:13" s="15" customFormat="1" x14ac:dyDescent="0.3">
      <c r="A1327" s="17"/>
      <c r="B1327"/>
      <c r="C1327"/>
      <c r="D1327"/>
      <c r="E1327"/>
      <c r="F1327"/>
      <c r="G1327"/>
      <c r="H1327"/>
      <c r="I1327"/>
      <c r="M1327" s="54"/>
    </row>
    <row r="1328" spans="1:13" s="15" customFormat="1" x14ac:dyDescent="0.3">
      <c r="A1328" s="17"/>
      <c r="B1328"/>
      <c r="C1328"/>
      <c r="D1328"/>
      <c r="E1328"/>
      <c r="F1328"/>
      <c r="G1328"/>
      <c r="H1328"/>
      <c r="I1328"/>
      <c r="M1328" s="54"/>
    </row>
    <row r="1329" spans="1:13" s="15" customFormat="1" x14ac:dyDescent="0.3">
      <c r="A1329" s="17"/>
      <c r="B1329"/>
      <c r="C1329"/>
      <c r="D1329"/>
      <c r="E1329"/>
      <c r="F1329"/>
      <c r="G1329"/>
      <c r="H1329"/>
      <c r="I1329"/>
      <c r="M1329" s="54"/>
    </row>
    <row r="1330" spans="1:13" s="15" customFormat="1" x14ac:dyDescent="0.3">
      <c r="A1330" s="17"/>
      <c r="B1330"/>
      <c r="C1330"/>
      <c r="D1330"/>
      <c r="E1330"/>
      <c r="F1330"/>
      <c r="G1330"/>
      <c r="H1330"/>
      <c r="I1330"/>
      <c r="M1330" s="54"/>
    </row>
    <row r="1331" spans="1:13" s="15" customFormat="1" x14ac:dyDescent="0.3">
      <c r="A1331" s="17"/>
      <c r="B1331"/>
      <c r="C1331"/>
      <c r="D1331"/>
      <c r="E1331"/>
      <c r="F1331"/>
      <c r="G1331"/>
      <c r="H1331"/>
      <c r="I1331"/>
      <c r="M1331" s="54"/>
    </row>
    <row r="1332" spans="1:13" s="15" customFormat="1" x14ac:dyDescent="0.3">
      <c r="A1332" s="17"/>
      <c r="B1332"/>
      <c r="C1332"/>
      <c r="D1332"/>
      <c r="E1332"/>
      <c r="F1332"/>
      <c r="G1332"/>
      <c r="H1332"/>
      <c r="I1332"/>
      <c r="M1332" s="54"/>
    </row>
    <row r="1333" spans="1:13" s="15" customFormat="1" x14ac:dyDescent="0.3">
      <c r="A1333" s="17"/>
      <c r="B1333"/>
      <c r="C1333"/>
      <c r="D1333"/>
      <c r="E1333"/>
      <c r="F1333"/>
      <c r="G1333"/>
      <c r="H1333"/>
      <c r="I1333"/>
      <c r="M1333" s="54"/>
    </row>
    <row r="1334" spans="1:13" s="15" customFormat="1" x14ac:dyDescent="0.3">
      <c r="A1334" s="17"/>
      <c r="B1334"/>
      <c r="C1334"/>
      <c r="D1334"/>
      <c r="E1334"/>
      <c r="F1334"/>
      <c r="G1334"/>
      <c r="H1334"/>
      <c r="I1334"/>
      <c r="M1334" s="54"/>
    </row>
    <row r="1335" spans="1:13" s="15" customFormat="1" x14ac:dyDescent="0.3">
      <c r="A1335" s="17"/>
      <c r="B1335"/>
      <c r="C1335"/>
      <c r="D1335"/>
      <c r="E1335"/>
      <c r="F1335"/>
      <c r="G1335"/>
      <c r="H1335"/>
      <c r="I1335"/>
      <c r="M1335" s="54"/>
    </row>
    <row r="1336" spans="1:13" s="15" customFormat="1" x14ac:dyDescent="0.3">
      <c r="A1336" s="17"/>
      <c r="B1336"/>
      <c r="C1336"/>
      <c r="D1336"/>
      <c r="E1336"/>
      <c r="F1336"/>
      <c r="G1336"/>
      <c r="H1336"/>
      <c r="I1336"/>
      <c r="M1336" s="54"/>
    </row>
    <row r="1337" spans="1:13" s="15" customFormat="1" x14ac:dyDescent="0.3">
      <c r="A1337" s="17"/>
      <c r="B1337"/>
      <c r="C1337"/>
      <c r="D1337"/>
      <c r="E1337"/>
      <c r="F1337"/>
      <c r="G1337"/>
      <c r="H1337"/>
      <c r="I1337"/>
      <c r="M1337" s="54"/>
    </row>
    <row r="1338" spans="1:13" s="15" customFormat="1" x14ac:dyDescent="0.3">
      <c r="A1338" s="17"/>
      <c r="B1338"/>
      <c r="C1338"/>
      <c r="D1338"/>
      <c r="E1338"/>
      <c r="F1338"/>
      <c r="G1338"/>
      <c r="H1338"/>
      <c r="I1338"/>
      <c r="M1338" s="54"/>
    </row>
    <row r="1339" spans="1:13" s="15" customFormat="1" x14ac:dyDescent="0.3">
      <c r="A1339" s="17"/>
      <c r="B1339"/>
      <c r="C1339"/>
      <c r="D1339"/>
      <c r="E1339"/>
      <c r="F1339"/>
      <c r="G1339"/>
      <c r="H1339"/>
      <c r="I1339"/>
      <c r="M1339" s="54"/>
    </row>
    <row r="1340" spans="1:13" s="15" customFormat="1" x14ac:dyDescent="0.3">
      <c r="A1340" s="17"/>
      <c r="B1340"/>
      <c r="C1340"/>
      <c r="D1340"/>
      <c r="E1340"/>
      <c r="F1340"/>
      <c r="G1340"/>
      <c r="H1340"/>
      <c r="I1340"/>
      <c r="M1340" s="54"/>
    </row>
    <row r="1341" spans="1:13" s="15" customFormat="1" x14ac:dyDescent="0.3">
      <c r="A1341" s="17"/>
      <c r="B1341"/>
      <c r="C1341"/>
      <c r="D1341"/>
      <c r="E1341"/>
      <c r="F1341"/>
      <c r="G1341"/>
      <c r="H1341"/>
      <c r="I1341"/>
      <c r="M1341" s="54"/>
    </row>
    <row r="1342" spans="1:13" s="15" customFormat="1" x14ac:dyDescent="0.3">
      <c r="A1342" s="17"/>
      <c r="B1342"/>
      <c r="C1342"/>
      <c r="D1342"/>
      <c r="E1342"/>
      <c r="F1342"/>
      <c r="G1342"/>
      <c r="H1342"/>
      <c r="I1342"/>
      <c r="M1342" s="54"/>
    </row>
    <row r="1343" spans="1:13" s="15" customFormat="1" x14ac:dyDescent="0.3">
      <c r="A1343" s="17"/>
      <c r="B1343"/>
      <c r="C1343"/>
      <c r="D1343"/>
      <c r="E1343"/>
      <c r="F1343"/>
      <c r="G1343"/>
      <c r="H1343"/>
      <c r="I1343"/>
      <c r="M1343" s="54"/>
    </row>
    <row r="1344" spans="1:13" s="15" customFormat="1" x14ac:dyDescent="0.3">
      <c r="A1344" s="17"/>
      <c r="B1344"/>
      <c r="C1344"/>
      <c r="D1344"/>
      <c r="E1344"/>
      <c r="F1344"/>
      <c r="G1344"/>
      <c r="H1344"/>
      <c r="I1344"/>
      <c r="M1344" s="54"/>
    </row>
    <row r="1345" spans="1:13" s="15" customFormat="1" x14ac:dyDescent="0.3">
      <c r="A1345" s="17"/>
      <c r="B1345"/>
      <c r="C1345"/>
      <c r="D1345"/>
      <c r="E1345"/>
      <c r="F1345"/>
      <c r="G1345"/>
      <c r="H1345"/>
      <c r="I1345"/>
      <c r="M1345" s="54"/>
    </row>
    <row r="1346" spans="1:13" s="15" customFormat="1" x14ac:dyDescent="0.3">
      <c r="A1346" s="17"/>
      <c r="B1346"/>
      <c r="C1346"/>
      <c r="D1346"/>
      <c r="E1346"/>
      <c r="F1346"/>
      <c r="G1346"/>
      <c r="H1346"/>
      <c r="I1346"/>
      <c r="M1346" s="54"/>
    </row>
    <row r="1347" spans="1:13" s="15" customFormat="1" x14ac:dyDescent="0.3">
      <c r="A1347" s="17"/>
      <c r="B1347"/>
      <c r="C1347"/>
      <c r="D1347"/>
      <c r="E1347"/>
      <c r="F1347"/>
      <c r="G1347"/>
      <c r="H1347"/>
      <c r="I1347"/>
      <c r="M1347" s="54"/>
    </row>
    <row r="1348" spans="1:13" s="15" customFormat="1" x14ac:dyDescent="0.3">
      <c r="A1348" s="17"/>
      <c r="B1348"/>
      <c r="C1348"/>
      <c r="D1348"/>
      <c r="E1348"/>
      <c r="F1348"/>
      <c r="G1348"/>
      <c r="H1348"/>
      <c r="I1348"/>
      <c r="M1348" s="54"/>
    </row>
    <row r="1349" spans="1:13" s="15" customFormat="1" x14ac:dyDescent="0.3">
      <c r="A1349" s="17"/>
      <c r="B1349"/>
      <c r="C1349"/>
      <c r="D1349"/>
      <c r="E1349"/>
      <c r="F1349"/>
      <c r="G1349"/>
      <c r="H1349"/>
      <c r="I1349"/>
      <c r="M1349" s="54"/>
    </row>
    <row r="1350" spans="1:13" s="15" customFormat="1" x14ac:dyDescent="0.3">
      <c r="A1350" s="17"/>
      <c r="B1350"/>
      <c r="C1350"/>
      <c r="D1350"/>
      <c r="E1350"/>
      <c r="F1350"/>
      <c r="G1350"/>
      <c r="H1350"/>
      <c r="I1350"/>
      <c r="M1350" s="54"/>
    </row>
    <row r="1351" spans="1:13" s="15" customFormat="1" x14ac:dyDescent="0.3">
      <c r="A1351" s="17"/>
      <c r="B1351"/>
      <c r="C1351"/>
      <c r="D1351"/>
      <c r="E1351"/>
      <c r="F1351"/>
      <c r="G1351"/>
      <c r="H1351"/>
      <c r="I1351"/>
      <c r="M1351" s="54"/>
    </row>
    <row r="1352" spans="1:13" s="15" customFormat="1" x14ac:dyDescent="0.3">
      <c r="A1352" s="17"/>
      <c r="B1352"/>
      <c r="C1352"/>
      <c r="D1352"/>
      <c r="E1352"/>
      <c r="F1352"/>
      <c r="G1352"/>
      <c r="H1352"/>
      <c r="I1352"/>
      <c r="M1352" s="54"/>
    </row>
    <row r="1353" spans="1:13" s="15" customFormat="1" x14ac:dyDescent="0.3">
      <c r="A1353" s="17"/>
      <c r="B1353"/>
      <c r="C1353"/>
      <c r="D1353"/>
      <c r="E1353"/>
      <c r="F1353"/>
      <c r="G1353"/>
      <c r="H1353"/>
      <c r="I1353"/>
      <c r="M1353" s="54"/>
    </row>
    <row r="1354" spans="1:13" s="15" customFormat="1" x14ac:dyDescent="0.3">
      <c r="A1354" s="17"/>
      <c r="B1354"/>
      <c r="C1354"/>
      <c r="D1354"/>
      <c r="E1354"/>
      <c r="F1354"/>
      <c r="G1354"/>
      <c r="H1354"/>
      <c r="I1354"/>
      <c r="M1354" s="54"/>
    </row>
    <row r="1355" spans="1:13" s="15" customFormat="1" x14ac:dyDescent="0.3">
      <c r="A1355" s="17"/>
      <c r="B1355"/>
      <c r="C1355"/>
      <c r="D1355"/>
      <c r="E1355"/>
      <c r="F1355"/>
      <c r="G1355"/>
      <c r="H1355"/>
      <c r="I1355"/>
      <c r="M1355" s="54"/>
    </row>
    <row r="1356" spans="1:13" s="15" customFormat="1" x14ac:dyDescent="0.3">
      <c r="A1356" s="17"/>
      <c r="B1356"/>
      <c r="C1356"/>
      <c r="D1356"/>
      <c r="E1356"/>
      <c r="F1356"/>
      <c r="G1356"/>
      <c r="H1356"/>
      <c r="I1356"/>
      <c r="M1356" s="54"/>
    </row>
    <row r="1357" spans="1:13" s="15" customFormat="1" x14ac:dyDescent="0.3">
      <c r="A1357" s="17"/>
      <c r="B1357"/>
      <c r="C1357"/>
      <c r="D1357"/>
      <c r="E1357"/>
      <c r="F1357"/>
      <c r="G1357"/>
      <c r="H1357"/>
      <c r="I1357"/>
      <c r="M1357" s="54"/>
    </row>
    <row r="1358" spans="1:13" s="15" customFormat="1" x14ac:dyDescent="0.3">
      <c r="A1358" s="17"/>
      <c r="B1358"/>
      <c r="C1358"/>
      <c r="D1358"/>
      <c r="E1358"/>
      <c r="F1358"/>
      <c r="G1358"/>
      <c r="H1358"/>
      <c r="I1358"/>
      <c r="M1358" s="54"/>
    </row>
    <row r="1359" spans="1:13" s="15" customFormat="1" x14ac:dyDescent="0.3">
      <c r="A1359" s="17"/>
      <c r="B1359"/>
      <c r="C1359"/>
      <c r="D1359"/>
      <c r="E1359"/>
      <c r="F1359"/>
      <c r="G1359"/>
      <c r="H1359"/>
      <c r="I1359"/>
      <c r="M1359" s="54"/>
    </row>
    <row r="1360" spans="1:13" s="15" customFormat="1" x14ac:dyDescent="0.3">
      <c r="A1360" s="17"/>
      <c r="B1360"/>
      <c r="C1360"/>
      <c r="D1360"/>
      <c r="E1360"/>
      <c r="F1360"/>
      <c r="G1360"/>
      <c r="H1360"/>
      <c r="I1360"/>
      <c r="M1360" s="54"/>
    </row>
    <row r="1361" spans="1:13" s="15" customFormat="1" x14ac:dyDescent="0.3">
      <c r="A1361" s="17"/>
      <c r="B1361"/>
      <c r="C1361"/>
      <c r="D1361"/>
      <c r="E1361"/>
      <c r="F1361"/>
      <c r="G1361"/>
      <c r="H1361"/>
      <c r="I1361"/>
      <c r="M1361" s="54"/>
    </row>
    <row r="1362" spans="1:13" s="15" customFormat="1" x14ac:dyDescent="0.3">
      <c r="A1362" s="17"/>
      <c r="B1362"/>
      <c r="C1362"/>
      <c r="D1362"/>
      <c r="E1362"/>
      <c r="F1362"/>
      <c r="G1362"/>
      <c r="H1362"/>
      <c r="I1362"/>
      <c r="M1362" s="54"/>
    </row>
    <row r="1363" spans="1:13" s="15" customFormat="1" x14ac:dyDescent="0.3">
      <c r="A1363" s="17"/>
      <c r="B1363"/>
      <c r="C1363"/>
      <c r="D1363"/>
      <c r="E1363"/>
      <c r="F1363"/>
      <c r="G1363"/>
      <c r="H1363"/>
      <c r="I1363"/>
      <c r="M1363" s="54"/>
    </row>
    <row r="1364" spans="1:13" s="15" customFormat="1" x14ac:dyDescent="0.3">
      <c r="A1364" s="17"/>
      <c r="B1364"/>
      <c r="C1364"/>
      <c r="D1364"/>
      <c r="E1364"/>
      <c r="F1364"/>
      <c r="G1364"/>
      <c r="H1364"/>
      <c r="I1364"/>
      <c r="M1364" s="54"/>
    </row>
    <row r="1365" spans="1:13" s="15" customFormat="1" x14ac:dyDescent="0.3">
      <c r="A1365" s="17"/>
      <c r="B1365"/>
      <c r="C1365"/>
      <c r="D1365"/>
      <c r="E1365"/>
      <c r="F1365"/>
      <c r="G1365"/>
      <c r="H1365"/>
      <c r="I1365"/>
      <c r="M1365" s="54"/>
    </row>
    <row r="1366" spans="1:13" s="15" customFormat="1" x14ac:dyDescent="0.3">
      <c r="A1366" s="17"/>
      <c r="B1366"/>
      <c r="C1366"/>
      <c r="D1366"/>
      <c r="E1366"/>
      <c r="F1366"/>
      <c r="G1366"/>
      <c r="H1366"/>
      <c r="I1366"/>
      <c r="M1366" s="54"/>
    </row>
    <row r="1367" spans="1:13" s="15" customFormat="1" x14ac:dyDescent="0.3">
      <c r="A1367" s="17"/>
      <c r="B1367"/>
      <c r="C1367"/>
      <c r="D1367"/>
      <c r="E1367"/>
      <c r="F1367"/>
      <c r="G1367"/>
      <c r="H1367"/>
      <c r="I1367"/>
      <c r="M1367" s="54"/>
    </row>
    <row r="1368" spans="1:13" s="15" customFormat="1" x14ac:dyDescent="0.3">
      <c r="A1368" s="17"/>
      <c r="B1368"/>
      <c r="C1368"/>
      <c r="D1368"/>
      <c r="E1368"/>
      <c r="F1368"/>
      <c r="G1368"/>
      <c r="H1368"/>
      <c r="I1368"/>
      <c r="M1368" s="54"/>
    </row>
    <row r="1369" spans="1:13" s="15" customFormat="1" x14ac:dyDescent="0.3">
      <c r="A1369" s="17"/>
      <c r="B1369"/>
      <c r="C1369"/>
      <c r="D1369"/>
      <c r="E1369"/>
      <c r="F1369"/>
      <c r="G1369"/>
      <c r="H1369"/>
      <c r="I1369"/>
      <c r="M1369" s="54"/>
    </row>
    <row r="1370" spans="1:13" s="15" customFormat="1" x14ac:dyDescent="0.3">
      <c r="A1370" s="17"/>
      <c r="B1370"/>
      <c r="C1370"/>
      <c r="D1370"/>
      <c r="E1370"/>
      <c r="F1370"/>
      <c r="G1370"/>
      <c r="H1370"/>
      <c r="I1370"/>
      <c r="M1370" s="54"/>
    </row>
    <row r="1371" spans="1:13" s="15" customFormat="1" x14ac:dyDescent="0.3">
      <c r="A1371" s="17"/>
      <c r="B1371"/>
      <c r="C1371"/>
      <c r="D1371"/>
      <c r="E1371"/>
      <c r="F1371"/>
      <c r="G1371"/>
      <c r="H1371"/>
      <c r="I1371"/>
      <c r="M1371" s="54"/>
    </row>
    <row r="1372" spans="1:13" s="15" customFormat="1" x14ac:dyDescent="0.3">
      <c r="A1372" s="17"/>
      <c r="B1372"/>
      <c r="C1372"/>
      <c r="D1372"/>
      <c r="E1372"/>
      <c r="F1372"/>
      <c r="G1372"/>
      <c r="H1372"/>
      <c r="I1372"/>
      <c r="M1372" s="54"/>
    </row>
    <row r="1373" spans="1:13" s="15" customFormat="1" x14ac:dyDescent="0.3">
      <c r="A1373" s="17"/>
      <c r="B1373"/>
      <c r="C1373"/>
      <c r="D1373"/>
      <c r="E1373"/>
      <c r="F1373"/>
      <c r="G1373"/>
      <c r="H1373"/>
      <c r="I1373"/>
      <c r="M1373" s="54"/>
    </row>
    <row r="1374" spans="1:13" s="15" customFormat="1" x14ac:dyDescent="0.3">
      <c r="A1374" s="17"/>
      <c r="B1374"/>
      <c r="C1374"/>
      <c r="D1374"/>
      <c r="E1374"/>
      <c r="F1374"/>
      <c r="G1374"/>
      <c r="H1374"/>
      <c r="I1374"/>
      <c r="M1374" s="54"/>
    </row>
    <row r="1375" spans="1:13" s="15" customFormat="1" x14ac:dyDescent="0.3">
      <c r="A1375" s="17"/>
      <c r="B1375"/>
      <c r="C1375"/>
      <c r="D1375"/>
      <c r="E1375"/>
      <c r="F1375"/>
      <c r="G1375"/>
      <c r="H1375"/>
      <c r="I1375"/>
      <c r="M1375" s="54"/>
    </row>
    <row r="1376" spans="1:13" s="15" customFormat="1" x14ac:dyDescent="0.3">
      <c r="A1376" s="17"/>
      <c r="B1376"/>
      <c r="C1376"/>
      <c r="D1376"/>
      <c r="E1376"/>
      <c r="F1376"/>
      <c r="G1376"/>
      <c r="H1376"/>
      <c r="I1376"/>
      <c r="M1376" s="54"/>
    </row>
    <row r="1377" spans="1:13" s="15" customFormat="1" x14ac:dyDescent="0.3">
      <c r="A1377" s="17"/>
      <c r="B1377"/>
      <c r="C1377"/>
      <c r="D1377"/>
      <c r="E1377"/>
      <c r="F1377"/>
      <c r="G1377"/>
      <c r="H1377"/>
      <c r="I1377"/>
      <c r="M1377" s="54"/>
    </row>
    <row r="1378" spans="1:13" s="15" customFormat="1" x14ac:dyDescent="0.3">
      <c r="A1378" s="17"/>
      <c r="B1378"/>
      <c r="C1378"/>
      <c r="D1378"/>
      <c r="E1378"/>
      <c r="F1378"/>
      <c r="G1378"/>
      <c r="H1378"/>
      <c r="I1378"/>
      <c r="M1378" s="54"/>
    </row>
    <row r="1379" spans="1:13" s="15" customFormat="1" x14ac:dyDescent="0.3">
      <c r="A1379" s="17"/>
      <c r="B1379"/>
      <c r="C1379"/>
      <c r="D1379"/>
      <c r="E1379"/>
      <c r="F1379"/>
      <c r="G1379"/>
      <c r="H1379"/>
      <c r="I1379"/>
      <c r="M1379" s="54"/>
    </row>
    <row r="1380" spans="1:13" s="15" customFormat="1" x14ac:dyDescent="0.3">
      <c r="A1380" s="17"/>
      <c r="B1380"/>
      <c r="C1380"/>
      <c r="D1380"/>
      <c r="E1380"/>
      <c r="F1380"/>
      <c r="G1380"/>
      <c r="H1380"/>
      <c r="I1380"/>
      <c r="M1380" s="54"/>
    </row>
    <row r="1381" spans="1:13" s="15" customFormat="1" x14ac:dyDescent="0.3">
      <c r="A1381" s="17"/>
      <c r="B1381"/>
      <c r="C1381"/>
      <c r="D1381"/>
      <c r="E1381"/>
      <c r="F1381"/>
      <c r="G1381"/>
      <c r="H1381"/>
      <c r="I1381"/>
      <c r="M1381" s="54"/>
    </row>
    <row r="1382" spans="1:13" s="15" customFormat="1" x14ac:dyDescent="0.3">
      <c r="A1382" s="17"/>
      <c r="B1382"/>
      <c r="C1382"/>
      <c r="D1382"/>
      <c r="E1382"/>
      <c r="F1382"/>
      <c r="G1382"/>
      <c r="H1382"/>
      <c r="I1382"/>
      <c r="M1382" s="54"/>
    </row>
    <row r="1383" spans="1:13" s="15" customFormat="1" x14ac:dyDescent="0.3">
      <c r="A1383" s="17"/>
      <c r="B1383"/>
      <c r="C1383"/>
      <c r="D1383"/>
      <c r="E1383"/>
      <c r="F1383"/>
      <c r="G1383"/>
      <c r="H1383"/>
      <c r="I1383"/>
      <c r="M1383" s="54"/>
    </row>
    <row r="1384" spans="1:13" s="15" customFormat="1" x14ac:dyDescent="0.3">
      <c r="A1384" s="17"/>
      <c r="B1384"/>
      <c r="C1384"/>
      <c r="D1384"/>
      <c r="E1384"/>
      <c r="F1384"/>
      <c r="G1384"/>
      <c r="H1384"/>
      <c r="I1384"/>
      <c r="M1384" s="54"/>
    </row>
    <row r="1385" spans="1:13" s="15" customFormat="1" x14ac:dyDescent="0.3">
      <c r="A1385" s="17"/>
      <c r="B1385"/>
      <c r="C1385"/>
      <c r="D1385"/>
      <c r="E1385"/>
      <c r="F1385"/>
      <c r="G1385"/>
      <c r="H1385"/>
      <c r="I1385"/>
      <c r="M1385" s="54"/>
    </row>
    <row r="1386" spans="1:13" s="15" customFormat="1" x14ac:dyDescent="0.3">
      <c r="A1386" s="17"/>
      <c r="B1386"/>
      <c r="C1386"/>
      <c r="D1386"/>
      <c r="E1386"/>
      <c r="F1386"/>
      <c r="G1386"/>
      <c r="H1386"/>
      <c r="I1386"/>
      <c r="M1386" s="54"/>
    </row>
    <row r="1387" spans="1:13" s="15" customFormat="1" x14ac:dyDescent="0.3">
      <c r="A1387" s="17"/>
      <c r="B1387"/>
      <c r="C1387"/>
      <c r="D1387"/>
      <c r="E1387"/>
      <c r="F1387"/>
      <c r="G1387"/>
      <c r="H1387"/>
      <c r="I1387"/>
      <c r="M1387" s="54"/>
    </row>
    <row r="1388" spans="1:13" s="15" customFormat="1" x14ac:dyDescent="0.3">
      <c r="A1388" s="17"/>
      <c r="B1388"/>
      <c r="C1388"/>
      <c r="D1388"/>
      <c r="E1388"/>
      <c r="F1388"/>
      <c r="G1388"/>
      <c r="H1388"/>
      <c r="I1388"/>
      <c r="M1388" s="54"/>
    </row>
    <row r="1389" spans="1:13" s="15" customFormat="1" x14ac:dyDescent="0.3">
      <c r="A1389" s="17"/>
      <c r="B1389"/>
      <c r="C1389"/>
      <c r="D1389"/>
      <c r="E1389"/>
      <c r="F1389"/>
      <c r="G1389"/>
      <c r="H1389"/>
      <c r="I1389"/>
      <c r="M1389" s="54"/>
    </row>
    <row r="1390" spans="1:13" s="15" customFormat="1" x14ac:dyDescent="0.3">
      <c r="A1390" s="17"/>
      <c r="B1390"/>
      <c r="C1390"/>
      <c r="D1390"/>
      <c r="E1390"/>
      <c r="F1390"/>
      <c r="G1390"/>
      <c r="H1390"/>
      <c r="I1390"/>
      <c r="M1390" s="54"/>
    </row>
    <row r="1391" spans="1:13" s="15" customFormat="1" x14ac:dyDescent="0.3">
      <c r="A1391" s="17"/>
      <c r="B1391"/>
      <c r="C1391"/>
      <c r="D1391"/>
      <c r="E1391"/>
      <c r="F1391"/>
      <c r="G1391"/>
      <c r="H1391"/>
      <c r="I1391"/>
      <c r="M1391" s="54"/>
    </row>
    <row r="1392" spans="1:13" s="15" customFormat="1" x14ac:dyDescent="0.3">
      <c r="A1392" s="17"/>
      <c r="B1392"/>
      <c r="C1392"/>
      <c r="D1392"/>
      <c r="E1392"/>
      <c r="F1392"/>
      <c r="G1392"/>
      <c r="H1392"/>
      <c r="I1392"/>
      <c r="M1392" s="54"/>
    </row>
    <row r="1393" spans="1:13" s="15" customFormat="1" x14ac:dyDescent="0.3">
      <c r="A1393" s="17"/>
      <c r="B1393"/>
      <c r="C1393"/>
      <c r="D1393"/>
      <c r="E1393"/>
      <c r="F1393"/>
      <c r="G1393"/>
      <c r="H1393"/>
      <c r="I1393"/>
      <c r="M1393" s="54"/>
    </row>
    <row r="1394" spans="1:13" s="15" customFormat="1" x14ac:dyDescent="0.3">
      <c r="A1394" s="17"/>
      <c r="B1394"/>
      <c r="C1394"/>
      <c r="D1394"/>
      <c r="E1394"/>
      <c r="F1394"/>
      <c r="G1394"/>
      <c r="H1394"/>
      <c r="I1394"/>
      <c r="M1394" s="54"/>
    </row>
    <row r="1395" spans="1:13" s="15" customFormat="1" x14ac:dyDescent="0.3">
      <c r="A1395" s="17"/>
      <c r="B1395"/>
      <c r="C1395"/>
      <c r="D1395"/>
      <c r="E1395"/>
      <c r="F1395"/>
      <c r="G1395"/>
      <c r="H1395"/>
      <c r="I1395"/>
      <c r="M1395" s="54"/>
    </row>
    <row r="1396" spans="1:13" s="15" customFormat="1" x14ac:dyDescent="0.3">
      <c r="A1396" s="17"/>
      <c r="B1396"/>
      <c r="C1396"/>
      <c r="D1396"/>
      <c r="E1396"/>
      <c r="F1396"/>
      <c r="G1396"/>
      <c r="H1396"/>
      <c r="I1396"/>
      <c r="M1396" s="54"/>
    </row>
    <row r="1397" spans="1:13" s="15" customFormat="1" x14ac:dyDescent="0.3">
      <c r="A1397" s="17"/>
      <c r="B1397"/>
      <c r="C1397"/>
      <c r="D1397"/>
      <c r="E1397"/>
      <c r="F1397"/>
      <c r="G1397"/>
      <c r="H1397"/>
      <c r="I1397"/>
      <c r="M1397" s="54"/>
    </row>
    <row r="1398" spans="1:13" s="15" customFormat="1" x14ac:dyDescent="0.3">
      <c r="A1398" s="17"/>
      <c r="B1398"/>
      <c r="C1398"/>
      <c r="D1398"/>
      <c r="E1398"/>
      <c r="F1398"/>
      <c r="G1398"/>
      <c r="H1398"/>
      <c r="I1398"/>
      <c r="M1398" s="54"/>
    </row>
    <row r="1399" spans="1:13" s="15" customFormat="1" x14ac:dyDescent="0.3">
      <c r="A1399" s="17"/>
      <c r="B1399"/>
      <c r="C1399"/>
      <c r="D1399"/>
      <c r="E1399"/>
      <c r="F1399"/>
      <c r="G1399"/>
      <c r="H1399"/>
      <c r="I1399"/>
      <c r="M1399" s="54"/>
    </row>
    <row r="1400" spans="1:13" s="15" customFormat="1" x14ac:dyDescent="0.3">
      <c r="A1400" s="17"/>
      <c r="B1400"/>
      <c r="C1400"/>
      <c r="D1400"/>
      <c r="E1400"/>
      <c r="F1400"/>
      <c r="G1400"/>
      <c r="H1400"/>
      <c r="I1400"/>
      <c r="M1400" s="54"/>
    </row>
    <row r="1401" spans="1:13" s="15" customFormat="1" x14ac:dyDescent="0.3">
      <c r="A1401" s="17"/>
      <c r="B1401"/>
      <c r="C1401"/>
      <c r="D1401"/>
      <c r="E1401"/>
      <c r="F1401"/>
      <c r="G1401"/>
      <c r="H1401"/>
      <c r="I1401"/>
      <c r="M1401" s="54"/>
    </row>
    <row r="1402" spans="1:13" s="15" customFormat="1" x14ac:dyDescent="0.3">
      <c r="A1402" s="17"/>
      <c r="B1402"/>
      <c r="C1402"/>
      <c r="D1402"/>
      <c r="E1402"/>
      <c r="F1402"/>
      <c r="G1402"/>
      <c r="H1402"/>
      <c r="I1402"/>
      <c r="M1402" s="54"/>
    </row>
    <row r="1403" spans="1:13" s="15" customFormat="1" x14ac:dyDescent="0.3">
      <c r="A1403" s="17"/>
      <c r="B1403"/>
      <c r="C1403"/>
      <c r="D1403"/>
      <c r="E1403"/>
      <c r="F1403"/>
      <c r="G1403"/>
      <c r="H1403"/>
      <c r="I1403"/>
      <c r="M1403" s="54"/>
    </row>
    <row r="1404" spans="1:13" s="15" customFormat="1" x14ac:dyDescent="0.3">
      <c r="A1404" s="17"/>
      <c r="B1404"/>
      <c r="C1404"/>
      <c r="D1404"/>
      <c r="E1404"/>
      <c r="F1404"/>
      <c r="G1404"/>
      <c r="H1404"/>
      <c r="I1404"/>
      <c r="M1404" s="54"/>
    </row>
    <row r="1405" spans="1:13" s="15" customFormat="1" x14ac:dyDescent="0.3">
      <c r="A1405" s="17"/>
      <c r="B1405"/>
      <c r="C1405"/>
      <c r="D1405"/>
      <c r="E1405"/>
      <c r="F1405"/>
      <c r="G1405"/>
      <c r="H1405"/>
      <c r="I1405"/>
      <c r="M1405" s="54"/>
    </row>
    <row r="1406" spans="1:13" s="15" customFormat="1" x14ac:dyDescent="0.3">
      <c r="A1406" s="17"/>
      <c r="B1406"/>
      <c r="C1406"/>
      <c r="D1406"/>
      <c r="E1406"/>
      <c r="F1406"/>
      <c r="G1406"/>
      <c r="H1406"/>
      <c r="I1406"/>
      <c r="M1406" s="54"/>
    </row>
    <row r="1407" spans="1:13" s="15" customFormat="1" x14ac:dyDescent="0.3">
      <c r="A1407" s="17"/>
      <c r="B1407"/>
      <c r="C1407"/>
      <c r="D1407"/>
      <c r="E1407"/>
      <c r="F1407"/>
      <c r="G1407"/>
      <c r="H1407"/>
      <c r="I1407"/>
      <c r="M1407" s="54"/>
    </row>
    <row r="1408" spans="1:13" s="15" customFormat="1" x14ac:dyDescent="0.3">
      <c r="A1408" s="17"/>
      <c r="B1408"/>
      <c r="C1408"/>
      <c r="D1408"/>
      <c r="E1408"/>
      <c r="F1408"/>
      <c r="G1408"/>
      <c r="H1408"/>
      <c r="I1408"/>
      <c r="M1408" s="54"/>
    </row>
    <row r="1409" spans="1:13" s="15" customFormat="1" x14ac:dyDescent="0.3">
      <c r="A1409" s="17"/>
      <c r="B1409"/>
      <c r="C1409"/>
      <c r="D1409"/>
      <c r="E1409"/>
      <c r="F1409"/>
      <c r="G1409"/>
      <c r="H1409"/>
      <c r="I1409"/>
      <c r="M1409" s="54"/>
    </row>
    <row r="1410" spans="1:13" s="15" customFormat="1" x14ac:dyDescent="0.3">
      <c r="A1410" s="17"/>
      <c r="B1410"/>
      <c r="C1410"/>
      <c r="D1410"/>
      <c r="E1410"/>
      <c r="F1410"/>
      <c r="G1410"/>
      <c r="H1410"/>
      <c r="I1410"/>
      <c r="M1410" s="54"/>
    </row>
    <row r="1411" spans="1:13" s="15" customFormat="1" x14ac:dyDescent="0.3">
      <c r="A1411" s="17"/>
      <c r="B1411"/>
      <c r="C1411"/>
      <c r="D1411"/>
      <c r="E1411"/>
      <c r="F1411"/>
      <c r="G1411"/>
      <c r="H1411"/>
      <c r="I1411"/>
      <c r="M1411" s="54"/>
    </row>
    <row r="1412" spans="1:13" s="15" customFormat="1" x14ac:dyDescent="0.3">
      <c r="A1412" s="17"/>
      <c r="B1412"/>
      <c r="C1412"/>
      <c r="D1412"/>
      <c r="E1412"/>
      <c r="F1412"/>
      <c r="G1412"/>
      <c r="H1412"/>
      <c r="I1412"/>
      <c r="M1412" s="54"/>
    </row>
    <row r="1413" spans="1:13" s="15" customFormat="1" x14ac:dyDescent="0.3">
      <c r="A1413" s="17"/>
      <c r="B1413"/>
      <c r="C1413"/>
      <c r="D1413"/>
      <c r="E1413"/>
      <c r="F1413"/>
      <c r="G1413"/>
      <c r="H1413"/>
      <c r="I1413"/>
      <c r="M1413" s="54"/>
    </row>
    <row r="1414" spans="1:13" s="15" customFormat="1" x14ac:dyDescent="0.3">
      <c r="A1414" s="17"/>
      <c r="B1414"/>
      <c r="C1414"/>
      <c r="D1414"/>
      <c r="E1414"/>
      <c r="F1414"/>
      <c r="G1414"/>
      <c r="H1414"/>
      <c r="I1414"/>
      <c r="M1414" s="54"/>
    </row>
    <row r="1415" spans="1:13" s="15" customFormat="1" x14ac:dyDescent="0.3">
      <c r="A1415" s="17"/>
      <c r="B1415"/>
      <c r="C1415"/>
      <c r="D1415"/>
      <c r="E1415"/>
      <c r="F1415"/>
      <c r="G1415"/>
      <c r="H1415"/>
      <c r="I1415"/>
      <c r="M1415" s="54"/>
    </row>
    <row r="1416" spans="1:13" s="15" customFormat="1" x14ac:dyDescent="0.3">
      <c r="A1416" s="17"/>
      <c r="B1416"/>
      <c r="C1416"/>
      <c r="D1416"/>
      <c r="E1416"/>
      <c r="F1416"/>
      <c r="G1416"/>
      <c r="H1416"/>
      <c r="I1416"/>
      <c r="M1416" s="54"/>
    </row>
    <row r="1417" spans="1:13" s="15" customFormat="1" x14ac:dyDescent="0.3">
      <c r="A1417" s="17"/>
      <c r="B1417"/>
      <c r="C1417"/>
      <c r="D1417"/>
      <c r="E1417"/>
      <c r="F1417"/>
      <c r="G1417"/>
      <c r="H1417"/>
      <c r="I1417"/>
      <c r="M1417" s="54"/>
    </row>
    <row r="1418" spans="1:13" s="15" customFormat="1" x14ac:dyDescent="0.3">
      <c r="A1418" s="17"/>
      <c r="B1418"/>
      <c r="C1418"/>
      <c r="D1418"/>
      <c r="E1418"/>
      <c r="F1418"/>
      <c r="G1418"/>
      <c r="H1418"/>
      <c r="I1418"/>
      <c r="M1418" s="54"/>
    </row>
    <row r="1419" spans="1:13" s="15" customFormat="1" x14ac:dyDescent="0.3">
      <c r="A1419" s="17"/>
      <c r="B1419"/>
      <c r="C1419"/>
      <c r="D1419"/>
      <c r="E1419"/>
      <c r="F1419"/>
      <c r="G1419"/>
      <c r="H1419"/>
      <c r="I1419"/>
      <c r="M1419" s="54"/>
    </row>
    <row r="1420" spans="1:13" s="15" customFormat="1" x14ac:dyDescent="0.3">
      <c r="A1420" s="17"/>
      <c r="B1420"/>
      <c r="C1420"/>
      <c r="D1420"/>
      <c r="E1420"/>
      <c r="F1420"/>
      <c r="G1420"/>
      <c r="H1420"/>
      <c r="I1420"/>
      <c r="M1420" s="54"/>
    </row>
    <row r="1421" spans="1:13" s="15" customFormat="1" x14ac:dyDescent="0.3">
      <c r="A1421" s="17"/>
      <c r="B1421"/>
      <c r="C1421"/>
      <c r="D1421"/>
      <c r="E1421"/>
      <c r="F1421"/>
      <c r="G1421"/>
      <c r="H1421"/>
      <c r="I1421"/>
      <c r="M1421" s="54"/>
    </row>
    <row r="1422" spans="1:13" s="15" customFormat="1" x14ac:dyDescent="0.3">
      <c r="A1422" s="17"/>
      <c r="B1422"/>
      <c r="C1422"/>
      <c r="D1422"/>
      <c r="E1422"/>
      <c r="F1422"/>
      <c r="G1422"/>
      <c r="H1422"/>
      <c r="I1422"/>
      <c r="M1422" s="54"/>
    </row>
    <row r="1423" spans="1:13" s="15" customFormat="1" x14ac:dyDescent="0.3">
      <c r="A1423" s="17"/>
      <c r="B1423"/>
      <c r="C1423"/>
      <c r="D1423"/>
      <c r="E1423"/>
      <c r="F1423"/>
      <c r="G1423"/>
      <c r="H1423"/>
      <c r="I1423"/>
      <c r="M1423" s="54"/>
    </row>
    <row r="1424" spans="1:13" s="15" customFormat="1" x14ac:dyDescent="0.3">
      <c r="A1424" s="17"/>
      <c r="B1424"/>
      <c r="C1424"/>
      <c r="D1424"/>
      <c r="E1424"/>
      <c r="F1424"/>
      <c r="G1424"/>
      <c r="H1424"/>
      <c r="I1424"/>
      <c r="M1424" s="54"/>
    </row>
    <row r="1425" spans="1:13" s="15" customFormat="1" x14ac:dyDescent="0.3">
      <c r="A1425" s="17"/>
      <c r="B1425"/>
      <c r="C1425"/>
      <c r="D1425"/>
      <c r="E1425"/>
      <c r="F1425"/>
      <c r="G1425"/>
      <c r="H1425"/>
      <c r="I1425"/>
      <c r="M1425" s="54"/>
    </row>
    <row r="1426" spans="1:13" s="15" customFormat="1" x14ac:dyDescent="0.3">
      <c r="A1426" s="17"/>
      <c r="B1426"/>
      <c r="C1426"/>
      <c r="D1426"/>
      <c r="E1426"/>
      <c r="F1426"/>
      <c r="G1426"/>
      <c r="H1426"/>
      <c r="I1426"/>
      <c r="M1426" s="54"/>
    </row>
    <row r="1427" spans="1:13" s="15" customFormat="1" x14ac:dyDescent="0.3">
      <c r="A1427" s="17"/>
      <c r="B1427"/>
      <c r="C1427"/>
      <c r="D1427"/>
      <c r="E1427"/>
      <c r="F1427"/>
      <c r="G1427"/>
      <c r="H1427"/>
      <c r="I1427"/>
      <c r="M1427" s="54"/>
    </row>
    <row r="1428" spans="1:13" s="15" customFormat="1" x14ac:dyDescent="0.3">
      <c r="A1428" s="17"/>
      <c r="B1428"/>
      <c r="C1428"/>
      <c r="D1428"/>
      <c r="E1428"/>
      <c r="F1428"/>
      <c r="G1428"/>
      <c r="H1428"/>
      <c r="I1428"/>
      <c r="M1428" s="54"/>
    </row>
    <row r="1429" spans="1:13" s="15" customFormat="1" x14ac:dyDescent="0.3">
      <c r="A1429" s="17"/>
      <c r="B1429"/>
      <c r="C1429"/>
      <c r="D1429"/>
      <c r="E1429"/>
      <c r="F1429"/>
      <c r="G1429"/>
      <c r="H1429"/>
      <c r="I1429"/>
      <c r="M1429" s="54"/>
    </row>
    <row r="1430" spans="1:13" s="15" customFormat="1" x14ac:dyDescent="0.3">
      <c r="A1430" s="17"/>
      <c r="B1430"/>
      <c r="C1430"/>
      <c r="D1430"/>
      <c r="E1430"/>
      <c r="F1430"/>
      <c r="G1430"/>
      <c r="H1430"/>
      <c r="I1430"/>
      <c r="M1430" s="54"/>
    </row>
    <row r="1431" spans="1:13" s="15" customFormat="1" x14ac:dyDescent="0.3">
      <c r="A1431" s="17"/>
      <c r="B1431"/>
      <c r="C1431"/>
      <c r="D1431"/>
      <c r="E1431"/>
      <c r="F1431"/>
      <c r="G1431"/>
      <c r="H1431"/>
      <c r="I1431"/>
      <c r="M1431" s="54"/>
    </row>
    <row r="1432" spans="1:13" s="15" customFormat="1" x14ac:dyDescent="0.3">
      <c r="A1432" s="17"/>
      <c r="B1432"/>
      <c r="C1432"/>
      <c r="D1432"/>
      <c r="E1432"/>
      <c r="F1432"/>
      <c r="G1432"/>
      <c r="H1432"/>
      <c r="I1432"/>
      <c r="M1432" s="54"/>
    </row>
    <row r="1433" spans="1:13" s="15" customFormat="1" x14ac:dyDescent="0.3">
      <c r="A1433" s="17"/>
      <c r="B1433"/>
      <c r="C1433"/>
      <c r="D1433"/>
      <c r="E1433"/>
      <c r="F1433"/>
      <c r="G1433"/>
      <c r="H1433"/>
      <c r="I1433"/>
      <c r="M1433" s="54"/>
    </row>
    <row r="1434" spans="1:13" s="15" customFormat="1" x14ac:dyDescent="0.3">
      <c r="A1434" s="17"/>
      <c r="B1434"/>
      <c r="C1434"/>
      <c r="D1434"/>
      <c r="E1434"/>
      <c r="F1434"/>
      <c r="G1434"/>
      <c r="H1434"/>
      <c r="I1434"/>
      <c r="M1434" s="54"/>
    </row>
    <row r="1435" spans="1:13" s="15" customFormat="1" x14ac:dyDescent="0.3">
      <c r="A1435" s="17"/>
      <c r="B1435"/>
      <c r="C1435"/>
      <c r="D1435"/>
      <c r="E1435"/>
      <c r="F1435"/>
      <c r="G1435"/>
      <c r="H1435"/>
      <c r="I1435"/>
      <c r="M1435" s="54"/>
    </row>
    <row r="1436" spans="1:13" s="15" customFormat="1" x14ac:dyDescent="0.3">
      <c r="A1436" s="17"/>
      <c r="B1436"/>
      <c r="C1436"/>
      <c r="D1436"/>
      <c r="E1436"/>
      <c r="F1436"/>
      <c r="G1436"/>
      <c r="H1436"/>
      <c r="I1436"/>
      <c r="M1436" s="54"/>
    </row>
    <row r="1437" spans="1:13" s="15" customFormat="1" x14ac:dyDescent="0.3">
      <c r="A1437" s="17"/>
      <c r="B1437"/>
      <c r="C1437"/>
      <c r="D1437"/>
      <c r="E1437"/>
      <c r="F1437"/>
      <c r="G1437"/>
      <c r="H1437"/>
      <c r="I1437"/>
      <c r="M1437" s="54"/>
    </row>
    <row r="1438" spans="1:13" s="15" customFormat="1" x14ac:dyDescent="0.3">
      <c r="A1438" s="17"/>
      <c r="B1438"/>
      <c r="C1438"/>
      <c r="D1438"/>
      <c r="E1438"/>
      <c r="F1438"/>
      <c r="G1438"/>
      <c r="H1438"/>
      <c r="I1438"/>
      <c r="M1438" s="54"/>
    </row>
    <row r="1439" spans="1:13" s="15" customFormat="1" x14ac:dyDescent="0.3">
      <c r="A1439" s="17"/>
      <c r="B1439"/>
      <c r="C1439"/>
      <c r="D1439"/>
      <c r="E1439"/>
      <c r="F1439"/>
      <c r="G1439"/>
      <c r="H1439"/>
      <c r="I1439"/>
      <c r="M1439" s="54"/>
    </row>
    <row r="1440" spans="1:13" s="15" customFormat="1" x14ac:dyDescent="0.3">
      <c r="A1440" s="17"/>
      <c r="B1440"/>
      <c r="C1440"/>
      <c r="D1440"/>
      <c r="E1440"/>
      <c r="F1440"/>
      <c r="G1440"/>
      <c r="H1440"/>
      <c r="I1440"/>
      <c r="M1440" s="54"/>
    </row>
    <row r="1441" spans="1:13" s="15" customFormat="1" x14ac:dyDescent="0.3">
      <c r="A1441" s="17"/>
      <c r="B1441"/>
      <c r="C1441"/>
      <c r="D1441"/>
      <c r="E1441"/>
      <c r="F1441"/>
      <c r="G1441"/>
      <c r="H1441"/>
      <c r="I1441"/>
      <c r="M1441" s="54"/>
    </row>
    <row r="1442" spans="1:13" s="15" customFormat="1" x14ac:dyDescent="0.3">
      <c r="A1442" s="17"/>
      <c r="B1442"/>
      <c r="C1442"/>
      <c r="D1442"/>
      <c r="E1442"/>
      <c r="F1442"/>
      <c r="G1442"/>
      <c r="H1442"/>
      <c r="I1442"/>
      <c r="M1442" s="54"/>
    </row>
    <row r="1443" spans="1:13" s="15" customFormat="1" x14ac:dyDescent="0.3">
      <c r="A1443" s="17"/>
      <c r="B1443"/>
      <c r="C1443"/>
      <c r="D1443"/>
      <c r="E1443"/>
      <c r="F1443"/>
      <c r="G1443"/>
      <c r="H1443"/>
      <c r="I1443"/>
      <c r="M1443" s="54"/>
    </row>
    <row r="1444" spans="1:13" s="15" customFormat="1" x14ac:dyDescent="0.3">
      <c r="A1444" s="17"/>
      <c r="B1444"/>
      <c r="C1444"/>
      <c r="D1444"/>
      <c r="E1444"/>
      <c r="F1444"/>
      <c r="G1444"/>
      <c r="H1444"/>
      <c r="I1444"/>
      <c r="M1444" s="54"/>
    </row>
    <row r="1445" spans="1:13" s="15" customFormat="1" x14ac:dyDescent="0.3">
      <c r="A1445" s="17"/>
      <c r="B1445"/>
      <c r="C1445"/>
      <c r="D1445"/>
      <c r="E1445"/>
      <c r="F1445"/>
      <c r="G1445"/>
      <c r="H1445"/>
      <c r="I1445"/>
      <c r="M1445" s="54"/>
    </row>
    <row r="1446" spans="1:13" s="15" customFormat="1" x14ac:dyDescent="0.3">
      <c r="A1446" s="17"/>
      <c r="B1446"/>
      <c r="C1446"/>
      <c r="D1446"/>
      <c r="E1446"/>
      <c r="F1446"/>
      <c r="G1446"/>
      <c r="H1446"/>
      <c r="I1446"/>
      <c r="M1446" s="54"/>
    </row>
    <row r="1447" spans="1:13" s="15" customFormat="1" x14ac:dyDescent="0.3">
      <c r="A1447" s="17"/>
      <c r="B1447"/>
      <c r="C1447"/>
      <c r="D1447"/>
      <c r="E1447"/>
      <c r="F1447"/>
      <c r="G1447"/>
      <c r="H1447"/>
      <c r="I1447"/>
      <c r="M1447" s="54"/>
    </row>
    <row r="1448" spans="1:13" s="15" customFormat="1" x14ac:dyDescent="0.3">
      <c r="A1448" s="17"/>
      <c r="B1448"/>
      <c r="C1448"/>
      <c r="D1448"/>
      <c r="E1448"/>
      <c r="F1448"/>
      <c r="G1448"/>
      <c r="H1448"/>
      <c r="I1448"/>
      <c r="M1448" s="54"/>
    </row>
    <row r="1449" spans="1:13" s="15" customFormat="1" x14ac:dyDescent="0.3">
      <c r="A1449" s="17"/>
      <c r="B1449"/>
      <c r="C1449"/>
      <c r="D1449"/>
      <c r="E1449"/>
      <c r="F1449"/>
      <c r="G1449"/>
      <c r="H1449"/>
      <c r="I1449"/>
      <c r="M1449" s="54"/>
    </row>
    <row r="1450" spans="1:13" s="15" customFormat="1" x14ac:dyDescent="0.3">
      <c r="A1450" s="17"/>
      <c r="B1450"/>
      <c r="C1450"/>
      <c r="D1450"/>
      <c r="E1450"/>
      <c r="F1450"/>
      <c r="G1450"/>
      <c r="H1450"/>
      <c r="I1450"/>
      <c r="M1450" s="54"/>
    </row>
    <row r="1451" spans="1:13" s="15" customFormat="1" x14ac:dyDescent="0.3">
      <c r="A1451" s="17"/>
      <c r="B1451"/>
      <c r="C1451"/>
      <c r="D1451"/>
      <c r="E1451"/>
      <c r="F1451"/>
      <c r="G1451"/>
      <c r="H1451"/>
      <c r="I1451"/>
      <c r="M1451" s="54"/>
    </row>
    <row r="1452" spans="1:13" s="15" customFormat="1" x14ac:dyDescent="0.3">
      <c r="A1452" s="17"/>
      <c r="B1452"/>
      <c r="C1452"/>
      <c r="D1452"/>
      <c r="E1452"/>
      <c r="F1452"/>
      <c r="G1452"/>
      <c r="H1452"/>
      <c r="I1452"/>
      <c r="M1452" s="54"/>
    </row>
    <row r="1453" spans="1:13" s="15" customFormat="1" x14ac:dyDescent="0.3">
      <c r="A1453" s="17"/>
      <c r="B1453"/>
      <c r="C1453"/>
      <c r="D1453"/>
      <c r="E1453"/>
      <c r="F1453"/>
      <c r="G1453"/>
      <c r="H1453"/>
      <c r="I1453"/>
      <c r="M1453" s="54"/>
    </row>
    <row r="1454" spans="1:13" s="15" customFormat="1" x14ac:dyDescent="0.3">
      <c r="A1454" s="17"/>
      <c r="B1454"/>
      <c r="C1454"/>
      <c r="D1454"/>
      <c r="E1454"/>
      <c r="F1454"/>
      <c r="G1454"/>
      <c r="H1454"/>
      <c r="I1454"/>
      <c r="M1454" s="54"/>
    </row>
    <row r="1455" spans="1:13" s="15" customFormat="1" x14ac:dyDescent="0.3">
      <c r="A1455" s="17"/>
      <c r="B1455"/>
      <c r="C1455"/>
      <c r="D1455"/>
      <c r="E1455"/>
      <c r="F1455"/>
      <c r="G1455"/>
      <c r="H1455"/>
      <c r="I1455"/>
      <c r="M1455" s="54"/>
    </row>
    <row r="1456" spans="1:13" s="15" customFormat="1" x14ac:dyDescent="0.3">
      <c r="A1456" s="17"/>
      <c r="B1456"/>
      <c r="C1456"/>
      <c r="D1456"/>
      <c r="E1456"/>
      <c r="F1456"/>
      <c r="G1456"/>
      <c r="H1456"/>
      <c r="I1456"/>
      <c r="M1456" s="54"/>
    </row>
    <row r="1457" spans="1:13" s="15" customFormat="1" x14ac:dyDescent="0.3">
      <c r="A1457" s="17"/>
      <c r="B1457"/>
      <c r="C1457"/>
      <c r="D1457"/>
      <c r="E1457"/>
      <c r="F1457"/>
      <c r="G1457"/>
      <c r="H1457"/>
      <c r="I1457"/>
      <c r="M1457" s="54"/>
    </row>
    <row r="1458" spans="1:13" s="15" customFormat="1" x14ac:dyDescent="0.3">
      <c r="A1458" s="17"/>
      <c r="B1458"/>
      <c r="C1458"/>
      <c r="D1458"/>
      <c r="E1458"/>
      <c r="F1458"/>
      <c r="G1458"/>
      <c r="H1458"/>
      <c r="I1458"/>
      <c r="M1458" s="54"/>
    </row>
    <row r="1459" spans="1:13" s="15" customFormat="1" x14ac:dyDescent="0.3">
      <c r="A1459" s="17"/>
      <c r="B1459"/>
      <c r="C1459"/>
      <c r="D1459"/>
      <c r="E1459"/>
      <c r="F1459"/>
      <c r="G1459"/>
      <c r="H1459"/>
      <c r="I1459"/>
      <c r="M1459" s="54"/>
    </row>
    <row r="1460" spans="1:13" s="15" customFormat="1" x14ac:dyDescent="0.3">
      <c r="A1460" s="17"/>
      <c r="B1460"/>
      <c r="C1460"/>
      <c r="D1460"/>
      <c r="E1460"/>
      <c r="F1460"/>
      <c r="G1460"/>
      <c r="H1460"/>
      <c r="I1460"/>
      <c r="M1460" s="54"/>
    </row>
    <row r="1461" spans="1:13" s="15" customFormat="1" x14ac:dyDescent="0.3">
      <c r="A1461" s="17"/>
      <c r="B1461"/>
      <c r="C1461"/>
      <c r="D1461"/>
      <c r="E1461"/>
      <c r="F1461"/>
      <c r="G1461"/>
      <c r="H1461"/>
      <c r="I1461"/>
      <c r="M1461" s="54"/>
    </row>
    <row r="1462" spans="1:13" s="15" customFormat="1" x14ac:dyDescent="0.3">
      <c r="A1462" s="17"/>
      <c r="B1462"/>
      <c r="C1462"/>
      <c r="D1462"/>
      <c r="E1462"/>
      <c r="F1462"/>
      <c r="G1462"/>
      <c r="H1462"/>
      <c r="I1462"/>
      <c r="M1462" s="54"/>
    </row>
    <row r="1463" spans="1:13" s="15" customFormat="1" x14ac:dyDescent="0.3">
      <c r="A1463" s="17"/>
      <c r="B1463"/>
      <c r="C1463"/>
      <c r="D1463"/>
      <c r="E1463"/>
      <c r="F1463"/>
      <c r="G1463"/>
      <c r="H1463"/>
      <c r="I1463"/>
      <c r="M1463" s="54"/>
    </row>
    <row r="1464" spans="1:13" s="15" customFormat="1" x14ac:dyDescent="0.3">
      <c r="A1464" s="17"/>
      <c r="B1464"/>
      <c r="C1464"/>
      <c r="D1464"/>
      <c r="E1464"/>
      <c r="F1464"/>
      <c r="G1464"/>
      <c r="H1464"/>
      <c r="I1464"/>
      <c r="M1464" s="54"/>
    </row>
    <row r="1465" spans="1:13" s="15" customFormat="1" x14ac:dyDescent="0.3">
      <c r="A1465" s="17"/>
      <c r="B1465"/>
      <c r="C1465"/>
      <c r="D1465"/>
      <c r="E1465"/>
      <c r="F1465"/>
      <c r="G1465"/>
      <c r="H1465"/>
      <c r="I1465"/>
      <c r="M1465" s="54"/>
    </row>
    <row r="1466" spans="1:13" s="15" customFormat="1" x14ac:dyDescent="0.3">
      <c r="A1466" s="17"/>
      <c r="B1466"/>
      <c r="C1466"/>
      <c r="D1466"/>
      <c r="E1466"/>
      <c r="F1466"/>
      <c r="G1466"/>
      <c r="H1466"/>
      <c r="I1466"/>
      <c r="M1466" s="54"/>
    </row>
    <row r="1467" spans="1:13" s="15" customFormat="1" x14ac:dyDescent="0.3">
      <c r="A1467" s="17"/>
      <c r="B1467"/>
      <c r="C1467"/>
      <c r="D1467"/>
      <c r="E1467"/>
      <c r="F1467"/>
      <c r="G1467"/>
      <c r="H1467"/>
      <c r="I1467"/>
      <c r="M1467" s="54"/>
    </row>
    <row r="1468" spans="1:13" s="15" customFormat="1" x14ac:dyDescent="0.3">
      <c r="A1468" s="17"/>
      <c r="B1468"/>
      <c r="C1468"/>
      <c r="D1468"/>
      <c r="E1468"/>
      <c r="F1468"/>
      <c r="G1468"/>
      <c r="H1468"/>
      <c r="I1468"/>
      <c r="M1468" s="54"/>
    </row>
    <row r="1469" spans="1:13" s="15" customFormat="1" x14ac:dyDescent="0.3">
      <c r="A1469" s="17"/>
      <c r="B1469"/>
      <c r="C1469"/>
      <c r="D1469"/>
      <c r="E1469"/>
      <c r="F1469"/>
      <c r="G1469"/>
      <c r="H1469"/>
      <c r="I1469"/>
      <c r="M1469" s="54"/>
    </row>
    <row r="1470" spans="1:13" s="15" customFormat="1" x14ac:dyDescent="0.3">
      <c r="A1470" s="17"/>
      <c r="B1470"/>
      <c r="C1470"/>
      <c r="D1470"/>
      <c r="E1470"/>
      <c r="F1470"/>
      <c r="G1470"/>
      <c r="H1470"/>
      <c r="I1470"/>
      <c r="M1470" s="54"/>
    </row>
    <row r="1471" spans="1:13" s="15" customFormat="1" x14ac:dyDescent="0.3">
      <c r="A1471" s="17"/>
      <c r="B1471"/>
      <c r="C1471"/>
      <c r="D1471"/>
      <c r="E1471"/>
      <c r="F1471"/>
      <c r="G1471"/>
      <c r="H1471"/>
      <c r="I1471"/>
      <c r="M1471" s="54"/>
    </row>
    <row r="1472" spans="1:13" s="15" customFormat="1" x14ac:dyDescent="0.3">
      <c r="A1472" s="17"/>
      <c r="B1472"/>
      <c r="C1472"/>
      <c r="D1472"/>
      <c r="E1472"/>
      <c r="F1472"/>
      <c r="G1472"/>
      <c r="H1472"/>
      <c r="I1472"/>
      <c r="M1472" s="54"/>
    </row>
    <row r="1473" spans="1:13" s="15" customFormat="1" x14ac:dyDescent="0.3">
      <c r="A1473" s="17"/>
      <c r="B1473"/>
      <c r="C1473"/>
      <c r="D1473"/>
      <c r="E1473"/>
      <c r="F1473"/>
      <c r="G1473"/>
      <c r="H1473"/>
      <c r="I1473"/>
      <c r="M1473" s="54"/>
    </row>
    <row r="1474" spans="1:13" s="15" customFormat="1" x14ac:dyDescent="0.3">
      <c r="A1474" s="17"/>
      <c r="B1474"/>
      <c r="C1474"/>
      <c r="D1474"/>
      <c r="E1474"/>
      <c r="F1474"/>
      <c r="G1474"/>
      <c r="H1474"/>
      <c r="I1474"/>
      <c r="M1474" s="54"/>
    </row>
    <row r="1475" spans="1:13" s="15" customFormat="1" x14ac:dyDescent="0.3">
      <c r="A1475" s="17"/>
      <c r="B1475"/>
      <c r="C1475"/>
      <c r="D1475"/>
      <c r="E1475"/>
      <c r="F1475"/>
      <c r="G1475"/>
      <c r="H1475"/>
      <c r="I1475"/>
      <c r="M1475" s="54"/>
    </row>
    <row r="1476" spans="1:13" s="15" customFormat="1" x14ac:dyDescent="0.3">
      <c r="A1476" s="17"/>
      <c r="B1476"/>
      <c r="C1476"/>
      <c r="D1476"/>
      <c r="E1476"/>
      <c r="F1476"/>
      <c r="G1476"/>
      <c r="H1476"/>
      <c r="I1476"/>
      <c r="M1476" s="54"/>
    </row>
    <row r="1477" spans="1:13" s="15" customFormat="1" x14ac:dyDescent="0.3">
      <c r="A1477" s="17"/>
      <c r="B1477"/>
      <c r="C1477"/>
      <c r="D1477"/>
      <c r="E1477"/>
      <c r="F1477"/>
      <c r="G1477"/>
      <c r="H1477"/>
      <c r="I1477"/>
      <c r="M1477" s="54"/>
    </row>
    <row r="1478" spans="1:13" s="15" customFormat="1" x14ac:dyDescent="0.3">
      <c r="A1478" s="17"/>
      <c r="B1478"/>
      <c r="C1478"/>
      <c r="D1478"/>
      <c r="E1478"/>
      <c r="F1478"/>
      <c r="G1478"/>
      <c r="H1478"/>
      <c r="I1478"/>
      <c r="M1478" s="54"/>
    </row>
    <row r="1479" spans="1:13" s="15" customFormat="1" x14ac:dyDescent="0.3">
      <c r="A1479" s="17"/>
      <c r="B1479"/>
      <c r="C1479"/>
      <c r="D1479"/>
      <c r="E1479"/>
      <c r="F1479"/>
      <c r="G1479"/>
      <c r="H1479"/>
      <c r="I1479"/>
      <c r="M1479" s="54"/>
    </row>
    <row r="1480" spans="1:13" s="15" customFormat="1" x14ac:dyDescent="0.3">
      <c r="A1480" s="17"/>
      <c r="B1480"/>
      <c r="C1480"/>
      <c r="D1480"/>
      <c r="E1480"/>
      <c r="F1480"/>
      <c r="G1480"/>
      <c r="H1480"/>
      <c r="I1480"/>
      <c r="M1480" s="54"/>
    </row>
    <row r="1481" spans="1:13" s="15" customFormat="1" x14ac:dyDescent="0.3">
      <c r="A1481" s="17"/>
      <c r="B1481"/>
      <c r="C1481"/>
      <c r="D1481"/>
      <c r="E1481"/>
      <c r="F1481"/>
      <c r="G1481"/>
      <c r="H1481"/>
      <c r="I1481"/>
      <c r="M1481" s="54"/>
    </row>
    <row r="1482" spans="1:13" s="15" customFormat="1" x14ac:dyDescent="0.3">
      <c r="A1482" s="17"/>
      <c r="B1482"/>
      <c r="C1482"/>
      <c r="D1482"/>
      <c r="E1482"/>
      <c r="F1482"/>
      <c r="G1482"/>
      <c r="H1482"/>
      <c r="I1482"/>
      <c r="M1482" s="54"/>
    </row>
    <row r="1483" spans="1:13" s="15" customFormat="1" x14ac:dyDescent="0.3">
      <c r="A1483" s="17"/>
      <c r="B1483"/>
      <c r="C1483"/>
      <c r="D1483"/>
      <c r="E1483"/>
      <c r="F1483"/>
      <c r="G1483"/>
      <c r="H1483"/>
      <c r="I1483"/>
      <c r="M1483" s="54"/>
    </row>
    <row r="1484" spans="1:13" s="15" customFormat="1" x14ac:dyDescent="0.3">
      <c r="A1484" s="17"/>
      <c r="B1484"/>
      <c r="C1484"/>
      <c r="D1484"/>
      <c r="E1484"/>
      <c r="F1484"/>
      <c r="G1484"/>
      <c r="H1484"/>
      <c r="I1484"/>
      <c r="M1484" s="54"/>
    </row>
    <row r="1485" spans="1:13" s="15" customFormat="1" x14ac:dyDescent="0.3">
      <c r="A1485" s="17"/>
      <c r="B1485"/>
      <c r="C1485"/>
      <c r="D1485"/>
      <c r="E1485"/>
      <c r="F1485"/>
      <c r="G1485"/>
      <c r="H1485"/>
      <c r="I1485"/>
      <c r="M1485" s="54"/>
    </row>
    <row r="1486" spans="1:13" s="15" customFormat="1" x14ac:dyDescent="0.3">
      <c r="A1486" s="17"/>
      <c r="B1486"/>
      <c r="C1486"/>
      <c r="D1486"/>
      <c r="E1486"/>
      <c r="F1486"/>
      <c r="G1486"/>
      <c r="H1486"/>
      <c r="I1486"/>
      <c r="M1486" s="54"/>
    </row>
    <row r="1487" spans="1:13" s="15" customFormat="1" x14ac:dyDescent="0.3">
      <c r="A1487" s="17"/>
      <c r="B1487"/>
      <c r="C1487"/>
      <c r="D1487"/>
      <c r="E1487"/>
      <c r="F1487"/>
      <c r="G1487"/>
      <c r="H1487"/>
      <c r="I1487"/>
      <c r="M1487" s="54"/>
    </row>
    <row r="1488" spans="1:13" s="15" customFormat="1" x14ac:dyDescent="0.3">
      <c r="A1488" s="17"/>
      <c r="B1488"/>
      <c r="C1488"/>
      <c r="D1488"/>
      <c r="E1488"/>
      <c r="F1488"/>
      <c r="G1488"/>
      <c r="H1488"/>
      <c r="I1488"/>
      <c r="M1488" s="54"/>
    </row>
    <row r="1489" spans="1:13" s="15" customFormat="1" x14ac:dyDescent="0.3">
      <c r="A1489" s="17"/>
      <c r="B1489"/>
      <c r="C1489"/>
      <c r="D1489"/>
      <c r="E1489"/>
      <c r="F1489"/>
      <c r="G1489"/>
      <c r="H1489"/>
      <c r="I1489"/>
      <c r="M1489" s="54"/>
    </row>
    <row r="1490" spans="1:13" s="15" customFormat="1" x14ac:dyDescent="0.3">
      <c r="A1490" s="17"/>
      <c r="B1490"/>
      <c r="C1490"/>
      <c r="D1490"/>
      <c r="E1490"/>
      <c r="F1490"/>
      <c r="G1490"/>
      <c r="H1490"/>
      <c r="I1490"/>
      <c r="M1490" s="54"/>
    </row>
    <row r="1491" spans="1:13" s="15" customFormat="1" x14ac:dyDescent="0.3">
      <c r="A1491" s="17"/>
      <c r="B1491"/>
      <c r="C1491"/>
      <c r="D1491"/>
      <c r="E1491"/>
      <c r="F1491"/>
      <c r="G1491"/>
      <c r="H1491"/>
      <c r="I1491"/>
      <c r="M1491" s="54"/>
    </row>
    <row r="1492" spans="1:13" s="15" customFormat="1" x14ac:dyDescent="0.3">
      <c r="A1492" s="17"/>
      <c r="B1492"/>
      <c r="C1492"/>
      <c r="D1492"/>
      <c r="E1492"/>
      <c r="F1492"/>
      <c r="G1492"/>
      <c r="H1492"/>
      <c r="I1492"/>
      <c r="M1492" s="54"/>
    </row>
    <row r="1493" spans="1:13" s="15" customFormat="1" x14ac:dyDescent="0.3">
      <c r="A1493" s="17"/>
      <c r="B1493"/>
      <c r="C1493"/>
      <c r="D1493"/>
      <c r="E1493"/>
      <c r="F1493"/>
      <c r="G1493"/>
      <c r="H1493"/>
      <c r="I1493"/>
      <c r="M1493" s="54"/>
    </row>
    <row r="1494" spans="1:13" s="15" customFormat="1" x14ac:dyDescent="0.3">
      <c r="A1494" s="17"/>
      <c r="B1494"/>
      <c r="C1494"/>
      <c r="D1494"/>
      <c r="E1494"/>
      <c r="F1494"/>
      <c r="G1494"/>
      <c r="H1494"/>
      <c r="I1494"/>
      <c r="M1494" s="54"/>
    </row>
    <row r="1495" spans="1:13" s="15" customFormat="1" x14ac:dyDescent="0.3">
      <c r="A1495" s="17"/>
      <c r="B1495"/>
      <c r="C1495"/>
      <c r="D1495"/>
      <c r="E1495"/>
      <c r="F1495"/>
      <c r="G1495"/>
      <c r="H1495"/>
      <c r="I1495"/>
      <c r="M1495" s="54"/>
    </row>
    <row r="1496" spans="1:13" s="15" customFormat="1" x14ac:dyDescent="0.3">
      <c r="A1496" s="17"/>
      <c r="B1496"/>
      <c r="C1496"/>
      <c r="D1496"/>
      <c r="E1496"/>
      <c r="F1496"/>
      <c r="G1496"/>
      <c r="H1496"/>
      <c r="I1496"/>
      <c r="M1496" s="54"/>
    </row>
    <row r="1497" spans="1:13" s="15" customFormat="1" x14ac:dyDescent="0.3">
      <c r="A1497" s="17"/>
      <c r="B1497"/>
      <c r="C1497"/>
      <c r="D1497"/>
      <c r="E1497"/>
      <c r="F1497"/>
      <c r="G1497"/>
      <c r="H1497"/>
      <c r="I1497"/>
      <c r="M1497" s="54"/>
    </row>
    <row r="1498" spans="1:13" s="15" customFormat="1" x14ac:dyDescent="0.3">
      <c r="A1498" s="17"/>
      <c r="B1498"/>
      <c r="C1498"/>
      <c r="D1498"/>
      <c r="E1498"/>
      <c r="F1498"/>
      <c r="G1498"/>
      <c r="H1498"/>
      <c r="I1498"/>
      <c r="M1498" s="54"/>
    </row>
    <row r="1499" spans="1:13" s="15" customFormat="1" x14ac:dyDescent="0.3">
      <c r="A1499" s="17"/>
      <c r="B1499"/>
      <c r="C1499"/>
      <c r="D1499"/>
      <c r="E1499"/>
      <c r="F1499"/>
      <c r="G1499"/>
      <c r="H1499"/>
      <c r="I1499"/>
      <c r="M1499" s="54"/>
    </row>
    <row r="1500" spans="1:13" s="15" customFormat="1" x14ac:dyDescent="0.3">
      <c r="A1500" s="17"/>
      <c r="B1500"/>
      <c r="C1500"/>
      <c r="D1500"/>
      <c r="E1500"/>
      <c r="F1500"/>
      <c r="G1500"/>
      <c r="H1500"/>
      <c r="I1500"/>
      <c r="M1500" s="54"/>
    </row>
    <row r="1501" spans="1:13" s="15" customFormat="1" x14ac:dyDescent="0.3">
      <c r="A1501" s="17"/>
      <c r="B1501"/>
      <c r="C1501"/>
      <c r="D1501"/>
      <c r="E1501"/>
      <c r="F1501"/>
      <c r="G1501"/>
      <c r="H1501"/>
      <c r="I1501"/>
      <c r="M1501" s="54"/>
    </row>
    <row r="1502" spans="1:13" s="15" customFormat="1" x14ac:dyDescent="0.3">
      <c r="A1502" s="17"/>
      <c r="B1502"/>
      <c r="C1502"/>
      <c r="D1502"/>
      <c r="E1502"/>
      <c r="F1502"/>
      <c r="G1502"/>
      <c r="H1502"/>
      <c r="I1502"/>
      <c r="M1502" s="54"/>
    </row>
    <row r="1503" spans="1:13" s="15" customFormat="1" x14ac:dyDescent="0.3">
      <c r="A1503" s="17"/>
      <c r="B1503"/>
      <c r="C1503"/>
      <c r="D1503"/>
      <c r="E1503"/>
      <c r="F1503"/>
      <c r="G1503"/>
      <c r="H1503"/>
      <c r="I1503"/>
      <c r="M1503" s="54"/>
    </row>
    <row r="1504" spans="1:13" s="15" customFormat="1" x14ac:dyDescent="0.3">
      <c r="A1504" s="17"/>
      <c r="B1504"/>
      <c r="C1504"/>
      <c r="D1504"/>
      <c r="E1504"/>
      <c r="F1504"/>
      <c r="G1504"/>
      <c r="H1504"/>
      <c r="I1504"/>
      <c r="M1504" s="54"/>
    </row>
    <row r="1505" spans="1:13" s="15" customFormat="1" x14ac:dyDescent="0.3">
      <c r="A1505" s="17"/>
      <c r="B1505"/>
      <c r="C1505"/>
      <c r="D1505"/>
      <c r="E1505"/>
      <c r="F1505"/>
      <c r="G1505"/>
      <c r="H1505"/>
      <c r="I1505"/>
      <c r="M1505" s="54"/>
    </row>
    <row r="1506" spans="1:13" s="15" customFormat="1" x14ac:dyDescent="0.3">
      <c r="A1506" s="17"/>
      <c r="B1506"/>
      <c r="C1506"/>
      <c r="D1506"/>
      <c r="E1506"/>
      <c r="F1506"/>
      <c r="G1506"/>
      <c r="H1506"/>
      <c r="I1506"/>
      <c r="M1506" s="54"/>
    </row>
    <row r="1507" spans="1:13" s="15" customFormat="1" x14ac:dyDescent="0.3">
      <c r="A1507" s="17"/>
      <c r="B1507"/>
      <c r="C1507"/>
      <c r="D1507"/>
      <c r="E1507"/>
      <c r="F1507"/>
      <c r="G1507"/>
      <c r="H1507"/>
      <c r="I1507"/>
      <c r="M1507" s="54"/>
    </row>
    <row r="1508" spans="1:13" s="15" customFormat="1" x14ac:dyDescent="0.3">
      <c r="A1508" s="17"/>
      <c r="B1508"/>
      <c r="C1508"/>
      <c r="D1508"/>
      <c r="E1508"/>
      <c r="F1508"/>
      <c r="G1508"/>
      <c r="H1508"/>
      <c r="I1508"/>
      <c r="M1508" s="54"/>
    </row>
    <row r="1509" spans="1:13" s="15" customFormat="1" x14ac:dyDescent="0.3">
      <c r="A1509" s="17"/>
      <c r="B1509"/>
      <c r="C1509"/>
      <c r="D1509"/>
      <c r="E1509"/>
      <c r="F1509"/>
      <c r="G1509"/>
      <c r="H1509"/>
      <c r="I1509"/>
      <c r="M1509" s="54"/>
    </row>
    <row r="1510" spans="1:13" s="15" customFormat="1" x14ac:dyDescent="0.3">
      <c r="A1510" s="17"/>
      <c r="B1510"/>
      <c r="C1510"/>
      <c r="D1510"/>
      <c r="E1510"/>
      <c r="F1510"/>
      <c r="G1510"/>
      <c r="H1510"/>
      <c r="I1510"/>
      <c r="M1510" s="54"/>
    </row>
    <row r="1511" spans="1:13" s="15" customFormat="1" x14ac:dyDescent="0.3">
      <c r="A1511" s="17"/>
      <c r="B1511"/>
      <c r="C1511"/>
      <c r="D1511"/>
      <c r="E1511"/>
      <c r="F1511"/>
      <c r="G1511"/>
      <c r="H1511"/>
      <c r="I1511"/>
      <c r="M1511" s="54"/>
    </row>
    <row r="1512" spans="1:13" s="15" customFormat="1" x14ac:dyDescent="0.3">
      <c r="A1512" s="17"/>
      <c r="B1512"/>
      <c r="C1512"/>
      <c r="D1512"/>
      <c r="E1512"/>
      <c r="F1512"/>
      <c r="G1512"/>
      <c r="H1512"/>
      <c r="I1512"/>
      <c r="M1512" s="54"/>
    </row>
    <row r="1513" spans="1:13" s="15" customFormat="1" x14ac:dyDescent="0.3">
      <c r="A1513" s="17"/>
      <c r="B1513"/>
      <c r="C1513"/>
      <c r="D1513"/>
      <c r="E1513"/>
      <c r="F1513"/>
      <c r="G1513"/>
      <c r="H1513"/>
      <c r="I1513"/>
      <c r="M1513" s="54"/>
    </row>
    <row r="1514" spans="1:13" s="15" customFormat="1" x14ac:dyDescent="0.3">
      <c r="A1514" s="17"/>
      <c r="B1514"/>
      <c r="C1514"/>
      <c r="D1514"/>
      <c r="E1514"/>
      <c r="F1514"/>
      <c r="G1514"/>
      <c r="H1514"/>
      <c r="I1514"/>
      <c r="M1514" s="54"/>
    </row>
    <row r="1515" spans="1:13" s="15" customFormat="1" x14ac:dyDescent="0.3">
      <c r="A1515" s="17"/>
      <c r="B1515"/>
      <c r="C1515"/>
      <c r="D1515"/>
      <c r="E1515"/>
      <c r="F1515"/>
      <c r="G1515"/>
      <c r="H1515"/>
      <c r="I1515"/>
      <c r="M1515" s="54"/>
    </row>
    <row r="1516" spans="1:13" s="15" customFormat="1" x14ac:dyDescent="0.3">
      <c r="A1516" s="17"/>
      <c r="B1516"/>
      <c r="C1516"/>
      <c r="D1516"/>
      <c r="E1516"/>
      <c r="F1516"/>
      <c r="G1516"/>
      <c r="H1516"/>
      <c r="I1516"/>
      <c r="M1516" s="54"/>
    </row>
    <row r="1517" spans="1:13" s="15" customFormat="1" x14ac:dyDescent="0.3">
      <c r="A1517" s="17"/>
      <c r="B1517"/>
      <c r="C1517"/>
      <c r="D1517"/>
      <c r="E1517"/>
      <c r="F1517"/>
      <c r="G1517"/>
      <c r="H1517"/>
      <c r="I1517"/>
      <c r="M1517" s="54"/>
    </row>
    <row r="1518" spans="1:13" s="15" customFormat="1" x14ac:dyDescent="0.3">
      <c r="A1518" s="17"/>
      <c r="B1518"/>
      <c r="C1518"/>
      <c r="D1518"/>
      <c r="E1518"/>
      <c r="F1518"/>
      <c r="G1518"/>
      <c r="H1518"/>
      <c r="I1518"/>
      <c r="M1518" s="54"/>
    </row>
    <row r="1519" spans="1:13" s="15" customFormat="1" x14ac:dyDescent="0.3">
      <c r="A1519" s="17"/>
      <c r="B1519"/>
      <c r="C1519"/>
      <c r="D1519"/>
      <c r="E1519"/>
      <c r="F1519"/>
      <c r="G1519"/>
      <c r="H1519"/>
      <c r="I1519"/>
      <c r="M1519" s="54"/>
    </row>
    <row r="1520" spans="1:13" s="15" customFormat="1" x14ac:dyDescent="0.3">
      <c r="A1520" s="17"/>
      <c r="B1520"/>
      <c r="C1520"/>
      <c r="D1520"/>
      <c r="E1520"/>
      <c r="F1520"/>
      <c r="G1520"/>
      <c r="H1520"/>
      <c r="I1520"/>
      <c r="M1520" s="54"/>
    </row>
    <row r="1521" spans="1:13" s="15" customFormat="1" x14ac:dyDescent="0.3">
      <c r="A1521" s="17"/>
      <c r="B1521"/>
      <c r="C1521"/>
      <c r="D1521"/>
      <c r="E1521"/>
      <c r="F1521"/>
      <c r="G1521"/>
      <c r="H1521"/>
      <c r="I1521"/>
      <c r="M1521" s="54"/>
    </row>
    <row r="1522" spans="1:13" s="15" customFormat="1" x14ac:dyDescent="0.3">
      <c r="A1522" s="17"/>
      <c r="B1522"/>
      <c r="C1522"/>
      <c r="D1522"/>
      <c r="E1522"/>
      <c r="F1522"/>
      <c r="G1522"/>
      <c r="H1522"/>
      <c r="I1522"/>
      <c r="M1522" s="54"/>
    </row>
    <row r="1523" spans="1:13" s="15" customFormat="1" x14ac:dyDescent="0.3">
      <c r="A1523" s="17"/>
      <c r="B1523"/>
      <c r="C1523"/>
      <c r="D1523"/>
      <c r="E1523"/>
      <c r="F1523"/>
      <c r="G1523"/>
      <c r="H1523"/>
      <c r="I1523"/>
      <c r="M1523" s="54"/>
    </row>
    <row r="1524" spans="1:13" s="15" customFormat="1" x14ac:dyDescent="0.3">
      <c r="A1524" s="17"/>
      <c r="B1524"/>
      <c r="C1524"/>
      <c r="D1524"/>
      <c r="E1524"/>
      <c r="F1524"/>
      <c r="G1524"/>
      <c r="H1524"/>
      <c r="I1524"/>
      <c r="M1524" s="54"/>
    </row>
    <row r="1525" spans="1:13" s="15" customFormat="1" x14ac:dyDescent="0.3">
      <c r="A1525" s="17"/>
      <c r="B1525"/>
      <c r="C1525"/>
      <c r="D1525"/>
      <c r="E1525"/>
      <c r="F1525"/>
      <c r="G1525"/>
      <c r="H1525"/>
      <c r="I1525"/>
      <c r="M1525" s="54"/>
    </row>
    <row r="1526" spans="1:13" s="15" customFormat="1" x14ac:dyDescent="0.3">
      <c r="A1526" s="17"/>
      <c r="B1526"/>
      <c r="C1526"/>
      <c r="D1526"/>
      <c r="E1526"/>
      <c r="F1526"/>
      <c r="G1526"/>
      <c r="H1526"/>
      <c r="I1526"/>
      <c r="M1526" s="54"/>
    </row>
    <row r="1527" spans="1:13" s="15" customFormat="1" x14ac:dyDescent="0.3">
      <c r="A1527" s="17"/>
      <c r="B1527"/>
      <c r="C1527"/>
      <c r="D1527"/>
      <c r="E1527"/>
      <c r="F1527"/>
      <c r="G1527"/>
      <c r="H1527"/>
      <c r="I1527"/>
      <c r="M1527" s="54"/>
    </row>
    <row r="1528" spans="1:13" s="15" customFormat="1" x14ac:dyDescent="0.3">
      <c r="A1528" s="17"/>
      <c r="B1528"/>
      <c r="C1528"/>
      <c r="D1528"/>
      <c r="E1528"/>
      <c r="F1528"/>
      <c r="G1528"/>
      <c r="H1528"/>
      <c r="I1528"/>
      <c r="M1528" s="54"/>
    </row>
    <row r="1529" spans="1:13" s="15" customFormat="1" x14ac:dyDescent="0.3">
      <c r="A1529" s="17"/>
      <c r="B1529"/>
      <c r="C1529"/>
      <c r="D1529"/>
      <c r="E1529"/>
      <c r="F1529"/>
      <c r="G1529"/>
      <c r="H1529"/>
      <c r="I1529"/>
      <c r="M1529" s="54"/>
    </row>
    <row r="1530" spans="1:13" s="15" customFormat="1" x14ac:dyDescent="0.3">
      <c r="A1530" s="17"/>
      <c r="B1530"/>
      <c r="C1530"/>
      <c r="D1530"/>
      <c r="E1530"/>
      <c r="F1530"/>
      <c r="G1530"/>
      <c r="H1530"/>
      <c r="I1530"/>
      <c r="M1530" s="54"/>
    </row>
    <row r="1531" spans="1:13" s="15" customFormat="1" x14ac:dyDescent="0.3">
      <c r="A1531" s="17"/>
      <c r="B1531"/>
      <c r="C1531"/>
      <c r="D1531"/>
      <c r="E1531"/>
      <c r="F1531"/>
      <c r="G1531"/>
      <c r="H1531"/>
      <c r="I1531"/>
      <c r="M1531" s="54"/>
    </row>
    <row r="1532" spans="1:13" s="15" customFormat="1" x14ac:dyDescent="0.3">
      <c r="A1532" s="17"/>
      <c r="B1532"/>
      <c r="C1532"/>
      <c r="D1532"/>
      <c r="E1532"/>
      <c r="F1532"/>
      <c r="G1532"/>
      <c r="H1532"/>
      <c r="I1532"/>
      <c r="M1532" s="54"/>
    </row>
    <row r="1533" spans="1:13" s="15" customFormat="1" x14ac:dyDescent="0.3">
      <c r="A1533" s="17"/>
      <c r="B1533"/>
      <c r="C1533"/>
      <c r="D1533"/>
      <c r="E1533"/>
      <c r="F1533"/>
      <c r="G1533"/>
      <c r="H1533"/>
      <c r="I1533"/>
      <c r="M1533" s="54"/>
    </row>
    <row r="1534" spans="1:13" s="15" customFormat="1" x14ac:dyDescent="0.3">
      <c r="A1534" s="17"/>
      <c r="B1534"/>
      <c r="C1534"/>
      <c r="D1534"/>
      <c r="E1534"/>
      <c r="F1534"/>
      <c r="G1534"/>
      <c r="H1534"/>
      <c r="I1534"/>
      <c r="M1534" s="54"/>
    </row>
    <row r="1535" spans="1:13" s="15" customFormat="1" x14ac:dyDescent="0.3">
      <c r="A1535" s="17"/>
      <c r="B1535"/>
      <c r="C1535"/>
      <c r="D1535"/>
      <c r="E1535"/>
      <c r="F1535"/>
      <c r="G1535"/>
      <c r="H1535"/>
      <c r="I1535"/>
      <c r="M1535" s="54"/>
    </row>
    <row r="1536" spans="1:13" s="15" customFormat="1" x14ac:dyDescent="0.3">
      <c r="A1536" s="17"/>
      <c r="B1536"/>
      <c r="C1536"/>
      <c r="D1536"/>
      <c r="E1536"/>
      <c r="F1536"/>
      <c r="G1536"/>
      <c r="H1536"/>
      <c r="I1536"/>
      <c r="M1536" s="54"/>
    </row>
    <row r="1537" spans="1:13" s="15" customFormat="1" x14ac:dyDescent="0.3">
      <c r="A1537" s="17"/>
      <c r="B1537"/>
      <c r="C1537"/>
      <c r="D1537"/>
      <c r="E1537"/>
      <c r="F1537"/>
      <c r="G1537"/>
      <c r="H1537"/>
      <c r="I1537"/>
      <c r="M1537" s="54"/>
    </row>
    <row r="1538" spans="1:13" s="15" customFormat="1" x14ac:dyDescent="0.3">
      <c r="A1538" s="17"/>
      <c r="B1538"/>
      <c r="C1538"/>
      <c r="D1538"/>
      <c r="E1538"/>
      <c r="F1538"/>
      <c r="G1538"/>
      <c r="H1538"/>
      <c r="I1538"/>
      <c r="M1538" s="54"/>
    </row>
    <row r="1539" spans="1:13" s="15" customFormat="1" x14ac:dyDescent="0.3">
      <c r="A1539" s="17"/>
      <c r="B1539"/>
      <c r="C1539"/>
      <c r="D1539"/>
      <c r="E1539"/>
      <c r="F1539"/>
      <c r="G1539"/>
      <c r="H1539"/>
      <c r="I1539"/>
      <c r="M1539" s="54"/>
    </row>
    <row r="1540" spans="1:13" s="15" customFormat="1" x14ac:dyDescent="0.3">
      <c r="A1540" s="17"/>
      <c r="B1540"/>
      <c r="C1540"/>
      <c r="D1540"/>
      <c r="E1540"/>
      <c r="F1540"/>
      <c r="G1540"/>
      <c r="H1540"/>
      <c r="I1540"/>
      <c r="M1540" s="54"/>
    </row>
    <row r="1541" spans="1:13" s="15" customFormat="1" x14ac:dyDescent="0.3">
      <c r="A1541" s="17"/>
      <c r="B1541"/>
      <c r="C1541"/>
      <c r="D1541"/>
      <c r="E1541"/>
      <c r="F1541"/>
      <c r="G1541"/>
      <c r="H1541"/>
      <c r="I1541"/>
      <c r="M1541" s="54"/>
    </row>
    <row r="1542" spans="1:13" s="15" customFormat="1" x14ac:dyDescent="0.3">
      <c r="A1542" s="17"/>
      <c r="B1542"/>
      <c r="C1542"/>
      <c r="D1542"/>
      <c r="E1542"/>
      <c r="F1542"/>
      <c r="G1542"/>
      <c r="H1542"/>
      <c r="I1542"/>
      <c r="M1542" s="54"/>
    </row>
    <row r="1543" spans="1:13" s="15" customFormat="1" x14ac:dyDescent="0.3">
      <c r="A1543" s="17"/>
      <c r="B1543"/>
      <c r="C1543"/>
      <c r="D1543"/>
      <c r="E1543"/>
      <c r="F1543"/>
      <c r="G1543"/>
      <c r="H1543"/>
      <c r="I1543"/>
      <c r="M1543" s="54"/>
    </row>
    <row r="1544" spans="1:13" s="15" customFormat="1" x14ac:dyDescent="0.3">
      <c r="A1544" s="17"/>
      <c r="B1544"/>
      <c r="C1544"/>
      <c r="D1544"/>
      <c r="E1544"/>
      <c r="F1544"/>
      <c r="G1544"/>
      <c r="H1544"/>
      <c r="I1544"/>
      <c r="M1544" s="54"/>
    </row>
    <row r="1545" spans="1:13" s="15" customFormat="1" x14ac:dyDescent="0.3">
      <c r="A1545" s="17"/>
      <c r="B1545"/>
      <c r="C1545"/>
      <c r="D1545"/>
      <c r="E1545"/>
      <c r="F1545"/>
      <c r="G1545"/>
      <c r="H1545"/>
      <c r="I1545"/>
      <c r="M1545" s="54"/>
    </row>
    <row r="1546" spans="1:13" s="15" customFormat="1" x14ac:dyDescent="0.3">
      <c r="A1546" s="17"/>
      <c r="B1546"/>
      <c r="C1546"/>
      <c r="D1546"/>
      <c r="E1546"/>
      <c r="F1546"/>
      <c r="G1546"/>
      <c r="H1546"/>
      <c r="I1546"/>
      <c r="M1546" s="54"/>
    </row>
    <row r="1547" spans="1:13" s="15" customFormat="1" x14ac:dyDescent="0.3">
      <c r="A1547" s="17"/>
      <c r="B1547"/>
      <c r="C1547"/>
      <c r="D1547"/>
      <c r="E1547"/>
      <c r="F1547"/>
      <c r="G1547"/>
      <c r="H1547"/>
      <c r="I1547"/>
      <c r="M1547" s="54"/>
    </row>
    <row r="1548" spans="1:13" s="15" customFormat="1" x14ac:dyDescent="0.3">
      <c r="A1548" s="17"/>
      <c r="B1548"/>
      <c r="C1548"/>
      <c r="D1548"/>
      <c r="E1548"/>
      <c r="F1548"/>
      <c r="G1548"/>
      <c r="H1548"/>
      <c r="I1548"/>
      <c r="M1548" s="54"/>
    </row>
    <row r="1549" spans="1:13" s="15" customFormat="1" x14ac:dyDescent="0.3">
      <c r="A1549" s="17"/>
      <c r="B1549"/>
      <c r="C1549"/>
      <c r="D1549"/>
      <c r="E1549"/>
      <c r="F1549"/>
      <c r="G1549"/>
      <c r="H1549"/>
      <c r="I1549"/>
      <c r="M1549" s="54"/>
    </row>
    <row r="1550" spans="1:13" s="15" customFormat="1" x14ac:dyDescent="0.3">
      <c r="A1550" s="17"/>
      <c r="B1550"/>
      <c r="C1550"/>
      <c r="D1550"/>
      <c r="E1550"/>
      <c r="F1550"/>
      <c r="G1550"/>
      <c r="H1550"/>
      <c r="I1550"/>
      <c r="M1550" s="54"/>
    </row>
    <row r="1551" spans="1:13" s="15" customFormat="1" x14ac:dyDescent="0.3">
      <c r="A1551" s="17"/>
      <c r="B1551"/>
      <c r="C1551"/>
      <c r="D1551"/>
      <c r="E1551"/>
      <c r="F1551"/>
      <c r="G1551"/>
      <c r="H1551"/>
      <c r="I1551"/>
      <c r="M1551" s="54"/>
    </row>
    <row r="1552" spans="1:13" s="15" customFormat="1" x14ac:dyDescent="0.3">
      <c r="A1552" s="17"/>
      <c r="B1552"/>
      <c r="C1552"/>
      <c r="D1552"/>
      <c r="E1552"/>
      <c r="F1552"/>
      <c r="G1552"/>
      <c r="H1552"/>
      <c r="I1552"/>
      <c r="M1552" s="54"/>
    </row>
    <row r="1553" spans="1:13" s="15" customFormat="1" x14ac:dyDescent="0.3">
      <c r="A1553" s="17"/>
      <c r="B1553"/>
      <c r="C1553"/>
      <c r="D1553"/>
      <c r="E1553"/>
      <c r="F1553"/>
      <c r="G1553"/>
      <c r="H1553"/>
      <c r="I1553"/>
      <c r="M1553" s="54"/>
    </row>
    <row r="1554" spans="1:13" s="15" customFormat="1" x14ac:dyDescent="0.3">
      <c r="A1554" s="17"/>
      <c r="B1554"/>
      <c r="C1554"/>
      <c r="D1554"/>
      <c r="E1554"/>
      <c r="F1554"/>
      <c r="G1554"/>
      <c r="H1554"/>
      <c r="I1554"/>
      <c r="M1554" s="54"/>
    </row>
    <row r="1555" spans="1:13" s="15" customFormat="1" x14ac:dyDescent="0.3">
      <c r="A1555" s="17"/>
      <c r="B1555"/>
      <c r="C1555"/>
      <c r="D1555"/>
      <c r="E1555"/>
      <c r="F1555"/>
      <c r="G1555"/>
      <c r="H1555"/>
      <c r="I1555"/>
      <c r="M1555" s="54"/>
    </row>
    <row r="1556" spans="1:13" s="15" customFormat="1" x14ac:dyDescent="0.3">
      <c r="A1556" s="17"/>
      <c r="B1556"/>
      <c r="C1556"/>
      <c r="D1556"/>
      <c r="E1556"/>
      <c r="F1556"/>
      <c r="G1556"/>
      <c r="H1556"/>
      <c r="I1556"/>
      <c r="M1556" s="54"/>
    </row>
    <row r="1557" spans="1:13" s="15" customFormat="1" x14ac:dyDescent="0.3">
      <c r="A1557" s="17"/>
      <c r="B1557"/>
      <c r="C1557"/>
      <c r="D1557"/>
      <c r="E1557"/>
      <c r="F1557"/>
      <c r="G1557"/>
      <c r="H1557"/>
      <c r="I1557"/>
      <c r="M1557" s="54"/>
    </row>
    <row r="1558" spans="1:13" s="15" customFormat="1" x14ac:dyDescent="0.3">
      <c r="A1558" s="17"/>
      <c r="B1558"/>
      <c r="C1558"/>
      <c r="D1558"/>
      <c r="E1558"/>
      <c r="F1558"/>
      <c r="G1558"/>
      <c r="H1558"/>
      <c r="I1558"/>
      <c r="M1558" s="54"/>
    </row>
    <row r="1559" spans="1:13" s="15" customFormat="1" x14ac:dyDescent="0.3">
      <c r="A1559" s="17"/>
      <c r="B1559"/>
      <c r="C1559"/>
      <c r="D1559"/>
      <c r="E1559"/>
      <c r="F1559"/>
      <c r="G1559"/>
      <c r="H1559"/>
      <c r="I1559"/>
      <c r="M1559" s="54"/>
    </row>
    <row r="1560" spans="1:13" s="15" customFormat="1" x14ac:dyDescent="0.3">
      <c r="A1560" s="17"/>
      <c r="B1560"/>
      <c r="C1560"/>
      <c r="D1560"/>
      <c r="E1560"/>
      <c r="F1560"/>
      <c r="G1560"/>
      <c r="H1560"/>
      <c r="I1560"/>
      <c r="M1560" s="54"/>
    </row>
    <row r="1561" spans="1:13" s="15" customFormat="1" x14ac:dyDescent="0.3">
      <c r="A1561" s="17"/>
      <c r="B1561"/>
      <c r="C1561"/>
      <c r="D1561"/>
      <c r="E1561"/>
      <c r="F1561"/>
      <c r="G1561"/>
      <c r="H1561"/>
      <c r="I1561"/>
      <c r="M1561" s="54"/>
    </row>
    <row r="1562" spans="1:13" s="15" customFormat="1" x14ac:dyDescent="0.3">
      <c r="A1562" s="17"/>
      <c r="B1562"/>
      <c r="C1562"/>
      <c r="D1562"/>
      <c r="E1562"/>
      <c r="F1562"/>
      <c r="G1562"/>
      <c r="H1562"/>
      <c r="I1562"/>
      <c r="M1562" s="54"/>
    </row>
    <row r="1563" spans="1:13" s="15" customFormat="1" x14ac:dyDescent="0.3">
      <c r="A1563" s="17"/>
      <c r="B1563"/>
      <c r="C1563"/>
      <c r="D1563"/>
      <c r="E1563"/>
      <c r="F1563"/>
      <c r="G1563"/>
      <c r="H1563"/>
      <c r="I1563"/>
      <c r="M1563" s="54"/>
    </row>
    <row r="1564" spans="1:13" s="15" customFormat="1" x14ac:dyDescent="0.3">
      <c r="A1564" s="17"/>
      <c r="B1564"/>
      <c r="C1564"/>
      <c r="D1564"/>
      <c r="E1564"/>
      <c r="F1564"/>
      <c r="G1564"/>
      <c r="H1564"/>
      <c r="I1564"/>
      <c r="M1564" s="54"/>
    </row>
    <row r="1565" spans="1:13" s="15" customFormat="1" x14ac:dyDescent="0.3">
      <c r="A1565" s="17"/>
      <c r="B1565"/>
      <c r="C1565"/>
      <c r="D1565"/>
      <c r="E1565"/>
      <c r="F1565"/>
      <c r="G1565"/>
      <c r="H1565"/>
      <c r="I1565"/>
      <c r="M1565" s="54"/>
    </row>
    <row r="1566" spans="1:13" s="15" customFormat="1" x14ac:dyDescent="0.3">
      <c r="A1566" s="17"/>
      <c r="B1566"/>
      <c r="C1566"/>
      <c r="D1566"/>
      <c r="E1566"/>
      <c r="F1566"/>
      <c r="G1566"/>
      <c r="H1566"/>
      <c r="I1566"/>
      <c r="M1566" s="54"/>
    </row>
    <row r="1567" spans="1:13" s="15" customFormat="1" x14ac:dyDescent="0.3">
      <c r="A1567" s="17"/>
      <c r="B1567"/>
      <c r="C1567"/>
      <c r="D1567"/>
      <c r="E1567"/>
      <c r="F1567"/>
      <c r="G1567"/>
      <c r="H1567"/>
      <c r="I1567"/>
      <c r="M1567" s="54"/>
    </row>
    <row r="1568" spans="1:13" s="15" customFormat="1" x14ac:dyDescent="0.3">
      <c r="A1568" s="17"/>
      <c r="B1568"/>
      <c r="C1568"/>
      <c r="D1568"/>
      <c r="E1568"/>
      <c r="F1568"/>
      <c r="G1568"/>
      <c r="H1568"/>
      <c r="I1568"/>
      <c r="M1568" s="54"/>
    </row>
    <row r="1569" spans="1:13" s="15" customFormat="1" x14ac:dyDescent="0.3">
      <c r="A1569" s="17"/>
      <c r="B1569"/>
      <c r="C1569"/>
      <c r="D1569"/>
      <c r="E1569"/>
      <c r="F1569"/>
      <c r="G1569"/>
      <c r="H1569"/>
      <c r="I1569"/>
      <c r="M1569" s="54"/>
    </row>
    <row r="1570" spans="1:13" s="15" customFormat="1" x14ac:dyDescent="0.3">
      <c r="A1570" s="17"/>
      <c r="B1570"/>
      <c r="C1570"/>
      <c r="D1570"/>
      <c r="E1570"/>
      <c r="F1570"/>
      <c r="G1570"/>
      <c r="H1570"/>
      <c r="I1570"/>
      <c r="M1570" s="54"/>
    </row>
    <row r="1571" spans="1:13" s="15" customFormat="1" x14ac:dyDescent="0.3">
      <c r="A1571" s="17"/>
      <c r="B1571"/>
      <c r="C1571"/>
      <c r="D1571"/>
      <c r="E1571"/>
      <c r="F1571"/>
      <c r="G1571"/>
      <c r="H1571"/>
      <c r="I1571"/>
      <c r="M1571" s="54"/>
    </row>
    <row r="1572" spans="1:13" s="15" customFormat="1" x14ac:dyDescent="0.3">
      <c r="A1572" s="17"/>
      <c r="B1572"/>
      <c r="C1572"/>
      <c r="D1572"/>
      <c r="E1572"/>
      <c r="F1572"/>
      <c r="G1572"/>
      <c r="H1572"/>
      <c r="I1572"/>
      <c r="M1572" s="54"/>
    </row>
    <row r="1573" spans="1:13" s="15" customFormat="1" x14ac:dyDescent="0.3">
      <c r="A1573" s="17"/>
      <c r="B1573"/>
      <c r="C1573"/>
      <c r="D1573"/>
      <c r="E1573"/>
      <c r="F1573"/>
      <c r="G1573"/>
      <c r="H1573"/>
      <c r="I1573"/>
      <c r="M1573" s="54"/>
    </row>
    <row r="1574" spans="1:13" s="15" customFormat="1" x14ac:dyDescent="0.3">
      <c r="A1574" s="17"/>
      <c r="B1574"/>
      <c r="C1574"/>
      <c r="D1574"/>
      <c r="E1574"/>
      <c r="F1574"/>
      <c r="G1574"/>
      <c r="H1574"/>
      <c r="I1574"/>
      <c r="M1574" s="54"/>
    </row>
    <row r="1575" spans="1:13" s="15" customFormat="1" x14ac:dyDescent="0.3">
      <c r="A1575" s="17"/>
      <c r="B1575"/>
      <c r="C1575"/>
      <c r="D1575"/>
      <c r="E1575"/>
      <c r="F1575"/>
      <c r="G1575"/>
      <c r="H1575"/>
      <c r="I1575"/>
      <c r="M1575" s="54"/>
    </row>
    <row r="1576" spans="1:13" s="15" customFormat="1" x14ac:dyDescent="0.3">
      <c r="A1576" s="17"/>
      <c r="B1576"/>
      <c r="C1576"/>
      <c r="D1576"/>
      <c r="E1576"/>
      <c r="F1576"/>
      <c r="G1576"/>
      <c r="H1576"/>
      <c r="I1576"/>
      <c r="M1576" s="54"/>
    </row>
    <row r="1577" spans="1:13" s="15" customFormat="1" x14ac:dyDescent="0.3">
      <c r="A1577" s="17"/>
      <c r="B1577"/>
      <c r="C1577"/>
      <c r="D1577"/>
      <c r="E1577"/>
      <c r="F1577"/>
      <c r="G1577"/>
      <c r="H1577"/>
      <c r="I1577"/>
      <c r="M1577" s="54"/>
    </row>
    <row r="1578" spans="1:13" s="15" customFormat="1" x14ac:dyDescent="0.3">
      <c r="A1578" s="17"/>
      <c r="B1578"/>
      <c r="C1578"/>
      <c r="D1578"/>
      <c r="E1578"/>
      <c r="F1578"/>
      <c r="G1578"/>
      <c r="H1578"/>
      <c r="I1578"/>
      <c r="M1578" s="54"/>
    </row>
    <row r="1579" spans="1:13" s="15" customFormat="1" x14ac:dyDescent="0.3">
      <c r="A1579" s="17"/>
      <c r="B1579"/>
      <c r="C1579"/>
      <c r="D1579"/>
      <c r="E1579"/>
      <c r="F1579"/>
      <c r="G1579"/>
      <c r="H1579"/>
      <c r="I1579"/>
      <c r="M1579" s="54"/>
    </row>
    <row r="1580" spans="1:13" s="15" customFormat="1" x14ac:dyDescent="0.3">
      <c r="A1580" s="17"/>
      <c r="B1580"/>
      <c r="C1580"/>
      <c r="D1580"/>
      <c r="E1580"/>
      <c r="F1580"/>
      <c r="G1580"/>
      <c r="H1580"/>
      <c r="I1580"/>
      <c r="M1580" s="54"/>
    </row>
    <row r="1581" spans="1:13" s="15" customFormat="1" x14ac:dyDescent="0.3">
      <c r="A1581" s="17"/>
      <c r="B1581"/>
      <c r="C1581"/>
      <c r="D1581"/>
      <c r="E1581"/>
      <c r="F1581"/>
      <c r="G1581"/>
      <c r="H1581"/>
      <c r="I1581"/>
      <c r="M1581" s="54"/>
    </row>
    <row r="1582" spans="1:13" s="15" customFormat="1" x14ac:dyDescent="0.3">
      <c r="A1582" s="17"/>
      <c r="B1582"/>
      <c r="C1582"/>
      <c r="D1582"/>
      <c r="E1582"/>
      <c r="F1582"/>
      <c r="G1582"/>
      <c r="H1582"/>
      <c r="I1582"/>
      <c r="M1582" s="54"/>
    </row>
    <row r="1583" spans="1:13" s="15" customFormat="1" x14ac:dyDescent="0.3">
      <c r="A1583" s="17"/>
      <c r="B1583"/>
      <c r="C1583"/>
      <c r="D1583"/>
      <c r="E1583"/>
      <c r="F1583"/>
      <c r="G1583"/>
      <c r="H1583"/>
      <c r="I1583"/>
      <c r="M1583" s="54"/>
    </row>
    <row r="1584" spans="1:13" s="15" customFormat="1" x14ac:dyDescent="0.3">
      <c r="A1584" s="17"/>
      <c r="B1584"/>
      <c r="C1584"/>
      <c r="D1584"/>
      <c r="E1584"/>
      <c r="F1584"/>
      <c r="G1584"/>
      <c r="H1584"/>
      <c r="I1584"/>
      <c r="M1584" s="54"/>
    </row>
    <row r="1585" spans="1:13" s="15" customFormat="1" x14ac:dyDescent="0.3">
      <c r="A1585" s="17"/>
      <c r="B1585"/>
      <c r="C1585"/>
      <c r="D1585"/>
      <c r="E1585"/>
      <c r="F1585"/>
      <c r="G1585"/>
      <c r="H1585"/>
      <c r="I1585"/>
      <c r="M1585" s="54"/>
    </row>
    <row r="1586" spans="1:13" s="15" customFormat="1" x14ac:dyDescent="0.3">
      <c r="A1586" s="17"/>
      <c r="B1586"/>
      <c r="C1586"/>
      <c r="D1586"/>
      <c r="E1586"/>
      <c r="F1586"/>
      <c r="G1586"/>
      <c r="H1586"/>
      <c r="I1586"/>
      <c r="M1586" s="54"/>
    </row>
    <row r="1587" spans="1:13" s="15" customFormat="1" x14ac:dyDescent="0.3">
      <c r="A1587" s="17"/>
      <c r="B1587"/>
      <c r="C1587"/>
      <c r="D1587"/>
      <c r="E1587"/>
      <c r="F1587"/>
      <c r="G1587"/>
      <c r="H1587"/>
      <c r="I1587"/>
      <c r="M1587" s="54"/>
    </row>
    <row r="1588" spans="1:13" s="15" customFormat="1" x14ac:dyDescent="0.3">
      <c r="A1588" s="17"/>
      <c r="B1588"/>
      <c r="C1588"/>
      <c r="D1588"/>
      <c r="E1588"/>
      <c r="F1588"/>
      <c r="G1588"/>
      <c r="H1588"/>
      <c r="I1588"/>
      <c r="M1588" s="54"/>
    </row>
    <row r="1589" spans="1:13" s="15" customFormat="1" x14ac:dyDescent="0.3">
      <c r="A1589" s="17"/>
      <c r="B1589"/>
      <c r="C1589"/>
      <c r="D1589"/>
      <c r="E1589"/>
      <c r="F1589"/>
      <c r="G1589"/>
      <c r="H1589"/>
      <c r="I1589"/>
      <c r="M1589" s="54"/>
    </row>
    <row r="1590" spans="1:13" s="15" customFormat="1" x14ac:dyDescent="0.3">
      <c r="A1590" s="17"/>
      <c r="B1590"/>
      <c r="C1590"/>
      <c r="D1590"/>
      <c r="E1590"/>
      <c r="F1590"/>
      <c r="G1590"/>
      <c r="H1590"/>
      <c r="I1590"/>
      <c r="M1590" s="54"/>
    </row>
    <row r="1591" spans="1:13" s="15" customFormat="1" x14ac:dyDescent="0.3">
      <c r="A1591" s="17"/>
      <c r="B1591"/>
      <c r="C1591"/>
      <c r="D1591"/>
      <c r="E1591"/>
      <c r="F1591"/>
      <c r="G1591"/>
      <c r="H1591"/>
      <c r="I1591"/>
      <c r="M1591" s="54"/>
    </row>
    <row r="1592" spans="1:13" s="15" customFormat="1" x14ac:dyDescent="0.3">
      <c r="A1592" s="17"/>
      <c r="B1592"/>
      <c r="C1592"/>
      <c r="D1592"/>
      <c r="E1592"/>
      <c r="F1592"/>
      <c r="G1592"/>
      <c r="H1592"/>
      <c r="I1592"/>
      <c r="M1592" s="54"/>
    </row>
    <row r="1593" spans="1:13" s="15" customFormat="1" x14ac:dyDescent="0.3">
      <c r="A1593" s="17"/>
      <c r="B1593"/>
      <c r="C1593"/>
      <c r="D1593"/>
      <c r="E1593"/>
      <c r="F1593"/>
      <c r="G1593"/>
      <c r="H1593"/>
      <c r="I1593"/>
      <c r="M1593" s="54"/>
    </row>
    <row r="1594" spans="1:13" s="15" customFormat="1" x14ac:dyDescent="0.3">
      <c r="A1594" s="17"/>
      <c r="B1594"/>
      <c r="C1594"/>
      <c r="D1594"/>
      <c r="E1594"/>
      <c r="F1594"/>
      <c r="G1594"/>
      <c r="H1594"/>
      <c r="I1594"/>
      <c r="M1594" s="54"/>
    </row>
    <row r="1595" spans="1:13" s="15" customFormat="1" x14ac:dyDescent="0.3">
      <c r="A1595" s="17"/>
      <c r="B1595"/>
      <c r="C1595"/>
      <c r="D1595"/>
      <c r="E1595"/>
      <c r="F1595"/>
      <c r="G1595"/>
      <c r="H1595"/>
      <c r="I1595"/>
      <c r="M1595" s="54"/>
    </row>
    <row r="1596" spans="1:13" s="15" customFormat="1" x14ac:dyDescent="0.3">
      <c r="A1596" s="17"/>
      <c r="B1596"/>
      <c r="C1596"/>
      <c r="D1596"/>
      <c r="E1596"/>
      <c r="F1596"/>
      <c r="G1596"/>
      <c r="H1596"/>
      <c r="I1596"/>
      <c r="M1596" s="54"/>
    </row>
    <row r="1597" spans="1:13" s="15" customFormat="1" x14ac:dyDescent="0.3">
      <c r="A1597" s="17"/>
      <c r="B1597"/>
      <c r="C1597"/>
      <c r="D1597"/>
      <c r="E1597"/>
      <c r="F1597"/>
      <c r="G1597"/>
      <c r="H1597"/>
      <c r="I1597"/>
      <c r="M1597" s="54"/>
    </row>
    <row r="1598" spans="1:13" s="15" customFormat="1" x14ac:dyDescent="0.3">
      <c r="A1598" s="17"/>
      <c r="B1598"/>
      <c r="C1598"/>
      <c r="D1598"/>
      <c r="E1598"/>
      <c r="F1598"/>
      <c r="G1598"/>
      <c r="H1598"/>
      <c r="I1598"/>
      <c r="M1598" s="54"/>
    </row>
    <row r="1599" spans="1:13" s="15" customFormat="1" x14ac:dyDescent="0.3">
      <c r="A1599" s="17"/>
      <c r="B1599"/>
      <c r="C1599"/>
      <c r="D1599"/>
      <c r="E1599"/>
      <c r="F1599"/>
      <c r="G1599"/>
      <c r="H1599"/>
      <c r="I1599"/>
      <c r="M1599" s="54"/>
    </row>
    <row r="1600" spans="1:13" s="15" customFormat="1" x14ac:dyDescent="0.3">
      <c r="A1600" s="17"/>
      <c r="B1600"/>
      <c r="C1600"/>
      <c r="D1600"/>
      <c r="E1600"/>
      <c r="F1600"/>
      <c r="G1600"/>
      <c r="H1600"/>
      <c r="I1600"/>
      <c r="M1600" s="54"/>
    </row>
    <row r="1601" spans="1:13" s="15" customFormat="1" x14ac:dyDescent="0.3">
      <c r="A1601" s="17"/>
      <c r="B1601"/>
      <c r="C1601"/>
      <c r="D1601"/>
      <c r="E1601"/>
      <c r="F1601"/>
      <c r="G1601"/>
      <c r="H1601"/>
      <c r="I1601"/>
      <c r="M1601" s="54"/>
    </row>
    <row r="1602" spans="1:13" s="15" customFormat="1" x14ac:dyDescent="0.3">
      <c r="A1602" s="17"/>
      <c r="B1602"/>
      <c r="C1602"/>
      <c r="D1602"/>
      <c r="E1602"/>
      <c r="F1602"/>
      <c r="G1602"/>
      <c r="H1602"/>
      <c r="I1602"/>
      <c r="M1602" s="54"/>
    </row>
    <row r="1603" spans="1:13" s="15" customFormat="1" x14ac:dyDescent="0.3">
      <c r="A1603" s="17"/>
      <c r="B1603"/>
      <c r="C1603"/>
      <c r="D1603"/>
      <c r="E1603"/>
      <c r="F1603"/>
      <c r="G1603"/>
      <c r="H1603"/>
      <c r="I1603"/>
      <c r="M1603" s="54"/>
    </row>
    <row r="1604" spans="1:13" s="15" customFormat="1" x14ac:dyDescent="0.3">
      <c r="A1604" s="17"/>
      <c r="B1604"/>
      <c r="C1604"/>
      <c r="D1604"/>
      <c r="E1604"/>
      <c r="F1604"/>
      <c r="G1604"/>
      <c r="H1604"/>
      <c r="I1604"/>
      <c r="M1604" s="54"/>
    </row>
    <row r="1605" spans="1:13" s="15" customFormat="1" x14ac:dyDescent="0.3">
      <c r="A1605" s="17"/>
      <c r="B1605"/>
      <c r="C1605"/>
      <c r="D1605"/>
      <c r="E1605"/>
      <c r="F1605"/>
      <c r="G1605"/>
      <c r="H1605"/>
      <c r="I1605"/>
      <c r="M1605" s="54"/>
    </row>
    <row r="1606" spans="1:13" s="15" customFormat="1" x14ac:dyDescent="0.3">
      <c r="A1606" s="17"/>
      <c r="B1606"/>
      <c r="C1606"/>
      <c r="D1606"/>
      <c r="E1606"/>
      <c r="F1606"/>
      <c r="G1606"/>
      <c r="H1606"/>
      <c r="I1606"/>
      <c r="M1606" s="54"/>
    </row>
    <row r="1607" spans="1:13" s="15" customFormat="1" x14ac:dyDescent="0.3">
      <c r="A1607" s="17"/>
      <c r="B1607"/>
      <c r="C1607"/>
      <c r="D1607"/>
      <c r="E1607"/>
      <c r="F1607"/>
      <c r="G1607"/>
      <c r="H1607"/>
      <c r="I1607"/>
      <c r="M1607" s="54"/>
    </row>
    <row r="1608" spans="1:13" s="15" customFormat="1" x14ac:dyDescent="0.3">
      <c r="A1608" s="17"/>
      <c r="B1608"/>
      <c r="C1608"/>
      <c r="D1608"/>
      <c r="E1608"/>
      <c r="F1608"/>
      <c r="G1608"/>
      <c r="H1608"/>
      <c r="I1608"/>
      <c r="M1608" s="54"/>
    </row>
    <row r="1609" spans="1:13" s="15" customFormat="1" x14ac:dyDescent="0.3">
      <c r="A1609" s="17"/>
      <c r="B1609"/>
      <c r="C1609"/>
      <c r="D1609"/>
      <c r="E1609"/>
      <c r="F1609"/>
      <c r="G1609"/>
      <c r="H1609"/>
      <c r="I1609"/>
      <c r="M1609" s="54"/>
    </row>
    <row r="1610" spans="1:13" s="15" customFormat="1" x14ac:dyDescent="0.3">
      <c r="A1610" s="17"/>
      <c r="B1610"/>
      <c r="C1610"/>
      <c r="D1610"/>
      <c r="E1610"/>
      <c r="F1610"/>
      <c r="G1610"/>
      <c r="H1610"/>
      <c r="I1610"/>
      <c r="M1610" s="54"/>
    </row>
    <row r="1611" spans="1:13" s="15" customFormat="1" x14ac:dyDescent="0.3">
      <c r="A1611" s="17"/>
      <c r="B1611"/>
      <c r="C1611"/>
      <c r="D1611"/>
      <c r="E1611"/>
      <c r="F1611"/>
      <c r="G1611"/>
      <c r="H1611"/>
      <c r="I1611"/>
      <c r="M1611" s="54"/>
    </row>
    <row r="1612" spans="1:13" s="15" customFormat="1" x14ac:dyDescent="0.3">
      <c r="A1612" s="17"/>
      <c r="B1612"/>
      <c r="C1612"/>
      <c r="D1612"/>
      <c r="E1612"/>
      <c r="F1612"/>
      <c r="G1612"/>
      <c r="H1612"/>
      <c r="I1612"/>
      <c r="M1612" s="54"/>
    </row>
    <row r="1613" spans="1:13" s="15" customFormat="1" x14ac:dyDescent="0.3">
      <c r="A1613" s="17"/>
      <c r="B1613"/>
      <c r="C1613"/>
      <c r="D1613"/>
      <c r="E1613"/>
      <c r="F1613"/>
      <c r="G1613"/>
      <c r="H1613"/>
      <c r="I1613"/>
      <c r="M1613" s="54"/>
    </row>
    <row r="1614" spans="1:13" s="15" customFormat="1" x14ac:dyDescent="0.3">
      <c r="A1614" s="17"/>
      <c r="B1614"/>
      <c r="C1614"/>
      <c r="D1614"/>
      <c r="E1614"/>
      <c r="F1614"/>
      <c r="G1614"/>
      <c r="H1614"/>
      <c r="I1614"/>
      <c r="M1614" s="54"/>
    </row>
    <row r="1615" spans="1:13" s="15" customFormat="1" x14ac:dyDescent="0.3">
      <c r="A1615" s="17"/>
      <c r="B1615"/>
      <c r="C1615"/>
      <c r="D1615"/>
      <c r="E1615"/>
      <c r="F1615"/>
      <c r="G1615"/>
      <c r="H1615"/>
      <c r="I1615"/>
      <c r="M1615" s="54"/>
    </row>
    <row r="1616" spans="1:13" s="15" customFormat="1" x14ac:dyDescent="0.3">
      <c r="A1616" s="17"/>
      <c r="B1616"/>
      <c r="C1616"/>
      <c r="D1616"/>
      <c r="E1616"/>
      <c r="F1616"/>
      <c r="G1616"/>
      <c r="H1616"/>
      <c r="I1616"/>
      <c r="M1616" s="54"/>
    </row>
    <row r="1617" spans="1:13" s="15" customFormat="1" x14ac:dyDescent="0.3">
      <c r="A1617" s="17"/>
      <c r="B1617"/>
      <c r="C1617"/>
      <c r="D1617"/>
      <c r="E1617"/>
      <c r="F1617"/>
      <c r="G1617"/>
      <c r="H1617"/>
      <c r="I1617"/>
      <c r="M1617" s="54"/>
    </row>
    <row r="1618" spans="1:13" s="15" customFormat="1" x14ac:dyDescent="0.3">
      <c r="A1618" s="17"/>
      <c r="B1618"/>
      <c r="C1618"/>
      <c r="D1618"/>
      <c r="E1618"/>
      <c r="F1618"/>
      <c r="G1618"/>
      <c r="H1618"/>
      <c r="I1618"/>
      <c r="M1618" s="54"/>
    </row>
    <row r="1619" spans="1:13" s="15" customFormat="1" x14ac:dyDescent="0.3">
      <c r="A1619" s="17"/>
      <c r="B1619"/>
      <c r="C1619"/>
      <c r="D1619"/>
      <c r="E1619"/>
      <c r="F1619"/>
      <c r="G1619"/>
      <c r="H1619"/>
      <c r="I1619"/>
      <c r="M1619" s="54"/>
    </row>
    <row r="1620" spans="1:13" s="15" customFormat="1" x14ac:dyDescent="0.3">
      <c r="A1620" s="17"/>
      <c r="B1620"/>
      <c r="C1620"/>
      <c r="D1620"/>
      <c r="E1620"/>
      <c r="F1620"/>
      <c r="G1620"/>
      <c r="H1620"/>
      <c r="I1620"/>
      <c r="M1620" s="54"/>
    </row>
    <row r="1621" spans="1:13" s="15" customFormat="1" x14ac:dyDescent="0.3">
      <c r="A1621" s="17"/>
      <c r="B1621"/>
      <c r="C1621"/>
      <c r="D1621"/>
      <c r="E1621"/>
      <c r="F1621"/>
      <c r="G1621"/>
      <c r="H1621"/>
      <c r="I1621"/>
      <c r="M1621" s="54"/>
    </row>
    <row r="1622" spans="1:13" s="15" customFormat="1" x14ac:dyDescent="0.3">
      <c r="A1622" s="17"/>
      <c r="B1622"/>
      <c r="C1622"/>
      <c r="D1622"/>
      <c r="E1622"/>
      <c r="F1622"/>
      <c r="G1622"/>
      <c r="H1622"/>
      <c r="I1622"/>
      <c r="M1622" s="54"/>
    </row>
    <row r="1623" spans="1:13" s="15" customFormat="1" x14ac:dyDescent="0.3">
      <c r="A1623" s="17"/>
      <c r="B1623"/>
      <c r="C1623"/>
      <c r="D1623"/>
      <c r="E1623"/>
      <c r="F1623"/>
      <c r="G1623"/>
      <c r="H1623"/>
      <c r="I1623"/>
      <c r="M1623" s="54"/>
    </row>
    <row r="1624" spans="1:13" s="15" customFormat="1" x14ac:dyDescent="0.3">
      <c r="A1624" s="17"/>
      <c r="B1624"/>
      <c r="C1624"/>
      <c r="D1624"/>
      <c r="E1624"/>
      <c r="F1624"/>
      <c r="G1624"/>
      <c r="H1624"/>
      <c r="I1624"/>
      <c r="M1624" s="54"/>
    </row>
    <row r="1625" spans="1:13" s="15" customFormat="1" x14ac:dyDescent="0.3">
      <c r="A1625" s="17"/>
      <c r="B1625"/>
      <c r="C1625"/>
      <c r="D1625"/>
      <c r="E1625"/>
      <c r="F1625"/>
      <c r="G1625"/>
      <c r="H1625"/>
      <c r="I1625"/>
      <c r="M1625" s="54"/>
    </row>
    <row r="1626" spans="1:13" s="15" customFormat="1" x14ac:dyDescent="0.3">
      <c r="A1626" s="17"/>
      <c r="B1626"/>
      <c r="C1626"/>
      <c r="D1626"/>
      <c r="E1626"/>
      <c r="F1626"/>
      <c r="G1626"/>
      <c r="H1626"/>
      <c r="I1626"/>
      <c r="M1626" s="54"/>
    </row>
    <row r="1627" spans="1:13" s="15" customFormat="1" x14ac:dyDescent="0.3">
      <c r="A1627" s="17"/>
      <c r="B1627"/>
      <c r="C1627"/>
      <c r="D1627"/>
      <c r="E1627"/>
      <c r="F1627"/>
      <c r="G1627"/>
      <c r="H1627"/>
      <c r="I1627"/>
      <c r="M1627" s="54"/>
    </row>
    <row r="1628" spans="1:13" s="15" customFormat="1" x14ac:dyDescent="0.3">
      <c r="A1628" s="17"/>
      <c r="B1628"/>
      <c r="C1628"/>
      <c r="D1628"/>
      <c r="E1628"/>
      <c r="F1628"/>
      <c r="G1628"/>
      <c r="H1628"/>
      <c r="I1628"/>
      <c r="M1628" s="54"/>
    </row>
    <row r="1629" spans="1:13" s="15" customFormat="1" x14ac:dyDescent="0.3">
      <c r="A1629" s="17"/>
      <c r="B1629"/>
      <c r="C1629"/>
      <c r="D1629"/>
      <c r="E1629"/>
      <c r="F1629"/>
      <c r="G1629"/>
      <c r="H1629"/>
      <c r="I1629"/>
      <c r="M1629" s="54"/>
    </row>
    <row r="1630" spans="1:13" s="15" customFormat="1" x14ac:dyDescent="0.3">
      <c r="A1630" s="17"/>
      <c r="B1630"/>
      <c r="C1630"/>
      <c r="D1630"/>
      <c r="E1630"/>
      <c r="F1630"/>
      <c r="G1630"/>
      <c r="H1630"/>
      <c r="I1630"/>
      <c r="M1630" s="54"/>
    </row>
    <row r="1631" spans="1:13" s="15" customFormat="1" x14ac:dyDescent="0.3">
      <c r="A1631" s="17"/>
      <c r="B1631"/>
      <c r="C1631"/>
      <c r="D1631"/>
      <c r="E1631"/>
      <c r="F1631"/>
      <c r="G1631"/>
      <c r="H1631"/>
      <c r="I1631"/>
      <c r="M1631" s="54"/>
    </row>
    <row r="1632" spans="1:13" s="15" customFormat="1" x14ac:dyDescent="0.3">
      <c r="A1632" s="17"/>
      <c r="B1632"/>
      <c r="C1632"/>
      <c r="D1632"/>
      <c r="E1632"/>
      <c r="F1632"/>
      <c r="G1632"/>
      <c r="H1632"/>
      <c r="I1632"/>
      <c r="M1632" s="54"/>
    </row>
    <row r="1633" spans="1:13" s="15" customFormat="1" x14ac:dyDescent="0.3">
      <c r="A1633" s="17"/>
      <c r="B1633"/>
      <c r="C1633"/>
      <c r="D1633"/>
      <c r="E1633"/>
      <c r="F1633"/>
      <c r="G1633"/>
      <c r="H1633"/>
      <c r="I1633"/>
      <c r="M1633" s="54"/>
    </row>
    <row r="1634" spans="1:13" s="15" customFormat="1" x14ac:dyDescent="0.3">
      <c r="A1634" s="17"/>
      <c r="B1634"/>
      <c r="C1634"/>
      <c r="D1634"/>
      <c r="E1634"/>
      <c r="F1634"/>
      <c r="G1634"/>
      <c r="H1634"/>
      <c r="I1634"/>
      <c r="M1634" s="54"/>
    </row>
    <row r="1635" spans="1:13" s="15" customFormat="1" x14ac:dyDescent="0.3">
      <c r="A1635" s="17"/>
      <c r="B1635"/>
      <c r="C1635"/>
      <c r="D1635"/>
      <c r="E1635"/>
      <c r="F1635"/>
      <c r="G1635"/>
      <c r="H1635"/>
      <c r="I1635"/>
      <c r="M1635" s="54"/>
    </row>
    <row r="1636" spans="1:13" s="15" customFormat="1" x14ac:dyDescent="0.3">
      <c r="A1636" s="17"/>
      <c r="B1636"/>
      <c r="C1636"/>
      <c r="D1636"/>
      <c r="E1636"/>
      <c r="F1636"/>
      <c r="G1636"/>
      <c r="H1636"/>
      <c r="I1636"/>
      <c r="M1636" s="54"/>
    </row>
    <row r="1637" spans="1:13" s="15" customFormat="1" x14ac:dyDescent="0.3">
      <c r="A1637" s="17"/>
      <c r="B1637"/>
      <c r="C1637"/>
      <c r="D1637"/>
      <c r="E1637"/>
      <c r="F1637"/>
      <c r="G1637"/>
      <c r="H1637"/>
      <c r="I1637"/>
      <c r="M1637" s="54"/>
    </row>
    <row r="1638" spans="1:13" s="15" customFormat="1" x14ac:dyDescent="0.3">
      <c r="A1638" s="17"/>
      <c r="B1638"/>
      <c r="C1638"/>
      <c r="D1638"/>
      <c r="E1638"/>
      <c r="F1638"/>
      <c r="G1638"/>
      <c r="H1638"/>
      <c r="I1638"/>
      <c r="M1638" s="54"/>
    </row>
    <row r="1639" spans="1:13" s="15" customFormat="1" x14ac:dyDescent="0.3">
      <c r="A1639" s="17"/>
      <c r="B1639"/>
      <c r="C1639"/>
      <c r="D1639"/>
      <c r="E1639"/>
      <c r="F1639"/>
      <c r="G1639"/>
      <c r="H1639"/>
      <c r="I1639"/>
      <c r="M1639" s="54"/>
    </row>
    <row r="1640" spans="1:13" s="15" customFormat="1" x14ac:dyDescent="0.3">
      <c r="A1640" s="17"/>
      <c r="B1640"/>
      <c r="C1640"/>
      <c r="D1640"/>
      <c r="E1640"/>
      <c r="F1640"/>
      <c r="G1640"/>
      <c r="H1640"/>
      <c r="I1640"/>
      <c r="M1640" s="54"/>
    </row>
    <row r="1641" spans="1:13" s="15" customFormat="1" x14ac:dyDescent="0.3">
      <c r="A1641" s="17"/>
      <c r="B1641"/>
      <c r="C1641"/>
      <c r="D1641"/>
      <c r="E1641"/>
      <c r="F1641"/>
      <c r="G1641"/>
      <c r="H1641"/>
      <c r="I1641"/>
      <c r="M1641" s="54"/>
    </row>
    <row r="1642" spans="1:13" s="15" customFormat="1" x14ac:dyDescent="0.3">
      <c r="A1642" s="17"/>
      <c r="B1642"/>
      <c r="C1642"/>
      <c r="D1642"/>
      <c r="E1642"/>
      <c r="F1642"/>
      <c r="G1642"/>
      <c r="H1642"/>
      <c r="I1642"/>
      <c r="M1642" s="54"/>
    </row>
    <row r="1643" spans="1:13" s="15" customFormat="1" x14ac:dyDescent="0.3">
      <c r="A1643" s="17"/>
      <c r="B1643"/>
      <c r="C1643"/>
      <c r="D1643"/>
      <c r="E1643"/>
      <c r="F1643"/>
      <c r="G1643"/>
      <c r="H1643"/>
      <c r="I1643"/>
      <c r="M1643" s="54"/>
    </row>
    <row r="1644" spans="1:13" s="15" customFormat="1" x14ac:dyDescent="0.3">
      <c r="A1644" s="17"/>
      <c r="B1644"/>
      <c r="C1644"/>
      <c r="D1644"/>
      <c r="E1644"/>
      <c r="F1644"/>
      <c r="G1644"/>
      <c r="H1644"/>
      <c r="I1644"/>
      <c r="M1644" s="54"/>
    </row>
    <row r="1645" spans="1:13" s="15" customFormat="1" x14ac:dyDescent="0.3">
      <c r="A1645" s="17"/>
      <c r="B1645"/>
      <c r="C1645"/>
      <c r="D1645"/>
      <c r="E1645"/>
      <c r="F1645"/>
      <c r="G1645"/>
      <c r="H1645"/>
      <c r="I1645"/>
      <c r="M1645" s="54"/>
    </row>
    <row r="1646" spans="1:13" s="15" customFormat="1" x14ac:dyDescent="0.3">
      <c r="A1646" s="17"/>
      <c r="B1646"/>
      <c r="C1646"/>
      <c r="D1646"/>
      <c r="E1646"/>
      <c r="F1646"/>
      <c r="G1646"/>
      <c r="H1646"/>
      <c r="I1646"/>
      <c r="M1646" s="54"/>
    </row>
    <row r="1647" spans="1:13" s="15" customFormat="1" x14ac:dyDescent="0.3">
      <c r="A1647" s="17"/>
      <c r="B1647"/>
      <c r="C1647"/>
      <c r="D1647"/>
      <c r="E1647"/>
      <c r="F1647"/>
      <c r="G1647"/>
      <c r="H1647"/>
      <c r="I1647"/>
      <c r="M1647" s="54"/>
    </row>
    <row r="1648" spans="1:13" s="15" customFormat="1" x14ac:dyDescent="0.3">
      <c r="A1648" s="17"/>
      <c r="B1648"/>
      <c r="C1648"/>
      <c r="D1648"/>
      <c r="E1648"/>
      <c r="F1648"/>
      <c r="G1648"/>
      <c r="H1648"/>
      <c r="I1648"/>
      <c r="M1648" s="54"/>
    </row>
    <row r="1649" spans="1:13" s="15" customFormat="1" x14ac:dyDescent="0.3">
      <c r="A1649" s="17"/>
      <c r="B1649"/>
      <c r="C1649"/>
      <c r="D1649"/>
      <c r="E1649"/>
      <c r="F1649"/>
      <c r="G1649"/>
      <c r="H1649"/>
      <c r="I1649"/>
      <c r="M1649" s="54"/>
    </row>
    <row r="1650" spans="1:13" s="15" customFormat="1" x14ac:dyDescent="0.3">
      <c r="A1650" s="17"/>
      <c r="B1650"/>
      <c r="C1650"/>
      <c r="D1650"/>
      <c r="E1650"/>
      <c r="F1650"/>
      <c r="G1650"/>
      <c r="H1650"/>
      <c r="I1650"/>
      <c r="M1650" s="54"/>
    </row>
    <row r="1651" spans="1:13" s="15" customFormat="1" x14ac:dyDescent="0.3">
      <c r="A1651" s="17"/>
      <c r="B1651"/>
      <c r="C1651"/>
      <c r="D1651"/>
      <c r="E1651"/>
      <c r="F1651"/>
      <c r="G1651"/>
      <c r="H1651"/>
      <c r="I1651"/>
      <c r="M1651" s="54"/>
    </row>
    <row r="1652" spans="1:13" s="15" customFormat="1" x14ac:dyDescent="0.3">
      <c r="A1652" s="17"/>
      <c r="B1652"/>
      <c r="C1652"/>
      <c r="D1652"/>
      <c r="E1652"/>
      <c r="F1652"/>
      <c r="G1652"/>
      <c r="H1652"/>
      <c r="I1652"/>
      <c r="M1652" s="54"/>
    </row>
    <row r="1653" spans="1:13" s="15" customFormat="1" x14ac:dyDescent="0.3">
      <c r="A1653" s="17"/>
      <c r="B1653"/>
      <c r="C1653"/>
      <c r="D1653"/>
      <c r="E1653"/>
      <c r="F1653"/>
      <c r="G1653"/>
      <c r="H1653"/>
      <c r="I1653"/>
      <c r="M1653" s="54"/>
    </row>
    <row r="1654" spans="1:13" s="15" customFormat="1" x14ac:dyDescent="0.3">
      <c r="A1654" s="17"/>
      <c r="B1654"/>
      <c r="C1654"/>
      <c r="D1654"/>
      <c r="E1654"/>
      <c r="F1654"/>
      <c r="G1654"/>
      <c r="H1654"/>
      <c r="I1654"/>
      <c r="M1654" s="54"/>
    </row>
    <row r="1655" spans="1:13" s="15" customFormat="1" x14ac:dyDescent="0.3">
      <c r="A1655" s="17"/>
      <c r="B1655"/>
      <c r="C1655"/>
      <c r="D1655"/>
      <c r="E1655"/>
      <c r="F1655"/>
      <c r="G1655"/>
      <c r="H1655"/>
      <c r="I1655"/>
      <c r="M1655" s="54"/>
    </row>
    <row r="1656" spans="1:13" s="15" customFormat="1" x14ac:dyDescent="0.3">
      <c r="A1656" s="17"/>
      <c r="B1656"/>
      <c r="C1656"/>
      <c r="D1656"/>
      <c r="E1656"/>
      <c r="F1656"/>
      <c r="G1656"/>
      <c r="H1656"/>
      <c r="I1656"/>
      <c r="M1656" s="54"/>
    </row>
    <row r="1657" spans="1:13" s="15" customFormat="1" x14ac:dyDescent="0.3">
      <c r="A1657" s="17"/>
      <c r="B1657"/>
      <c r="C1657"/>
      <c r="D1657"/>
      <c r="E1657"/>
      <c r="F1657"/>
      <c r="G1657"/>
      <c r="H1657"/>
      <c r="I1657"/>
      <c r="M1657" s="54"/>
    </row>
    <row r="1658" spans="1:13" s="15" customFormat="1" x14ac:dyDescent="0.3">
      <c r="A1658" s="17"/>
      <c r="B1658"/>
      <c r="C1658"/>
      <c r="D1658"/>
      <c r="E1658"/>
      <c r="F1658"/>
      <c r="G1658"/>
      <c r="H1658"/>
      <c r="I1658"/>
      <c r="M1658" s="54"/>
    </row>
    <row r="1659" spans="1:13" s="15" customFormat="1" x14ac:dyDescent="0.3">
      <c r="A1659" s="17"/>
      <c r="B1659"/>
      <c r="C1659"/>
      <c r="D1659"/>
      <c r="E1659"/>
      <c r="F1659"/>
      <c r="G1659"/>
      <c r="H1659"/>
      <c r="I1659"/>
      <c r="M1659" s="54"/>
    </row>
    <row r="1660" spans="1:13" s="15" customFormat="1" x14ac:dyDescent="0.3">
      <c r="A1660" s="17"/>
      <c r="B1660"/>
      <c r="C1660"/>
      <c r="D1660"/>
      <c r="E1660"/>
      <c r="F1660"/>
      <c r="G1660"/>
      <c r="H1660"/>
      <c r="I1660"/>
      <c r="M1660" s="54"/>
    </row>
    <row r="1661" spans="1:13" s="15" customFormat="1" x14ac:dyDescent="0.3">
      <c r="A1661" s="17"/>
      <c r="B1661"/>
      <c r="C1661"/>
      <c r="D1661"/>
      <c r="E1661"/>
      <c r="F1661"/>
      <c r="G1661"/>
      <c r="H1661"/>
      <c r="I1661"/>
      <c r="M1661" s="54"/>
    </row>
    <row r="1662" spans="1:13" s="15" customFormat="1" x14ac:dyDescent="0.3">
      <c r="A1662" s="17"/>
      <c r="B1662"/>
      <c r="C1662"/>
      <c r="D1662"/>
      <c r="E1662"/>
      <c r="F1662"/>
      <c r="G1662"/>
      <c r="H1662"/>
      <c r="I1662"/>
      <c r="M1662" s="54"/>
    </row>
    <row r="1663" spans="1:13" s="15" customFormat="1" x14ac:dyDescent="0.3">
      <c r="A1663" s="17"/>
      <c r="B1663"/>
      <c r="C1663"/>
      <c r="D1663"/>
      <c r="E1663"/>
      <c r="F1663"/>
      <c r="G1663"/>
      <c r="H1663"/>
      <c r="I1663"/>
      <c r="M1663" s="54"/>
    </row>
    <row r="1664" spans="1:13" s="15" customFormat="1" x14ac:dyDescent="0.3">
      <c r="A1664" s="17"/>
      <c r="B1664"/>
      <c r="C1664"/>
      <c r="D1664"/>
      <c r="E1664"/>
      <c r="F1664"/>
      <c r="G1664"/>
      <c r="H1664"/>
      <c r="I1664"/>
      <c r="M1664" s="54"/>
    </row>
    <row r="1665" spans="1:13" s="15" customFormat="1" x14ac:dyDescent="0.3">
      <c r="A1665" s="17"/>
      <c r="B1665"/>
      <c r="C1665"/>
      <c r="D1665"/>
      <c r="E1665"/>
      <c r="F1665"/>
      <c r="G1665"/>
      <c r="H1665"/>
      <c r="I1665"/>
      <c r="M1665" s="54"/>
    </row>
    <row r="1666" spans="1:13" s="15" customFormat="1" x14ac:dyDescent="0.3">
      <c r="A1666" s="17"/>
      <c r="B1666"/>
      <c r="C1666"/>
      <c r="D1666"/>
      <c r="E1666"/>
      <c r="F1666"/>
      <c r="G1666"/>
      <c r="H1666"/>
      <c r="I1666"/>
      <c r="M1666" s="54"/>
    </row>
    <row r="1667" spans="1:13" s="15" customFormat="1" x14ac:dyDescent="0.3">
      <c r="A1667" s="17"/>
      <c r="B1667"/>
      <c r="C1667"/>
      <c r="D1667"/>
      <c r="E1667"/>
      <c r="F1667"/>
      <c r="G1667"/>
      <c r="H1667"/>
      <c r="I1667"/>
      <c r="M1667" s="54"/>
    </row>
    <row r="1668" spans="1:13" s="15" customFormat="1" x14ac:dyDescent="0.3">
      <c r="A1668" s="17"/>
      <c r="B1668"/>
      <c r="C1668"/>
      <c r="D1668"/>
      <c r="E1668"/>
      <c r="F1668"/>
      <c r="G1668"/>
      <c r="H1668"/>
      <c r="I1668"/>
      <c r="M1668" s="54"/>
    </row>
    <row r="1669" spans="1:13" s="15" customFormat="1" x14ac:dyDescent="0.3">
      <c r="A1669" s="17"/>
      <c r="B1669"/>
      <c r="C1669"/>
      <c r="D1669"/>
      <c r="E1669"/>
      <c r="F1669"/>
      <c r="G1669"/>
      <c r="H1669"/>
      <c r="I1669"/>
      <c r="M1669" s="54"/>
    </row>
    <row r="1670" spans="1:13" s="15" customFormat="1" x14ac:dyDescent="0.3">
      <c r="A1670" s="17"/>
      <c r="B1670"/>
      <c r="C1670"/>
      <c r="D1670"/>
      <c r="E1670"/>
      <c r="F1670"/>
      <c r="G1670"/>
      <c r="H1670"/>
      <c r="I1670"/>
      <c r="M1670" s="54"/>
    </row>
    <row r="1671" spans="1:13" s="15" customFormat="1" x14ac:dyDescent="0.3">
      <c r="A1671" s="17"/>
      <c r="B1671"/>
      <c r="C1671"/>
      <c r="D1671"/>
      <c r="E1671"/>
      <c r="F1671"/>
      <c r="G1671"/>
      <c r="H1671"/>
      <c r="I1671"/>
      <c r="M1671" s="54"/>
    </row>
    <row r="1672" spans="1:13" s="15" customFormat="1" x14ac:dyDescent="0.3">
      <c r="A1672" s="17"/>
      <c r="B1672"/>
      <c r="C1672"/>
      <c r="D1672"/>
      <c r="E1672"/>
      <c r="F1672"/>
      <c r="G1672"/>
      <c r="H1672"/>
      <c r="I1672"/>
      <c r="M1672" s="54"/>
    </row>
    <row r="1673" spans="1:13" s="15" customFormat="1" x14ac:dyDescent="0.3">
      <c r="A1673" s="17"/>
      <c r="B1673"/>
      <c r="C1673"/>
      <c r="D1673"/>
      <c r="E1673"/>
      <c r="F1673"/>
      <c r="G1673"/>
      <c r="H1673"/>
      <c r="I1673"/>
      <c r="M1673" s="54"/>
    </row>
    <row r="1674" spans="1:13" s="15" customFormat="1" x14ac:dyDescent="0.3">
      <c r="A1674" s="17"/>
      <c r="B1674"/>
      <c r="C1674"/>
      <c r="D1674"/>
      <c r="E1674"/>
      <c r="F1674"/>
      <c r="G1674"/>
      <c r="H1674"/>
      <c r="I1674"/>
      <c r="M1674" s="54"/>
    </row>
    <row r="1675" spans="1:13" s="15" customFormat="1" x14ac:dyDescent="0.3">
      <c r="A1675" s="17"/>
      <c r="B1675"/>
      <c r="C1675"/>
      <c r="D1675"/>
      <c r="E1675"/>
      <c r="F1675"/>
      <c r="G1675"/>
      <c r="H1675"/>
      <c r="I1675"/>
      <c r="M1675" s="54"/>
    </row>
    <row r="1676" spans="1:13" s="15" customFormat="1" x14ac:dyDescent="0.3">
      <c r="A1676" s="17"/>
      <c r="B1676"/>
      <c r="C1676"/>
      <c r="D1676"/>
      <c r="E1676"/>
      <c r="F1676"/>
      <c r="G1676"/>
      <c r="H1676"/>
      <c r="I1676"/>
      <c r="M1676" s="54"/>
    </row>
    <row r="1677" spans="1:13" s="15" customFormat="1" x14ac:dyDescent="0.3">
      <c r="A1677" s="17"/>
      <c r="B1677"/>
      <c r="C1677"/>
      <c r="D1677"/>
      <c r="E1677"/>
      <c r="F1677"/>
      <c r="G1677"/>
      <c r="H1677"/>
      <c r="I1677"/>
      <c r="M1677" s="54"/>
    </row>
    <row r="1678" spans="1:13" s="15" customFormat="1" x14ac:dyDescent="0.3">
      <c r="A1678" s="17"/>
      <c r="B1678"/>
      <c r="C1678"/>
      <c r="D1678"/>
      <c r="E1678"/>
      <c r="F1678"/>
      <c r="G1678"/>
      <c r="H1678"/>
      <c r="I1678"/>
      <c r="M1678" s="54"/>
    </row>
    <row r="1679" spans="1:13" s="15" customFormat="1" x14ac:dyDescent="0.3">
      <c r="A1679" s="17"/>
      <c r="B1679"/>
      <c r="C1679"/>
      <c r="D1679"/>
      <c r="E1679"/>
      <c r="F1679"/>
      <c r="G1679"/>
      <c r="H1679"/>
      <c r="I1679"/>
      <c r="M1679" s="54"/>
    </row>
    <row r="1680" spans="1:13" s="15" customFormat="1" x14ac:dyDescent="0.3">
      <c r="A1680" s="17"/>
      <c r="B1680"/>
      <c r="C1680"/>
      <c r="D1680"/>
      <c r="E1680"/>
      <c r="F1680"/>
      <c r="G1680"/>
      <c r="H1680"/>
      <c r="I1680"/>
      <c r="M1680" s="54"/>
    </row>
    <row r="1681" spans="1:13" s="15" customFormat="1" x14ac:dyDescent="0.3">
      <c r="A1681" s="17"/>
      <c r="B1681"/>
      <c r="C1681"/>
      <c r="D1681"/>
      <c r="E1681"/>
      <c r="F1681"/>
      <c r="G1681"/>
      <c r="H1681"/>
      <c r="I1681"/>
      <c r="M1681" s="54"/>
    </row>
    <row r="1682" spans="1:13" s="15" customFormat="1" x14ac:dyDescent="0.3">
      <c r="A1682" s="17"/>
      <c r="B1682"/>
      <c r="C1682"/>
      <c r="D1682"/>
      <c r="E1682"/>
      <c r="F1682"/>
      <c r="G1682"/>
      <c r="H1682"/>
      <c r="I1682"/>
      <c r="M1682" s="54"/>
    </row>
    <row r="1683" spans="1:13" s="15" customFormat="1" x14ac:dyDescent="0.3">
      <c r="A1683" s="17"/>
      <c r="B1683"/>
      <c r="C1683"/>
      <c r="D1683"/>
      <c r="E1683"/>
      <c r="F1683"/>
      <c r="G1683"/>
      <c r="H1683"/>
      <c r="I1683"/>
      <c r="M1683" s="54"/>
    </row>
    <row r="1684" spans="1:13" s="15" customFormat="1" x14ac:dyDescent="0.3">
      <c r="A1684" s="17"/>
      <c r="B1684"/>
      <c r="C1684"/>
      <c r="D1684"/>
      <c r="E1684"/>
      <c r="F1684"/>
      <c r="G1684"/>
      <c r="H1684"/>
      <c r="I1684"/>
      <c r="M1684" s="54"/>
    </row>
    <row r="1685" spans="1:13" s="15" customFormat="1" x14ac:dyDescent="0.3">
      <c r="A1685" s="17"/>
      <c r="B1685"/>
      <c r="C1685"/>
      <c r="D1685"/>
      <c r="E1685"/>
      <c r="F1685"/>
      <c r="G1685"/>
      <c r="H1685"/>
      <c r="I1685"/>
      <c r="M1685" s="54"/>
    </row>
    <row r="1686" spans="1:13" s="15" customFormat="1" x14ac:dyDescent="0.3">
      <c r="A1686" s="17"/>
      <c r="B1686"/>
      <c r="C1686"/>
      <c r="D1686"/>
      <c r="E1686"/>
      <c r="F1686"/>
      <c r="G1686"/>
      <c r="H1686"/>
      <c r="I1686"/>
      <c r="M1686" s="54"/>
    </row>
    <row r="1687" spans="1:13" s="15" customFormat="1" x14ac:dyDescent="0.3">
      <c r="A1687" s="17"/>
      <c r="B1687"/>
      <c r="C1687"/>
      <c r="D1687"/>
      <c r="E1687"/>
      <c r="F1687"/>
      <c r="G1687"/>
      <c r="H1687"/>
      <c r="I1687"/>
      <c r="M1687" s="54"/>
    </row>
    <row r="1688" spans="1:13" s="15" customFormat="1" x14ac:dyDescent="0.3">
      <c r="A1688" s="17"/>
      <c r="B1688"/>
      <c r="C1688"/>
      <c r="D1688"/>
      <c r="E1688"/>
      <c r="F1688"/>
      <c r="G1688"/>
      <c r="H1688"/>
      <c r="I1688"/>
      <c r="M1688" s="54"/>
    </row>
    <row r="1689" spans="1:13" s="15" customFormat="1" x14ac:dyDescent="0.3">
      <c r="A1689" s="17"/>
      <c r="B1689"/>
      <c r="C1689"/>
      <c r="D1689"/>
      <c r="E1689"/>
      <c r="F1689"/>
      <c r="G1689"/>
      <c r="H1689"/>
      <c r="I1689"/>
      <c r="M1689" s="54"/>
    </row>
    <row r="1690" spans="1:13" s="15" customFormat="1" x14ac:dyDescent="0.3">
      <c r="A1690" s="17"/>
      <c r="B1690"/>
      <c r="C1690"/>
      <c r="D1690"/>
      <c r="E1690"/>
      <c r="F1690"/>
      <c r="G1690"/>
      <c r="H1690"/>
      <c r="I1690"/>
      <c r="M1690" s="54"/>
    </row>
    <row r="1691" spans="1:13" s="15" customFormat="1" x14ac:dyDescent="0.3">
      <c r="A1691" s="17"/>
      <c r="B1691"/>
      <c r="C1691"/>
      <c r="D1691"/>
      <c r="E1691"/>
      <c r="F1691"/>
      <c r="G1691"/>
      <c r="H1691"/>
      <c r="I1691"/>
      <c r="M1691" s="54"/>
    </row>
    <row r="1692" spans="1:13" s="15" customFormat="1" x14ac:dyDescent="0.3">
      <c r="A1692" s="17"/>
      <c r="B1692"/>
      <c r="C1692"/>
      <c r="D1692"/>
      <c r="E1692"/>
      <c r="F1692"/>
      <c r="G1692"/>
      <c r="H1692"/>
      <c r="I1692"/>
      <c r="M1692" s="54"/>
    </row>
    <row r="1693" spans="1:13" s="15" customFormat="1" x14ac:dyDescent="0.3">
      <c r="A1693" s="17"/>
      <c r="B1693"/>
      <c r="C1693"/>
      <c r="D1693"/>
      <c r="E1693"/>
      <c r="F1693"/>
      <c r="G1693"/>
      <c r="H1693"/>
      <c r="I1693"/>
      <c r="M1693" s="54"/>
    </row>
    <row r="1694" spans="1:13" s="15" customFormat="1" x14ac:dyDescent="0.3">
      <c r="A1694" s="17"/>
      <c r="B1694"/>
      <c r="C1694"/>
      <c r="D1694"/>
      <c r="E1694"/>
      <c r="F1694"/>
      <c r="G1694"/>
      <c r="H1694"/>
      <c r="I1694"/>
      <c r="M1694" s="54"/>
    </row>
    <row r="1695" spans="1:13" s="15" customFormat="1" x14ac:dyDescent="0.3">
      <c r="A1695" s="17"/>
      <c r="B1695"/>
      <c r="C1695"/>
      <c r="D1695"/>
      <c r="E1695"/>
      <c r="F1695"/>
      <c r="G1695"/>
      <c r="H1695"/>
      <c r="I1695"/>
      <c r="M1695" s="54"/>
    </row>
    <row r="1696" spans="1:13" s="15" customFormat="1" x14ac:dyDescent="0.3">
      <c r="A1696" s="17"/>
      <c r="B1696"/>
      <c r="C1696"/>
      <c r="D1696"/>
      <c r="E1696"/>
      <c r="F1696"/>
      <c r="G1696"/>
      <c r="H1696"/>
      <c r="I1696"/>
      <c r="M1696" s="54"/>
    </row>
    <row r="1697" spans="1:13" s="15" customFormat="1" x14ac:dyDescent="0.3">
      <c r="A1697" s="17"/>
      <c r="B1697"/>
      <c r="C1697"/>
      <c r="D1697"/>
      <c r="E1697"/>
      <c r="F1697"/>
      <c r="G1697"/>
      <c r="H1697"/>
      <c r="I1697"/>
      <c r="M1697" s="54"/>
    </row>
    <row r="1698" spans="1:13" s="15" customFormat="1" x14ac:dyDescent="0.3">
      <c r="A1698" s="17"/>
      <c r="B1698"/>
      <c r="C1698"/>
      <c r="D1698"/>
      <c r="E1698"/>
      <c r="F1698"/>
      <c r="G1698"/>
      <c r="H1698"/>
      <c r="I1698"/>
      <c r="M1698" s="54"/>
    </row>
    <row r="1699" spans="1:13" s="15" customFormat="1" x14ac:dyDescent="0.3">
      <c r="A1699" s="17"/>
      <c r="B1699"/>
      <c r="C1699"/>
      <c r="D1699"/>
      <c r="E1699"/>
      <c r="F1699"/>
      <c r="G1699"/>
      <c r="H1699"/>
      <c r="I1699"/>
      <c r="M1699" s="54"/>
    </row>
    <row r="1700" spans="1:13" s="15" customFormat="1" x14ac:dyDescent="0.3">
      <c r="A1700" s="17"/>
      <c r="B1700"/>
      <c r="C1700"/>
      <c r="D1700"/>
      <c r="E1700"/>
      <c r="F1700"/>
      <c r="G1700"/>
      <c r="H1700"/>
      <c r="I1700"/>
      <c r="M1700" s="54"/>
    </row>
    <row r="1701" spans="1:13" s="15" customFormat="1" x14ac:dyDescent="0.3">
      <c r="A1701" s="17"/>
      <c r="B1701"/>
      <c r="C1701"/>
      <c r="D1701"/>
      <c r="E1701"/>
      <c r="F1701"/>
      <c r="G1701"/>
      <c r="H1701"/>
      <c r="I1701"/>
      <c r="M1701" s="54"/>
    </row>
    <row r="1702" spans="1:13" s="15" customFormat="1" x14ac:dyDescent="0.3">
      <c r="A1702" s="17"/>
      <c r="B1702"/>
      <c r="C1702"/>
      <c r="D1702"/>
      <c r="E1702"/>
      <c r="F1702"/>
      <c r="G1702"/>
      <c r="H1702"/>
      <c r="I1702"/>
      <c r="M1702" s="54"/>
    </row>
    <row r="1703" spans="1:13" s="15" customFormat="1" x14ac:dyDescent="0.3">
      <c r="A1703" s="17"/>
      <c r="B1703"/>
      <c r="C1703"/>
      <c r="D1703"/>
      <c r="E1703"/>
      <c r="F1703"/>
      <c r="G1703"/>
      <c r="H1703"/>
      <c r="I1703"/>
      <c r="M1703" s="54"/>
    </row>
    <row r="1704" spans="1:13" s="15" customFormat="1" x14ac:dyDescent="0.3">
      <c r="A1704" s="17"/>
      <c r="B1704"/>
      <c r="C1704"/>
      <c r="D1704"/>
      <c r="E1704"/>
      <c r="F1704"/>
      <c r="G1704"/>
      <c r="H1704"/>
      <c r="I1704"/>
      <c r="M1704" s="54"/>
    </row>
    <row r="1705" spans="1:13" s="15" customFormat="1" x14ac:dyDescent="0.3">
      <c r="A1705" s="17"/>
      <c r="B1705"/>
      <c r="C1705"/>
      <c r="D1705"/>
      <c r="E1705"/>
      <c r="F1705"/>
      <c r="G1705"/>
      <c r="H1705"/>
      <c r="I1705"/>
      <c r="M1705" s="54"/>
    </row>
    <row r="1706" spans="1:13" s="15" customFormat="1" x14ac:dyDescent="0.3">
      <c r="A1706" s="17"/>
      <c r="B1706"/>
      <c r="C1706"/>
      <c r="D1706"/>
      <c r="E1706"/>
      <c r="F1706"/>
      <c r="G1706"/>
      <c r="H1706"/>
      <c r="I1706"/>
      <c r="M1706" s="54"/>
    </row>
    <row r="1707" spans="1:13" s="15" customFormat="1" x14ac:dyDescent="0.3">
      <c r="A1707" s="17"/>
      <c r="B1707"/>
      <c r="C1707"/>
      <c r="D1707"/>
      <c r="E1707"/>
      <c r="F1707"/>
      <c r="G1707"/>
      <c r="H1707"/>
      <c r="I1707"/>
      <c r="M1707" s="54"/>
    </row>
    <row r="1708" spans="1:13" s="15" customFormat="1" x14ac:dyDescent="0.3">
      <c r="A1708" s="17"/>
      <c r="B1708"/>
      <c r="C1708"/>
      <c r="D1708"/>
      <c r="E1708"/>
      <c r="F1708"/>
      <c r="G1708"/>
      <c r="H1708"/>
      <c r="I1708"/>
      <c r="M1708" s="54"/>
    </row>
    <row r="1709" spans="1:13" s="15" customFormat="1" x14ac:dyDescent="0.3">
      <c r="A1709" s="17"/>
      <c r="B1709"/>
      <c r="C1709"/>
      <c r="D1709"/>
      <c r="E1709"/>
      <c r="F1709"/>
      <c r="G1709"/>
      <c r="H1709"/>
      <c r="I1709"/>
      <c r="M1709" s="54"/>
    </row>
    <row r="1710" spans="1:13" s="15" customFormat="1" x14ac:dyDescent="0.3">
      <c r="A1710" s="17"/>
      <c r="B1710"/>
      <c r="C1710"/>
      <c r="D1710"/>
      <c r="E1710"/>
      <c r="F1710"/>
      <c r="G1710"/>
      <c r="H1710"/>
      <c r="I1710"/>
      <c r="M1710" s="54"/>
    </row>
    <row r="1711" spans="1:13" s="15" customFormat="1" x14ac:dyDescent="0.3">
      <c r="A1711" s="17"/>
      <c r="B1711"/>
      <c r="C1711"/>
      <c r="D1711"/>
      <c r="E1711"/>
      <c r="F1711"/>
      <c r="G1711"/>
      <c r="H1711"/>
      <c r="I1711"/>
      <c r="M1711" s="54"/>
    </row>
    <row r="1712" spans="1:13" s="15" customFormat="1" x14ac:dyDescent="0.3">
      <c r="A1712" s="17"/>
      <c r="B1712"/>
      <c r="C1712"/>
      <c r="D1712"/>
      <c r="E1712"/>
      <c r="F1712"/>
      <c r="G1712"/>
      <c r="H1712"/>
      <c r="I1712"/>
      <c r="M1712" s="54"/>
    </row>
    <row r="1713" spans="1:13" s="15" customFormat="1" x14ac:dyDescent="0.3">
      <c r="A1713" s="17"/>
      <c r="B1713"/>
      <c r="C1713"/>
      <c r="D1713"/>
      <c r="E1713"/>
      <c r="F1713"/>
      <c r="G1713"/>
      <c r="H1713"/>
      <c r="I1713"/>
      <c r="M1713" s="54"/>
    </row>
    <row r="1714" spans="1:13" s="15" customFormat="1" x14ac:dyDescent="0.3">
      <c r="A1714" s="17"/>
      <c r="B1714"/>
      <c r="C1714"/>
      <c r="D1714"/>
      <c r="E1714"/>
      <c r="F1714"/>
      <c r="G1714"/>
      <c r="H1714"/>
      <c r="I1714"/>
      <c r="M1714" s="54"/>
    </row>
    <row r="1715" spans="1:13" s="15" customFormat="1" x14ac:dyDescent="0.3">
      <c r="A1715" s="17"/>
      <c r="B1715"/>
      <c r="C1715"/>
      <c r="D1715"/>
      <c r="E1715"/>
      <c r="F1715"/>
      <c r="G1715"/>
      <c r="H1715"/>
      <c r="I1715"/>
      <c r="M1715" s="54"/>
    </row>
    <row r="1716" spans="1:13" s="15" customFormat="1" x14ac:dyDescent="0.3">
      <c r="A1716" s="17"/>
      <c r="B1716"/>
      <c r="C1716"/>
      <c r="D1716"/>
      <c r="E1716"/>
      <c r="F1716"/>
      <c r="G1716"/>
      <c r="H1716"/>
      <c r="I1716"/>
      <c r="M1716" s="54"/>
    </row>
    <row r="1717" spans="1:13" s="15" customFormat="1" x14ac:dyDescent="0.3">
      <c r="A1717" s="17"/>
      <c r="B1717"/>
      <c r="C1717"/>
      <c r="D1717"/>
      <c r="E1717"/>
      <c r="F1717"/>
      <c r="G1717"/>
      <c r="H1717"/>
      <c r="I1717"/>
      <c r="M1717" s="54"/>
    </row>
    <row r="1718" spans="1:13" s="15" customFormat="1" x14ac:dyDescent="0.3">
      <c r="A1718" s="17"/>
      <c r="B1718"/>
      <c r="C1718"/>
      <c r="D1718"/>
      <c r="E1718"/>
      <c r="F1718"/>
      <c r="G1718"/>
      <c r="H1718"/>
      <c r="I1718"/>
      <c r="M1718" s="54"/>
    </row>
    <row r="1719" spans="1:13" s="15" customFormat="1" x14ac:dyDescent="0.3">
      <c r="A1719" s="17"/>
      <c r="B1719"/>
      <c r="C1719"/>
      <c r="D1719"/>
      <c r="E1719"/>
      <c r="F1719"/>
      <c r="G1719"/>
      <c r="H1719"/>
      <c r="I1719"/>
      <c r="M1719" s="54"/>
    </row>
    <row r="1720" spans="1:13" s="15" customFormat="1" x14ac:dyDescent="0.3">
      <c r="A1720" s="17"/>
      <c r="B1720"/>
      <c r="C1720"/>
      <c r="D1720"/>
      <c r="E1720"/>
      <c r="F1720"/>
      <c r="G1720"/>
      <c r="H1720"/>
      <c r="I1720"/>
      <c r="M1720" s="54"/>
    </row>
    <row r="1721" spans="1:13" s="15" customFormat="1" x14ac:dyDescent="0.3">
      <c r="A1721" s="17"/>
      <c r="B1721"/>
      <c r="C1721"/>
      <c r="D1721"/>
      <c r="E1721"/>
      <c r="F1721"/>
      <c r="G1721"/>
      <c r="H1721"/>
      <c r="I1721"/>
      <c r="M1721" s="54"/>
    </row>
    <row r="1722" spans="1:13" s="15" customFormat="1" x14ac:dyDescent="0.3">
      <c r="A1722" s="17"/>
      <c r="B1722"/>
      <c r="C1722"/>
      <c r="D1722"/>
      <c r="E1722"/>
      <c r="F1722"/>
      <c r="G1722"/>
      <c r="H1722"/>
      <c r="I1722"/>
      <c r="M1722" s="54"/>
    </row>
    <row r="1723" spans="1:13" s="15" customFormat="1" x14ac:dyDescent="0.3">
      <c r="A1723" s="17"/>
      <c r="B1723"/>
      <c r="C1723"/>
      <c r="D1723"/>
      <c r="E1723"/>
      <c r="F1723"/>
      <c r="G1723"/>
      <c r="H1723"/>
      <c r="I1723"/>
      <c r="M1723" s="54"/>
    </row>
    <row r="1724" spans="1:13" s="15" customFormat="1" x14ac:dyDescent="0.3">
      <c r="A1724" s="17"/>
      <c r="B1724"/>
      <c r="C1724"/>
      <c r="D1724"/>
      <c r="E1724"/>
      <c r="F1724"/>
      <c r="G1724"/>
      <c r="H1724"/>
      <c r="I1724"/>
      <c r="M1724" s="54"/>
    </row>
    <row r="1725" spans="1:13" s="15" customFormat="1" x14ac:dyDescent="0.3">
      <c r="A1725" s="17"/>
      <c r="B1725"/>
      <c r="C1725"/>
      <c r="D1725"/>
      <c r="E1725"/>
      <c r="F1725"/>
      <c r="G1725"/>
      <c r="H1725"/>
      <c r="I1725"/>
      <c r="M1725" s="54"/>
    </row>
    <row r="1726" spans="1:13" s="15" customFormat="1" x14ac:dyDescent="0.3">
      <c r="A1726" s="17"/>
      <c r="B1726"/>
      <c r="C1726"/>
      <c r="D1726"/>
      <c r="E1726"/>
      <c r="F1726"/>
      <c r="G1726"/>
      <c r="H1726"/>
      <c r="I1726"/>
      <c r="M1726" s="54"/>
    </row>
    <row r="1727" spans="1:13" s="15" customFormat="1" x14ac:dyDescent="0.3">
      <c r="A1727" s="17"/>
      <c r="B1727"/>
      <c r="C1727"/>
      <c r="D1727"/>
      <c r="E1727"/>
      <c r="F1727"/>
      <c r="G1727"/>
      <c r="H1727"/>
      <c r="I1727"/>
      <c r="M1727" s="54"/>
    </row>
    <row r="1728" spans="1:13" s="15" customFormat="1" x14ac:dyDescent="0.3">
      <c r="A1728" s="17"/>
      <c r="B1728"/>
      <c r="C1728"/>
      <c r="D1728"/>
      <c r="E1728"/>
      <c r="F1728"/>
      <c r="G1728"/>
      <c r="H1728"/>
      <c r="I1728"/>
      <c r="M1728" s="54"/>
    </row>
    <row r="1729" spans="1:13" s="15" customFormat="1" x14ac:dyDescent="0.3">
      <c r="A1729" s="17"/>
      <c r="B1729"/>
      <c r="C1729"/>
      <c r="D1729"/>
      <c r="E1729"/>
      <c r="F1729"/>
      <c r="G1729"/>
      <c r="H1729"/>
      <c r="I1729"/>
      <c r="M1729" s="54"/>
    </row>
    <row r="1730" spans="1:13" s="15" customFormat="1" x14ac:dyDescent="0.3">
      <c r="A1730" s="17"/>
      <c r="B1730"/>
      <c r="C1730"/>
      <c r="D1730"/>
      <c r="E1730"/>
      <c r="F1730"/>
      <c r="G1730"/>
      <c r="H1730"/>
      <c r="I1730"/>
      <c r="M1730" s="54"/>
    </row>
    <row r="1731" spans="1:13" s="15" customFormat="1" x14ac:dyDescent="0.3">
      <c r="A1731" s="17"/>
      <c r="B1731"/>
      <c r="C1731"/>
      <c r="D1731"/>
      <c r="E1731"/>
      <c r="F1731"/>
      <c r="G1731"/>
      <c r="H1731"/>
      <c r="I1731"/>
      <c r="M1731" s="54"/>
    </row>
    <row r="1732" spans="1:13" s="15" customFormat="1" x14ac:dyDescent="0.3">
      <c r="A1732" s="17"/>
      <c r="B1732"/>
      <c r="C1732"/>
      <c r="D1732"/>
      <c r="E1732"/>
      <c r="F1732"/>
      <c r="G1732"/>
      <c r="H1732"/>
      <c r="I1732"/>
      <c r="M1732" s="54"/>
    </row>
    <row r="1733" spans="1:13" s="15" customFormat="1" x14ac:dyDescent="0.3">
      <c r="A1733" s="17"/>
      <c r="B1733"/>
      <c r="C1733"/>
      <c r="D1733"/>
      <c r="E1733"/>
      <c r="F1733"/>
      <c r="G1733"/>
      <c r="H1733"/>
      <c r="I1733"/>
      <c r="M1733" s="54"/>
    </row>
    <row r="1734" spans="1:13" s="15" customFormat="1" x14ac:dyDescent="0.3">
      <c r="A1734" s="17"/>
      <c r="B1734"/>
      <c r="C1734"/>
      <c r="D1734"/>
      <c r="E1734"/>
      <c r="F1734"/>
      <c r="G1734"/>
      <c r="H1734"/>
      <c r="I1734"/>
      <c r="M1734" s="54"/>
    </row>
    <row r="1735" spans="1:13" s="15" customFormat="1" x14ac:dyDescent="0.3">
      <c r="A1735" s="17"/>
      <c r="B1735"/>
      <c r="C1735"/>
      <c r="D1735"/>
      <c r="E1735"/>
      <c r="F1735"/>
      <c r="G1735"/>
      <c r="H1735"/>
      <c r="I1735"/>
      <c r="M1735" s="54"/>
    </row>
    <row r="1736" spans="1:13" s="15" customFormat="1" x14ac:dyDescent="0.3">
      <c r="A1736" s="17"/>
      <c r="B1736"/>
      <c r="C1736"/>
      <c r="D1736"/>
      <c r="E1736"/>
      <c r="F1736"/>
      <c r="G1736"/>
      <c r="H1736"/>
      <c r="I1736"/>
      <c r="M1736" s="54"/>
    </row>
    <row r="1737" spans="1:13" s="15" customFormat="1" x14ac:dyDescent="0.3">
      <c r="A1737" s="17"/>
      <c r="B1737"/>
      <c r="C1737"/>
      <c r="D1737"/>
      <c r="E1737"/>
      <c r="F1737"/>
      <c r="G1737"/>
      <c r="H1737"/>
      <c r="I1737"/>
      <c r="M1737" s="54"/>
    </row>
    <row r="1738" spans="1:13" s="15" customFormat="1" x14ac:dyDescent="0.3">
      <c r="A1738" s="17"/>
      <c r="B1738"/>
      <c r="C1738"/>
      <c r="D1738"/>
      <c r="E1738"/>
      <c r="F1738"/>
      <c r="G1738"/>
      <c r="H1738"/>
      <c r="I1738"/>
      <c r="M1738" s="54"/>
    </row>
    <row r="1739" spans="1:13" s="15" customFormat="1" x14ac:dyDescent="0.3">
      <c r="A1739" s="17"/>
      <c r="B1739"/>
      <c r="C1739"/>
      <c r="D1739"/>
      <c r="E1739"/>
      <c r="F1739"/>
      <c r="G1739"/>
      <c r="H1739"/>
      <c r="I1739"/>
      <c r="M1739" s="54"/>
    </row>
    <row r="1740" spans="1:13" s="15" customFormat="1" x14ac:dyDescent="0.3">
      <c r="A1740" s="17"/>
      <c r="B1740"/>
      <c r="C1740"/>
      <c r="D1740"/>
      <c r="E1740"/>
      <c r="F1740"/>
      <c r="G1740"/>
      <c r="H1740"/>
      <c r="I1740"/>
      <c r="M1740" s="54"/>
    </row>
    <row r="1741" spans="1:13" s="15" customFormat="1" x14ac:dyDescent="0.3">
      <c r="A1741" s="17"/>
      <c r="B1741"/>
      <c r="C1741"/>
      <c r="D1741"/>
      <c r="E1741"/>
      <c r="F1741"/>
      <c r="G1741"/>
      <c r="H1741"/>
      <c r="I1741"/>
      <c r="M1741" s="54"/>
    </row>
    <row r="1742" spans="1:13" s="15" customFormat="1" x14ac:dyDescent="0.3">
      <c r="A1742" s="17"/>
      <c r="B1742"/>
      <c r="C1742"/>
      <c r="D1742"/>
      <c r="E1742"/>
      <c r="F1742"/>
      <c r="G1742"/>
      <c r="H1742"/>
      <c r="I1742"/>
      <c r="M1742" s="54"/>
    </row>
    <row r="1743" spans="1:13" s="15" customFormat="1" x14ac:dyDescent="0.3">
      <c r="A1743" s="17"/>
      <c r="B1743"/>
      <c r="C1743"/>
      <c r="D1743"/>
      <c r="E1743"/>
      <c r="F1743"/>
      <c r="G1743"/>
      <c r="H1743"/>
      <c r="I1743"/>
      <c r="M1743" s="54"/>
    </row>
    <row r="1744" spans="1:13" s="15" customFormat="1" x14ac:dyDescent="0.3">
      <c r="A1744" s="17"/>
      <c r="B1744"/>
      <c r="C1744"/>
      <c r="D1744"/>
      <c r="E1744"/>
      <c r="F1744"/>
      <c r="G1744"/>
      <c r="H1744"/>
      <c r="I1744"/>
      <c r="M1744" s="54"/>
    </row>
    <row r="1745" spans="1:13" s="15" customFormat="1" x14ac:dyDescent="0.3">
      <c r="A1745" s="17"/>
      <c r="B1745"/>
      <c r="C1745"/>
      <c r="D1745"/>
      <c r="E1745"/>
      <c r="F1745"/>
      <c r="G1745"/>
      <c r="H1745"/>
      <c r="I1745"/>
      <c r="M1745" s="54"/>
    </row>
    <row r="1746" spans="1:13" s="15" customFormat="1" x14ac:dyDescent="0.3">
      <c r="A1746" s="17"/>
      <c r="B1746"/>
      <c r="C1746"/>
      <c r="D1746"/>
      <c r="E1746"/>
      <c r="F1746"/>
      <c r="G1746"/>
      <c r="H1746"/>
      <c r="I1746"/>
      <c r="M1746" s="54"/>
    </row>
    <row r="1747" spans="1:13" s="15" customFormat="1" x14ac:dyDescent="0.3">
      <c r="A1747" s="17"/>
      <c r="B1747"/>
      <c r="C1747"/>
      <c r="D1747"/>
      <c r="E1747"/>
      <c r="F1747"/>
      <c r="G1747"/>
      <c r="H1747"/>
      <c r="I1747"/>
      <c r="M1747" s="54"/>
    </row>
    <row r="1748" spans="1:13" s="15" customFormat="1" x14ac:dyDescent="0.3">
      <c r="A1748" s="17"/>
      <c r="B1748"/>
      <c r="C1748"/>
      <c r="D1748"/>
      <c r="E1748"/>
      <c r="F1748"/>
      <c r="G1748"/>
      <c r="H1748"/>
      <c r="I1748"/>
      <c r="M1748" s="54"/>
    </row>
    <row r="1749" spans="1:13" s="15" customFormat="1" x14ac:dyDescent="0.3">
      <c r="A1749" s="17"/>
      <c r="B1749"/>
      <c r="C1749"/>
      <c r="D1749"/>
      <c r="E1749"/>
      <c r="F1749"/>
      <c r="G1749"/>
      <c r="H1749"/>
      <c r="I1749"/>
      <c r="M1749" s="54"/>
    </row>
    <row r="1750" spans="1:13" s="15" customFormat="1" x14ac:dyDescent="0.3">
      <c r="A1750" s="17"/>
      <c r="B1750"/>
      <c r="C1750"/>
      <c r="D1750"/>
      <c r="E1750"/>
      <c r="F1750"/>
      <c r="G1750"/>
      <c r="H1750"/>
      <c r="I1750"/>
      <c r="M1750" s="54"/>
    </row>
    <row r="1751" spans="1:13" s="15" customFormat="1" x14ac:dyDescent="0.3">
      <c r="A1751" s="17"/>
      <c r="B1751"/>
      <c r="C1751"/>
      <c r="D1751"/>
      <c r="E1751"/>
      <c r="F1751"/>
      <c r="G1751"/>
      <c r="H1751"/>
      <c r="I1751"/>
      <c r="M1751" s="54"/>
    </row>
    <row r="1752" spans="1:13" s="15" customFormat="1" x14ac:dyDescent="0.3">
      <c r="A1752" s="17"/>
      <c r="B1752"/>
      <c r="C1752"/>
      <c r="D1752"/>
      <c r="E1752"/>
      <c r="F1752"/>
      <c r="G1752"/>
      <c r="H1752"/>
      <c r="I1752"/>
      <c r="M1752" s="54"/>
    </row>
    <row r="1753" spans="1:13" s="15" customFormat="1" x14ac:dyDescent="0.3">
      <c r="A1753" s="17"/>
      <c r="B1753"/>
      <c r="C1753"/>
      <c r="D1753"/>
      <c r="E1753"/>
      <c r="F1753"/>
      <c r="G1753"/>
      <c r="H1753"/>
      <c r="I1753"/>
      <c r="M1753" s="54"/>
    </row>
    <row r="1754" spans="1:13" s="15" customFormat="1" x14ac:dyDescent="0.3">
      <c r="A1754" s="17"/>
      <c r="B1754"/>
      <c r="C1754"/>
      <c r="D1754"/>
      <c r="E1754"/>
      <c r="F1754"/>
      <c r="G1754"/>
      <c r="H1754"/>
      <c r="I1754"/>
      <c r="M1754" s="54"/>
    </row>
    <row r="1755" spans="1:13" s="15" customFormat="1" x14ac:dyDescent="0.3">
      <c r="A1755" s="17"/>
      <c r="B1755"/>
      <c r="C1755"/>
      <c r="D1755"/>
      <c r="E1755"/>
      <c r="F1755"/>
      <c r="G1755"/>
      <c r="H1755"/>
      <c r="I1755"/>
      <c r="M1755" s="54"/>
    </row>
    <row r="1756" spans="1:13" s="15" customFormat="1" x14ac:dyDescent="0.3">
      <c r="A1756" s="17"/>
      <c r="B1756"/>
      <c r="C1756"/>
      <c r="D1756"/>
      <c r="E1756"/>
      <c r="F1756"/>
      <c r="G1756"/>
      <c r="H1756"/>
      <c r="I1756"/>
      <c r="M1756" s="54"/>
    </row>
    <row r="1757" spans="1:13" s="15" customFormat="1" x14ac:dyDescent="0.3">
      <c r="A1757" s="17"/>
      <c r="B1757"/>
      <c r="C1757"/>
      <c r="D1757"/>
      <c r="E1757"/>
      <c r="F1757"/>
      <c r="G1757"/>
      <c r="H1757"/>
      <c r="I1757"/>
      <c r="M1757" s="54"/>
    </row>
    <row r="1758" spans="1:13" s="15" customFormat="1" x14ac:dyDescent="0.3">
      <c r="A1758" s="17"/>
      <c r="B1758"/>
      <c r="C1758"/>
      <c r="D1758"/>
      <c r="E1758"/>
      <c r="F1758"/>
      <c r="G1758"/>
      <c r="H1758"/>
      <c r="I1758"/>
      <c r="M1758" s="54"/>
    </row>
    <row r="1759" spans="1:13" s="15" customFormat="1" x14ac:dyDescent="0.3">
      <c r="A1759" s="17"/>
      <c r="B1759"/>
      <c r="C1759"/>
      <c r="D1759"/>
      <c r="E1759"/>
      <c r="F1759"/>
      <c r="G1759"/>
      <c r="H1759"/>
      <c r="I1759"/>
      <c r="M1759" s="54"/>
    </row>
    <row r="1760" spans="1:13" s="15" customFormat="1" x14ac:dyDescent="0.3">
      <c r="A1760" s="17"/>
      <c r="B1760"/>
      <c r="C1760"/>
      <c r="D1760"/>
      <c r="E1760"/>
      <c r="F1760"/>
      <c r="G1760"/>
      <c r="H1760"/>
      <c r="I1760"/>
      <c r="M1760" s="54"/>
    </row>
    <row r="1761" spans="1:13" s="15" customFormat="1" x14ac:dyDescent="0.3">
      <c r="A1761" s="17"/>
      <c r="B1761"/>
      <c r="C1761"/>
      <c r="D1761"/>
      <c r="E1761"/>
      <c r="F1761"/>
      <c r="G1761"/>
      <c r="H1761"/>
      <c r="I1761"/>
      <c r="M1761" s="54"/>
    </row>
    <row r="1762" spans="1:13" s="15" customFormat="1" x14ac:dyDescent="0.3">
      <c r="A1762" s="17"/>
      <c r="B1762"/>
      <c r="C1762"/>
      <c r="D1762"/>
      <c r="E1762"/>
      <c r="F1762"/>
      <c r="G1762"/>
      <c r="H1762"/>
      <c r="I1762"/>
      <c r="M1762" s="54"/>
    </row>
    <row r="1763" spans="1:13" s="15" customFormat="1" x14ac:dyDescent="0.3">
      <c r="A1763" s="17"/>
      <c r="B1763"/>
      <c r="C1763"/>
      <c r="D1763"/>
      <c r="E1763"/>
      <c r="F1763"/>
      <c r="G1763"/>
      <c r="H1763"/>
      <c r="I1763"/>
      <c r="M1763" s="54"/>
    </row>
    <row r="1764" spans="1:13" s="15" customFormat="1" x14ac:dyDescent="0.3">
      <c r="A1764" s="17"/>
      <c r="B1764"/>
      <c r="C1764"/>
      <c r="D1764"/>
      <c r="E1764"/>
      <c r="F1764"/>
      <c r="G1764"/>
      <c r="H1764"/>
      <c r="I1764"/>
      <c r="M1764" s="54"/>
    </row>
    <row r="1765" spans="1:13" s="15" customFormat="1" x14ac:dyDescent="0.3">
      <c r="A1765" s="17"/>
      <c r="B1765"/>
      <c r="C1765"/>
      <c r="D1765"/>
      <c r="E1765"/>
      <c r="F1765"/>
      <c r="G1765"/>
      <c r="H1765"/>
      <c r="I1765"/>
      <c r="M1765" s="54"/>
    </row>
    <row r="1766" spans="1:13" s="15" customFormat="1" x14ac:dyDescent="0.3">
      <c r="A1766" s="17"/>
      <c r="B1766"/>
      <c r="C1766"/>
      <c r="D1766"/>
      <c r="E1766"/>
      <c r="F1766"/>
      <c r="G1766"/>
      <c r="H1766"/>
      <c r="I1766"/>
      <c r="M1766" s="54"/>
    </row>
    <row r="1767" spans="1:13" s="15" customFormat="1" x14ac:dyDescent="0.3">
      <c r="A1767" s="17"/>
      <c r="B1767"/>
      <c r="C1767"/>
      <c r="D1767"/>
      <c r="E1767"/>
      <c r="F1767"/>
      <c r="G1767"/>
      <c r="H1767"/>
      <c r="I1767"/>
      <c r="M1767" s="54"/>
    </row>
    <row r="1768" spans="1:13" s="15" customFormat="1" x14ac:dyDescent="0.3">
      <c r="A1768" s="17"/>
      <c r="B1768"/>
      <c r="C1768"/>
      <c r="D1768"/>
      <c r="E1768"/>
      <c r="F1768"/>
      <c r="G1768"/>
      <c r="H1768"/>
      <c r="I1768"/>
      <c r="M1768" s="54"/>
    </row>
    <row r="1769" spans="1:13" s="15" customFormat="1" x14ac:dyDescent="0.3">
      <c r="A1769" s="17"/>
      <c r="B1769"/>
      <c r="C1769"/>
      <c r="D1769"/>
      <c r="E1769"/>
      <c r="F1769"/>
      <c r="G1769"/>
      <c r="H1769"/>
      <c r="I1769"/>
      <c r="M1769" s="54"/>
    </row>
    <row r="1770" spans="1:13" s="15" customFormat="1" x14ac:dyDescent="0.3">
      <c r="A1770" s="17"/>
      <c r="B1770"/>
      <c r="C1770"/>
      <c r="D1770"/>
      <c r="E1770"/>
      <c r="F1770"/>
      <c r="G1770"/>
      <c r="H1770"/>
      <c r="I1770"/>
      <c r="M1770" s="54"/>
    </row>
    <row r="1771" spans="1:13" s="15" customFormat="1" x14ac:dyDescent="0.3">
      <c r="A1771" s="17"/>
      <c r="B1771"/>
      <c r="C1771"/>
      <c r="D1771"/>
      <c r="E1771"/>
      <c r="F1771"/>
      <c r="G1771"/>
      <c r="H1771"/>
      <c r="I1771"/>
      <c r="M1771" s="54"/>
    </row>
    <row r="1772" spans="1:13" s="15" customFormat="1" x14ac:dyDescent="0.3">
      <c r="A1772" s="17"/>
      <c r="B1772"/>
      <c r="C1772"/>
      <c r="D1772"/>
      <c r="E1772"/>
      <c r="F1772"/>
      <c r="G1772"/>
      <c r="H1772"/>
      <c r="I1772"/>
      <c r="M1772" s="54"/>
    </row>
    <row r="1773" spans="1:13" s="15" customFormat="1" x14ac:dyDescent="0.3">
      <c r="A1773" s="17"/>
      <c r="B1773"/>
      <c r="C1773"/>
      <c r="D1773"/>
      <c r="E1773"/>
      <c r="F1773"/>
      <c r="G1773"/>
      <c r="H1773"/>
      <c r="I1773"/>
      <c r="M1773" s="54"/>
    </row>
    <row r="1774" spans="1:13" s="15" customFormat="1" x14ac:dyDescent="0.3">
      <c r="A1774" s="17"/>
      <c r="B1774"/>
      <c r="C1774"/>
      <c r="D1774"/>
      <c r="E1774"/>
      <c r="F1774"/>
      <c r="G1774"/>
      <c r="H1774"/>
      <c r="I1774"/>
      <c r="M1774" s="54"/>
    </row>
    <row r="1775" spans="1:13" s="15" customFormat="1" x14ac:dyDescent="0.3">
      <c r="A1775" s="17"/>
      <c r="B1775"/>
      <c r="C1775"/>
      <c r="D1775"/>
      <c r="E1775"/>
      <c r="F1775"/>
      <c r="G1775"/>
      <c r="H1775"/>
      <c r="I1775"/>
      <c r="M1775" s="54"/>
    </row>
    <row r="1776" spans="1:13" s="15" customFormat="1" x14ac:dyDescent="0.3">
      <c r="A1776" s="17"/>
      <c r="B1776"/>
      <c r="C1776"/>
      <c r="D1776"/>
      <c r="E1776"/>
      <c r="F1776"/>
      <c r="G1776"/>
      <c r="H1776"/>
      <c r="I1776"/>
      <c r="M1776" s="54"/>
    </row>
    <row r="1777" spans="1:13" s="15" customFormat="1" x14ac:dyDescent="0.3">
      <c r="A1777" s="17"/>
      <c r="B1777"/>
      <c r="C1777"/>
      <c r="D1777"/>
      <c r="E1777"/>
      <c r="F1777"/>
      <c r="G1777"/>
      <c r="H1777"/>
      <c r="I1777"/>
      <c r="M1777" s="54"/>
    </row>
    <row r="1778" spans="1:13" s="15" customFormat="1" x14ac:dyDescent="0.3">
      <c r="A1778" s="17"/>
      <c r="B1778"/>
      <c r="C1778"/>
      <c r="D1778"/>
      <c r="E1778"/>
      <c r="F1778"/>
      <c r="G1778"/>
      <c r="H1778"/>
      <c r="I1778"/>
      <c r="M1778" s="54"/>
    </row>
    <row r="1779" spans="1:13" s="15" customFormat="1" x14ac:dyDescent="0.3">
      <c r="A1779" s="17"/>
      <c r="B1779"/>
      <c r="C1779"/>
      <c r="D1779"/>
      <c r="E1779"/>
      <c r="F1779"/>
      <c r="G1779"/>
      <c r="H1779"/>
      <c r="I1779"/>
      <c r="M1779" s="54"/>
    </row>
    <row r="1780" spans="1:13" s="15" customFormat="1" x14ac:dyDescent="0.3">
      <c r="A1780" s="17"/>
      <c r="B1780"/>
      <c r="C1780"/>
      <c r="D1780"/>
      <c r="E1780"/>
      <c r="F1780"/>
      <c r="G1780"/>
      <c r="H1780"/>
      <c r="I1780"/>
      <c r="M1780" s="54"/>
    </row>
    <row r="1781" spans="1:13" s="15" customFormat="1" x14ac:dyDescent="0.3">
      <c r="A1781" s="17"/>
      <c r="B1781"/>
      <c r="C1781"/>
      <c r="D1781"/>
      <c r="E1781"/>
      <c r="F1781"/>
      <c r="G1781"/>
      <c r="H1781"/>
      <c r="I1781"/>
      <c r="M1781" s="54"/>
    </row>
    <row r="1782" spans="1:13" s="15" customFormat="1" x14ac:dyDescent="0.3">
      <c r="A1782" s="17"/>
      <c r="B1782"/>
      <c r="C1782"/>
      <c r="D1782"/>
      <c r="E1782"/>
      <c r="F1782"/>
      <c r="G1782"/>
      <c r="H1782"/>
      <c r="I1782"/>
      <c r="M1782" s="54"/>
    </row>
    <row r="1783" spans="1:13" s="15" customFormat="1" x14ac:dyDescent="0.3">
      <c r="A1783" s="17"/>
      <c r="B1783"/>
      <c r="C1783"/>
      <c r="D1783"/>
      <c r="E1783"/>
      <c r="F1783"/>
      <c r="G1783"/>
      <c r="H1783"/>
      <c r="I1783"/>
      <c r="M1783" s="54"/>
    </row>
    <row r="1784" spans="1:13" s="15" customFormat="1" x14ac:dyDescent="0.3">
      <c r="A1784" s="17"/>
      <c r="B1784"/>
      <c r="C1784"/>
      <c r="D1784"/>
      <c r="E1784"/>
      <c r="F1784"/>
      <c r="G1784"/>
      <c r="H1784"/>
      <c r="I1784"/>
      <c r="M1784" s="54"/>
    </row>
    <row r="1785" spans="1:13" s="15" customFormat="1" x14ac:dyDescent="0.3">
      <c r="A1785" s="17"/>
      <c r="B1785"/>
      <c r="C1785"/>
      <c r="D1785"/>
      <c r="E1785"/>
      <c r="F1785"/>
      <c r="G1785"/>
      <c r="H1785"/>
      <c r="I1785"/>
      <c r="M1785" s="54"/>
    </row>
    <row r="1786" spans="1:13" s="15" customFormat="1" x14ac:dyDescent="0.3">
      <c r="A1786" s="17"/>
      <c r="B1786"/>
      <c r="C1786"/>
      <c r="D1786"/>
      <c r="E1786"/>
      <c r="F1786"/>
      <c r="G1786"/>
      <c r="H1786"/>
      <c r="I1786"/>
      <c r="M1786" s="54"/>
    </row>
    <row r="1787" spans="1:13" s="15" customFormat="1" x14ac:dyDescent="0.3">
      <c r="A1787" s="17"/>
      <c r="B1787"/>
      <c r="C1787"/>
      <c r="D1787"/>
      <c r="E1787"/>
      <c r="F1787"/>
      <c r="G1787"/>
      <c r="H1787"/>
      <c r="I1787"/>
      <c r="M1787" s="54"/>
    </row>
    <row r="1788" spans="1:13" s="15" customFormat="1" x14ac:dyDescent="0.3">
      <c r="A1788" s="17"/>
      <c r="B1788"/>
      <c r="C1788"/>
      <c r="D1788"/>
      <c r="E1788"/>
      <c r="F1788"/>
      <c r="G1788"/>
      <c r="H1788"/>
      <c r="I1788"/>
      <c r="M1788" s="54"/>
    </row>
    <row r="1789" spans="1:13" s="15" customFormat="1" x14ac:dyDescent="0.3">
      <c r="A1789" s="17"/>
      <c r="B1789"/>
      <c r="C1789"/>
      <c r="D1789"/>
      <c r="E1789"/>
      <c r="F1789"/>
      <c r="G1789"/>
      <c r="H1789"/>
      <c r="I1789"/>
      <c r="M1789" s="54"/>
    </row>
    <row r="1790" spans="1:13" s="15" customFormat="1" x14ac:dyDescent="0.3">
      <c r="A1790" s="17"/>
      <c r="B1790"/>
      <c r="C1790"/>
      <c r="D1790"/>
      <c r="E1790"/>
      <c r="F1790"/>
      <c r="G1790"/>
      <c r="H1790"/>
      <c r="I1790"/>
      <c r="M1790" s="54"/>
    </row>
    <row r="1791" spans="1:13" s="15" customFormat="1" x14ac:dyDescent="0.3">
      <c r="A1791" s="17"/>
      <c r="B1791"/>
      <c r="C1791"/>
      <c r="D1791"/>
      <c r="E1791"/>
      <c r="F1791"/>
      <c r="G1791"/>
      <c r="H1791"/>
      <c r="I1791"/>
      <c r="M1791" s="54"/>
    </row>
    <row r="1792" spans="1:13" s="15" customFormat="1" x14ac:dyDescent="0.3">
      <c r="A1792" s="17"/>
      <c r="B1792"/>
      <c r="C1792"/>
      <c r="D1792"/>
      <c r="E1792"/>
      <c r="F1792"/>
      <c r="G1792"/>
      <c r="H1792"/>
      <c r="I1792"/>
      <c r="M1792" s="54"/>
    </row>
    <row r="1793" spans="1:13" s="15" customFormat="1" x14ac:dyDescent="0.3">
      <c r="A1793" s="17"/>
      <c r="B1793"/>
      <c r="C1793"/>
      <c r="D1793"/>
      <c r="E1793"/>
      <c r="F1793"/>
      <c r="G1793"/>
      <c r="H1793"/>
      <c r="I1793"/>
      <c r="M1793" s="54"/>
    </row>
    <row r="1794" spans="1:13" s="15" customFormat="1" x14ac:dyDescent="0.3">
      <c r="A1794" s="17"/>
      <c r="B1794"/>
      <c r="C1794"/>
      <c r="D1794"/>
      <c r="E1794"/>
      <c r="F1794"/>
      <c r="G1794"/>
      <c r="H1794"/>
      <c r="I1794"/>
      <c r="M1794" s="54"/>
    </row>
    <row r="1795" spans="1:13" s="15" customFormat="1" x14ac:dyDescent="0.3">
      <c r="A1795" s="17"/>
      <c r="B1795"/>
      <c r="C1795"/>
      <c r="D1795"/>
      <c r="E1795"/>
      <c r="F1795"/>
      <c r="G1795"/>
      <c r="H1795"/>
      <c r="I1795"/>
      <c r="M1795" s="54"/>
    </row>
    <row r="1796" spans="1:13" s="15" customFormat="1" x14ac:dyDescent="0.3">
      <c r="A1796" s="17"/>
      <c r="B1796"/>
      <c r="C1796"/>
      <c r="D1796"/>
      <c r="E1796"/>
      <c r="F1796"/>
      <c r="G1796"/>
      <c r="H1796"/>
      <c r="I1796"/>
      <c r="M1796" s="54"/>
    </row>
    <row r="1797" spans="1:13" s="15" customFormat="1" x14ac:dyDescent="0.3">
      <c r="A1797" s="17"/>
      <c r="B1797"/>
      <c r="C1797"/>
      <c r="D1797"/>
      <c r="E1797"/>
      <c r="F1797"/>
      <c r="G1797"/>
      <c r="H1797"/>
      <c r="I1797"/>
      <c r="M1797" s="54"/>
    </row>
    <row r="1798" spans="1:13" s="15" customFormat="1" x14ac:dyDescent="0.3">
      <c r="A1798" s="17"/>
      <c r="B1798"/>
      <c r="C1798"/>
      <c r="D1798"/>
      <c r="E1798"/>
      <c r="F1798"/>
      <c r="G1798"/>
      <c r="H1798"/>
      <c r="I1798"/>
      <c r="M1798" s="54"/>
    </row>
    <row r="1799" spans="1:13" s="15" customFormat="1" x14ac:dyDescent="0.3">
      <c r="A1799" s="17"/>
      <c r="B1799"/>
      <c r="C1799"/>
      <c r="D1799"/>
      <c r="E1799"/>
      <c r="F1799"/>
      <c r="G1799"/>
      <c r="H1799"/>
      <c r="I1799"/>
      <c r="M1799" s="54"/>
    </row>
    <row r="1800" spans="1:13" s="15" customFormat="1" x14ac:dyDescent="0.3">
      <c r="A1800" s="17"/>
      <c r="B1800"/>
      <c r="C1800"/>
      <c r="D1800"/>
      <c r="E1800"/>
      <c r="F1800"/>
      <c r="G1800"/>
      <c r="H1800"/>
      <c r="I1800"/>
      <c r="M1800" s="54"/>
    </row>
    <row r="1801" spans="1:13" s="15" customFormat="1" x14ac:dyDescent="0.3">
      <c r="A1801" s="17"/>
      <c r="B1801"/>
      <c r="C1801"/>
      <c r="D1801"/>
      <c r="E1801"/>
      <c r="F1801"/>
      <c r="G1801"/>
      <c r="H1801"/>
      <c r="I1801"/>
      <c r="M1801" s="54"/>
    </row>
    <row r="1802" spans="1:13" s="15" customFormat="1" x14ac:dyDescent="0.3">
      <c r="A1802" s="17"/>
      <c r="B1802"/>
      <c r="C1802"/>
      <c r="D1802"/>
      <c r="E1802"/>
      <c r="F1802"/>
      <c r="G1802"/>
      <c r="H1802"/>
      <c r="I1802"/>
      <c r="M1802" s="54"/>
    </row>
    <row r="1803" spans="1:13" s="15" customFormat="1" x14ac:dyDescent="0.3">
      <c r="A1803" s="17"/>
      <c r="B1803"/>
      <c r="C1803"/>
      <c r="D1803"/>
      <c r="E1803"/>
      <c r="F1803"/>
      <c r="G1803"/>
      <c r="H1803"/>
      <c r="I1803"/>
      <c r="M1803" s="54"/>
    </row>
    <row r="1804" spans="1:13" s="15" customFormat="1" x14ac:dyDescent="0.3">
      <c r="A1804" s="17"/>
      <c r="B1804"/>
      <c r="C1804"/>
      <c r="D1804"/>
      <c r="E1804"/>
      <c r="F1804"/>
      <c r="G1804"/>
      <c r="H1804"/>
      <c r="I1804"/>
      <c r="M1804" s="54"/>
    </row>
    <row r="1805" spans="1:13" s="15" customFormat="1" x14ac:dyDescent="0.3">
      <c r="A1805" s="17"/>
      <c r="B1805"/>
      <c r="C1805"/>
      <c r="D1805"/>
      <c r="E1805"/>
      <c r="F1805"/>
      <c r="G1805"/>
      <c r="H1805"/>
      <c r="I1805"/>
      <c r="M1805" s="54"/>
    </row>
    <row r="1806" spans="1:13" s="15" customFormat="1" x14ac:dyDescent="0.3">
      <c r="A1806" s="17"/>
      <c r="B1806"/>
      <c r="C1806"/>
      <c r="D1806"/>
      <c r="E1806"/>
      <c r="F1806"/>
      <c r="G1806"/>
      <c r="H1806"/>
      <c r="I1806"/>
      <c r="M1806" s="54"/>
    </row>
    <row r="1807" spans="1:13" s="15" customFormat="1" x14ac:dyDescent="0.3">
      <c r="A1807" s="17"/>
      <c r="B1807"/>
      <c r="C1807"/>
      <c r="D1807"/>
      <c r="E1807"/>
      <c r="F1807"/>
      <c r="G1807"/>
      <c r="H1807"/>
      <c r="I1807"/>
      <c r="M1807" s="54"/>
    </row>
    <row r="1808" spans="1:13" s="15" customFormat="1" x14ac:dyDescent="0.3">
      <c r="A1808" s="17"/>
      <c r="B1808"/>
      <c r="C1808"/>
      <c r="D1808"/>
      <c r="E1808"/>
      <c r="F1808"/>
      <c r="G1808"/>
      <c r="H1808"/>
      <c r="I1808"/>
      <c r="M1808" s="54"/>
    </row>
    <row r="1809" spans="1:13" s="15" customFormat="1" x14ac:dyDescent="0.3">
      <c r="A1809" s="17"/>
      <c r="B1809"/>
      <c r="C1809"/>
      <c r="D1809"/>
      <c r="E1809"/>
      <c r="F1809"/>
      <c r="G1809"/>
      <c r="H1809"/>
      <c r="I1809"/>
      <c r="M1809" s="54"/>
    </row>
    <row r="1810" spans="1:13" s="15" customFormat="1" x14ac:dyDescent="0.3">
      <c r="A1810" s="17"/>
      <c r="B1810"/>
      <c r="C1810"/>
      <c r="D1810"/>
      <c r="E1810"/>
      <c r="F1810"/>
      <c r="G1810"/>
      <c r="H1810"/>
      <c r="I1810"/>
      <c r="M1810" s="54"/>
    </row>
    <row r="1811" spans="1:13" s="15" customFormat="1" x14ac:dyDescent="0.3">
      <c r="A1811" s="17"/>
      <c r="B1811"/>
      <c r="C1811"/>
      <c r="D1811"/>
      <c r="E1811"/>
      <c r="F1811"/>
      <c r="G1811"/>
      <c r="H1811"/>
      <c r="I1811"/>
      <c r="M1811" s="54"/>
    </row>
    <row r="1812" spans="1:13" s="15" customFormat="1" x14ac:dyDescent="0.3">
      <c r="A1812" s="17"/>
      <c r="B1812"/>
      <c r="C1812"/>
      <c r="D1812"/>
      <c r="E1812"/>
      <c r="F1812"/>
      <c r="G1812"/>
      <c r="H1812"/>
      <c r="I1812"/>
      <c r="M1812" s="54"/>
    </row>
    <row r="1813" spans="1:13" s="15" customFormat="1" x14ac:dyDescent="0.3">
      <c r="A1813" s="17"/>
      <c r="B1813"/>
      <c r="C1813"/>
      <c r="D1813"/>
      <c r="E1813"/>
      <c r="F1813"/>
      <c r="G1813"/>
      <c r="H1813"/>
      <c r="I1813"/>
      <c r="M1813" s="54"/>
    </row>
    <row r="1814" spans="1:13" s="15" customFormat="1" x14ac:dyDescent="0.3">
      <c r="A1814" s="17"/>
      <c r="B1814"/>
      <c r="C1814"/>
      <c r="D1814"/>
      <c r="E1814"/>
      <c r="F1814"/>
      <c r="G1814"/>
      <c r="H1814"/>
      <c r="I1814"/>
      <c r="M1814" s="54"/>
    </row>
    <row r="1815" spans="1:13" s="15" customFormat="1" x14ac:dyDescent="0.3">
      <c r="A1815" s="17"/>
      <c r="B1815"/>
      <c r="C1815"/>
      <c r="D1815"/>
      <c r="E1815"/>
      <c r="F1815"/>
      <c r="G1815"/>
      <c r="H1815"/>
      <c r="I1815"/>
      <c r="M1815" s="54"/>
    </row>
    <row r="1816" spans="1:13" s="15" customFormat="1" x14ac:dyDescent="0.3">
      <c r="A1816" s="17"/>
      <c r="B1816"/>
      <c r="C1816"/>
      <c r="D1816"/>
      <c r="E1816"/>
      <c r="F1816"/>
      <c r="G1816"/>
      <c r="H1816"/>
      <c r="I1816"/>
      <c r="M1816" s="54"/>
    </row>
    <row r="1817" spans="1:13" s="15" customFormat="1" x14ac:dyDescent="0.3">
      <c r="A1817" s="17"/>
      <c r="B1817"/>
      <c r="C1817"/>
      <c r="D1817"/>
      <c r="E1817"/>
      <c r="F1817"/>
      <c r="G1817"/>
      <c r="H1817"/>
      <c r="I1817"/>
      <c r="M1817" s="54"/>
    </row>
    <row r="1818" spans="1:13" s="15" customFormat="1" x14ac:dyDescent="0.3">
      <c r="A1818" s="17"/>
      <c r="B1818"/>
      <c r="C1818"/>
      <c r="D1818"/>
      <c r="E1818"/>
      <c r="F1818"/>
      <c r="G1818"/>
      <c r="H1818"/>
      <c r="I1818"/>
      <c r="M1818" s="54"/>
    </row>
    <row r="1819" spans="1:13" s="15" customFormat="1" x14ac:dyDescent="0.3">
      <c r="A1819" s="17"/>
      <c r="B1819"/>
      <c r="C1819"/>
      <c r="D1819"/>
      <c r="E1819"/>
      <c r="F1819"/>
      <c r="G1819"/>
      <c r="H1819"/>
      <c r="I1819"/>
      <c r="M1819" s="54"/>
    </row>
    <row r="1820" spans="1:13" s="15" customFormat="1" x14ac:dyDescent="0.3">
      <c r="A1820" s="17"/>
      <c r="B1820"/>
      <c r="C1820"/>
      <c r="D1820"/>
      <c r="E1820"/>
      <c r="F1820"/>
      <c r="G1820"/>
      <c r="H1820"/>
      <c r="I1820"/>
      <c r="M1820" s="54"/>
    </row>
    <row r="1821" spans="1:13" s="15" customFormat="1" x14ac:dyDescent="0.3">
      <c r="A1821" s="17"/>
      <c r="B1821"/>
      <c r="C1821"/>
      <c r="D1821"/>
      <c r="E1821"/>
      <c r="F1821"/>
      <c r="G1821"/>
      <c r="H1821"/>
      <c r="I1821"/>
      <c r="M1821" s="54"/>
    </row>
    <row r="1822" spans="1:13" s="15" customFormat="1" x14ac:dyDescent="0.3">
      <c r="A1822" s="17"/>
      <c r="B1822"/>
      <c r="C1822"/>
      <c r="D1822"/>
      <c r="E1822"/>
      <c r="F1822"/>
      <c r="G1822"/>
      <c r="H1822"/>
      <c r="I1822"/>
      <c r="M1822" s="54"/>
    </row>
    <row r="1823" spans="1:13" s="15" customFormat="1" x14ac:dyDescent="0.3">
      <c r="A1823" s="17"/>
      <c r="B1823"/>
      <c r="C1823"/>
      <c r="D1823"/>
      <c r="E1823"/>
      <c r="F1823"/>
      <c r="G1823"/>
      <c r="H1823"/>
      <c r="I1823"/>
      <c r="M1823" s="54"/>
    </row>
    <row r="1824" spans="1:13" s="15" customFormat="1" x14ac:dyDescent="0.3">
      <c r="A1824" s="17"/>
      <c r="B1824"/>
      <c r="C1824"/>
      <c r="D1824"/>
      <c r="E1824"/>
      <c r="F1824"/>
      <c r="G1824"/>
      <c r="H1824"/>
      <c r="I1824"/>
      <c r="M1824" s="54"/>
    </row>
    <row r="1825" spans="1:13" s="15" customFormat="1" x14ac:dyDescent="0.3">
      <c r="A1825" s="17"/>
      <c r="B1825"/>
      <c r="C1825"/>
      <c r="D1825"/>
      <c r="E1825"/>
      <c r="F1825"/>
      <c r="G1825"/>
      <c r="H1825"/>
      <c r="I1825"/>
      <c r="M1825" s="54"/>
    </row>
    <row r="1826" spans="1:13" s="15" customFormat="1" x14ac:dyDescent="0.3">
      <c r="A1826" s="17"/>
      <c r="B1826"/>
      <c r="C1826"/>
      <c r="D1826"/>
      <c r="E1826"/>
      <c r="F1826"/>
      <c r="G1826"/>
      <c r="H1826"/>
      <c r="I1826"/>
      <c r="M1826" s="54"/>
    </row>
    <row r="1827" spans="1:13" s="15" customFormat="1" x14ac:dyDescent="0.3">
      <c r="A1827" s="17"/>
      <c r="B1827"/>
      <c r="C1827"/>
      <c r="D1827"/>
      <c r="E1827"/>
      <c r="F1827"/>
      <c r="G1827"/>
      <c r="H1827"/>
      <c r="I1827"/>
      <c r="M1827" s="54"/>
    </row>
    <row r="1828" spans="1:13" s="15" customFormat="1" x14ac:dyDescent="0.3">
      <c r="A1828" s="17"/>
      <c r="B1828"/>
      <c r="C1828"/>
      <c r="D1828"/>
      <c r="E1828"/>
      <c r="F1828"/>
      <c r="G1828"/>
      <c r="H1828"/>
      <c r="I1828"/>
      <c r="M1828" s="54"/>
    </row>
    <row r="1829" spans="1:13" s="15" customFormat="1" x14ac:dyDescent="0.3">
      <c r="A1829" s="17"/>
      <c r="B1829"/>
      <c r="C1829"/>
      <c r="D1829"/>
      <c r="E1829"/>
      <c r="F1829"/>
      <c r="G1829"/>
      <c r="H1829"/>
      <c r="I1829"/>
      <c r="M1829" s="54"/>
    </row>
    <row r="1830" spans="1:13" s="15" customFormat="1" x14ac:dyDescent="0.3">
      <c r="A1830" s="17"/>
      <c r="B1830"/>
      <c r="C1830"/>
      <c r="D1830"/>
      <c r="E1830"/>
      <c r="F1830"/>
      <c r="G1830"/>
      <c r="H1830"/>
      <c r="I1830"/>
      <c r="M1830" s="54"/>
    </row>
    <row r="1831" spans="1:13" s="15" customFormat="1" x14ac:dyDescent="0.3">
      <c r="A1831" s="17"/>
      <c r="B1831"/>
      <c r="C1831"/>
      <c r="D1831"/>
      <c r="E1831"/>
      <c r="F1831"/>
      <c r="G1831"/>
      <c r="H1831"/>
      <c r="I1831"/>
      <c r="M1831" s="54"/>
    </row>
    <row r="1832" spans="1:13" s="15" customFormat="1" x14ac:dyDescent="0.3">
      <c r="A1832" s="17"/>
      <c r="B1832"/>
      <c r="C1832"/>
      <c r="D1832"/>
      <c r="E1832"/>
      <c r="F1832"/>
      <c r="G1832"/>
      <c r="H1832"/>
      <c r="I1832"/>
      <c r="M1832" s="54"/>
    </row>
    <row r="1833" spans="1:13" s="15" customFormat="1" x14ac:dyDescent="0.3">
      <c r="A1833" s="17"/>
      <c r="B1833"/>
      <c r="C1833"/>
      <c r="D1833"/>
      <c r="E1833"/>
      <c r="F1833"/>
      <c r="G1833"/>
      <c r="H1833"/>
      <c r="I1833"/>
      <c r="M1833" s="54"/>
    </row>
    <row r="1834" spans="1:13" s="15" customFormat="1" x14ac:dyDescent="0.3">
      <c r="A1834" s="17"/>
      <c r="B1834"/>
      <c r="C1834"/>
      <c r="D1834"/>
      <c r="E1834"/>
      <c r="F1834"/>
      <c r="G1834"/>
      <c r="H1834"/>
      <c r="I1834"/>
      <c r="M1834" s="54"/>
    </row>
    <row r="1835" spans="1:13" s="15" customFormat="1" x14ac:dyDescent="0.3">
      <c r="A1835" s="17"/>
      <c r="B1835"/>
      <c r="C1835"/>
      <c r="D1835"/>
      <c r="E1835"/>
      <c r="F1835"/>
      <c r="G1835"/>
      <c r="H1835"/>
      <c r="I1835"/>
      <c r="M1835" s="54"/>
    </row>
    <row r="1836" spans="1:13" s="15" customFormat="1" x14ac:dyDescent="0.3">
      <c r="A1836" s="17"/>
      <c r="B1836"/>
      <c r="C1836"/>
      <c r="D1836"/>
      <c r="E1836"/>
      <c r="F1836"/>
      <c r="G1836"/>
      <c r="H1836"/>
      <c r="I1836"/>
      <c r="M1836" s="54"/>
    </row>
    <row r="1837" spans="1:13" s="15" customFormat="1" x14ac:dyDescent="0.3">
      <c r="A1837" s="17"/>
      <c r="B1837"/>
      <c r="C1837"/>
      <c r="D1837"/>
      <c r="E1837"/>
      <c r="F1837"/>
      <c r="G1837"/>
      <c r="H1837"/>
      <c r="I1837"/>
      <c r="M1837" s="54"/>
    </row>
    <row r="1838" spans="1:13" s="15" customFormat="1" x14ac:dyDescent="0.3">
      <c r="A1838" s="17"/>
      <c r="B1838"/>
      <c r="C1838"/>
      <c r="D1838"/>
      <c r="E1838"/>
      <c r="F1838"/>
      <c r="G1838"/>
      <c r="H1838"/>
      <c r="I1838"/>
      <c r="M1838" s="54"/>
    </row>
    <row r="1839" spans="1:13" s="15" customFormat="1" x14ac:dyDescent="0.3">
      <c r="A1839" s="17"/>
      <c r="B1839"/>
      <c r="C1839"/>
      <c r="D1839"/>
      <c r="E1839"/>
      <c r="F1839"/>
      <c r="G1839"/>
      <c r="H1839"/>
      <c r="I1839"/>
      <c r="M1839" s="54"/>
    </row>
    <row r="1840" spans="1:13" s="15" customFormat="1" x14ac:dyDescent="0.3">
      <c r="A1840" s="17"/>
      <c r="B1840"/>
      <c r="C1840"/>
      <c r="D1840"/>
      <c r="E1840"/>
      <c r="F1840"/>
      <c r="G1840"/>
      <c r="H1840"/>
      <c r="I1840"/>
      <c r="M1840" s="54"/>
    </row>
    <row r="1841" spans="1:13" s="15" customFormat="1" x14ac:dyDescent="0.3">
      <c r="A1841" s="17"/>
      <c r="B1841"/>
      <c r="C1841"/>
      <c r="D1841"/>
      <c r="E1841"/>
      <c r="F1841"/>
      <c r="G1841"/>
      <c r="H1841"/>
      <c r="I1841"/>
      <c r="M1841" s="54"/>
    </row>
    <row r="1842" spans="1:13" s="15" customFormat="1" x14ac:dyDescent="0.3">
      <c r="A1842" s="17"/>
      <c r="B1842"/>
      <c r="C1842"/>
      <c r="D1842"/>
      <c r="E1842"/>
      <c r="F1842"/>
      <c r="G1842"/>
      <c r="H1842"/>
      <c r="I1842"/>
      <c r="M1842" s="54"/>
    </row>
    <row r="1843" spans="1:13" s="15" customFormat="1" x14ac:dyDescent="0.3">
      <c r="A1843" s="17"/>
      <c r="B1843"/>
      <c r="C1843"/>
      <c r="D1843"/>
      <c r="E1843"/>
      <c r="F1843"/>
      <c r="G1843"/>
      <c r="H1843"/>
      <c r="I1843"/>
      <c r="M1843" s="54"/>
    </row>
    <row r="1844" spans="1:13" s="15" customFormat="1" x14ac:dyDescent="0.3">
      <c r="A1844" s="17"/>
      <c r="B1844"/>
      <c r="C1844"/>
      <c r="D1844"/>
      <c r="E1844"/>
      <c r="F1844"/>
      <c r="G1844"/>
      <c r="H1844"/>
      <c r="I1844"/>
      <c r="M1844" s="54"/>
    </row>
    <row r="1845" spans="1:13" s="15" customFormat="1" x14ac:dyDescent="0.3">
      <c r="A1845" s="17"/>
      <c r="B1845"/>
      <c r="C1845"/>
      <c r="D1845"/>
      <c r="E1845"/>
      <c r="F1845"/>
      <c r="G1845"/>
      <c r="H1845"/>
      <c r="I1845"/>
      <c r="M1845" s="54"/>
    </row>
    <row r="1846" spans="1:13" s="15" customFormat="1" x14ac:dyDescent="0.3">
      <c r="A1846" s="17"/>
      <c r="B1846"/>
      <c r="C1846"/>
      <c r="D1846"/>
      <c r="E1846"/>
      <c r="F1846"/>
      <c r="G1846"/>
      <c r="H1846"/>
      <c r="I1846"/>
      <c r="M1846" s="54"/>
    </row>
    <row r="1847" spans="1:13" s="15" customFormat="1" x14ac:dyDescent="0.3">
      <c r="A1847" s="17"/>
      <c r="B1847"/>
      <c r="C1847"/>
      <c r="D1847"/>
      <c r="E1847"/>
      <c r="F1847"/>
      <c r="G1847"/>
      <c r="H1847"/>
      <c r="I1847"/>
      <c r="M1847" s="54"/>
    </row>
    <row r="1848" spans="1:13" s="15" customFormat="1" x14ac:dyDescent="0.3">
      <c r="A1848" s="17"/>
      <c r="B1848"/>
      <c r="C1848"/>
      <c r="D1848"/>
      <c r="E1848"/>
      <c r="F1848"/>
      <c r="G1848"/>
      <c r="H1848"/>
      <c r="I1848"/>
      <c r="M1848" s="54"/>
    </row>
    <row r="1849" spans="1:13" s="15" customFormat="1" x14ac:dyDescent="0.3">
      <c r="A1849" s="17"/>
      <c r="B1849"/>
      <c r="C1849"/>
      <c r="D1849"/>
      <c r="E1849"/>
      <c r="F1849"/>
      <c r="G1849"/>
      <c r="H1849"/>
      <c r="I1849"/>
      <c r="M1849" s="54"/>
    </row>
    <row r="1850" spans="1:13" s="15" customFormat="1" x14ac:dyDescent="0.3">
      <c r="A1850" s="17"/>
      <c r="B1850"/>
      <c r="C1850"/>
      <c r="D1850"/>
      <c r="E1850"/>
      <c r="F1850"/>
      <c r="G1850"/>
      <c r="H1850"/>
      <c r="I1850"/>
      <c r="M1850" s="54"/>
    </row>
    <row r="1851" spans="1:13" s="15" customFormat="1" x14ac:dyDescent="0.3">
      <c r="A1851" s="17"/>
      <c r="B1851"/>
      <c r="C1851"/>
      <c r="D1851"/>
      <c r="E1851"/>
      <c r="F1851"/>
      <c r="G1851"/>
      <c r="H1851"/>
      <c r="I1851"/>
      <c r="M1851" s="54"/>
    </row>
    <row r="1852" spans="1:13" s="15" customFormat="1" x14ac:dyDescent="0.3">
      <c r="A1852" s="17"/>
      <c r="B1852"/>
      <c r="C1852"/>
      <c r="D1852"/>
      <c r="E1852"/>
      <c r="F1852"/>
      <c r="G1852"/>
      <c r="H1852"/>
      <c r="I1852"/>
      <c r="M1852" s="54"/>
    </row>
    <row r="1853" spans="1:13" s="15" customFormat="1" x14ac:dyDescent="0.3">
      <c r="A1853" s="17"/>
      <c r="B1853"/>
      <c r="C1853"/>
      <c r="D1853"/>
      <c r="E1853"/>
      <c r="F1853"/>
      <c r="G1853"/>
      <c r="H1853"/>
      <c r="I1853"/>
      <c r="M1853" s="54"/>
    </row>
    <row r="1854" spans="1:13" s="15" customFormat="1" x14ac:dyDescent="0.3">
      <c r="A1854" s="17"/>
      <c r="B1854"/>
      <c r="C1854"/>
      <c r="D1854"/>
      <c r="E1854"/>
      <c r="F1854"/>
      <c r="G1854"/>
      <c r="H1854"/>
      <c r="I1854"/>
      <c r="M1854" s="54"/>
    </row>
    <row r="1855" spans="1:13" s="15" customFormat="1" x14ac:dyDescent="0.3">
      <c r="A1855" s="17"/>
      <c r="B1855"/>
      <c r="C1855"/>
      <c r="D1855"/>
      <c r="E1855"/>
      <c r="F1855"/>
      <c r="G1855"/>
      <c r="H1855"/>
      <c r="I1855"/>
      <c r="M1855" s="54"/>
    </row>
    <row r="1856" spans="1:13" s="15" customFormat="1" x14ac:dyDescent="0.3">
      <c r="A1856" s="17"/>
      <c r="B1856"/>
      <c r="C1856"/>
      <c r="D1856"/>
      <c r="E1856"/>
      <c r="F1856"/>
      <c r="G1856"/>
      <c r="H1856"/>
      <c r="I1856"/>
      <c r="M1856" s="54"/>
    </row>
    <row r="1857" spans="1:13" s="15" customFormat="1" x14ac:dyDescent="0.3">
      <c r="A1857" s="17"/>
      <c r="B1857"/>
      <c r="C1857"/>
      <c r="D1857"/>
      <c r="E1857"/>
      <c r="F1857"/>
      <c r="G1857"/>
      <c r="H1857"/>
      <c r="I1857"/>
      <c r="M1857" s="54"/>
    </row>
    <row r="1858" spans="1:13" s="15" customFormat="1" x14ac:dyDescent="0.3">
      <c r="A1858" s="17"/>
      <c r="B1858"/>
      <c r="C1858"/>
      <c r="D1858"/>
      <c r="E1858"/>
      <c r="F1858"/>
      <c r="G1858"/>
      <c r="H1858"/>
      <c r="I1858"/>
      <c r="M1858" s="54"/>
    </row>
    <row r="1859" spans="1:13" s="15" customFormat="1" x14ac:dyDescent="0.3">
      <c r="A1859" s="17"/>
      <c r="B1859"/>
      <c r="C1859"/>
      <c r="D1859"/>
      <c r="E1859"/>
      <c r="F1859"/>
      <c r="G1859"/>
      <c r="H1859"/>
      <c r="I1859"/>
      <c r="M1859" s="54"/>
    </row>
    <row r="1860" spans="1:13" s="15" customFormat="1" x14ac:dyDescent="0.3">
      <c r="A1860" s="17"/>
      <c r="B1860"/>
      <c r="C1860"/>
      <c r="D1860"/>
      <c r="E1860"/>
      <c r="F1860"/>
      <c r="G1860"/>
      <c r="H1860"/>
      <c r="I1860"/>
      <c r="M1860" s="54"/>
    </row>
    <row r="1861" spans="1:13" s="15" customFormat="1" x14ac:dyDescent="0.3">
      <c r="A1861" s="17"/>
      <c r="B1861"/>
      <c r="C1861"/>
      <c r="D1861"/>
      <c r="E1861"/>
      <c r="F1861"/>
      <c r="G1861"/>
      <c r="H1861"/>
      <c r="I1861"/>
      <c r="M1861" s="54"/>
    </row>
    <row r="1862" spans="1:13" s="15" customFormat="1" x14ac:dyDescent="0.3">
      <c r="A1862" s="17"/>
      <c r="B1862"/>
      <c r="C1862"/>
      <c r="D1862"/>
      <c r="E1862"/>
      <c r="F1862"/>
      <c r="G1862"/>
      <c r="H1862"/>
      <c r="I1862"/>
      <c r="M1862" s="54"/>
    </row>
    <row r="1863" spans="1:13" s="15" customFormat="1" x14ac:dyDescent="0.3">
      <c r="A1863" s="17"/>
      <c r="B1863"/>
      <c r="C1863"/>
      <c r="D1863"/>
      <c r="E1863"/>
      <c r="F1863"/>
      <c r="G1863"/>
      <c r="H1863"/>
      <c r="I1863"/>
      <c r="M1863" s="54"/>
    </row>
    <row r="1864" spans="1:13" s="15" customFormat="1" x14ac:dyDescent="0.3">
      <c r="A1864" s="17"/>
      <c r="B1864"/>
      <c r="C1864"/>
      <c r="D1864"/>
      <c r="E1864"/>
      <c r="F1864"/>
      <c r="G1864"/>
      <c r="H1864"/>
      <c r="I1864"/>
      <c r="M1864" s="54"/>
    </row>
    <row r="1865" spans="1:13" s="15" customFormat="1" x14ac:dyDescent="0.3">
      <c r="A1865" s="17"/>
      <c r="B1865"/>
      <c r="C1865"/>
      <c r="D1865"/>
      <c r="E1865"/>
      <c r="F1865"/>
      <c r="G1865"/>
      <c r="H1865"/>
      <c r="I1865"/>
      <c r="M1865" s="54"/>
    </row>
    <row r="1866" spans="1:13" s="15" customFormat="1" x14ac:dyDescent="0.3">
      <c r="A1866" s="17"/>
      <c r="B1866"/>
      <c r="C1866"/>
      <c r="D1866"/>
      <c r="E1866"/>
      <c r="F1866"/>
      <c r="G1866"/>
      <c r="H1866"/>
      <c r="I1866"/>
      <c r="M1866" s="54"/>
    </row>
    <row r="1867" spans="1:13" s="15" customFormat="1" x14ac:dyDescent="0.3">
      <c r="A1867" s="17"/>
      <c r="B1867"/>
      <c r="C1867"/>
      <c r="D1867"/>
      <c r="E1867"/>
      <c r="F1867"/>
      <c r="G1867"/>
      <c r="H1867"/>
      <c r="I1867"/>
      <c r="M1867" s="54"/>
    </row>
    <row r="1868" spans="1:13" s="15" customFormat="1" x14ac:dyDescent="0.3">
      <c r="A1868" s="17"/>
      <c r="B1868"/>
      <c r="C1868"/>
      <c r="D1868"/>
      <c r="E1868"/>
      <c r="F1868"/>
      <c r="G1868"/>
      <c r="H1868"/>
      <c r="I1868"/>
      <c r="M1868" s="54"/>
    </row>
    <row r="1869" spans="1:13" s="15" customFormat="1" x14ac:dyDescent="0.3">
      <c r="A1869" s="17"/>
      <c r="B1869"/>
      <c r="C1869"/>
      <c r="D1869"/>
      <c r="E1869"/>
      <c r="F1869"/>
      <c r="G1869"/>
      <c r="H1869"/>
      <c r="I1869"/>
      <c r="M1869" s="54"/>
    </row>
    <row r="1870" spans="1:13" s="15" customFormat="1" x14ac:dyDescent="0.3">
      <c r="A1870" s="17"/>
      <c r="B1870"/>
      <c r="C1870"/>
      <c r="D1870"/>
      <c r="E1870"/>
      <c r="F1870"/>
      <c r="G1870"/>
      <c r="H1870"/>
      <c r="I1870"/>
      <c r="M1870" s="54"/>
    </row>
    <row r="1871" spans="1:13" s="15" customFormat="1" x14ac:dyDescent="0.3">
      <c r="A1871" s="17"/>
      <c r="B1871"/>
      <c r="C1871"/>
      <c r="D1871"/>
      <c r="E1871"/>
      <c r="F1871"/>
      <c r="G1871"/>
      <c r="H1871"/>
      <c r="I1871"/>
      <c r="M1871" s="54"/>
    </row>
    <row r="1872" spans="1:13" s="15" customFormat="1" x14ac:dyDescent="0.3">
      <c r="A1872" s="17"/>
      <c r="B1872"/>
      <c r="C1872"/>
      <c r="D1872"/>
      <c r="E1872"/>
      <c r="F1872"/>
      <c r="G1872"/>
      <c r="H1872"/>
      <c r="I1872"/>
      <c r="M1872" s="54"/>
    </row>
    <row r="1873" spans="1:13" s="15" customFormat="1" x14ac:dyDescent="0.3">
      <c r="A1873" s="17"/>
      <c r="B1873"/>
      <c r="C1873"/>
      <c r="D1873"/>
      <c r="E1873"/>
      <c r="F1873"/>
      <c r="G1873"/>
      <c r="H1873"/>
      <c r="I1873"/>
      <c r="M1873" s="54"/>
    </row>
    <row r="1874" spans="1:13" s="15" customFormat="1" x14ac:dyDescent="0.3">
      <c r="A1874" s="17"/>
      <c r="B1874"/>
      <c r="C1874"/>
      <c r="D1874"/>
      <c r="E1874"/>
      <c r="F1874"/>
      <c r="G1874"/>
      <c r="H1874"/>
      <c r="I1874"/>
      <c r="M1874" s="54"/>
    </row>
    <row r="1875" spans="1:13" s="15" customFormat="1" x14ac:dyDescent="0.3">
      <c r="A1875" s="17"/>
      <c r="B1875"/>
      <c r="C1875"/>
      <c r="D1875"/>
      <c r="E1875"/>
      <c r="F1875"/>
      <c r="G1875"/>
      <c r="H1875"/>
      <c r="I1875"/>
      <c r="M1875" s="54"/>
    </row>
    <row r="1876" spans="1:13" s="15" customFormat="1" x14ac:dyDescent="0.3">
      <c r="A1876" s="17"/>
      <c r="B1876"/>
      <c r="C1876"/>
      <c r="D1876"/>
      <c r="E1876"/>
      <c r="F1876"/>
      <c r="G1876"/>
      <c r="H1876"/>
      <c r="I1876"/>
      <c r="M1876" s="54"/>
    </row>
    <row r="1877" spans="1:13" s="15" customFormat="1" x14ac:dyDescent="0.3">
      <c r="A1877" s="17"/>
      <c r="B1877"/>
      <c r="C1877"/>
      <c r="D1877"/>
      <c r="E1877"/>
      <c r="F1877"/>
      <c r="G1877"/>
      <c r="H1877"/>
      <c r="I1877"/>
      <c r="M1877" s="54"/>
    </row>
    <row r="1878" spans="1:13" s="15" customFormat="1" x14ac:dyDescent="0.3">
      <c r="A1878" s="17"/>
      <c r="B1878"/>
      <c r="C1878"/>
      <c r="D1878"/>
      <c r="E1878"/>
      <c r="F1878"/>
      <c r="G1878"/>
      <c r="H1878"/>
      <c r="I1878"/>
      <c r="M1878" s="54"/>
    </row>
    <row r="1879" spans="1:13" s="15" customFormat="1" x14ac:dyDescent="0.3">
      <c r="A1879" s="17"/>
      <c r="B1879"/>
      <c r="C1879"/>
      <c r="D1879"/>
      <c r="E1879"/>
      <c r="F1879"/>
      <c r="G1879"/>
      <c r="H1879"/>
      <c r="I1879"/>
      <c r="M1879" s="54"/>
    </row>
    <row r="1880" spans="1:13" s="15" customFormat="1" x14ac:dyDescent="0.3">
      <c r="A1880" s="17"/>
      <c r="B1880"/>
      <c r="C1880"/>
      <c r="D1880"/>
      <c r="E1880"/>
      <c r="F1880"/>
      <c r="G1880"/>
      <c r="H1880"/>
      <c r="I1880"/>
      <c r="M1880" s="54"/>
    </row>
    <row r="1881" spans="1:13" s="15" customFormat="1" x14ac:dyDescent="0.3">
      <c r="A1881" s="17"/>
      <c r="B1881"/>
      <c r="C1881"/>
      <c r="D1881"/>
      <c r="E1881"/>
      <c r="F1881"/>
      <c r="G1881"/>
      <c r="H1881"/>
      <c r="I1881"/>
      <c r="M1881" s="54"/>
    </row>
    <row r="1882" spans="1:13" s="15" customFormat="1" x14ac:dyDescent="0.3">
      <c r="A1882" s="17"/>
      <c r="B1882"/>
      <c r="C1882"/>
      <c r="D1882"/>
      <c r="E1882"/>
      <c r="F1882"/>
      <c r="G1882"/>
      <c r="H1882"/>
      <c r="I1882"/>
      <c r="M1882" s="54"/>
    </row>
    <row r="1883" spans="1:13" s="15" customFormat="1" x14ac:dyDescent="0.3">
      <c r="A1883" s="17"/>
      <c r="B1883"/>
      <c r="C1883"/>
      <c r="D1883"/>
      <c r="E1883"/>
      <c r="F1883"/>
      <c r="G1883"/>
      <c r="H1883"/>
      <c r="I1883"/>
      <c r="M1883" s="54"/>
    </row>
    <row r="1884" spans="1:13" s="15" customFormat="1" x14ac:dyDescent="0.3">
      <c r="A1884" s="17"/>
      <c r="B1884"/>
      <c r="C1884"/>
      <c r="D1884"/>
      <c r="E1884"/>
      <c r="F1884"/>
      <c r="G1884"/>
      <c r="H1884"/>
      <c r="I1884"/>
      <c r="M1884" s="54"/>
    </row>
    <row r="1885" spans="1:13" s="15" customFormat="1" x14ac:dyDescent="0.3">
      <c r="A1885" s="17"/>
      <c r="B1885"/>
      <c r="C1885"/>
      <c r="D1885"/>
      <c r="E1885"/>
      <c r="F1885"/>
      <c r="G1885"/>
      <c r="H1885"/>
      <c r="I1885"/>
      <c r="M1885" s="54"/>
    </row>
    <row r="1886" spans="1:13" s="15" customFormat="1" x14ac:dyDescent="0.3">
      <c r="A1886" s="17"/>
      <c r="B1886"/>
      <c r="C1886"/>
      <c r="D1886"/>
      <c r="E1886"/>
      <c r="F1886"/>
      <c r="G1886"/>
      <c r="H1886"/>
      <c r="I1886"/>
      <c r="M1886" s="54"/>
    </row>
    <row r="1887" spans="1:13" s="15" customFormat="1" x14ac:dyDescent="0.3">
      <c r="A1887" s="17"/>
      <c r="B1887"/>
      <c r="C1887"/>
      <c r="D1887"/>
      <c r="E1887"/>
      <c r="F1887"/>
      <c r="G1887"/>
      <c r="H1887"/>
      <c r="I1887"/>
      <c r="M1887" s="54"/>
    </row>
    <row r="1888" spans="1:13" s="15" customFormat="1" x14ac:dyDescent="0.3">
      <c r="A1888" s="17"/>
      <c r="B1888"/>
      <c r="C1888"/>
      <c r="D1888"/>
      <c r="E1888"/>
      <c r="F1888"/>
      <c r="G1888"/>
      <c r="H1888"/>
      <c r="I1888"/>
      <c r="M1888" s="54"/>
    </row>
    <row r="1889" spans="1:13" s="15" customFormat="1" x14ac:dyDescent="0.3">
      <c r="A1889" s="17"/>
      <c r="B1889"/>
      <c r="C1889"/>
      <c r="D1889"/>
      <c r="E1889"/>
      <c r="F1889"/>
      <c r="G1889"/>
      <c r="H1889"/>
      <c r="I1889"/>
      <c r="M1889" s="54"/>
    </row>
    <row r="1890" spans="1:13" s="15" customFormat="1" x14ac:dyDescent="0.3">
      <c r="A1890" s="17"/>
      <c r="B1890"/>
      <c r="C1890"/>
      <c r="D1890"/>
      <c r="E1890"/>
      <c r="F1890"/>
      <c r="G1890"/>
      <c r="H1890"/>
      <c r="I1890"/>
      <c r="M1890" s="54"/>
    </row>
    <row r="1891" spans="1:13" s="15" customFormat="1" x14ac:dyDescent="0.3">
      <c r="A1891" s="17"/>
      <c r="B1891"/>
      <c r="C1891"/>
      <c r="D1891"/>
      <c r="E1891"/>
      <c r="F1891"/>
      <c r="G1891"/>
      <c r="H1891"/>
      <c r="I1891"/>
      <c r="M1891" s="54"/>
    </row>
    <row r="1892" spans="1:13" s="15" customFormat="1" x14ac:dyDescent="0.3">
      <c r="A1892" s="17"/>
      <c r="B1892"/>
      <c r="C1892"/>
      <c r="D1892"/>
      <c r="E1892"/>
      <c r="F1892"/>
      <c r="G1892"/>
      <c r="H1892"/>
      <c r="I1892"/>
      <c r="M1892" s="54"/>
    </row>
    <row r="1893" spans="1:13" s="15" customFormat="1" x14ac:dyDescent="0.3">
      <c r="A1893" s="17"/>
      <c r="B1893"/>
      <c r="C1893"/>
      <c r="D1893"/>
      <c r="E1893"/>
      <c r="F1893"/>
      <c r="G1893"/>
      <c r="H1893"/>
      <c r="I1893"/>
      <c r="M1893" s="54"/>
    </row>
    <row r="1894" spans="1:13" s="15" customFormat="1" x14ac:dyDescent="0.3">
      <c r="A1894" s="17"/>
      <c r="B1894"/>
      <c r="C1894"/>
      <c r="D1894"/>
      <c r="E1894"/>
      <c r="F1894"/>
      <c r="G1894"/>
      <c r="H1894"/>
      <c r="I1894"/>
      <c r="M1894" s="54"/>
    </row>
    <row r="1895" spans="1:13" s="15" customFormat="1" x14ac:dyDescent="0.3">
      <c r="A1895" s="17"/>
      <c r="B1895"/>
      <c r="C1895"/>
      <c r="D1895"/>
      <c r="E1895"/>
      <c r="F1895"/>
      <c r="G1895"/>
      <c r="H1895"/>
      <c r="I1895"/>
      <c r="M1895" s="54"/>
    </row>
    <row r="1896" spans="1:13" s="15" customFormat="1" x14ac:dyDescent="0.3">
      <c r="A1896" s="17"/>
      <c r="B1896"/>
      <c r="C1896"/>
      <c r="D1896"/>
      <c r="E1896"/>
      <c r="F1896"/>
      <c r="G1896"/>
      <c r="H1896"/>
      <c r="I1896"/>
      <c r="M1896" s="54"/>
    </row>
    <row r="1897" spans="1:13" s="15" customFormat="1" x14ac:dyDescent="0.3">
      <c r="A1897" s="17"/>
      <c r="B1897"/>
      <c r="C1897"/>
      <c r="D1897"/>
      <c r="E1897"/>
      <c r="F1897"/>
      <c r="G1897"/>
      <c r="H1897"/>
      <c r="I1897"/>
      <c r="M1897" s="54"/>
    </row>
    <row r="1898" spans="1:13" s="15" customFormat="1" x14ac:dyDescent="0.3">
      <c r="A1898" s="17"/>
      <c r="B1898"/>
      <c r="C1898"/>
      <c r="D1898"/>
      <c r="E1898"/>
      <c r="F1898"/>
      <c r="G1898"/>
      <c r="H1898"/>
      <c r="I1898"/>
      <c r="M1898" s="54"/>
    </row>
    <row r="1899" spans="1:13" s="15" customFormat="1" x14ac:dyDescent="0.3">
      <c r="A1899" s="17"/>
      <c r="B1899"/>
      <c r="C1899"/>
      <c r="D1899"/>
      <c r="E1899"/>
      <c r="F1899"/>
      <c r="G1899"/>
      <c r="H1899"/>
      <c r="I1899"/>
      <c r="M1899" s="54"/>
    </row>
    <row r="1900" spans="1:13" s="15" customFormat="1" x14ac:dyDescent="0.3">
      <c r="A1900" s="17"/>
      <c r="B1900"/>
      <c r="C1900"/>
      <c r="D1900"/>
      <c r="E1900"/>
      <c r="F1900"/>
      <c r="G1900"/>
      <c r="H1900"/>
      <c r="I1900"/>
      <c r="M1900" s="54"/>
    </row>
    <row r="1901" spans="1:13" s="15" customFormat="1" x14ac:dyDescent="0.3">
      <c r="A1901" s="17"/>
      <c r="B1901"/>
      <c r="C1901"/>
      <c r="D1901"/>
      <c r="E1901"/>
      <c r="F1901"/>
      <c r="G1901"/>
      <c r="H1901"/>
      <c r="I1901"/>
      <c r="M1901" s="54"/>
    </row>
    <row r="1902" spans="1:13" s="15" customFormat="1" x14ac:dyDescent="0.3">
      <c r="A1902" s="17"/>
      <c r="B1902"/>
      <c r="C1902"/>
      <c r="D1902"/>
      <c r="E1902"/>
      <c r="F1902"/>
      <c r="G1902"/>
      <c r="H1902"/>
      <c r="I1902"/>
      <c r="M1902" s="54"/>
    </row>
    <row r="1903" spans="1:13" s="15" customFormat="1" x14ac:dyDescent="0.3">
      <c r="A1903" s="17"/>
      <c r="B1903"/>
      <c r="C1903"/>
      <c r="D1903"/>
      <c r="E1903"/>
      <c r="F1903"/>
      <c r="G1903"/>
      <c r="H1903"/>
      <c r="I1903"/>
      <c r="M1903" s="54"/>
    </row>
    <row r="1904" spans="1:13" s="15" customFormat="1" x14ac:dyDescent="0.3">
      <c r="A1904" s="17"/>
      <c r="B1904"/>
      <c r="C1904"/>
      <c r="D1904"/>
      <c r="E1904"/>
      <c r="F1904"/>
      <c r="G1904"/>
      <c r="H1904"/>
      <c r="I1904"/>
      <c r="M1904" s="54"/>
    </row>
    <row r="1905" spans="1:13" s="15" customFormat="1" x14ac:dyDescent="0.3">
      <c r="A1905" s="17"/>
      <c r="B1905"/>
      <c r="C1905"/>
      <c r="D1905"/>
      <c r="E1905"/>
      <c r="F1905"/>
      <c r="G1905"/>
      <c r="H1905"/>
      <c r="I1905"/>
      <c r="M1905" s="54"/>
    </row>
    <row r="1906" spans="1:13" s="15" customFormat="1" x14ac:dyDescent="0.3">
      <c r="A1906" s="17"/>
      <c r="B1906"/>
      <c r="C1906"/>
      <c r="D1906"/>
      <c r="E1906"/>
      <c r="F1906"/>
      <c r="G1906"/>
      <c r="H1906"/>
      <c r="I1906"/>
      <c r="M1906" s="54"/>
    </row>
    <row r="1907" spans="1:13" s="15" customFormat="1" x14ac:dyDescent="0.3">
      <c r="A1907" s="17"/>
      <c r="B1907"/>
      <c r="C1907"/>
      <c r="D1907"/>
      <c r="E1907"/>
      <c r="F1907"/>
      <c r="G1907"/>
      <c r="H1907"/>
      <c r="I1907"/>
      <c r="M1907" s="54"/>
    </row>
    <row r="1908" spans="1:13" s="15" customFormat="1" x14ac:dyDescent="0.3">
      <c r="A1908" s="17"/>
      <c r="B1908"/>
      <c r="C1908"/>
      <c r="D1908"/>
      <c r="E1908"/>
      <c r="F1908"/>
      <c r="G1908"/>
      <c r="H1908"/>
      <c r="I1908"/>
      <c r="M1908" s="54"/>
    </row>
    <row r="1909" spans="1:13" s="15" customFormat="1" x14ac:dyDescent="0.3">
      <c r="A1909" s="17"/>
      <c r="B1909"/>
      <c r="C1909"/>
      <c r="D1909"/>
      <c r="E1909"/>
      <c r="F1909"/>
      <c r="G1909"/>
      <c r="H1909"/>
      <c r="I1909"/>
      <c r="M1909" s="54"/>
    </row>
    <row r="1910" spans="1:13" s="15" customFormat="1" x14ac:dyDescent="0.3">
      <c r="A1910" s="17"/>
      <c r="B1910"/>
      <c r="C1910"/>
      <c r="D1910"/>
      <c r="E1910"/>
      <c r="F1910"/>
      <c r="G1910"/>
      <c r="H1910"/>
      <c r="I1910"/>
      <c r="M1910" s="54"/>
    </row>
    <row r="1911" spans="1:13" s="15" customFormat="1" x14ac:dyDescent="0.3">
      <c r="A1911" s="17"/>
      <c r="B1911"/>
      <c r="C1911"/>
      <c r="D1911"/>
      <c r="E1911"/>
      <c r="F1911"/>
      <c r="G1911"/>
      <c r="H1911"/>
      <c r="I1911"/>
      <c r="M1911" s="54"/>
    </row>
    <row r="1912" spans="1:13" s="15" customFormat="1" x14ac:dyDescent="0.3">
      <c r="A1912" s="17"/>
      <c r="B1912"/>
      <c r="C1912"/>
      <c r="D1912"/>
      <c r="E1912"/>
      <c r="F1912"/>
      <c r="G1912"/>
      <c r="H1912"/>
      <c r="I1912"/>
      <c r="M1912" s="54"/>
    </row>
    <row r="1913" spans="1:13" s="15" customFormat="1" x14ac:dyDescent="0.3">
      <c r="A1913" s="17"/>
      <c r="B1913"/>
      <c r="C1913"/>
      <c r="D1913"/>
      <c r="E1913"/>
      <c r="F1913"/>
      <c r="G1913"/>
      <c r="H1913"/>
      <c r="I1913"/>
      <c r="M1913" s="54"/>
    </row>
    <row r="1914" spans="1:13" s="15" customFormat="1" x14ac:dyDescent="0.3">
      <c r="A1914" s="17"/>
      <c r="B1914"/>
      <c r="C1914"/>
      <c r="D1914"/>
      <c r="E1914"/>
      <c r="F1914"/>
      <c r="G1914"/>
      <c r="H1914"/>
      <c r="I1914"/>
      <c r="M1914" s="54"/>
    </row>
    <row r="1915" spans="1:13" s="15" customFormat="1" x14ac:dyDescent="0.3">
      <c r="A1915" s="17"/>
      <c r="B1915"/>
      <c r="C1915"/>
      <c r="D1915"/>
      <c r="E1915"/>
      <c r="F1915"/>
      <c r="G1915"/>
      <c r="H1915"/>
      <c r="I1915"/>
      <c r="M1915" s="54"/>
    </row>
    <row r="1916" spans="1:13" s="15" customFormat="1" x14ac:dyDescent="0.3">
      <c r="A1916" s="17"/>
      <c r="B1916"/>
      <c r="C1916"/>
      <c r="D1916"/>
      <c r="E1916"/>
      <c r="F1916"/>
      <c r="G1916"/>
      <c r="H1916"/>
      <c r="I1916"/>
      <c r="M1916" s="54"/>
    </row>
    <row r="1917" spans="1:13" s="15" customFormat="1" x14ac:dyDescent="0.3">
      <c r="A1917" s="17"/>
      <c r="B1917"/>
      <c r="C1917"/>
      <c r="D1917"/>
      <c r="E1917"/>
      <c r="F1917"/>
      <c r="G1917"/>
      <c r="H1917"/>
      <c r="I1917"/>
      <c r="M1917" s="54"/>
    </row>
    <row r="1918" spans="1:13" s="15" customFormat="1" x14ac:dyDescent="0.3">
      <c r="A1918" s="17"/>
      <c r="B1918"/>
      <c r="C1918"/>
      <c r="D1918"/>
      <c r="E1918"/>
      <c r="F1918"/>
      <c r="G1918"/>
      <c r="H1918"/>
      <c r="I1918"/>
      <c r="M1918" s="54"/>
    </row>
    <row r="1919" spans="1:13" s="15" customFormat="1" x14ac:dyDescent="0.3">
      <c r="A1919" s="17"/>
      <c r="B1919"/>
      <c r="C1919"/>
      <c r="D1919"/>
      <c r="E1919"/>
      <c r="F1919"/>
      <c r="G1919"/>
      <c r="H1919"/>
      <c r="I1919"/>
      <c r="M1919" s="54"/>
    </row>
    <row r="1920" spans="1:13" s="15" customFormat="1" x14ac:dyDescent="0.3">
      <c r="A1920" s="17"/>
      <c r="B1920"/>
      <c r="C1920"/>
      <c r="D1920"/>
      <c r="E1920"/>
      <c r="F1920"/>
      <c r="G1920"/>
      <c r="H1920"/>
      <c r="I1920"/>
      <c r="M1920" s="54"/>
    </row>
    <row r="1921" spans="1:13" s="15" customFormat="1" x14ac:dyDescent="0.3">
      <c r="A1921" s="17"/>
      <c r="B1921"/>
      <c r="C1921"/>
      <c r="D1921"/>
      <c r="E1921"/>
      <c r="F1921"/>
      <c r="G1921"/>
      <c r="H1921"/>
      <c r="I1921"/>
      <c r="M1921" s="54"/>
    </row>
    <row r="1922" spans="1:13" s="15" customFormat="1" x14ac:dyDescent="0.3">
      <c r="A1922" s="17"/>
      <c r="B1922"/>
      <c r="C1922"/>
      <c r="D1922"/>
      <c r="E1922"/>
      <c r="F1922"/>
      <c r="G1922"/>
      <c r="H1922"/>
      <c r="I1922"/>
      <c r="M1922" s="54"/>
    </row>
    <row r="1923" spans="1:13" s="15" customFormat="1" x14ac:dyDescent="0.3">
      <c r="A1923" s="17"/>
      <c r="B1923"/>
      <c r="C1923"/>
      <c r="D1923"/>
      <c r="E1923"/>
      <c r="F1923"/>
      <c r="G1923"/>
      <c r="H1923"/>
      <c r="I1923"/>
      <c r="M1923" s="54"/>
    </row>
    <row r="1924" spans="1:13" s="15" customFormat="1" x14ac:dyDescent="0.3">
      <c r="A1924" s="17"/>
      <c r="B1924"/>
      <c r="C1924"/>
      <c r="D1924"/>
      <c r="E1924"/>
      <c r="F1924"/>
      <c r="G1924"/>
      <c r="H1924"/>
      <c r="I1924"/>
      <c r="M1924" s="54"/>
    </row>
    <row r="1925" spans="1:13" s="15" customFormat="1" x14ac:dyDescent="0.3">
      <c r="A1925" s="17"/>
      <c r="B1925"/>
      <c r="C1925"/>
      <c r="D1925"/>
      <c r="E1925"/>
      <c r="F1925"/>
      <c r="G1925"/>
      <c r="H1925"/>
      <c r="I1925"/>
      <c r="M1925" s="54"/>
    </row>
    <row r="1926" spans="1:13" s="15" customFormat="1" x14ac:dyDescent="0.3">
      <c r="A1926" s="17"/>
      <c r="B1926"/>
      <c r="C1926"/>
      <c r="D1926"/>
      <c r="E1926"/>
      <c r="F1926"/>
      <c r="G1926"/>
      <c r="H1926"/>
      <c r="I1926"/>
      <c r="M1926" s="54"/>
    </row>
    <row r="1927" spans="1:13" s="15" customFormat="1" x14ac:dyDescent="0.3">
      <c r="A1927" s="17"/>
      <c r="B1927"/>
      <c r="C1927"/>
      <c r="D1927"/>
      <c r="E1927"/>
      <c r="F1927"/>
      <c r="G1927"/>
      <c r="H1927"/>
      <c r="I1927"/>
      <c r="M1927" s="54"/>
    </row>
    <row r="1928" spans="1:13" s="15" customFormat="1" x14ac:dyDescent="0.3">
      <c r="A1928" s="17"/>
      <c r="B1928"/>
      <c r="C1928"/>
      <c r="D1928"/>
      <c r="E1928"/>
      <c r="F1928"/>
      <c r="G1928"/>
      <c r="H1928"/>
      <c r="I1928"/>
      <c r="M1928" s="54"/>
    </row>
    <row r="1929" spans="1:13" s="15" customFormat="1" x14ac:dyDescent="0.3">
      <c r="A1929" s="17"/>
      <c r="B1929"/>
      <c r="C1929"/>
      <c r="D1929"/>
      <c r="E1929"/>
      <c r="F1929"/>
      <c r="G1929"/>
      <c r="H1929"/>
      <c r="I1929"/>
      <c r="M1929" s="54"/>
    </row>
    <row r="1930" spans="1:13" s="15" customFormat="1" x14ac:dyDescent="0.3">
      <c r="A1930" s="17"/>
      <c r="B1930"/>
      <c r="C1930"/>
      <c r="D1930"/>
      <c r="E1930"/>
      <c r="F1930"/>
      <c r="G1930"/>
      <c r="H1930"/>
      <c r="I1930"/>
      <c r="M1930" s="54"/>
    </row>
    <row r="1931" spans="1:13" s="15" customFormat="1" x14ac:dyDescent="0.3">
      <c r="A1931" s="17"/>
      <c r="B1931"/>
      <c r="C1931"/>
      <c r="D1931"/>
      <c r="E1931"/>
      <c r="F1931"/>
      <c r="G1931"/>
      <c r="H1931"/>
      <c r="I1931"/>
      <c r="M1931" s="54"/>
    </row>
    <row r="1932" spans="1:13" s="15" customFormat="1" x14ac:dyDescent="0.3">
      <c r="A1932" s="17"/>
      <c r="B1932"/>
      <c r="C1932"/>
      <c r="D1932"/>
      <c r="E1932"/>
      <c r="F1932"/>
      <c r="G1932"/>
      <c r="H1932"/>
      <c r="I1932"/>
      <c r="M1932" s="54"/>
    </row>
    <row r="1933" spans="1:13" s="15" customFormat="1" x14ac:dyDescent="0.3">
      <c r="A1933" s="17"/>
      <c r="B1933"/>
      <c r="C1933"/>
      <c r="D1933"/>
      <c r="E1933"/>
      <c r="F1933"/>
      <c r="G1933"/>
      <c r="H1933"/>
      <c r="I1933"/>
      <c r="M1933" s="54"/>
    </row>
    <row r="1934" spans="1:13" s="15" customFormat="1" x14ac:dyDescent="0.3">
      <c r="A1934" s="17"/>
      <c r="B1934"/>
      <c r="C1934"/>
      <c r="D1934"/>
      <c r="E1934"/>
      <c r="F1934"/>
      <c r="G1934"/>
      <c r="H1934"/>
      <c r="I1934"/>
      <c r="M1934" s="54"/>
    </row>
    <row r="1935" spans="1:13" s="15" customFormat="1" x14ac:dyDescent="0.3">
      <c r="A1935" s="17"/>
      <c r="B1935"/>
      <c r="C1935"/>
      <c r="D1935"/>
      <c r="E1935"/>
      <c r="F1935"/>
      <c r="G1935"/>
      <c r="H1935"/>
      <c r="I1935"/>
      <c r="M1935" s="54"/>
    </row>
    <row r="1936" spans="1:13" s="15" customFormat="1" x14ac:dyDescent="0.3">
      <c r="A1936" s="17"/>
      <c r="B1936"/>
      <c r="C1936"/>
      <c r="D1936"/>
      <c r="E1936"/>
      <c r="F1936"/>
      <c r="G1936"/>
      <c r="H1936"/>
      <c r="I1936"/>
      <c r="M1936" s="54"/>
    </row>
    <row r="1937" spans="1:13" s="15" customFormat="1" x14ac:dyDescent="0.3">
      <c r="A1937" s="17"/>
      <c r="B1937"/>
      <c r="C1937"/>
      <c r="D1937"/>
      <c r="E1937"/>
      <c r="F1937"/>
      <c r="G1937"/>
      <c r="H1937"/>
      <c r="I1937"/>
      <c r="M1937" s="54"/>
    </row>
    <row r="1938" spans="1:13" s="15" customFormat="1" x14ac:dyDescent="0.3">
      <c r="A1938" s="17"/>
      <c r="B1938"/>
      <c r="C1938"/>
      <c r="D1938"/>
      <c r="E1938"/>
      <c r="F1938"/>
      <c r="G1938"/>
      <c r="H1938"/>
      <c r="I1938"/>
      <c r="M1938" s="54"/>
    </row>
    <row r="1939" spans="1:13" s="15" customFormat="1" x14ac:dyDescent="0.3">
      <c r="A1939" s="17"/>
      <c r="B1939"/>
      <c r="C1939"/>
      <c r="D1939"/>
      <c r="E1939"/>
      <c r="F1939"/>
      <c r="G1939"/>
      <c r="H1939"/>
      <c r="I1939"/>
      <c r="M1939" s="54"/>
    </row>
    <row r="1940" spans="1:13" s="15" customFormat="1" x14ac:dyDescent="0.3">
      <c r="A1940" s="17"/>
      <c r="B1940"/>
      <c r="C1940"/>
      <c r="D1940"/>
      <c r="E1940"/>
      <c r="F1940"/>
      <c r="G1940"/>
      <c r="H1940"/>
      <c r="I1940"/>
      <c r="M1940" s="54"/>
    </row>
    <row r="1941" spans="1:13" s="15" customFormat="1" x14ac:dyDescent="0.3">
      <c r="A1941" s="17"/>
      <c r="B1941"/>
      <c r="C1941"/>
      <c r="D1941"/>
      <c r="E1941"/>
      <c r="F1941"/>
      <c r="G1941"/>
      <c r="H1941"/>
      <c r="I1941"/>
      <c r="M1941" s="54"/>
    </row>
    <row r="1942" spans="1:13" s="15" customFormat="1" x14ac:dyDescent="0.3">
      <c r="A1942" s="17"/>
      <c r="B1942"/>
      <c r="C1942"/>
      <c r="D1942"/>
      <c r="E1942"/>
      <c r="F1942"/>
      <c r="G1942"/>
      <c r="H1942"/>
      <c r="I1942"/>
      <c r="M1942" s="54"/>
    </row>
    <row r="1943" spans="1:13" s="15" customFormat="1" x14ac:dyDescent="0.3">
      <c r="A1943" s="17"/>
      <c r="B1943"/>
      <c r="C1943"/>
      <c r="D1943"/>
      <c r="E1943"/>
      <c r="F1943"/>
      <c r="G1943"/>
      <c r="H1943"/>
      <c r="I1943"/>
      <c r="M1943" s="54"/>
    </row>
    <row r="1944" spans="1:13" s="15" customFormat="1" x14ac:dyDescent="0.3">
      <c r="A1944" s="17"/>
      <c r="B1944"/>
      <c r="C1944"/>
      <c r="D1944"/>
      <c r="E1944"/>
      <c r="F1944"/>
      <c r="G1944"/>
      <c r="H1944"/>
      <c r="I1944"/>
      <c r="M1944" s="54"/>
    </row>
    <row r="1945" spans="1:13" s="15" customFormat="1" x14ac:dyDescent="0.3">
      <c r="A1945" s="17"/>
      <c r="B1945"/>
      <c r="C1945"/>
      <c r="D1945"/>
      <c r="E1945"/>
      <c r="F1945"/>
      <c r="G1945"/>
      <c r="H1945"/>
      <c r="I1945"/>
      <c r="M1945" s="54"/>
    </row>
    <row r="1946" spans="1:13" s="15" customFormat="1" x14ac:dyDescent="0.3">
      <c r="A1946" s="17"/>
      <c r="B1946"/>
      <c r="C1946"/>
      <c r="D1946"/>
      <c r="E1946"/>
      <c r="F1946"/>
      <c r="G1946"/>
      <c r="H1946"/>
      <c r="I1946"/>
      <c r="M1946" s="54"/>
    </row>
    <row r="1947" spans="1:13" s="15" customFormat="1" x14ac:dyDescent="0.3">
      <c r="A1947" s="17"/>
      <c r="B1947"/>
      <c r="C1947"/>
      <c r="D1947"/>
      <c r="E1947"/>
      <c r="F1947"/>
      <c r="G1947"/>
      <c r="H1947"/>
      <c r="I1947"/>
      <c r="M1947" s="54"/>
    </row>
    <row r="1948" spans="1:13" s="15" customFormat="1" x14ac:dyDescent="0.3">
      <c r="A1948" s="17"/>
      <c r="B1948"/>
      <c r="C1948"/>
      <c r="D1948"/>
      <c r="E1948"/>
      <c r="F1948"/>
      <c r="G1948"/>
      <c r="H1948"/>
      <c r="I1948"/>
      <c r="M1948" s="54"/>
    </row>
    <row r="1949" spans="1:13" s="15" customFormat="1" x14ac:dyDescent="0.3">
      <c r="A1949" s="17"/>
      <c r="B1949"/>
      <c r="C1949"/>
      <c r="D1949"/>
      <c r="E1949"/>
      <c r="F1949"/>
      <c r="G1949"/>
      <c r="H1949"/>
      <c r="I1949"/>
      <c r="M1949" s="54"/>
    </row>
    <row r="1950" spans="1:13" s="15" customFormat="1" x14ac:dyDescent="0.3">
      <c r="A1950" s="17"/>
      <c r="B1950"/>
      <c r="C1950"/>
      <c r="D1950"/>
      <c r="E1950"/>
      <c r="F1950"/>
      <c r="G1950"/>
      <c r="H1950"/>
      <c r="I1950"/>
      <c r="M1950" s="54"/>
    </row>
    <row r="1951" spans="1:13" s="15" customFormat="1" x14ac:dyDescent="0.3">
      <c r="A1951" s="17"/>
      <c r="B1951"/>
      <c r="C1951"/>
      <c r="D1951"/>
      <c r="E1951"/>
      <c r="F1951"/>
      <c r="G1951"/>
      <c r="H1951"/>
      <c r="I1951"/>
      <c r="M1951" s="54"/>
    </row>
    <row r="1952" spans="1:13" s="15" customFormat="1" x14ac:dyDescent="0.3">
      <c r="A1952" s="17"/>
      <c r="B1952"/>
      <c r="C1952"/>
      <c r="D1952"/>
      <c r="E1952"/>
      <c r="F1952"/>
      <c r="G1952"/>
      <c r="H1952"/>
      <c r="I1952"/>
      <c r="M1952" s="54"/>
    </row>
    <row r="1953" spans="1:13" s="15" customFormat="1" x14ac:dyDescent="0.3">
      <c r="A1953" s="17"/>
      <c r="B1953"/>
      <c r="C1953"/>
      <c r="D1953"/>
      <c r="E1953"/>
      <c r="F1953"/>
      <c r="G1953"/>
      <c r="H1953"/>
      <c r="I1953"/>
      <c r="M1953" s="54"/>
    </row>
    <row r="1954" spans="1:13" s="15" customFormat="1" x14ac:dyDescent="0.3">
      <c r="A1954" s="17"/>
      <c r="B1954"/>
      <c r="C1954"/>
      <c r="D1954"/>
      <c r="E1954"/>
      <c r="F1954"/>
      <c r="G1954"/>
      <c r="H1954"/>
      <c r="I1954"/>
      <c r="M1954" s="54"/>
    </row>
    <row r="1955" spans="1:13" s="15" customFormat="1" x14ac:dyDescent="0.3">
      <c r="A1955" s="17"/>
      <c r="B1955"/>
      <c r="C1955"/>
      <c r="D1955"/>
      <c r="E1955"/>
      <c r="F1955"/>
      <c r="G1955"/>
      <c r="H1955"/>
      <c r="I1955"/>
      <c r="M1955" s="54"/>
    </row>
    <row r="1956" spans="1:13" s="15" customFormat="1" x14ac:dyDescent="0.3">
      <c r="A1956" s="17"/>
      <c r="B1956"/>
      <c r="C1956"/>
      <c r="D1956"/>
      <c r="E1956"/>
      <c r="F1956"/>
      <c r="G1956"/>
      <c r="H1956"/>
      <c r="I1956"/>
      <c r="M1956" s="54"/>
    </row>
    <row r="1957" spans="1:13" s="15" customFormat="1" x14ac:dyDescent="0.3">
      <c r="A1957" s="17"/>
      <c r="B1957"/>
      <c r="C1957"/>
      <c r="D1957"/>
      <c r="E1957"/>
      <c r="F1957"/>
      <c r="G1957"/>
      <c r="H1957"/>
      <c r="I1957"/>
      <c r="M1957" s="54"/>
    </row>
    <row r="1958" spans="1:13" s="15" customFormat="1" x14ac:dyDescent="0.3">
      <c r="A1958" s="17"/>
      <c r="B1958"/>
      <c r="C1958"/>
      <c r="D1958"/>
      <c r="E1958"/>
      <c r="F1958"/>
      <c r="G1958"/>
      <c r="H1958"/>
      <c r="I1958"/>
      <c r="M1958" s="54"/>
    </row>
    <row r="1959" spans="1:13" s="15" customFormat="1" x14ac:dyDescent="0.3">
      <c r="A1959" s="17"/>
      <c r="B1959"/>
      <c r="C1959"/>
      <c r="D1959"/>
      <c r="E1959"/>
      <c r="F1959"/>
      <c r="G1959"/>
      <c r="H1959"/>
      <c r="I1959"/>
      <c r="M1959" s="54"/>
    </row>
    <row r="1960" spans="1:13" s="15" customFormat="1" x14ac:dyDescent="0.3">
      <c r="A1960" s="17"/>
      <c r="B1960"/>
      <c r="C1960"/>
      <c r="D1960"/>
      <c r="E1960"/>
      <c r="F1960"/>
      <c r="G1960"/>
      <c r="H1960"/>
      <c r="I1960"/>
      <c r="M1960" s="54"/>
    </row>
    <row r="1961" spans="1:13" s="15" customFormat="1" x14ac:dyDescent="0.3">
      <c r="A1961" s="17"/>
      <c r="B1961"/>
      <c r="C1961"/>
      <c r="D1961"/>
      <c r="E1961"/>
      <c r="F1961"/>
      <c r="G1961"/>
      <c r="H1961"/>
      <c r="I1961"/>
      <c r="M1961" s="54"/>
    </row>
    <row r="1962" spans="1:13" s="15" customFormat="1" x14ac:dyDescent="0.3">
      <c r="A1962" s="17"/>
      <c r="B1962"/>
      <c r="C1962"/>
      <c r="D1962"/>
      <c r="E1962"/>
      <c r="F1962"/>
      <c r="G1962"/>
      <c r="H1962"/>
      <c r="I1962"/>
      <c r="M1962" s="54"/>
    </row>
    <row r="1963" spans="1:13" s="15" customFormat="1" x14ac:dyDescent="0.3">
      <c r="A1963" s="17"/>
      <c r="B1963"/>
      <c r="C1963"/>
      <c r="D1963"/>
      <c r="E1963"/>
      <c r="F1963"/>
      <c r="G1963"/>
      <c r="H1963"/>
      <c r="I1963"/>
      <c r="M1963" s="54"/>
    </row>
    <row r="1964" spans="1:13" s="15" customFormat="1" x14ac:dyDescent="0.3">
      <c r="A1964" s="17"/>
      <c r="B1964"/>
      <c r="C1964"/>
      <c r="D1964"/>
      <c r="E1964"/>
      <c r="F1964"/>
      <c r="G1964"/>
      <c r="H1964"/>
      <c r="I1964"/>
      <c r="M1964" s="54"/>
    </row>
    <row r="1965" spans="1:13" s="15" customFormat="1" x14ac:dyDescent="0.3">
      <c r="A1965" s="17"/>
      <c r="B1965"/>
      <c r="C1965"/>
      <c r="D1965"/>
      <c r="E1965"/>
      <c r="F1965"/>
      <c r="G1965"/>
      <c r="H1965"/>
      <c r="I1965"/>
      <c r="M1965" s="54"/>
    </row>
    <row r="1966" spans="1:13" s="15" customFormat="1" x14ac:dyDescent="0.3">
      <c r="A1966" s="17"/>
      <c r="B1966"/>
      <c r="C1966"/>
      <c r="D1966"/>
      <c r="E1966"/>
      <c r="F1966"/>
      <c r="G1966"/>
      <c r="H1966"/>
      <c r="I1966"/>
      <c r="M1966" s="54"/>
    </row>
    <row r="1967" spans="1:13" s="15" customFormat="1" x14ac:dyDescent="0.3">
      <c r="A1967" s="17"/>
      <c r="B1967"/>
      <c r="C1967"/>
      <c r="D1967"/>
      <c r="E1967"/>
      <c r="F1967"/>
      <c r="G1967"/>
      <c r="H1967"/>
      <c r="I1967"/>
      <c r="M1967" s="54"/>
    </row>
    <row r="1968" spans="1:13" s="15" customFormat="1" x14ac:dyDescent="0.3">
      <c r="A1968" s="17"/>
      <c r="B1968"/>
      <c r="C1968"/>
      <c r="D1968"/>
      <c r="E1968"/>
      <c r="F1968"/>
      <c r="G1968"/>
      <c r="H1968"/>
      <c r="I1968"/>
      <c r="M1968" s="54"/>
    </row>
    <row r="1969" spans="1:13" s="15" customFormat="1" x14ac:dyDescent="0.3">
      <c r="A1969" s="17"/>
      <c r="B1969"/>
      <c r="C1969"/>
      <c r="D1969"/>
      <c r="E1969"/>
      <c r="F1969"/>
      <c r="G1969"/>
      <c r="H1969"/>
      <c r="I1969"/>
      <c r="M1969" s="54"/>
    </row>
    <row r="1970" spans="1:13" s="15" customFormat="1" x14ac:dyDescent="0.3">
      <c r="A1970" s="17"/>
      <c r="B1970"/>
      <c r="C1970"/>
      <c r="D1970"/>
      <c r="E1970"/>
      <c r="F1970"/>
      <c r="G1970"/>
      <c r="H1970"/>
      <c r="I1970"/>
      <c r="M1970" s="54"/>
    </row>
    <row r="1971" spans="1:13" s="15" customFormat="1" x14ac:dyDescent="0.3">
      <c r="A1971" s="17"/>
      <c r="B1971"/>
      <c r="C1971"/>
      <c r="D1971"/>
      <c r="E1971"/>
      <c r="F1971"/>
      <c r="G1971"/>
      <c r="H1971"/>
      <c r="I1971"/>
      <c r="M1971" s="54"/>
    </row>
    <row r="1972" spans="1:13" s="15" customFormat="1" x14ac:dyDescent="0.3">
      <c r="A1972" s="17"/>
      <c r="B1972"/>
      <c r="C1972"/>
      <c r="D1972"/>
      <c r="E1972"/>
      <c r="F1972"/>
      <c r="G1972"/>
      <c r="H1972"/>
      <c r="I1972"/>
      <c r="M1972" s="54"/>
    </row>
    <row r="1973" spans="1:13" s="15" customFormat="1" x14ac:dyDescent="0.3">
      <c r="A1973" s="17"/>
      <c r="B1973"/>
      <c r="C1973"/>
      <c r="D1973"/>
      <c r="E1973"/>
      <c r="F1973"/>
      <c r="G1973"/>
      <c r="H1973"/>
      <c r="I1973"/>
      <c r="M1973" s="54"/>
    </row>
    <row r="1974" spans="1:13" s="15" customFormat="1" x14ac:dyDescent="0.3">
      <c r="A1974" s="17"/>
      <c r="B1974"/>
      <c r="C1974"/>
      <c r="D1974"/>
      <c r="E1974"/>
      <c r="F1974"/>
      <c r="G1974"/>
      <c r="H1974"/>
      <c r="I1974"/>
      <c r="M1974" s="54"/>
    </row>
    <row r="1975" spans="1:13" s="15" customFormat="1" x14ac:dyDescent="0.3">
      <c r="A1975" s="17"/>
      <c r="B1975"/>
      <c r="C1975"/>
      <c r="D1975"/>
      <c r="E1975"/>
      <c r="F1975"/>
      <c r="G1975"/>
      <c r="H1975"/>
      <c r="I1975"/>
      <c r="M1975" s="54"/>
    </row>
    <row r="1976" spans="1:13" s="15" customFormat="1" x14ac:dyDescent="0.3">
      <c r="A1976" s="17"/>
      <c r="B1976"/>
      <c r="C1976"/>
      <c r="D1976"/>
      <c r="E1976"/>
      <c r="F1976"/>
      <c r="G1976"/>
      <c r="H1976"/>
      <c r="I1976"/>
      <c r="M1976" s="54"/>
    </row>
    <row r="1977" spans="1:13" s="15" customFormat="1" x14ac:dyDescent="0.3">
      <c r="A1977" s="17"/>
      <c r="B1977"/>
      <c r="C1977"/>
      <c r="D1977"/>
      <c r="E1977"/>
      <c r="F1977"/>
      <c r="G1977"/>
      <c r="H1977"/>
      <c r="I1977"/>
      <c r="M1977" s="54"/>
    </row>
    <row r="1978" spans="1:13" s="15" customFormat="1" x14ac:dyDescent="0.3">
      <c r="A1978" s="17"/>
      <c r="B1978"/>
      <c r="C1978"/>
      <c r="D1978"/>
      <c r="E1978"/>
      <c r="F1978"/>
      <c r="G1978"/>
      <c r="H1978"/>
      <c r="I1978"/>
      <c r="M1978" s="54"/>
    </row>
    <row r="1979" spans="1:13" s="15" customFormat="1" x14ac:dyDescent="0.3">
      <c r="A1979" s="17"/>
      <c r="B1979"/>
      <c r="C1979"/>
      <c r="D1979"/>
      <c r="E1979"/>
      <c r="F1979"/>
      <c r="G1979"/>
      <c r="H1979"/>
      <c r="I1979"/>
      <c r="M1979" s="54"/>
    </row>
    <row r="1980" spans="1:13" s="15" customFormat="1" x14ac:dyDescent="0.3">
      <c r="A1980" s="17"/>
      <c r="B1980"/>
      <c r="C1980"/>
      <c r="D1980"/>
      <c r="E1980"/>
      <c r="F1980"/>
      <c r="G1980"/>
      <c r="H1980"/>
      <c r="I1980"/>
      <c r="M1980" s="54"/>
    </row>
    <row r="1981" spans="1:13" s="15" customFormat="1" x14ac:dyDescent="0.3">
      <c r="A1981" s="17"/>
      <c r="B1981"/>
      <c r="C1981"/>
      <c r="D1981"/>
      <c r="E1981"/>
      <c r="F1981"/>
      <c r="G1981"/>
      <c r="H1981"/>
      <c r="I1981"/>
      <c r="M1981" s="54"/>
    </row>
    <row r="1982" spans="1:13" s="15" customFormat="1" x14ac:dyDescent="0.3">
      <c r="A1982" s="17"/>
      <c r="B1982"/>
      <c r="C1982"/>
      <c r="D1982"/>
      <c r="E1982"/>
      <c r="F1982"/>
      <c r="G1982"/>
      <c r="H1982"/>
      <c r="I1982"/>
      <c r="M1982" s="54"/>
    </row>
    <row r="1983" spans="1:13" s="15" customFormat="1" x14ac:dyDescent="0.3">
      <c r="A1983" s="17"/>
      <c r="B1983"/>
      <c r="C1983"/>
      <c r="D1983"/>
      <c r="E1983"/>
      <c r="F1983"/>
      <c r="G1983"/>
      <c r="H1983"/>
      <c r="I1983"/>
      <c r="M1983" s="54"/>
    </row>
    <row r="1984" spans="1:13" s="15" customFormat="1" x14ac:dyDescent="0.3">
      <c r="A1984" s="17"/>
      <c r="B1984"/>
      <c r="C1984"/>
      <c r="D1984"/>
      <c r="E1984"/>
      <c r="F1984"/>
      <c r="G1984"/>
      <c r="H1984"/>
      <c r="I1984"/>
      <c r="M1984" s="54"/>
    </row>
    <row r="1985" spans="1:13" s="15" customFormat="1" x14ac:dyDescent="0.3">
      <c r="A1985" s="17"/>
      <c r="B1985"/>
      <c r="C1985"/>
      <c r="D1985"/>
      <c r="E1985"/>
      <c r="F1985"/>
      <c r="G1985"/>
      <c r="H1985"/>
      <c r="I1985"/>
      <c r="M1985" s="54"/>
    </row>
    <row r="1986" spans="1:13" s="15" customFormat="1" x14ac:dyDescent="0.3">
      <c r="A1986" s="17"/>
      <c r="B1986"/>
      <c r="C1986"/>
      <c r="D1986"/>
      <c r="E1986"/>
      <c r="F1986"/>
      <c r="G1986"/>
      <c r="H1986"/>
      <c r="I1986"/>
      <c r="M1986" s="54"/>
    </row>
    <row r="1987" spans="1:13" s="15" customFormat="1" x14ac:dyDescent="0.3">
      <c r="A1987" s="17"/>
      <c r="B1987"/>
      <c r="C1987"/>
      <c r="D1987"/>
      <c r="E1987"/>
      <c r="F1987"/>
      <c r="G1987"/>
      <c r="H1987"/>
      <c r="I1987"/>
      <c r="M1987" s="54"/>
    </row>
    <row r="1988" spans="1:13" s="15" customFormat="1" x14ac:dyDescent="0.3">
      <c r="A1988" s="17"/>
      <c r="B1988"/>
      <c r="C1988"/>
      <c r="D1988"/>
      <c r="E1988"/>
      <c r="F1988"/>
      <c r="G1988"/>
      <c r="H1988"/>
      <c r="I1988"/>
      <c r="M1988" s="54"/>
    </row>
    <row r="1989" spans="1:13" s="15" customFormat="1" x14ac:dyDescent="0.3">
      <c r="A1989" s="17"/>
      <c r="B1989"/>
      <c r="C1989"/>
      <c r="D1989"/>
      <c r="E1989"/>
      <c r="F1989"/>
      <c r="G1989"/>
      <c r="H1989"/>
      <c r="I1989"/>
      <c r="M1989" s="54"/>
    </row>
    <row r="1990" spans="1:13" s="15" customFormat="1" x14ac:dyDescent="0.3">
      <c r="A1990" s="17"/>
      <c r="B1990"/>
      <c r="C1990"/>
      <c r="D1990"/>
      <c r="E1990"/>
      <c r="F1990"/>
      <c r="G1990"/>
      <c r="H1990"/>
      <c r="I1990"/>
      <c r="M1990" s="54"/>
    </row>
    <row r="1991" spans="1:13" s="15" customFormat="1" x14ac:dyDescent="0.3">
      <c r="A1991" s="17"/>
      <c r="B1991"/>
      <c r="C1991"/>
      <c r="D1991"/>
      <c r="E1991"/>
      <c r="F1991"/>
      <c r="G1991"/>
      <c r="H1991"/>
      <c r="I1991"/>
      <c r="M1991" s="54"/>
    </row>
    <row r="1992" spans="1:13" s="15" customFormat="1" x14ac:dyDescent="0.3">
      <c r="A1992" s="17"/>
      <c r="B1992"/>
      <c r="C1992"/>
      <c r="D1992"/>
      <c r="E1992"/>
      <c r="F1992"/>
      <c r="G1992"/>
      <c r="H1992"/>
      <c r="I1992"/>
      <c r="M1992" s="54"/>
    </row>
    <row r="1993" spans="1:13" s="15" customFormat="1" x14ac:dyDescent="0.3">
      <c r="A1993" s="17"/>
      <c r="B1993"/>
      <c r="C1993"/>
      <c r="D1993"/>
      <c r="E1993"/>
      <c r="F1993"/>
      <c r="G1993"/>
      <c r="H1993"/>
      <c r="I1993"/>
      <c r="M1993" s="54"/>
    </row>
    <row r="1994" spans="1:13" s="15" customFormat="1" x14ac:dyDescent="0.3">
      <c r="A1994" s="17"/>
      <c r="B1994"/>
      <c r="C1994"/>
      <c r="D1994"/>
      <c r="E1994"/>
      <c r="F1994"/>
      <c r="G1994"/>
      <c r="H1994"/>
      <c r="I1994"/>
      <c r="M1994" s="54"/>
    </row>
    <row r="1995" spans="1:13" s="15" customFormat="1" x14ac:dyDescent="0.3">
      <c r="A1995" s="17"/>
      <c r="B1995"/>
      <c r="C1995"/>
      <c r="D1995"/>
      <c r="E1995"/>
      <c r="F1995"/>
      <c r="G1995"/>
      <c r="H1995"/>
      <c r="I1995"/>
      <c r="M1995" s="54"/>
    </row>
    <row r="1996" spans="1:13" s="15" customFormat="1" x14ac:dyDescent="0.3">
      <c r="A1996" s="17"/>
      <c r="B1996"/>
      <c r="C1996"/>
      <c r="D1996"/>
      <c r="E1996"/>
      <c r="F1996"/>
      <c r="G1996"/>
      <c r="H1996"/>
      <c r="I1996"/>
      <c r="M1996" s="54"/>
    </row>
    <row r="1997" spans="1:13" s="15" customFormat="1" x14ac:dyDescent="0.3">
      <c r="A1997" s="17"/>
      <c r="B1997"/>
      <c r="C1997"/>
      <c r="D1997"/>
      <c r="E1997"/>
      <c r="F1997"/>
      <c r="G1997"/>
      <c r="H1997"/>
      <c r="I1997"/>
      <c r="M1997" s="54"/>
    </row>
    <row r="1998" spans="1:13" s="15" customFormat="1" x14ac:dyDescent="0.3">
      <c r="A1998" s="17"/>
      <c r="B1998"/>
      <c r="C1998"/>
      <c r="D1998"/>
      <c r="E1998"/>
      <c r="F1998"/>
      <c r="G1998"/>
      <c r="H1998"/>
      <c r="I1998"/>
      <c r="M1998" s="54"/>
    </row>
    <row r="1999" spans="1:13" s="15" customFormat="1" x14ac:dyDescent="0.3">
      <c r="A1999" s="17"/>
      <c r="B1999"/>
      <c r="C1999"/>
      <c r="D1999"/>
      <c r="E1999"/>
      <c r="F1999"/>
      <c r="G1999"/>
      <c r="H1999"/>
      <c r="I1999"/>
      <c r="M1999" s="54"/>
    </row>
    <row r="2000" spans="1:13" s="15" customFormat="1" x14ac:dyDescent="0.3">
      <c r="A2000" s="17"/>
      <c r="B2000"/>
      <c r="C2000"/>
      <c r="D2000"/>
      <c r="E2000"/>
      <c r="F2000"/>
      <c r="G2000"/>
      <c r="H2000"/>
      <c r="I2000"/>
      <c r="M2000" s="54"/>
    </row>
    <row r="2001" spans="1:13" s="15" customFormat="1" x14ac:dyDescent="0.3">
      <c r="A2001" s="17"/>
      <c r="B2001"/>
      <c r="C2001"/>
      <c r="D2001"/>
      <c r="E2001"/>
      <c r="F2001"/>
      <c r="G2001"/>
      <c r="H2001"/>
      <c r="I2001"/>
      <c r="M2001" s="54"/>
    </row>
    <row r="2002" spans="1:13" s="15" customFormat="1" x14ac:dyDescent="0.3">
      <c r="A2002" s="17"/>
      <c r="B2002"/>
      <c r="C2002"/>
      <c r="D2002"/>
      <c r="E2002"/>
      <c r="F2002"/>
      <c r="G2002"/>
      <c r="H2002"/>
      <c r="I2002"/>
      <c r="M2002" s="54"/>
    </row>
    <row r="2003" spans="1:13" s="15" customFormat="1" x14ac:dyDescent="0.3">
      <c r="A2003" s="17"/>
      <c r="B2003"/>
      <c r="C2003"/>
      <c r="D2003"/>
      <c r="E2003"/>
      <c r="F2003"/>
      <c r="G2003"/>
      <c r="H2003"/>
      <c r="I2003"/>
      <c r="M2003" s="54"/>
    </row>
    <row r="2004" spans="1:13" s="15" customFormat="1" x14ac:dyDescent="0.3">
      <c r="A2004" s="17"/>
      <c r="B2004"/>
      <c r="C2004"/>
      <c r="D2004"/>
      <c r="E2004"/>
      <c r="F2004"/>
      <c r="G2004"/>
      <c r="H2004"/>
      <c r="I2004"/>
      <c r="M2004" s="54"/>
    </row>
    <row r="2005" spans="1:13" s="15" customFormat="1" x14ac:dyDescent="0.3">
      <c r="A2005" s="17"/>
      <c r="B2005"/>
      <c r="C2005"/>
      <c r="D2005"/>
      <c r="E2005"/>
      <c r="F2005"/>
      <c r="G2005"/>
      <c r="H2005"/>
      <c r="I2005"/>
      <c r="M2005" s="54"/>
    </row>
    <row r="2006" spans="1:13" s="15" customFormat="1" x14ac:dyDescent="0.3">
      <c r="A2006" s="17"/>
      <c r="B2006"/>
      <c r="C2006"/>
      <c r="D2006"/>
      <c r="E2006"/>
      <c r="F2006"/>
      <c r="G2006"/>
      <c r="H2006"/>
      <c r="I2006"/>
      <c r="M2006" s="54"/>
    </row>
    <row r="2007" spans="1:13" s="15" customFormat="1" x14ac:dyDescent="0.3">
      <c r="A2007" s="17"/>
      <c r="B2007"/>
      <c r="C2007"/>
      <c r="D2007"/>
      <c r="E2007"/>
      <c r="F2007"/>
      <c r="G2007"/>
      <c r="H2007"/>
      <c r="I2007"/>
      <c r="M2007" s="54"/>
    </row>
    <row r="2008" spans="1:13" s="15" customFormat="1" x14ac:dyDescent="0.3">
      <c r="A2008" s="17"/>
      <c r="B2008"/>
      <c r="C2008"/>
      <c r="D2008"/>
      <c r="E2008"/>
      <c r="F2008"/>
      <c r="G2008"/>
      <c r="H2008"/>
      <c r="I2008"/>
      <c r="M2008" s="54"/>
    </row>
    <row r="2009" spans="1:13" s="15" customFormat="1" x14ac:dyDescent="0.3">
      <c r="A2009" s="17"/>
      <c r="B2009"/>
      <c r="C2009"/>
      <c r="D2009"/>
      <c r="E2009"/>
      <c r="F2009"/>
      <c r="G2009"/>
      <c r="H2009"/>
      <c r="I2009"/>
      <c r="M2009" s="54"/>
    </row>
    <row r="2010" spans="1:13" s="15" customFormat="1" x14ac:dyDescent="0.3">
      <c r="A2010" s="17"/>
      <c r="B2010"/>
      <c r="C2010"/>
      <c r="D2010"/>
      <c r="E2010"/>
      <c r="F2010"/>
      <c r="G2010"/>
      <c r="H2010"/>
      <c r="I2010"/>
      <c r="M2010" s="54"/>
    </row>
    <row r="2011" spans="1:13" s="15" customFormat="1" x14ac:dyDescent="0.3">
      <c r="A2011" s="17"/>
      <c r="B2011"/>
      <c r="C2011"/>
      <c r="D2011"/>
      <c r="E2011"/>
      <c r="F2011"/>
      <c r="G2011"/>
      <c r="H2011"/>
      <c r="I2011"/>
      <c r="M2011" s="54"/>
    </row>
    <row r="2012" spans="1:13" s="15" customFormat="1" x14ac:dyDescent="0.3">
      <c r="A2012" s="17"/>
      <c r="B2012"/>
      <c r="C2012"/>
      <c r="D2012"/>
      <c r="E2012"/>
      <c r="F2012"/>
      <c r="G2012"/>
      <c r="H2012"/>
      <c r="I2012"/>
      <c r="M2012" s="54"/>
    </row>
    <row r="2013" spans="1:13" s="15" customFormat="1" x14ac:dyDescent="0.3">
      <c r="A2013" s="17"/>
      <c r="B2013"/>
      <c r="C2013"/>
      <c r="D2013"/>
      <c r="E2013"/>
      <c r="F2013"/>
      <c r="G2013"/>
      <c r="H2013"/>
      <c r="I2013"/>
      <c r="M2013" s="54"/>
    </row>
    <row r="2014" spans="1:13" s="15" customFormat="1" x14ac:dyDescent="0.3">
      <c r="A2014" s="17"/>
      <c r="B2014"/>
      <c r="C2014"/>
      <c r="D2014"/>
      <c r="E2014"/>
      <c r="F2014"/>
      <c r="G2014"/>
      <c r="H2014"/>
      <c r="I2014"/>
      <c r="M2014" s="54"/>
    </row>
    <row r="2015" spans="1:13" s="15" customFormat="1" x14ac:dyDescent="0.3">
      <c r="A2015" s="17"/>
      <c r="B2015"/>
      <c r="C2015"/>
      <c r="D2015"/>
      <c r="E2015"/>
      <c r="F2015"/>
      <c r="G2015"/>
      <c r="H2015"/>
      <c r="I2015"/>
      <c r="M2015" s="54"/>
    </row>
    <row r="2016" spans="1:13" s="15" customFormat="1" x14ac:dyDescent="0.3">
      <c r="A2016" s="17"/>
      <c r="B2016"/>
      <c r="C2016"/>
      <c r="D2016"/>
      <c r="E2016"/>
      <c r="F2016"/>
      <c r="G2016"/>
      <c r="H2016"/>
      <c r="I2016"/>
      <c r="M2016" s="54"/>
    </row>
    <row r="2017" spans="1:13" s="15" customFormat="1" x14ac:dyDescent="0.3">
      <c r="A2017" s="17"/>
      <c r="B2017"/>
      <c r="C2017"/>
      <c r="D2017"/>
      <c r="E2017"/>
      <c r="F2017"/>
      <c r="G2017"/>
      <c r="H2017"/>
      <c r="I2017"/>
      <c r="M2017" s="54"/>
    </row>
    <row r="2018" spans="1:13" s="15" customFormat="1" x14ac:dyDescent="0.3">
      <c r="A2018" s="17"/>
      <c r="B2018"/>
      <c r="C2018"/>
      <c r="D2018"/>
      <c r="E2018"/>
      <c r="F2018"/>
      <c r="G2018"/>
      <c r="H2018"/>
      <c r="I2018"/>
      <c r="M2018" s="54"/>
    </row>
    <row r="2019" spans="1:13" s="15" customFormat="1" x14ac:dyDescent="0.3">
      <c r="A2019" s="17"/>
      <c r="B2019"/>
      <c r="C2019"/>
      <c r="D2019"/>
      <c r="E2019"/>
      <c r="F2019"/>
      <c r="G2019"/>
      <c r="H2019"/>
      <c r="I2019"/>
      <c r="M2019" s="54"/>
    </row>
    <row r="2020" spans="1:13" s="15" customFormat="1" x14ac:dyDescent="0.3">
      <c r="A2020" s="17"/>
      <c r="B2020"/>
      <c r="C2020"/>
      <c r="D2020"/>
      <c r="E2020"/>
      <c r="F2020"/>
      <c r="G2020"/>
      <c r="H2020"/>
      <c r="I2020"/>
      <c r="M2020" s="54"/>
    </row>
    <row r="2021" spans="1:13" s="15" customFormat="1" x14ac:dyDescent="0.3">
      <c r="A2021" s="17"/>
      <c r="B2021"/>
      <c r="C2021"/>
      <c r="D2021"/>
      <c r="E2021"/>
      <c r="F2021"/>
      <c r="G2021"/>
      <c r="H2021"/>
      <c r="I2021"/>
      <c r="M2021" s="54"/>
    </row>
    <row r="2022" spans="1:13" s="15" customFormat="1" x14ac:dyDescent="0.3">
      <c r="A2022" s="17"/>
      <c r="B2022"/>
      <c r="C2022"/>
      <c r="D2022"/>
      <c r="E2022"/>
      <c r="F2022"/>
      <c r="G2022"/>
      <c r="H2022"/>
      <c r="I2022"/>
      <c r="M2022" s="54"/>
    </row>
    <row r="2023" spans="1:13" s="15" customFormat="1" x14ac:dyDescent="0.3">
      <c r="A2023" s="17"/>
      <c r="B2023"/>
      <c r="C2023"/>
      <c r="D2023"/>
      <c r="E2023"/>
      <c r="F2023"/>
      <c r="G2023"/>
      <c r="H2023"/>
      <c r="I2023"/>
      <c r="M2023" s="54"/>
    </row>
    <row r="2024" spans="1:13" s="15" customFormat="1" x14ac:dyDescent="0.3">
      <c r="A2024" s="17"/>
      <c r="B2024"/>
      <c r="C2024"/>
      <c r="D2024"/>
      <c r="E2024"/>
      <c r="F2024"/>
      <c r="G2024"/>
      <c r="H2024"/>
      <c r="I2024"/>
      <c r="M2024" s="54"/>
    </row>
    <row r="2025" spans="1:13" s="15" customFormat="1" x14ac:dyDescent="0.3">
      <c r="A2025" s="17"/>
      <c r="B2025"/>
      <c r="C2025"/>
      <c r="D2025"/>
      <c r="E2025"/>
      <c r="F2025"/>
      <c r="G2025"/>
      <c r="H2025"/>
      <c r="I2025"/>
      <c r="M2025" s="54"/>
    </row>
    <row r="2026" spans="1:13" s="15" customFormat="1" x14ac:dyDescent="0.3">
      <c r="A2026" s="17"/>
      <c r="B2026"/>
      <c r="C2026"/>
      <c r="D2026"/>
      <c r="E2026"/>
      <c r="F2026"/>
      <c r="G2026"/>
      <c r="H2026"/>
      <c r="I2026"/>
      <c r="M2026" s="54"/>
    </row>
    <row r="2027" spans="1:13" s="15" customFormat="1" x14ac:dyDescent="0.3">
      <c r="A2027" s="17"/>
      <c r="B2027"/>
      <c r="C2027"/>
      <c r="D2027"/>
      <c r="E2027"/>
      <c r="F2027"/>
      <c r="G2027"/>
      <c r="H2027"/>
      <c r="I2027"/>
      <c r="M2027" s="54"/>
    </row>
    <row r="2028" spans="1:13" s="15" customFormat="1" x14ac:dyDescent="0.3">
      <c r="A2028" s="17"/>
      <c r="B2028"/>
      <c r="C2028"/>
      <c r="D2028"/>
      <c r="E2028"/>
      <c r="F2028"/>
      <c r="G2028"/>
      <c r="H2028"/>
      <c r="I2028"/>
      <c r="M2028" s="54"/>
    </row>
    <row r="2029" spans="1:13" s="15" customFormat="1" x14ac:dyDescent="0.3">
      <c r="A2029" s="17"/>
      <c r="B2029"/>
      <c r="C2029"/>
      <c r="D2029"/>
      <c r="E2029"/>
      <c r="F2029"/>
      <c r="G2029"/>
      <c r="H2029"/>
      <c r="I2029"/>
      <c r="M2029" s="54"/>
    </row>
    <row r="2030" spans="1:13" s="15" customFormat="1" x14ac:dyDescent="0.3">
      <c r="A2030" s="17"/>
      <c r="B2030"/>
      <c r="C2030"/>
      <c r="D2030"/>
      <c r="E2030"/>
      <c r="F2030"/>
      <c r="G2030"/>
      <c r="H2030"/>
      <c r="I2030"/>
      <c r="M2030" s="54"/>
    </row>
    <row r="2031" spans="1:13" s="15" customFormat="1" x14ac:dyDescent="0.3">
      <c r="A2031" s="17"/>
      <c r="B2031"/>
      <c r="C2031"/>
      <c r="D2031"/>
      <c r="E2031"/>
      <c r="F2031"/>
      <c r="G2031"/>
      <c r="H2031"/>
      <c r="I2031"/>
      <c r="M2031" s="54"/>
    </row>
    <row r="2032" spans="1:13" s="15" customFormat="1" x14ac:dyDescent="0.3">
      <c r="A2032" s="17"/>
      <c r="B2032"/>
      <c r="C2032"/>
      <c r="D2032"/>
      <c r="E2032"/>
      <c r="F2032"/>
      <c r="G2032"/>
      <c r="H2032"/>
      <c r="I2032"/>
      <c r="M2032" s="54"/>
    </row>
    <row r="2033" spans="1:13" s="15" customFormat="1" x14ac:dyDescent="0.3">
      <c r="A2033" s="17"/>
      <c r="B2033"/>
      <c r="C2033"/>
      <c r="D2033"/>
      <c r="E2033"/>
      <c r="F2033"/>
      <c r="G2033"/>
      <c r="H2033"/>
      <c r="I2033"/>
      <c r="M2033" s="54"/>
    </row>
    <row r="2034" spans="1:13" s="15" customFormat="1" x14ac:dyDescent="0.3">
      <c r="A2034" s="17"/>
      <c r="B2034"/>
      <c r="C2034"/>
      <c r="D2034"/>
      <c r="E2034"/>
      <c r="F2034"/>
      <c r="G2034"/>
      <c r="H2034"/>
      <c r="I2034"/>
      <c r="M2034" s="54"/>
    </row>
    <row r="2035" spans="1:13" s="15" customFormat="1" x14ac:dyDescent="0.3">
      <c r="A2035" s="17"/>
      <c r="B2035"/>
      <c r="C2035"/>
      <c r="D2035"/>
      <c r="E2035"/>
      <c r="F2035"/>
      <c r="G2035"/>
      <c r="H2035"/>
      <c r="I2035"/>
      <c r="M2035" s="54"/>
    </row>
    <row r="2036" spans="1:13" s="15" customFormat="1" x14ac:dyDescent="0.3">
      <c r="A2036" s="17"/>
      <c r="B2036"/>
      <c r="C2036"/>
      <c r="D2036"/>
      <c r="E2036"/>
      <c r="F2036"/>
      <c r="G2036"/>
      <c r="H2036"/>
      <c r="I2036"/>
      <c r="M2036" s="54"/>
    </row>
    <row r="2037" spans="1:13" s="15" customFormat="1" x14ac:dyDescent="0.3">
      <c r="A2037" s="17"/>
      <c r="B2037"/>
      <c r="C2037"/>
      <c r="D2037"/>
      <c r="E2037"/>
      <c r="F2037"/>
      <c r="G2037"/>
      <c r="H2037"/>
      <c r="I2037"/>
      <c r="M2037" s="54"/>
    </row>
    <row r="2038" spans="1:13" s="15" customFormat="1" x14ac:dyDescent="0.3">
      <c r="A2038" s="17"/>
      <c r="B2038"/>
      <c r="C2038"/>
      <c r="D2038"/>
      <c r="E2038"/>
      <c r="F2038"/>
      <c r="G2038"/>
      <c r="H2038"/>
      <c r="I2038"/>
      <c r="M2038" s="54"/>
    </row>
    <row r="2039" spans="1:13" s="15" customFormat="1" x14ac:dyDescent="0.3">
      <c r="A2039" s="17"/>
      <c r="B2039"/>
      <c r="C2039"/>
      <c r="D2039"/>
      <c r="E2039"/>
      <c r="F2039"/>
      <c r="G2039"/>
      <c r="H2039"/>
      <c r="I2039"/>
      <c r="M2039" s="54"/>
    </row>
    <row r="2040" spans="1:13" s="15" customFormat="1" x14ac:dyDescent="0.3">
      <c r="A2040" s="17"/>
      <c r="B2040"/>
      <c r="C2040"/>
      <c r="D2040"/>
      <c r="E2040"/>
      <c r="F2040"/>
      <c r="G2040"/>
      <c r="H2040"/>
      <c r="I2040"/>
      <c r="M2040" s="54"/>
    </row>
    <row r="2041" spans="1:13" s="15" customFormat="1" x14ac:dyDescent="0.3">
      <c r="A2041" s="17"/>
      <c r="B2041"/>
      <c r="C2041"/>
      <c r="D2041"/>
      <c r="E2041"/>
      <c r="F2041"/>
      <c r="G2041"/>
      <c r="H2041"/>
      <c r="I2041"/>
      <c r="M2041" s="54"/>
    </row>
    <row r="2042" spans="1:13" s="15" customFormat="1" x14ac:dyDescent="0.3">
      <c r="A2042" s="17"/>
      <c r="B2042"/>
      <c r="C2042"/>
      <c r="D2042"/>
      <c r="E2042"/>
      <c r="F2042"/>
      <c r="G2042"/>
      <c r="H2042"/>
      <c r="I2042"/>
      <c r="M2042" s="54"/>
    </row>
    <row r="2043" spans="1:13" s="15" customFormat="1" x14ac:dyDescent="0.3">
      <c r="A2043" s="17"/>
      <c r="B2043"/>
      <c r="C2043"/>
      <c r="D2043"/>
      <c r="E2043"/>
      <c r="F2043"/>
      <c r="G2043"/>
      <c r="H2043"/>
      <c r="I2043"/>
      <c r="M2043" s="54"/>
    </row>
    <row r="2044" spans="1:13" s="15" customFormat="1" x14ac:dyDescent="0.3">
      <c r="A2044" s="17"/>
      <c r="B2044"/>
      <c r="C2044"/>
      <c r="D2044"/>
      <c r="E2044"/>
      <c r="F2044"/>
      <c r="G2044"/>
      <c r="H2044"/>
      <c r="I2044"/>
      <c r="M2044" s="54"/>
    </row>
    <row r="2045" spans="1:13" s="15" customFormat="1" x14ac:dyDescent="0.3">
      <c r="A2045" s="17"/>
      <c r="B2045"/>
      <c r="C2045"/>
      <c r="D2045"/>
      <c r="E2045"/>
      <c r="F2045"/>
      <c r="G2045"/>
      <c r="H2045"/>
      <c r="I2045"/>
      <c r="M2045" s="54"/>
    </row>
    <row r="2046" spans="1:13" s="15" customFormat="1" x14ac:dyDescent="0.3">
      <c r="A2046" s="17"/>
      <c r="B2046"/>
      <c r="C2046"/>
      <c r="D2046"/>
      <c r="E2046"/>
      <c r="F2046"/>
      <c r="G2046"/>
      <c r="H2046"/>
      <c r="I2046"/>
      <c r="M2046" s="54"/>
    </row>
    <row r="2047" spans="1:13" s="15" customFormat="1" x14ac:dyDescent="0.3">
      <c r="A2047" s="17"/>
      <c r="B2047"/>
      <c r="C2047"/>
      <c r="D2047"/>
      <c r="E2047"/>
      <c r="F2047"/>
      <c r="G2047"/>
      <c r="H2047"/>
      <c r="I2047"/>
      <c r="M2047" s="54"/>
    </row>
    <row r="2048" spans="1:13" s="15" customFormat="1" x14ac:dyDescent="0.3">
      <c r="A2048" s="17"/>
      <c r="B2048"/>
      <c r="C2048"/>
      <c r="D2048"/>
      <c r="E2048"/>
      <c r="F2048"/>
      <c r="G2048"/>
      <c r="H2048"/>
      <c r="I2048"/>
      <c r="M2048" s="54"/>
    </row>
    <row r="2049" spans="1:13" s="15" customFormat="1" x14ac:dyDescent="0.3">
      <c r="A2049" s="17"/>
      <c r="B2049"/>
      <c r="C2049"/>
      <c r="D2049"/>
      <c r="E2049"/>
      <c r="F2049"/>
      <c r="G2049"/>
      <c r="H2049"/>
      <c r="I2049"/>
      <c r="M2049" s="54"/>
    </row>
    <row r="2050" spans="1:13" s="15" customFormat="1" x14ac:dyDescent="0.3">
      <c r="A2050" s="17"/>
      <c r="B2050"/>
      <c r="C2050"/>
      <c r="D2050"/>
      <c r="E2050"/>
      <c r="F2050"/>
      <c r="G2050"/>
      <c r="H2050"/>
      <c r="I2050"/>
      <c r="M2050" s="54"/>
    </row>
    <row r="2051" spans="1:13" s="15" customFormat="1" x14ac:dyDescent="0.3">
      <c r="A2051" s="17"/>
      <c r="B2051"/>
      <c r="C2051"/>
      <c r="D2051"/>
      <c r="E2051"/>
      <c r="F2051"/>
      <c r="G2051"/>
      <c r="H2051"/>
      <c r="I2051"/>
      <c r="M2051" s="54"/>
    </row>
    <row r="2052" spans="1:13" s="15" customFormat="1" x14ac:dyDescent="0.3">
      <c r="A2052" s="17"/>
      <c r="B2052"/>
      <c r="C2052"/>
      <c r="D2052"/>
      <c r="E2052"/>
      <c r="F2052"/>
      <c r="G2052"/>
      <c r="H2052"/>
      <c r="I2052"/>
      <c r="M2052" s="54"/>
    </row>
    <row r="2053" spans="1:13" s="15" customFormat="1" x14ac:dyDescent="0.3">
      <c r="A2053" s="17"/>
      <c r="B2053"/>
      <c r="C2053"/>
      <c r="D2053"/>
      <c r="E2053"/>
      <c r="F2053"/>
      <c r="G2053"/>
      <c r="H2053"/>
      <c r="I2053"/>
      <c r="M2053" s="54"/>
    </row>
    <row r="2054" spans="1:13" s="15" customFormat="1" x14ac:dyDescent="0.3">
      <c r="A2054" s="17"/>
      <c r="B2054"/>
      <c r="C2054"/>
      <c r="D2054"/>
      <c r="E2054"/>
      <c r="F2054"/>
      <c r="G2054"/>
      <c r="H2054"/>
      <c r="I2054"/>
      <c r="M2054" s="54"/>
    </row>
    <row r="2055" spans="1:13" s="15" customFormat="1" x14ac:dyDescent="0.3">
      <c r="A2055" s="17"/>
      <c r="B2055"/>
      <c r="C2055"/>
      <c r="D2055"/>
      <c r="E2055"/>
      <c r="F2055"/>
      <c r="G2055"/>
      <c r="H2055"/>
      <c r="I2055"/>
      <c r="M2055" s="54"/>
    </row>
    <row r="2056" spans="1:13" s="15" customFormat="1" x14ac:dyDescent="0.3">
      <c r="A2056" s="17"/>
      <c r="B2056"/>
      <c r="C2056"/>
      <c r="D2056"/>
      <c r="E2056"/>
      <c r="F2056"/>
      <c r="G2056"/>
      <c r="H2056"/>
      <c r="I2056"/>
      <c r="M2056" s="54"/>
    </row>
    <row r="2057" spans="1:13" s="15" customFormat="1" x14ac:dyDescent="0.3">
      <c r="A2057" s="17"/>
      <c r="B2057"/>
      <c r="C2057"/>
      <c r="D2057"/>
      <c r="E2057"/>
      <c r="F2057"/>
      <c r="G2057"/>
      <c r="H2057"/>
      <c r="I2057"/>
      <c r="M2057" s="54"/>
    </row>
    <row r="2058" spans="1:13" s="15" customFormat="1" x14ac:dyDescent="0.3">
      <c r="A2058" s="17"/>
      <c r="B2058"/>
      <c r="C2058"/>
      <c r="D2058"/>
      <c r="E2058"/>
      <c r="F2058"/>
      <c r="G2058"/>
      <c r="H2058"/>
      <c r="I2058"/>
      <c r="M2058" s="54"/>
    </row>
    <row r="2059" spans="1:13" s="15" customFormat="1" x14ac:dyDescent="0.3">
      <c r="A2059" s="17"/>
      <c r="B2059"/>
      <c r="C2059"/>
      <c r="D2059"/>
      <c r="E2059"/>
      <c r="F2059"/>
      <c r="G2059"/>
      <c r="H2059"/>
      <c r="I2059"/>
      <c r="M2059" s="54"/>
    </row>
    <row r="2060" spans="1:13" s="15" customFormat="1" x14ac:dyDescent="0.3">
      <c r="A2060" s="17"/>
      <c r="B2060"/>
      <c r="C2060"/>
      <c r="D2060"/>
      <c r="E2060"/>
      <c r="F2060"/>
      <c r="G2060"/>
      <c r="H2060"/>
      <c r="I2060"/>
      <c r="M2060" s="54"/>
    </row>
    <row r="2061" spans="1:13" s="15" customFormat="1" x14ac:dyDescent="0.3">
      <c r="A2061" s="17"/>
      <c r="B2061"/>
      <c r="C2061"/>
      <c r="D2061"/>
      <c r="E2061"/>
      <c r="F2061"/>
      <c r="G2061"/>
      <c r="H2061"/>
      <c r="I2061"/>
      <c r="M2061" s="54"/>
    </row>
    <row r="2062" spans="1:13" s="15" customFormat="1" x14ac:dyDescent="0.3">
      <c r="A2062" s="17"/>
      <c r="B2062"/>
      <c r="C2062"/>
      <c r="D2062"/>
      <c r="E2062"/>
      <c r="F2062"/>
      <c r="G2062"/>
      <c r="H2062"/>
      <c r="I2062"/>
      <c r="M2062" s="54"/>
    </row>
    <row r="2063" spans="1:13" s="15" customFormat="1" x14ac:dyDescent="0.3">
      <c r="A2063" s="17"/>
      <c r="B2063"/>
      <c r="C2063"/>
      <c r="D2063"/>
      <c r="E2063"/>
      <c r="F2063"/>
      <c r="G2063"/>
      <c r="H2063"/>
      <c r="I2063"/>
      <c r="M2063" s="54"/>
    </row>
    <row r="2064" spans="1:13" s="15" customFormat="1" x14ac:dyDescent="0.3">
      <c r="A2064" s="17"/>
      <c r="B2064"/>
      <c r="C2064"/>
      <c r="D2064"/>
      <c r="E2064"/>
      <c r="F2064"/>
      <c r="G2064"/>
      <c r="H2064"/>
      <c r="I2064"/>
      <c r="M2064" s="54"/>
    </row>
    <row r="2065" spans="1:13" s="15" customFormat="1" x14ac:dyDescent="0.3">
      <c r="A2065" s="17"/>
      <c r="B2065"/>
      <c r="C2065"/>
      <c r="D2065"/>
      <c r="E2065"/>
      <c r="F2065"/>
      <c r="G2065"/>
      <c r="H2065"/>
      <c r="I2065"/>
      <c r="M2065" s="54"/>
    </row>
    <row r="2066" spans="1:13" s="15" customFormat="1" x14ac:dyDescent="0.3">
      <c r="A2066" s="17"/>
      <c r="B2066"/>
      <c r="C2066"/>
      <c r="D2066"/>
      <c r="E2066"/>
      <c r="F2066"/>
      <c r="G2066"/>
      <c r="H2066"/>
      <c r="I2066"/>
      <c r="M2066" s="54"/>
    </row>
    <row r="2067" spans="1:13" s="15" customFormat="1" x14ac:dyDescent="0.3">
      <c r="A2067" s="17"/>
      <c r="B2067"/>
      <c r="C2067"/>
      <c r="D2067"/>
      <c r="E2067"/>
      <c r="F2067"/>
      <c r="G2067"/>
      <c r="H2067"/>
      <c r="I2067"/>
      <c r="M2067" s="54"/>
    </row>
    <row r="2068" spans="1:13" s="15" customFormat="1" x14ac:dyDescent="0.3">
      <c r="A2068" s="17"/>
      <c r="B2068"/>
      <c r="C2068"/>
      <c r="D2068"/>
      <c r="E2068"/>
      <c r="F2068"/>
      <c r="G2068"/>
      <c r="H2068"/>
      <c r="I2068"/>
      <c r="M2068" s="54"/>
    </row>
    <row r="2069" spans="1:13" s="15" customFormat="1" x14ac:dyDescent="0.3">
      <c r="A2069" s="17"/>
      <c r="B2069"/>
      <c r="C2069"/>
      <c r="D2069"/>
      <c r="E2069"/>
      <c r="F2069"/>
      <c r="G2069"/>
      <c r="H2069"/>
      <c r="I2069"/>
      <c r="M2069" s="54"/>
    </row>
    <row r="2070" spans="1:13" s="15" customFormat="1" x14ac:dyDescent="0.3">
      <c r="A2070" s="17"/>
      <c r="B2070"/>
      <c r="C2070"/>
      <c r="D2070"/>
      <c r="E2070"/>
      <c r="F2070"/>
      <c r="G2070"/>
      <c r="H2070"/>
      <c r="I2070"/>
      <c r="M2070" s="54"/>
    </row>
    <row r="2071" spans="1:13" s="15" customFormat="1" x14ac:dyDescent="0.3">
      <c r="A2071" s="17"/>
      <c r="B2071"/>
      <c r="C2071"/>
      <c r="D2071"/>
      <c r="E2071"/>
      <c r="F2071"/>
      <c r="G2071"/>
      <c r="H2071"/>
      <c r="I2071"/>
      <c r="M2071" s="54"/>
    </row>
    <row r="2072" spans="1:13" s="15" customFormat="1" x14ac:dyDescent="0.3">
      <c r="A2072" s="17"/>
      <c r="B2072"/>
      <c r="C2072"/>
      <c r="D2072"/>
      <c r="E2072"/>
      <c r="F2072"/>
      <c r="G2072"/>
      <c r="H2072"/>
      <c r="I2072"/>
      <c r="M2072" s="54"/>
    </row>
    <row r="2073" spans="1:13" s="15" customFormat="1" x14ac:dyDescent="0.3">
      <c r="A2073" s="17"/>
      <c r="B2073"/>
      <c r="C2073"/>
      <c r="D2073"/>
      <c r="E2073"/>
      <c r="F2073"/>
      <c r="G2073"/>
      <c r="H2073"/>
      <c r="I2073"/>
      <c r="M2073" s="54"/>
    </row>
    <row r="2074" spans="1:13" s="15" customFormat="1" x14ac:dyDescent="0.3">
      <c r="A2074" s="17"/>
      <c r="B2074"/>
      <c r="C2074"/>
      <c r="D2074"/>
      <c r="E2074"/>
      <c r="F2074"/>
      <c r="G2074"/>
      <c r="H2074"/>
      <c r="I2074"/>
      <c r="M2074" s="54"/>
    </row>
    <row r="2075" spans="1:13" s="15" customFormat="1" x14ac:dyDescent="0.3">
      <c r="A2075" s="17"/>
      <c r="B2075"/>
      <c r="C2075"/>
      <c r="D2075"/>
      <c r="E2075"/>
      <c r="F2075"/>
      <c r="G2075"/>
      <c r="H2075"/>
      <c r="I2075"/>
      <c r="M2075" s="54"/>
    </row>
    <row r="2076" spans="1:13" s="15" customFormat="1" x14ac:dyDescent="0.3">
      <c r="A2076" s="17"/>
      <c r="B2076"/>
      <c r="C2076"/>
      <c r="D2076"/>
      <c r="E2076"/>
      <c r="F2076"/>
      <c r="G2076"/>
      <c r="H2076"/>
      <c r="I2076"/>
      <c r="M2076" s="54"/>
    </row>
    <row r="2077" spans="1:13" s="15" customFormat="1" x14ac:dyDescent="0.3">
      <c r="A2077" s="17"/>
      <c r="B2077"/>
      <c r="C2077"/>
      <c r="D2077"/>
      <c r="E2077"/>
      <c r="F2077"/>
      <c r="G2077"/>
      <c r="H2077"/>
      <c r="I2077"/>
      <c r="M2077" s="54"/>
    </row>
    <row r="2078" spans="1:13" s="15" customFormat="1" x14ac:dyDescent="0.3">
      <c r="A2078" s="17"/>
      <c r="B2078"/>
      <c r="C2078"/>
      <c r="D2078"/>
      <c r="E2078"/>
      <c r="F2078"/>
      <c r="G2078"/>
      <c r="H2078"/>
      <c r="I2078"/>
      <c r="M2078" s="54"/>
    </row>
    <row r="2079" spans="1:13" s="15" customFormat="1" x14ac:dyDescent="0.3">
      <c r="A2079" s="17"/>
      <c r="B2079"/>
      <c r="C2079"/>
      <c r="D2079"/>
      <c r="E2079"/>
      <c r="F2079"/>
      <c r="G2079"/>
      <c r="H2079"/>
      <c r="I2079"/>
      <c r="M2079" s="54"/>
    </row>
    <row r="2080" spans="1:13" s="15" customFormat="1" x14ac:dyDescent="0.3">
      <c r="A2080" s="17"/>
      <c r="B2080"/>
      <c r="C2080"/>
      <c r="D2080"/>
      <c r="E2080"/>
      <c r="F2080"/>
      <c r="G2080"/>
      <c r="H2080"/>
      <c r="I2080"/>
      <c r="M2080" s="54"/>
    </row>
    <row r="2081" spans="1:13" s="15" customFormat="1" x14ac:dyDescent="0.3">
      <c r="A2081" s="17"/>
      <c r="B2081"/>
      <c r="C2081"/>
      <c r="D2081"/>
      <c r="E2081"/>
      <c r="F2081"/>
      <c r="G2081"/>
      <c r="H2081"/>
      <c r="I2081"/>
      <c r="M2081" s="54"/>
    </row>
    <row r="2082" spans="1:13" s="15" customFormat="1" x14ac:dyDescent="0.3">
      <c r="A2082" s="17"/>
      <c r="B2082"/>
      <c r="C2082"/>
      <c r="D2082"/>
      <c r="E2082"/>
      <c r="F2082"/>
      <c r="G2082"/>
      <c r="H2082"/>
      <c r="I2082"/>
      <c r="M2082" s="54"/>
    </row>
    <row r="2083" spans="1:13" s="15" customFormat="1" x14ac:dyDescent="0.3">
      <c r="A2083" s="17"/>
      <c r="B2083"/>
      <c r="C2083"/>
      <c r="D2083"/>
      <c r="E2083"/>
      <c r="F2083"/>
      <c r="G2083"/>
      <c r="H2083"/>
      <c r="I2083"/>
      <c r="M2083" s="54"/>
    </row>
    <row r="2084" spans="1:13" s="15" customFormat="1" x14ac:dyDescent="0.3">
      <c r="A2084" s="17"/>
      <c r="B2084"/>
      <c r="C2084"/>
      <c r="D2084"/>
      <c r="E2084"/>
      <c r="F2084"/>
      <c r="G2084"/>
      <c r="H2084"/>
      <c r="I2084"/>
      <c r="M2084" s="54"/>
    </row>
    <row r="2085" spans="1:13" s="15" customFormat="1" x14ac:dyDescent="0.3">
      <c r="A2085" s="17"/>
      <c r="B2085"/>
      <c r="C2085"/>
      <c r="D2085"/>
      <c r="E2085"/>
      <c r="F2085"/>
      <c r="G2085"/>
      <c r="H2085"/>
      <c r="I2085"/>
      <c r="M2085" s="54"/>
    </row>
    <row r="2086" spans="1:13" s="15" customFormat="1" x14ac:dyDescent="0.3">
      <c r="A2086" s="17"/>
      <c r="B2086"/>
      <c r="C2086"/>
      <c r="D2086"/>
      <c r="E2086"/>
      <c r="F2086"/>
      <c r="G2086"/>
      <c r="H2086"/>
      <c r="I2086"/>
      <c r="M2086" s="54"/>
    </row>
    <row r="2087" spans="1:13" s="15" customFormat="1" x14ac:dyDescent="0.3">
      <c r="A2087" s="17"/>
      <c r="B2087"/>
      <c r="C2087"/>
      <c r="D2087"/>
      <c r="E2087"/>
      <c r="F2087"/>
      <c r="G2087"/>
      <c r="H2087"/>
      <c r="I2087"/>
      <c r="M2087" s="54"/>
    </row>
    <row r="2088" spans="1:13" s="15" customFormat="1" x14ac:dyDescent="0.3">
      <c r="A2088" s="17"/>
      <c r="B2088"/>
      <c r="C2088"/>
      <c r="D2088"/>
      <c r="E2088"/>
      <c r="F2088"/>
      <c r="G2088"/>
      <c r="H2088"/>
      <c r="I2088"/>
      <c r="M2088" s="54"/>
    </row>
    <row r="2089" spans="1:13" s="15" customFormat="1" x14ac:dyDescent="0.3">
      <c r="A2089" s="17"/>
      <c r="B2089"/>
      <c r="C2089"/>
      <c r="D2089"/>
      <c r="E2089"/>
      <c r="F2089"/>
      <c r="G2089"/>
      <c r="H2089"/>
      <c r="I2089"/>
      <c r="M2089" s="54"/>
    </row>
    <row r="2090" spans="1:13" s="15" customFormat="1" x14ac:dyDescent="0.3">
      <c r="A2090" s="17"/>
      <c r="B2090"/>
      <c r="C2090"/>
      <c r="D2090"/>
      <c r="E2090"/>
      <c r="F2090"/>
      <c r="G2090"/>
      <c r="H2090"/>
      <c r="I2090"/>
      <c r="M2090" s="54"/>
    </row>
    <row r="2091" spans="1:13" s="15" customFormat="1" x14ac:dyDescent="0.3">
      <c r="A2091" s="17"/>
      <c r="B2091"/>
      <c r="C2091"/>
      <c r="D2091"/>
      <c r="E2091"/>
      <c r="F2091"/>
      <c r="G2091"/>
      <c r="H2091"/>
      <c r="I2091"/>
      <c r="M2091" s="54"/>
    </row>
    <row r="2092" spans="1:13" s="15" customFormat="1" x14ac:dyDescent="0.3">
      <c r="A2092" s="17"/>
      <c r="B2092"/>
      <c r="C2092"/>
      <c r="D2092"/>
      <c r="E2092"/>
      <c r="F2092"/>
      <c r="G2092"/>
      <c r="H2092"/>
      <c r="I2092"/>
      <c r="M2092" s="54"/>
    </row>
    <row r="2093" spans="1:13" s="15" customFormat="1" x14ac:dyDescent="0.3">
      <c r="A2093" s="17"/>
      <c r="B2093"/>
      <c r="C2093"/>
      <c r="D2093"/>
      <c r="E2093"/>
      <c r="F2093"/>
      <c r="G2093"/>
      <c r="H2093"/>
      <c r="I2093"/>
      <c r="M2093" s="54"/>
    </row>
    <row r="2094" spans="1:13" s="15" customFormat="1" x14ac:dyDescent="0.3">
      <c r="A2094" s="17"/>
      <c r="B2094"/>
      <c r="C2094"/>
      <c r="D2094"/>
      <c r="E2094"/>
      <c r="F2094"/>
      <c r="G2094"/>
      <c r="H2094"/>
      <c r="I2094"/>
      <c r="M2094" s="54"/>
    </row>
    <row r="2095" spans="1:13" s="15" customFormat="1" x14ac:dyDescent="0.3">
      <c r="A2095" s="17"/>
      <c r="B2095"/>
      <c r="C2095"/>
      <c r="D2095"/>
      <c r="E2095"/>
      <c r="F2095"/>
      <c r="G2095"/>
      <c r="H2095"/>
      <c r="I2095"/>
      <c r="M2095" s="54"/>
    </row>
    <row r="2096" spans="1:13" s="15" customFormat="1" x14ac:dyDescent="0.3">
      <c r="A2096" s="17"/>
      <c r="B2096"/>
      <c r="C2096"/>
      <c r="D2096"/>
      <c r="E2096"/>
      <c r="F2096"/>
      <c r="G2096"/>
      <c r="H2096"/>
      <c r="I2096"/>
      <c r="M2096" s="54"/>
    </row>
    <row r="2097" spans="1:13" s="15" customFormat="1" x14ac:dyDescent="0.3">
      <c r="A2097" s="17"/>
      <c r="B2097"/>
      <c r="C2097"/>
      <c r="D2097"/>
      <c r="E2097"/>
      <c r="F2097"/>
      <c r="G2097"/>
      <c r="H2097"/>
      <c r="I2097"/>
      <c r="M2097" s="54"/>
    </row>
    <row r="2098" spans="1:13" s="15" customFormat="1" x14ac:dyDescent="0.3">
      <c r="A2098" s="17"/>
      <c r="B2098"/>
      <c r="C2098"/>
      <c r="D2098"/>
      <c r="E2098"/>
      <c r="F2098"/>
      <c r="G2098"/>
      <c r="H2098"/>
      <c r="I2098"/>
      <c r="M2098" s="54"/>
    </row>
    <row r="2099" spans="1:13" s="15" customFormat="1" x14ac:dyDescent="0.3">
      <c r="A2099" s="17"/>
      <c r="B2099"/>
      <c r="C2099"/>
      <c r="D2099"/>
      <c r="E2099"/>
      <c r="F2099"/>
      <c r="G2099"/>
      <c r="H2099"/>
      <c r="I2099"/>
      <c r="M2099" s="54"/>
    </row>
    <row r="2100" spans="1:13" s="15" customFormat="1" x14ac:dyDescent="0.3">
      <c r="A2100" s="17"/>
      <c r="B2100"/>
      <c r="C2100"/>
      <c r="D2100"/>
      <c r="E2100"/>
      <c r="F2100"/>
      <c r="G2100"/>
      <c r="H2100"/>
      <c r="I2100"/>
      <c r="M2100" s="54"/>
    </row>
    <row r="2101" spans="1:13" s="15" customFormat="1" x14ac:dyDescent="0.3">
      <c r="A2101" s="17"/>
      <c r="B2101"/>
      <c r="C2101"/>
      <c r="D2101"/>
      <c r="E2101"/>
      <c r="F2101"/>
      <c r="G2101"/>
      <c r="H2101"/>
      <c r="I2101"/>
      <c r="M2101" s="54"/>
    </row>
    <row r="2102" spans="1:13" s="15" customFormat="1" x14ac:dyDescent="0.3">
      <c r="A2102" s="17"/>
      <c r="B2102"/>
      <c r="C2102"/>
      <c r="D2102"/>
      <c r="E2102"/>
      <c r="F2102"/>
      <c r="G2102"/>
      <c r="H2102"/>
      <c r="I2102"/>
      <c r="M2102" s="54"/>
    </row>
    <row r="2103" spans="1:13" s="15" customFormat="1" x14ac:dyDescent="0.3">
      <c r="A2103" s="17"/>
      <c r="B2103"/>
      <c r="C2103"/>
      <c r="D2103"/>
      <c r="E2103"/>
      <c r="F2103"/>
      <c r="G2103"/>
      <c r="H2103"/>
      <c r="I2103"/>
      <c r="M2103" s="54"/>
    </row>
    <row r="2104" spans="1:13" s="15" customFormat="1" x14ac:dyDescent="0.3">
      <c r="A2104" s="17"/>
      <c r="B2104"/>
      <c r="C2104"/>
      <c r="D2104"/>
      <c r="E2104"/>
      <c r="F2104"/>
      <c r="G2104"/>
      <c r="H2104"/>
      <c r="I2104"/>
      <c r="M2104" s="54"/>
    </row>
    <row r="2105" spans="1:13" s="15" customFormat="1" x14ac:dyDescent="0.3">
      <c r="A2105" s="17"/>
      <c r="B2105"/>
      <c r="C2105"/>
      <c r="D2105"/>
      <c r="E2105"/>
      <c r="F2105"/>
      <c r="G2105"/>
      <c r="H2105"/>
      <c r="I2105"/>
      <c r="M2105" s="54"/>
    </row>
    <row r="2106" spans="1:13" s="15" customFormat="1" x14ac:dyDescent="0.3">
      <c r="A2106" s="17"/>
      <c r="B2106"/>
      <c r="C2106"/>
      <c r="D2106"/>
      <c r="E2106"/>
      <c r="F2106"/>
      <c r="G2106"/>
      <c r="H2106"/>
      <c r="I2106"/>
      <c r="M2106" s="54"/>
    </row>
    <row r="2107" spans="1:13" s="15" customFormat="1" x14ac:dyDescent="0.3">
      <c r="A2107" s="17"/>
      <c r="B2107"/>
      <c r="C2107"/>
      <c r="D2107"/>
      <c r="E2107"/>
      <c r="F2107"/>
      <c r="G2107"/>
      <c r="H2107"/>
      <c r="I2107"/>
      <c r="M2107" s="54"/>
    </row>
    <row r="2108" spans="1:13" s="15" customFormat="1" x14ac:dyDescent="0.3">
      <c r="A2108" s="17"/>
      <c r="B2108"/>
      <c r="C2108"/>
      <c r="D2108"/>
      <c r="E2108"/>
      <c r="F2108"/>
      <c r="G2108"/>
      <c r="H2108"/>
      <c r="I2108"/>
      <c r="M2108" s="54"/>
    </row>
    <row r="2109" spans="1:13" s="15" customFormat="1" x14ac:dyDescent="0.3">
      <c r="A2109" s="17"/>
      <c r="B2109"/>
      <c r="C2109"/>
      <c r="D2109"/>
      <c r="E2109"/>
      <c r="F2109"/>
      <c r="G2109"/>
      <c r="H2109"/>
      <c r="I2109"/>
      <c r="M2109" s="54"/>
    </row>
    <row r="2110" spans="1:13" s="15" customFormat="1" x14ac:dyDescent="0.3">
      <c r="A2110" s="17"/>
      <c r="B2110"/>
      <c r="C2110"/>
      <c r="D2110"/>
      <c r="E2110"/>
      <c r="F2110"/>
      <c r="G2110"/>
      <c r="H2110"/>
      <c r="I2110"/>
      <c r="M2110" s="54"/>
    </row>
    <row r="2111" spans="1:13" s="15" customFormat="1" x14ac:dyDescent="0.3">
      <c r="A2111" s="17"/>
      <c r="B2111"/>
      <c r="C2111"/>
      <c r="D2111"/>
      <c r="E2111"/>
      <c r="F2111"/>
      <c r="G2111"/>
      <c r="H2111"/>
      <c r="I2111"/>
      <c r="M2111" s="54"/>
    </row>
    <row r="2112" spans="1:13" s="15" customFormat="1" x14ac:dyDescent="0.3">
      <c r="A2112" s="17"/>
      <c r="B2112"/>
      <c r="C2112"/>
      <c r="D2112"/>
      <c r="E2112"/>
      <c r="F2112"/>
      <c r="G2112"/>
      <c r="H2112"/>
      <c r="I2112"/>
      <c r="M2112" s="54"/>
    </row>
    <row r="2113" spans="1:13" s="15" customFormat="1" x14ac:dyDescent="0.3">
      <c r="A2113" s="17"/>
      <c r="B2113"/>
      <c r="C2113"/>
      <c r="D2113"/>
      <c r="E2113"/>
      <c r="F2113"/>
      <c r="G2113"/>
      <c r="H2113"/>
      <c r="I2113"/>
      <c r="M2113" s="54"/>
    </row>
    <row r="2114" spans="1:13" s="15" customFormat="1" x14ac:dyDescent="0.3">
      <c r="A2114" s="17"/>
      <c r="B2114"/>
      <c r="C2114"/>
      <c r="D2114"/>
      <c r="E2114"/>
      <c r="F2114"/>
      <c r="G2114"/>
      <c r="H2114"/>
      <c r="I2114"/>
      <c r="M2114" s="54"/>
    </row>
    <row r="2115" spans="1:13" s="15" customFormat="1" x14ac:dyDescent="0.3">
      <c r="A2115" s="17"/>
      <c r="B2115"/>
      <c r="C2115"/>
      <c r="D2115"/>
      <c r="E2115"/>
      <c r="F2115"/>
      <c r="G2115"/>
      <c r="H2115"/>
      <c r="I2115"/>
      <c r="M2115" s="54"/>
    </row>
    <row r="2116" spans="1:13" s="15" customFormat="1" x14ac:dyDescent="0.3">
      <c r="A2116" s="17"/>
      <c r="B2116"/>
      <c r="C2116"/>
      <c r="D2116"/>
      <c r="E2116"/>
      <c r="F2116"/>
      <c r="G2116"/>
      <c r="H2116"/>
      <c r="I2116"/>
      <c r="M2116" s="54"/>
    </row>
    <row r="2117" spans="1:13" s="15" customFormat="1" x14ac:dyDescent="0.3">
      <c r="A2117" s="17"/>
      <c r="B2117"/>
      <c r="C2117"/>
      <c r="D2117"/>
      <c r="E2117"/>
      <c r="F2117"/>
      <c r="G2117"/>
      <c r="H2117"/>
      <c r="I2117"/>
      <c r="M2117" s="54"/>
    </row>
    <row r="2118" spans="1:13" s="15" customFormat="1" x14ac:dyDescent="0.3">
      <c r="A2118" s="17"/>
      <c r="B2118"/>
      <c r="C2118"/>
      <c r="D2118"/>
      <c r="E2118"/>
      <c r="F2118"/>
      <c r="G2118"/>
      <c r="H2118"/>
      <c r="I2118"/>
      <c r="M2118" s="54"/>
    </row>
    <row r="2119" spans="1:13" s="15" customFormat="1" x14ac:dyDescent="0.3">
      <c r="A2119" s="17"/>
      <c r="B2119"/>
      <c r="C2119"/>
      <c r="D2119"/>
      <c r="E2119"/>
      <c r="F2119"/>
      <c r="G2119"/>
      <c r="H2119"/>
      <c r="I2119"/>
      <c r="M2119" s="54"/>
    </row>
    <row r="2120" spans="1:13" s="15" customFormat="1" x14ac:dyDescent="0.3">
      <c r="A2120" s="17"/>
      <c r="B2120"/>
      <c r="C2120"/>
      <c r="D2120"/>
      <c r="E2120"/>
      <c r="F2120"/>
      <c r="G2120"/>
      <c r="H2120"/>
      <c r="I2120"/>
      <c r="M2120" s="54"/>
    </row>
    <row r="2121" spans="1:13" s="15" customFormat="1" x14ac:dyDescent="0.3">
      <c r="A2121" s="17"/>
      <c r="B2121"/>
      <c r="C2121"/>
      <c r="D2121"/>
      <c r="E2121"/>
      <c r="F2121"/>
      <c r="G2121"/>
      <c r="H2121"/>
      <c r="I2121"/>
      <c r="M2121" s="54"/>
    </row>
    <row r="2122" spans="1:13" s="15" customFormat="1" x14ac:dyDescent="0.3">
      <c r="A2122" s="17"/>
      <c r="B2122"/>
      <c r="C2122"/>
      <c r="D2122"/>
      <c r="E2122"/>
      <c r="F2122"/>
      <c r="G2122"/>
      <c r="H2122"/>
      <c r="I2122"/>
      <c r="M2122" s="54"/>
    </row>
    <row r="2123" spans="1:13" s="15" customFormat="1" x14ac:dyDescent="0.3">
      <c r="A2123" s="17"/>
      <c r="B2123"/>
      <c r="C2123"/>
      <c r="D2123"/>
      <c r="E2123"/>
      <c r="F2123"/>
      <c r="G2123"/>
      <c r="H2123"/>
      <c r="I2123"/>
      <c r="M2123" s="54"/>
    </row>
    <row r="2124" spans="1:13" s="15" customFormat="1" x14ac:dyDescent="0.3">
      <c r="A2124" s="17"/>
      <c r="B2124"/>
      <c r="C2124"/>
      <c r="D2124"/>
      <c r="E2124"/>
      <c r="F2124"/>
      <c r="G2124"/>
      <c r="H2124"/>
      <c r="I2124"/>
      <c r="M2124" s="54"/>
    </row>
    <row r="2125" spans="1:13" s="15" customFormat="1" x14ac:dyDescent="0.3">
      <c r="A2125" s="17"/>
      <c r="B2125"/>
      <c r="C2125"/>
      <c r="D2125"/>
      <c r="E2125"/>
      <c r="F2125"/>
      <c r="G2125"/>
      <c r="H2125"/>
      <c r="I2125"/>
      <c r="M2125" s="54"/>
    </row>
    <row r="2126" spans="1:13" s="15" customFormat="1" x14ac:dyDescent="0.3">
      <c r="A2126" s="17"/>
      <c r="B2126"/>
      <c r="C2126"/>
      <c r="D2126"/>
      <c r="E2126"/>
      <c r="F2126"/>
      <c r="G2126"/>
      <c r="H2126"/>
      <c r="I2126"/>
      <c r="M2126" s="54"/>
    </row>
    <row r="2127" spans="1:13" s="15" customFormat="1" x14ac:dyDescent="0.3">
      <c r="A2127" s="17"/>
      <c r="B2127"/>
      <c r="C2127"/>
      <c r="D2127"/>
      <c r="E2127"/>
      <c r="F2127"/>
      <c r="G2127"/>
      <c r="H2127"/>
      <c r="I2127"/>
      <c r="M2127" s="54"/>
    </row>
    <row r="2128" spans="1:13" s="15" customFormat="1" x14ac:dyDescent="0.3">
      <c r="A2128" s="17"/>
      <c r="B2128"/>
      <c r="C2128"/>
      <c r="D2128"/>
      <c r="E2128"/>
      <c r="F2128"/>
      <c r="G2128"/>
      <c r="H2128"/>
      <c r="I2128"/>
      <c r="M2128" s="54"/>
    </row>
    <row r="2129" spans="1:13" s="15" customFormat="1" x14ac:dyDescent="0.3">
      <c r="A2129" s="17"/>
      <c r="B2129"/>
      <c r="C2129"/>
      <c r="D2129"/>
      <c r="E2129"/>
      <c r="F2129"/>
      <c r="G2129"/>
      <c r="H2129"/>
      <c r="I2129"/>
      <c r="M2129" s="54"/>
    </row>
    <row r="2130" spans="1:13" s="15" customFormat="1" x14ac:dyDescent="0.3">
      <c r="A2130" s="17"/>
      <c r="B2130"/>
      <c r="C2130"/>
      <c r="D2130"/>
      <c r="E2130"/>
      <c r="F2130"/>
      <c r="G2130"/>
      <c r="H2130"/>
      <c r="I2130"/>
      <c r="M2130" s="54"/>
    </row>
    <row r="2131" spans="1:13" s="15" customFormat="1" x14ac:dyDescent="0.3">
      <c r="A2131" s="17"/>
      <c r="B2131"/>
      <c r="C2131"/>
      <c r="D2131"/>
      <c r="E2131"/>
      <c r="F2131"/>
      <c r="G2131"/>
      <c r="H2131"/>
      <c r="I2131"/>
      <c r="M2131" s="54"/>
    </row>
    <row r="2132" spans="1:13" s="15" customFormat="1" x14ac:dyDescent="0.3">
      <c r="A2132" s="17"/>
      <c r="B2132"/>
      <c r="C2132"/>
      <c r="D2132"/>
      <c r="E2132"/>
      <c r="F2132"/>
      <c r="G2132"/>
      <c r="H2132"/>
      <c r="I2132"/>
      <c r="M2132" s="54"/>
    </row>
    <row r="2133" spans="1:13" s="15" customFormat="1" x14ac:dyDescent="0.3">
      <c r="A2133" s="17"/>
      <c r="B2133"/>
      <c r="C2133"/>
      <c r="D2133"/>
      <c r="E2133"/>
      <c r="F2133"/>
      <c r="G2133"/>
      <c r="H2133"/>
      <c r="I2133"/>
      <c r="M2133" s="54"/>
    </row>
    <row r="2134" spans="1:13" s="15" customFormat="1" x14ac:dyDescent="0.3">
      <c r="A2134" s="17"/>
      <c r="B2134"/>
      <c r="C2134"/>
      <c r="D2134"/>
      <c r="E2134"/>
      <c r="F2134"/>
      <c r="G2134"/>
      <c r="H2134"/>
      <c r="I2134"/>
      <c r="M2134" s="54"/>
    </row>
    <row r="2135" spans="1:13" s="15" customFormat="1" x14ac:dyDescent="0.3">
      <c r="A2135" s="17"/>
      <c r="B2135"/>
      <c r="C2135"/>
      <c r="D2135"/>
      <c r="E2135"/>
      <c r="F2135"/>
      <c r="G2135"/>
      <c r="H2135"/>
      <c r="I2135"/>
      <c r="M2135" s="54"/>
    </row>
    <row r="2136" spans="1:13" s="15" customFormat="1" x14ac:dyDescent="0.3">
      <c r="A2136" s="17"/>
      <c r="B2136"/>
      <c r="C2136"/>
      <c r="D2136"/>
      <c r="E2136"/>
      <c r="F2136"/>
      <c r="G2136"/>
      <c r="H2136"/>
      <c r="I2136"/>
      <c r="M2136" s="54"/>
    </row>
    <row r="2137" spans="1:13" s="15" customFormat="1" x14ac:dyDescent="0.3">
      <c r="A2137" s="17"/>
      <c r="B2137"/>
      <c r="C2137"/>
      <c r="D2137"/>
      <c r="E2137"/>
      <c r="F2137"/>
      <c r="G2137"/>
      <c r="H2137"/>
      <c r="I2137"/>
      <c r="M2137" s="54"/>
    </row>
    <row r="2138" spans="1:13" s="15" customFormat="1" x14ac:dyDescent="0.3">
      <c r="A2138" s="17"/>
      <c r="B2138"/>
      <c r="C2138"/>
      <c r="D2138"/>
      <c r="E2138"/>
      <c r="F2138"/>
      <c r="G2138"/>
      <c r="H2138"/>
      <c r="I2138"/>
      <c r="M2138" s="54"/>
    </row>
    <row r="2139" spans="1:13" s="15" customFormat="1" x14ac:dyDescent="0.3">
      <c r="A2139" s="17"/>
      <c r="B2139"/>
      <c r="C2139"/>
      <c r="D2139"/>
      <c r="E2139"/>
      <c r="F2139"/>
      <c r="G2139"/>
      <c r="H2139"/>
      <c r="I2139"/>
      <c r="M2139" s="54"/>
    </row>
    <row r="2140" spans="1:13" s="15" customFormat="1" x14ac:dyDescent="0.3">
      <c r="A2140" s="17"/>
      <c r="B2140"/>
      <c r="C2140"/>
      <c r="D2140"/>
      <c r="E2140"/>
      <c r="F2140"/>
      <c r="G2140"/>
      <c r="H2140"/>
      <c r="I2140"/>
      <c r="M2140" s="54"/>
    </row>
    <row r="2141" spans="1:13" s="15" customFormat="1" x14ac:dyDescent="0.3">
      <c r="A2141" s="17"/>
      <c r="B2141"/>
      <c r="C2141"/>
      <c r="D2141"/>
      <c r="E2141"/>
      <c r="F2141"/>
      <c r="G2141"/>
      <c r="H2141"/>
      <c r="I2141"/>
      <c r="M2141" s="54"/>
    </row>
    <row r="2142" spans="1:13" s="15" customFormat="1" x14ac:dyDescent="0.3">
      <c r="A2142" s="17"/>
      <c r="B2142"/>
      <c r="C2142"/>
      <c r="D2142"/>
      <c r="E2142"/>
      <c r="F2142"/>
      <c r="G2142"/>
      <c r="H2142"/>
      <c r="I2142"/>
      <c r="M2142" s="54"/>
    </row>
    <row r="2143" spans="1:13" s="15" customFormat="1" x14ac:dyDescent="0.3">
      <c r="A2143" s="17"/>
      <c r="B2143"/>
      <c r="C2143"/>
      <c r="D2143"/>
      <c r="E2143"/>
      <c r="F2143"/>
      <c r="G2143"/>
      <c r="H2143"/>
      <c r="I2143"/>
      <c r="M2143" s="54"/>
    </row>
    <row r="2144" spans="1:13" s="15" customFormat="1" x14ac:dyDescent="0.3">
      <c r="A2144" s="17"/>
      <c r="B2144"/>
      <c r="C2144"/>
      <c r="D2144"/>
      <c r="E2144"/>
      <c r="F2144"/>
      <c r="G2144"/>
      <c r="H2144"/>
      <c r="I2144"/>
      <c r="M2144" s="54"/>
    </row>
    <row r="2145" spans="1:13" s="15" customFormat="1" x14ac:dyDescent="0.3">
      <c r="A2145" s="17"/>
      <c r="B2145"/>
      <c r="C2145"/>
      <c r="D2145"/>
      <c r="E2145"/>
      <c r="F2145"/>
      <c r="G2145"/>
      <c r="H2145"/>
      <c r="I2145"/>
      <c r="M2145" s="54"/>
    </row>
    <row r="2146" spans="1:13" s="15" customFormat="1" x14ac:dyDescent="0.3">
      <c r="A2146" s="17"/>
      <c r="B2146"/>
      <c r="C2146"/>
      <c r="D2146"/>
      <c r="E2146"/>
      <c r="F2146"/>
      <c r="G2146"/>
      <c r="H2146"/>
      <c r="I2146"/>
      <c r="M2146" s="54"/>
    </row>
    <row r="2147" spans="1:13" s="15" customFormat="1" x14ac:dyDescent="0.3">
      <c r="A2147" s="17"/>
      <c r="B2147"/>
      <c r="C2147"/>
      <c r="D2147"/>
      <c r="E2147"/>
      <c r="F2147"/>
      <c r="G2147"/>
      <c r="H2147"/>
      <c r="I2147"/>
      <c r="M2147" s="54"/>
    </row>
    <row r="2148" spans="1:13" s="15" customFormat="1" x14ac:dyDescent="0.3">
      <c r="A2148" s="17"/>
      <c r="B2148"/>
      <c r="C2148"/>
      <c r="D2148"/>
      <c r="E2148"/>
      <c r="F2148"/>
      <c r="G2148"/>
      <c r="H2148"/>
      <c r="I2148"/>
      <c r="M2148" s="54"/>
    </row>
    <row r="2149" spans="1:13" s="15" customFormat="1" x14ac:dyDescent="0.3">
      <c r="A2149" s="17"/>
      <c r="B2149"/>
      <c r="C2149"/>
      <c r="D2149"/>
      <c r="E2149"/>
      <c r="F2149"/>
      <c r="G2149"/>
      <c r="H2149"/>
      <c r="I2149"/>
      <c r="M2149" s="54"/>
    </row>
    <row r="2150" spans="1:13" s="15" customFormat="1" x14ac:dyDescent="0.3">
      <c r="A2150" s="17"/>
      <c r="B2150"/>
      <c r="C2150"/>
      <c r="D2150"/>
      <c r="E2150"/>
      <c r="F2150"/>
      <c r="G2150"/>
      <c r="H2150"/>
      <c r="I2150"/>
      <c r="M2150" s="54"/>
    </row>
    <row r="2151" spans="1:13" s="15" customFormat="1" x14ac:dyDescent="0.3">
      <c r="A2151" s="17"/>
      <c r="B2151"/>
      <c r="C2151"/>
      <c r="D2151"/>
      <c r="E2151"/>
      <c r="F2151"/>
      <c r="G2151"/>
      <c r="H2151"/>
      <c r="I2151"/>
      <c r="M2151" s="54"/>
    </row>
    <row r="2152" spans="1:13" s="15" customFormat="1" x14ac:dyDescent="0.3">
      <c r="A2152" s="17"/>
      <c r="B2152"/>
      <c r="C2152"/>
      <c r="D2152"/>
      <c r="E2152"/>
      <c r="F2152"/>
      <c r="G2152"/>
      <c r="H2152"/>
      <c r="I2152"/>
      <c r="M2152" s="54"/>
    </row>
    <row r="2153" spans="1:13" s="15" customFormat="1" x14ac:dyDescent="0.3">
      <c r="A2153" s="17"/>
      <c r="B2153"/>
      <c r="C2153"/>
      <c r="D2153"/>
      <c r="E2153"/>
      <c r="F2153"/>
      <c r="G2153"/>
      <c r="H2153"/>
      <c r="I2153"/>
      <c r="M2153" s="54"/>
    </row>
    <row r="2154" spans="1:13" s="15" customFormat="1" x14ac:dyDescent="0.3">
      <c r="A2154" s="17"/>
      <c r="B2154"/>
      <c r="C2154"/>
      <c r="D2154"/>
      <c r="E2154"/>
      <c r="F2154"/>
      <c r="G2154"/>
      <c r="H2154"/>
      <c r="I2154"/>
      <c r="M2154" s="54"/>
    </row>
    <row r="2155" spans="1:13" s="15" customFormat="1" x14ac:dyDescent="0.3">
      <c r="A2155" s="17"/>
      <c r="B2155"/>
      <c r="C2155"/>
      <c r="D2155"/>
      <c r="E2155"/>
      <c r="F2155"/>
      <c r="G2155"/>
      <c r="H2155"/>
      <c r="I2155"/>
      <c r="M2155" s="54"/>
    </row>
    <row r="2156" spans="1:13" s="15" customFormat="1" x14ac:dyDescent="0.3">
      <c r="A2156" s="17"/>
      <c r="B2156"/>
      <c r="C2156"/>
      <c r="D2156"/>
      <c r="E2156"/>
      <c r="F2156"/>
      <c r="G2156"/>
      <c r="H2156"/>
      <c r="I2156"/>
      <c r="M2156" s="54"/>
    </row>
    <row r="2157" spans="1:13" s="15" customFormat="1" x14ac:dyDescent="0.3">
      <c r="A2157" s="17"/>
      <c r="B2157"/>
      <c r="C2157"/>
      <c r="D2157"/>
      <c r="E2157"/>
      <c r="F2157"/>
      <c r="G2157"/>
      <c r="H2157"/>
      <c r="I2157"/>
      <c r="M2157" s="54"/>
    </row>
    <row r="2158" spans="1:13" s="15" customFormat="1" x14ac:dyDescent="0.3">
      <c r="A2158" s="17"/>
      <c r="B2158"/>
      <c r="C2158"/>
      <c r="D2158"/>
      <c r="E2158"/>
      <c r="F2158"/>
      <c r="G2158"/>
      <c r="H2158"/>
      <c r="I2158"/>
      <c r="M2158" s="54"/>
    </row>
    <row r="2159" spans="1:13" s="15" customFormat="1" x14ac:dyDescent="0.3">
      <c r="A2159" s="17"/>
      <c r="B2159"/>
      <c r="C2159"/>
      <c r="D2159"/>
      <c r="E2159"/>
      <c r="F2159"/>
      <c r="G2159"/>
      <c r="H2159"/>
      <c r="I2159"/>
      <c r="M2159" s="54"/>
    </row>
    <row r="2160" spans="1:13" s="15" customFormat="1" x14ac:dyDescent="0.3">
      <c r="A2160" s="17"/>
      <c r="B2160"/>
      <c r="C2160"/>
      <c r="D2160"/>
      <c r="E2160"/>
      <c r="F2160"/>
      <c r="G2160"/>
      <c r="H2160"/>
      <c r="I2160"/>
      <c r="M2160" s="54"/>
    </row>
    <row r="2161" spans="1:13" s="15" customFormat="1" x14ac:dyDescent="0.3">
      <c r="A2161" s="17"/>
      <c r="B2161"/>
      <c r="C2161"/>
      <c r="D2161"/>
      <c r="E2161"/>
      <c r="F2161"/>
      <c r="G2161"/>
      <c r="H2161"/>
      <c r="I2161"/>
      <c r="M2161" s="54"/>
    </row>
    <row r="2162" spans="1:13" s="15" customFormat="1" x14ac:dyDescent="0.3">
      <c r="A2162" s="17"/>
      <c r="B2162"/>
      <c r="C2162"/>
      <c r="D2162"/>
      <c r="E2162"/>
      <c r="F2162"/>
      <c r="G2162"/>
      <c r="H2162"/>
      <c r="I2162"/>
      <c r="M2162" s="54"/>
    </row>
    <row r="2163" spans="1:13" s="15" customFormat="1" x14ac:dyDescent="0.3">
      <c r="A2163" s="17"/>
      <c r="B2163"/>
      <c r="C2163"/>
      <c r="D2163"/>
      <c r="E2163"/>
      <c r="F2163"/>
      <c r="G2163"/>
      <c r="H2163"/>
      <c r="I2163"/>
      <c r="M2163" s="54"/>
    </row>
    <row r="2164" spans="1:13" s="15" customFormat="1" x14ac:dyDescent="0.3">
      <c r="A2164" s="17"/>
      <c r="B2164"/>
      <c r="C2164"/>
      <c r="D2164"/>
      <c r="E2164"/>
      <c r="F2164"/>
      <c r="G2164"/>
      <c r="H2164"/>
      <c r="I2164"/>
      <c r="M2164" s="54"/>
    </row>
    <row r="2165" spans="1:13" s="15" customFormat="1" x14ac:dyDescent="0.3">
      <c r="A2165" s="17"/>
      <c r="B2165"/>
      <c r="C2165"/>
      <c r="D2165"/>
      <c r="E2165"/>
      <c r="F2165"/>
      <c r="G2165"/>
      <c r="H2165"/>
      <c r="I2165"/>
      <c r="M2165" s="54"/>
    </row>
    <row r="2166" spans="1:13" s="15" customFormat="1" x14ac:dyDescent="0.3">
      <c r="A2166" s="17"/>
      <c r="B2166"/>
      <c r="C2166"/>
      <c r="D2166"/>
      <c r="E2166"/>
      <c r="F2166"/>
      <c r="G2166"/>
      <c r="H2166"/>
      <c r="I2166"/>
      <c r="M2166" s="54"/>
    </row>
    <row r="2167" spans="1:13" s="15" customFormat="1" x14ac:dyDescent="0.3">
      <c r="A2167" s="17"/>
      <c r="B2167"/>
      <c r="C2167"/>
      <c r="D2167"/>
      <c r="E2167"/>
      <c r="F2167"/>
      <c r="G2167"/>
      <c r="H2167"/>
      <c r="I2167"/>
      <c r="M2167" s="54"/>
    </row>
    <row r="2168" spans="1:13" s="15" customFormat="1" x14ac:dyDescent="0.3">
      <c r="A2168" s="17"/>
      <c r="B2168"/>
      <c r="C2168"/>
      <c r="D2168"/>
      <c r="E2168"/>
      <c r="F2168"/>
      <c r="G2168"/>
      <c r="H2168"/>
      <c r="I2168"/>
      <c r="M2168" s="54"/>
    </row>
    <row r="2169" spans="1:13" s="15" customFormat="1" x14ac:dyDescent="0.3">
      <c r="A2169" s="17"/>
      <c r="B2169"/>
      <c r="C2169"/>
      <c r="D2169"/>
      <c r="E2169"/>
      <c r="F2169"/>
      <c r="G2169"/>
      <c r="H2169"/>
      <c r="I2169"/>
      <c r="M2169" s="54"/>
    </row>
    <row r="2170" spans="1:13" s="15" customFormat="1" x14ac:dyDescent="0.3">
      <c r="A2170" s="17"/>
      <c r="B2170"/>
      <c r="C2170"/>
      <c r="D2170"/>
      <c r="E2170"/>
      <c r="F2170"/>
      <c r="G2170"/>
      <c r="H2170"/>
      <c r="I2170"/>
      <c r="M2170" s="54"/>
    </row>
    <row r="2171" spans="1:13" s="15" customFormat="1" x14ac:dyDescent="0.3">
      <c r="A2171" s="17"/>
      <c r="B2171"/>
      <c r="C2171"/>
      <c r="D2171"/>
      <c r="E2171"/>
      <c r="F2171"/>
      <c r="G2171"/>
      <c r="H2171"/>
      <c r="I2171"/>
      <c r="M2171" s="54"/>
    </row>
    <row r="2172" spans="1:13" s="15" customFormat="1" x14ac:dyDescent="0.3">
      <c r="A2172" s="17"/>
      <c r="B2172"/>
      <c r="C2172"/>
      <c r="D2172"/>
      <c r="E2172"/>
      <c r="F2172"/>
      <c r="G2172"/>
      <c r="H2172"/>
      <c r="I2172"/>
      <c r="M2172" s="54"/>
    </row>
    <row r="2173" spans="1:13" s="15" customFormat="1" x14ac:dyDescent="0.3">
      <c r="A2173" s="17"/>
      <c r="B2173"/>
      <c r="C2173"/>
      <c r="D2173"/>
      <c r="E2173"/>
      <c r="F2173"/>
      <c r="G2173"/>
      <c r="H2173"/>
      <c r="I2173"/>
      <c r="M2173" s="54"/>
    </row>
    <row r="2174" spans="1:13" s="15" customFormat="1" x14ac:dyDescent="0.3">
      <c r="A2174" s="17"/>
      <c r="B2174"/>
      <c r="C2174"/>
      <c r="D2174"/>
      <c r="E2174"/>
      <c r="F2174"/>
      <c r="G2174"/>
      <c r="H2174"/>
      <c r="I2174"/>
      <c r="M2174" s="54"/>
    </row>
    <row r="2175" spans="1:13" s="15" customFormat="1" x14ac:dyDescent="0.3">
      <c r="A2175" s="17"/>
      <c r="B2175"/>
      <c r="C2175"/>
      <c r="D2175"/>
      <c r="E2175"/>
      <c r="F2175"/>
      <c r="G2175"/>
      <c r="H2175"/>
      <c r="I2175"/>
      <c r="M2175" s="54"/>
    </row>
    <row r="2176" spans="1:13" s="15" customFormat="1" x14ac:dyDescent="0.3">
      <c r="A2176" s="17"/>
      <c r="B2176"/>
      <c r="C2176"/>
      <c r="D2176"/>
      <c r="E2176"/>
      <c r="F2176"/>
      <c r="G2176"/>
      <c r="H2176"/>
      <c r="I2176"/>
      <c r="M2176" s="54"/>
    </row>
    <row r="2177" spans="1:13" s="15" customFormat="1" x14ac:dyDescent="0.3">
      <c r="A2177" s="17"/>
      <c r="B2177"/>
      <c r="C2177"/>
      <c r="D2177"/>
      <c r="E2177"/>
      <c r="F2177"/>
      <c r="G2177"/>
      <c r="H2177"/>
      <c r="I2177"/>
      <c r="M2177" s="54"/>
    </row>
    <row r="2178" spans="1:13" s="15" customFormat="1" x14ac:dyDescent="0.3">
      <c r="A2178" s="17"/>
      <c r="B2178"/>
      <c r="C2178"/>
      <c r="D2178"/>
      <c r="E2178"/>
      <c r="F2178"/>
      <c r="G2178"/>
      <c r="H2178"/>
      <c r="I2178"/>
      <c r="M2178" s="54"/>
    </row>
    <row r="2179" spans="1:13" s="15" customFormat="1" x14ac:dyDescent="0.3">
      <c r="A2179" s="17"/>
      <c r="B2179"/>
      <c r="C2179"/>
      <c r="D2179"/>
      <c r="E2179"/>
      <c r="F2179"/>
      <c r="G2179"/>
      <c r="H2179"/>
      <c r="I2179"/>
      <c r="M2179" s="54"/>
    </row>
    <row r="2180" spans="1:13" s="15" customFormat="1" x14ac:dyDescent="0.3">
      <c r="A2180" s="17"/>
      <c r="B2180"/>
      <c r="C2180"/>
      <c r="D2180"/>
      <c r="E2180"/>
      <c r="F2180"/>
      <c r="G2180"/>
      <c r="H2180"/>
      <c r="I2180"/>
      <c r="M2180" s="54"/>
    </row>
    <row r="2181" spans="1:13" s="15" customFormat="1" x14ac:dyDescent="0.3">
      <c r="A2181" s="17"/>
      <c r="B2181"/>
      <c r="C2181"/>
      <c r="D2181"/>
      <c r="E2181"/>
      <c r="F2181"/>
      <c r="G2181"/>
      <c r="H2181"/>
      <c r="I2181"/>
      <c r="M2181" s="54"/>
    </row>
    <row r="2182" spans="1:13" s="15" customFormat="1" x14ac:dyDescent="0.3">
      <c r="A2182" s="17"/>
      <c r="B2182"/>
      <c r="C2182"/>
      <c r="D2182"/>
      <c r="E2182"/>
      <c r="F2182"/>
      <c r="G2182"/>
      <c r="H2182"/>
      <c r="I2182"/>
      <c r="M2182" s="54"/>
    </row>
    <row r="2183" spans="1:13" s="15" customFormat="1" x14ac:dyDescent="0.3">
      <c r="A2183" s="17"/>
      <c r="B2183"/>
      <c r="C2183"/>
      <c r="D2183"/>
      <c r="E2183"/>
      <c r="F2183"/>
      <c r="G2183"/>
      <c r="H2183"/>
      <c r="I2183"/>
      <c r="M2183" s="54"/>
    </row>
    <row r="2184" spans="1:13" s="15" customFormat="1" x14ac:dyDescent="0.3">
      <c r="A2184" s="17"/>
      <c r="B2184"/>
      <c r="C2184"/>
      <c r="D2184"/>
      <c r="E2184"/>
      <c r="F2184"/>
      <c r="G2184"/>
      <c r="H2184"/>
      <c r="I2184"/>
      <c r="M2184" s="54"/>
    </row>
    <row r="2185" spans="1:13" s="15" customFormat="1" x14ac:dyDescent="0.3">
      <c r="A2185" s="17"/>
      <c r="B2185"/>
      <c r="C2185"/>
      <c r="D2185"/>
      <c r="E2185"/>
      <c r="F2185"/>
      <c r="G2185"/>
      <c r="H2185"/>
      <c r="I2185"/>
      <c r="M2185" s="54"/>
    </row>
    <row r="2186" spans="1:13" s="15" customFormat="1" x14ac:dyDescent="0.3">
      <c r="A2186" s="17"/>
      <c r="B2186"/>
      <c r="C2186"/>
      <c r="D2186"/>
      <c r="E2186"/>
      <c r="F2186"/>
      <c r="G2186"/>
      <c r="H2186"/>
      <c r="I2186"/>
      <c r="M2186" s="54"/>
    </row>
    <row r="2187" spans="1:13" s="15" customFormat="1" x14ac:dyDescent="0.3">
      <c r="A2187" s="17"/>
      <c r="B2187"/>
      <c r="C2187"/>
      <c r="D2187"/>
      <c r="E2187"/>
      <c r="F2187"/>
      <c r="G2187"/>
      <c r="H2187"/>
      <c r="I2187"/>
      <c r="M2187" s="54"/>
    </row>
    <row r="2188" spans="1:13" s="15" customFormat="1" x14ac:dyDescent="0.3">
      <c r="A2188" s="17"/>
      <c r="B2188"/>
      <c r="C2188"/>
      <c r="D2188"/>
      <c r="E2188"/>
      <c r="F2188"/>
      <c r="G2188"/>
      <c r="H2188"/>
      <c r="I2188"/>
      <c r="M2188" s="54"/>
    </row>
    <row r="2189" spans="1:13" s="15" customFormat="1" x14ac:dyDescent="0.3">
      <c r="A2189" s="17"/>
      <c r="B2189"/>
      <c r="C2189"/>
      <c r="D2189"/>
      <c r="E2189"/>
      <c r="F2189"/>
      <c r="G2189"/>
      <c r="H2189"/>
      <c r="I2189"/>
      <c r="M2189" s="54"/>
    </row>
    <row r="2190" spans="1:13" s="15" customFormat="1" x14ac:dyDescent="0.3">
      <c r="A2190" s="17"/>
      <c r="B2190"/>
      <c r="C2190"/>
      <c r="D2190"/>
      <c r="E2190"/>
      <c r="F2190"/>
      <c r="G2190"/>
      <c r="H2190"/>
      <c r="I2190"/>
      <c r="M2190" s="54"/>
    </row>
    <row r="2191" spans="1:13" s="15" customFormat="1" x14ac:dyDescent="0.3">
      <c r="A2191" s="17"/>
      <c r="B2191"/>
      <c r="C2191"/>
      <c r="D2191"/>
      <c r="E2191"/>
      <c r="F2191"/>
      <c r="G2191"/>
      <c r="H2191"/>
      <c r="I2191"/>
      <c r="M2191" s="54"/>
    </row>
    <row r="2192" spans="1:13" s="15" customFormat="1" x14ac:dyDescent="0.3">
      <c r="A2192" s="17"/>
      <c r="B2192"/>
      <c r="C2192"/>
      <c r="D2192"/>
      <c r="E2192"/>
      <c r="F2192"/>
      <c r="G2192"/>
      <c r="H2192"/>
      <c r="I2192"/>
      <c r="M2192" s="54"/>
    </row>
    <row r="2193" spans="1:13" s="15" customFormat="1" x14ac:dyDescent="0.3">
      <c r="A2193" s="17"/>
      <c r="B2193"/>
      <c r="C2193"/>
      <c r="D2193"/>
      <c r="E2193"/>
      <c r="F2193"/>
      <c r="G2193"/>
      <c r="H2193"/>
      <c r="I2193"/>
      <c r="M2193" s="54"/>
    </row>
    <row r="2194" spans="1:13" s="15" customFormat="1" x14ac:dyDescent="0.3">
      <c r="A2194" s="17"/>
      <c r="B2194"/>
      <c r="C2194"/>
      <c r="D2194"/>
      <c r="E2194"/>
      <c r="F2194"/>
      <c r="G2194"/>
      <c r="H2194"/>
      <c r="I2194"/>
      <c r="M2194" s="54"/>
    </row>
    <row r="2195" spans="1:13" s="15" customFormat="1" x14ac:dyDescent="0.3">
      <c r="A2195" s="17"/>
      <c r="B2195"/>
      <c r="C2195"/>
      <c r="D2195"/>
      <c r="E2195"/>
      <c r="F2195"/>
      <c r="G2195"/>
      <c r="H2195"/>
      <c r="I2195"/>
      <c r="M2195" s="54"/>
    </row>
    <row r="2196" spans="1:13" s="15" customFormat="1" x14ac:dyDescent="0.3">
      <c r="A2196" s="17"/>
      <c r="B2196"/>
      <c r="C2196"/>
      <c r="D2196"/>
      <c r="E2196"/>
      <c r="F2196"/>
      <c r="G2196"/>
      <c r="H2196"/>
      <c r="I2196"/>
      <c r="M2196" s="54"/>
    </row>
    <row r="2197" spans="1:13" s="15" customFormat="1" x14ac:dyDescent="0.3">
      <c r="A2197" s="17"/>
      <c r="B2197"/>
      <c r="C2197"/>
      <c r="D2197"/>
      <c r="E2197"/>
      <c r="F2197"/>
      <c r="G2197"/>
      <c r="H2197"/>
      <c r="I2197"/>
      <c r="M2197" s="54"/>
    </row>
    <row r="2198" spans="1:13" s="15" customFormat="1" x14ac:dyDescent="0.3">
      <c r="A2198" s="17"/>
      <c r="B2198"/>
      <c r="C2198"/>
      <c r="D2198"/>
      <c r="E2198"/>
      <c r="F2198"/>
      <c r="G2198"/>
      <c r="H2198"/>
      <c r="I2198"/>
      <c r="M2198" s="54"/>
    </row>
    <row r="2199" spans="1:13" s="15" customFormat="1" x14ac:dyDescent="0.3">
      <c r="A2199" s="17"/>
      <c r="B2199"/>
      <c r="C2199"/>
      <c r="D2199"/>
      <c r="E2199"/>
      <c r="F2199"/>
      <c r="G2199"/>
      <c r="H2199"/>
      <c r="I2199"/>
      <c r="M2199" s="54"/>
    </row>
    <row r="2200" spans="1:13" s="15" customFormat="1" x14ac:dyDescent="0.3">
      <c r="A2200" s="17"/>
      <c r="B2200"/>
      <c r="C2200"/>
      <c r="D2200"/>
      <c r="E2200"/>
      <c r="F2200"/>
      <c r="G2200"/>
      <c r="H2200"/>
      <c r="I2200"/>
      <c r="M2200" s="54"/>
    </row>
    <row r="2201" spans="1:13" s="15" customFormat="1" x14ac:dyDescent="0.3">
      <c r="A2201" s="17"/>
      <c r="B2201"/>
      <c r="C2201"/>
      <c r="D2201"/>
      <c r="E2201"/>
      <c r="F2201"/>
      <c r="G2201"/>
      <c r="H2201"/>
      <c r="I2201"/>
      <c r="M2201" s="54"/>
    </row>
    <row r="2202" spans="1:13" s="15" customFormat="1" x14ac:dyDescent="0.3">
      <c r="A2202" s="17"/>
      <c r="B2202"/>
      <c r="C2202"/>
      <c r="D2202"/>
      <c r="E2202"/>
      <c r="F2202"/>
      <c r="G2202"/>
      <c r="H2202"/>
      <c r="I2202"/>
      <c r="M2202" s="54"/>
    </row>
    <row r="2203" spans="1:13" s="15" customFormat="1" x14ac:dyDescent="0.3">
      <c r="A2203" s="17"/>
      <c r="B2203"/>
      <c r="C2203"/>
      <c r="D2203"/>
      <c r="E2203"/>
      <c r="F2203"/>
      <c r="G2203"/>
      <c r="H2203"/>
      <c r="I2203"/>
      <c r="M2203" s="54"/>
    </row>
    <row r="2204" spans="1:13" s="15" customFormat="1" x14ac:dyDescent="0.3">
      <c r="A2204" s="17"/>
      <c r="B2204"/>
      <c r="C2204"/>
      <c r="D2204"/>
      <c r="E2204"/>
      <c r="F2204"/>
      <c r="G2204"/>
      <c r="H2204"/>
      <c r="I2204"/>
      <c r="M2204" s="54"/>
    </row>
    <row r="2205" spans="1:13" s="15" customFormat="1" x14ac:dyDescent="0.3">
      <c r="A2205" s="17"/>
      <c r="B2205"/>
      <c r="C2205"/>
      <c r="D2205"/>
      <c r="E2205"/>
      <c r="F2205"/>
      <c r="G2205"/>
      <c r="H2205"/>
      <c r="I2205"/>
      <c r="M2205" s="54"/>
    </row>
    <row r="2206" spans="1:13" s="15" customFormat="1" x14ac:dyDescent="0.3">
      <c r="A2206" s="17"/>
      <c r="B2206"/>
      <c r="C2206"/>
      <c r="D2206"/>
      <c r="E2206"/>
      <c r="F2206"/>
      <c r="G2206"/>
      <c r="H2206"/>
      <c r="I2206"/>
      <c r="M2206" s="54"/>
    </row>
    <row r="2207" spans="1:13" s="15" customFormat="1" x14ac:dyDescent="0.3">
      <c r="A2207" s="17"/>
      <c r="B2207"/>
      <c r="C2207"/>
      <c r="D2207"/>
      <c r="E2207"/>
      <c r="F2207"/>
      <c r="G2207"/>
      <c r="H2207"/>
      <c r="I2207"/>
      <c r="M2207" s="54"/>
    </row>
    <row r="2208" spans="1:13" s="15" customFormat="1" x14ac:dyDescent="0.3">
      <c r="A2208" s="17"/>
      <c r="B2208"/>
      <c r="C2208"/>
      <c r="D2208"/>
      <c r="E2208"/>
      <c r="F2208"/>
      <c r="G2208"/>
      <c r="H2208"/>
      <c r="I2208"/>
      <c r="M2208" s="54"/>
    </row>
    <row r="2209" spans="1:13" s="15" customFormat="1" x14ac:dyDescent="0.3">
      <c r="A2209" s="17"/>
      <c r="B2209"/>
      <c r="C2209"/>
      <c r="D2209"/>
      <c r="E2209"/>
      <c r="F2209"/>
      <c r="G2209"/>
      <c r="H2209"/>
      <c r="I2209"/>
      <c r="M2209" s="54"/>
    </row>
    <row r="2210" spans="1:13" s="15" customFormat="1" x14ac:dyDescent="0.3">
      <c r="A2210" s="17"/>
      <c r="B2210"/>
      <c r="C2210"/>
      <c r="D2210"/>
      <c r="E2210"/>
      <c r="F2210"/>
      <c r="G2210"/>
      <c r="H2210"/>
      <c r="I2210"/>
      <c r="M2210" s="54"/>
    </row>
    <row r="2211" spans="1:13" s="15" customFormat="1" x14ac:dyDescent="0.3">
      <c r="A2211" s="17"/>
      <c r="B2211"/>
      <c r="C2211"/>
      <c r="D2211"/>
      <c r="E2211"/>
      <c r="F2211"/>
      <c r="G2211"/>
      <c r="H2211"/>
      <c r="I2211"/>
      <c r="M2211" s="54"/>
    </row>
    <row r="2212" spans="1:13" s="15" customFormat="1" x14ac:dyDescent="0.3">
      <c r="A2212" s="17"/>
      <c r="B2212"/>
      <c r="C2212"/>
      <c r="D2212"/>
      <c r="E2212"/>
      <c r="F2212"/>
      <c r="G2212"/>
      <c r="H2212"/>
      <c r="I2212"/>
      <c r="M2212" s="54"/>
    </row>
    <row r="2213" spans="1:13" s="15" customFormat="1" x14ac:dyDescent="0.3">
      <c r="A2213" s="17"/>
      <c r="B2213"/>
      <c r="C2213"/>
      <c r="D2213"/>
      <c r="E2213"/>
      <c r="F2213"/>
      <c r="G2213"/>
      <c r="H2213"/>
      <c r="I2213"/>
      <c r="M2213" s="54"/>
    </row>
    <row r="2214" spans="1:13" s="15" customFormat="1" x14ac:dyDescent="0.3">
      <c r="A2214" s="17"/>
      <c r="B2214"/>
      <c r="C2214"/>
      <c r="D2214"/>
      <c r="E2214"/>
      <c r="F2214"/>
      <c r="G2214"/>
      <c r="H2214"/>
      <c r="I2214"/>
      <c r="M2214" s="54"/>
    </row>
    <row r="2215" spans="1:13" s="15" customFormat="1" x14ac:dyDescent="0.3">
      <c r="A2215" s="17"/>
      <c r="B2215"/>
      <c r="C2215"/>
      <c r="D2215"/>
      <c r="E2215"/>
      <c r="F2215"/>
      <c r="G2215"/>
      <c r="H2215"/>
      <c r="I2215"/>
      <c r="M2215" s="54"/>
    </row>
    <row r="2216" spans="1:13" s="15" customFormat="1" x14ac:dyDescent="0.3">
      <c r="A2216" s="17"/>
      <c r="B2216"/>
      <c r="C2216"/>
      <c r="D2216"/>
      <c r="E2216"/>
      <c r="F2216"/>
      <c r="G2216"/>
      <c r="H2216"/>
      <c r="I2216"/>
      <c r="M2216" s="54"/>
    </row>
    <row r="2217" spans="1:13" s="15" customFormat="1" x14ac:dyDescent="0.3">
      <c r="A2217" s="17"/>
      <c r="B2217"/>
      <c r="C2217"/>
      <c r="D2217"/>
      <c r="E2217"/>
      <c r="F2217"/>
      <c r="G2217"/>
      <c r="H2217"/>
      <c r="I2217"/>
      <c r="M2217" s="54"/>
    </row>
    <row r="2218" spans="1:13" s="15" customFormat="1" x14ac:dyDescent="0.3">
      <c r="A2218" s="17"/>
      <c r="B2218"/>
      <c r="C2218"/>
      <c r="D2218"/>
      <c r="E2218"/>
      <c r="F2218"/>
      <c r="G2218"/>
      <c r="H2218"/>
      <c r="I2218"/>
      <c r="M2218" s="54"/>
    </row>
    <row r="2219" spans="1:13" s="15" customFormat="1" x14ac:dyDescent="0.3">
      <c r="A2219" s="17"/>
      <c r="B2219"/>
      <c r="C2219"/>
      <c r="D2219"/>
      <c r="E2219"/>
      <c r="F2219"/>
      <c r="G2219"/>
      <c r="H2219"/>
      <c r="I2219"/>
      <c r="M2219" s="54"/>
    </row>
    <row r="2220" spans="1:13" s="15" customFormat="1" x14ac:dyDescent="0.3">
      <c r="A2220" s="17"/>
      <c r="B2220"/>
      <c r="C2220"/>
      <c r="D2220"/>
      <c r="E2220"/>
      <c r="F2220"/>
      <c r="G2220"/>
      <c r="H2220"/>
      <c r="I2220"/>
      <c r="M2220" s="54"/>
    </row>
    <row r="2221" spans="1:13" s="15" customFormat="1" x14ac:dyDescent="0.3">
      <c r="A2221" s="17"/>
      <c r="B2221"/>
      <c r="C2221"/>
      <c r="D2221"/>
      <c r="E2221"/>
      <c r="F2221"/>
      <c r="G2221"/>
      <c r="H2221"/>
      <c r="I2221"/>
      <c r="M2221" s="54"/>
    </row>
    <row r="2222" spans="1:13" s="15" customFormat="1" x14ac:dyDescent="0.3">
      <c r="A2222" s="17"/>
      <c r="B2222"/>
      <c r="C2222"/>
      <c r="D2222"/>
      <c r="E2222"/>
      <c r="F2222"/>
      <c r="G2222"/>
      <c r="H2222"/>
      <c r="I2222"/>
      <c r="M2222" s="54"/>
    </row>
    <row r="2223" spans="1:13" s="15" customFormat="1" x14ac:dyDescent="0.3">
      <c r="A2223" s="17"/>
      <c r="B2223"/>
      <c r="C2223"/>
      <c r="D2223"/>
      <c r="E2223"/>
      <c r="F2223"/>
      <c r="G2223"/>
      <c r="H2223"/>
      <c r="I2223"/>
      <c r="M2223" s="54"/>
    </row>
    <row r="2224" spans="1:13" s="15" customFormat="1" x14ac:dyDescent="0.3">
      <c r="A2224" s="17"/>
      <c r="B2224"/>
      <c r="C2224"/>
      <c r="D2224"/>
      <c r="E2224"/>
      <c r="F2224"/>
      <c r="G2224"/>
      <c r="H2224"/>
      <c r="I2224"/>
      <c r="M2224" s="54"/>
    </row>
    <row r="2225" spans="1:13" s="15" customFormat="1" x14ac:dyDescent="0.3">
      <c r="A2225" s="17"/>
      <c r="B2225"/>
      <c r="C2225"/>
      <c r="D2225"/>
      <c r="E2225"/>
      <c r="F2225"/>
      <c r="G2225"/>
      <c r="H2225"/>
      <c r="I2225"/>
      <c r="M2225" s="54"/>
    </row>
    <row r="2226" spans="1:13" s="15" customFormat="1" x14ac:dyDescent="0.3">
      <c r="A2226" s="17"/>
      <c r="B2226"/>
      <c r="C2226"/>
      <c r="D2226"/>
      <c r="E2226"/>
      <c r="F2226"/>
      <c r="G2226"/>
      <c r="H2226"/>
      <c r="I2226"/>
      <c r="M2226" s="54"/>
    </row>
    <row r="2227" spans="1:13" s="15" customFormat="1" x14ac:dyDescent="0.3">
      <c r="A2227" s="17"/>
      <c r="B2227"/>
      <c r="C2227"/>
      <c r="D2227"/>
      <c r="E2227"/>
      <c r="F2227"/>
      <c r="G2227"/>
      <c r="H2227"/>
      <c r="I2227"/>
      <c r="M2227" s="54"/>
    </row>
    <row r="2228" spans="1:13" s="15" customFormat="1" x14ac:dyDescent="0.3">
      <c r="A2228" s="17"/>
      <c r="B2228"/>
      <c r="C2228"/>
      <c r="D2228"/>
      <c r="E2228"/>
      <c r="F2228"/>
      <c r="G2228"/>
      <c r="H2228"/>
      <c r="I2228"/>
      <c r="M2228" s="54"/>
    </row>
    <row r="2229" spans="1:13" s="15" customFormat="1" x14ac:dyDescent="0.3">
      <c r="A2229" s="17"/>
      <c r="B2229"/>
      <c r="C2229"/>
      <c r="D2229"/>
      <c r="E2229"/>
      <c r="F2229"/>
      <c r="G2229"/>
      <c r="H2229"/>
      <c r="I2229"/>
      <c r="M2229" s="54"/>
    </row>
    <row r="2230" spans="1:13" s="15" customFormat="1" x14ac:dyDescent="0.3">
      <c r="A2230" s="17"/>
      <c r="B2230"/>
      <c r="C2230"/>
      <c r="D2230"/>
      <c r="E2230"/>
      <c r="F2230"/>
      <c r="G2230"/>
      <c r="H2230"/>
      <c r="I2230"/>
      <c r="M2230" s="54"/>
    </row>
    <row r="2231" spans="1:13" s="15" customFormat="1" x14ac:dyDescent="0.3">
      <c r="A2231" s="17"/>
      <c r="B2231"/>
      <c r="C2231"/>
      <c r="D2231"/>
      <c r="E2231"/>
      <c r="F2231"/>
      <c r="G2231"/>
      <c r="H2231"/>
      <c r="I2231"/>
      <c r="M2231" s="54"/>
    </row>
    <row r="2232" spans="1:13" s="15" customFormat="1" x14ac:dyDescent="0.3">
      <c r="A2232" s="17"/>
      <c r="B2232"/>
      <c r="C2232"/>
      <c r="D2232"/>
      <c r="E2232"/>
      <c r="F2232"/>
      <c r="G2232"/>
      <c r="H2232"/>
      <c r="I2232"/>
      <c r="M2232" s="54"/>
    </row>
    <row r="2233" spans="1:13" s="15" customFormat="1" x14ac:dyDescent="0.3">
      <c r="A2233" s="17"/>
      <c r="B2233"/>
      <c r="C2233"/>
      <c r="D2233"/>
      <c r="E2233"/>
      <c r="F2233"/>
      <c r="G2233"/>
      <c r="H2233"/>
      <c r="I2233"/>
      <c r="M2233" s="54"/>
    </row>
    <row r="2234" spans="1:13" s="15" customFormat="1" x14ac:dyDescent="0.3">
      <c r="A2234" s="17"/>
      <c r="B2234"/>
      <c r="C2234"/>
      <c r="D2234"/>
      <c r="E2234"/>
      <c r="F2234"/>
      <c r="G2234"/>
      <c r="H2234"/>
      <c r="I2234"/>
      <c r="M2234" s="54"/>
    </row>
    <row r="2235" spans="1:13" s="15" customFormat="1" x14ac:dyDescent="0.3">
      <c r="A2235" s="17"/>
      <c r="B2235"/>
      <c r="C2235"/>
      <c r="D2235"/>
      <c r="E2235"/>
      <c r="F2235"/>
      <c r="G2235"/>
      <c r="H2235"/>
      <c r="I2235"/>
      <c r="M2235" s="54"/>
    </row>
    <row r="2236" spans="1:13" s="15" customFormat="1" x14ac:dyDescent="0.3">
      <c r="A2236" s="17"/>
      <c r="B2236"/>
      <c r="C2236"/>
      <c r="D2236"/>
      <c r="E2236"/>
      <c r="F2236"/>
      <c r="G2236"/>
      <c r="H2236"/>
      <c r="I2236"/>
      <c r="M2236" s="54"/>
    </row>
    <row r="2237" spans="1:13" s="15" customFormat="1" x14ac:dyDescent="0.3">
      <c r="A2237" s="17"/>
      <c r="B2237"/>
      <c r="C2237"/>
      <c r="D2237"/>
      <c r="E2237"/>
      <c r="F2237"/>
      <c r="G2237"/>
      <c r="H2237"/>
      <c r="I2237"/>
      <c r="M2237" s="54"/>
    </row>
    <row r="2238" spans="1:13" s="15" customFormat="1" x14ac:dyDescent="0.3">
      <c r="A2238" s="17"/>
      <c r="B2238"/>
      <c r="C2238"/>
      <c r="D2238"/>
      <c r="E2238"/>
      <c r="F2238"/>
      <c r="G2238"/>
      <c r="H2238"/>
      <c r="I2238"/>
      <c r="M2238" s="54"/>
    </row>
    <row r="2239" spans="1:13" s="15" customFormat="1" x14ac:dyDescent="0.3">
      <c r="A2239" s="17"/>
      <c r="B2239"/>
      <c r="C2239"/>
      <c r="D2239"/>
      <c r="E2239"/>
      <c r="F2239"/>
      <c r="G2239"/>
      <c r="H2239"/>
      <c r="I2239"/>
      <c r="M2239" s="54"/>
    </row>
    <row r="2240" spans="1:13" s="15" customFormat="1" x14ac:dyDescent="0.3">
      <c r="A2240" s="17"/>
      <c r="B2240"/>
      <c r="C2240"/>
      <c r="D2240"/>
      <c r="E2240"/>
      <c r="F2240"/>
      <c r="G2240"/>
      <c r="H2240"/>
      <c r="I2240"/>
      <c r="M2240" s="54"/>
    </row>
    <row r="2241" spans="1:13" s="15" customFormat="1" x14ac:dyDescent="0.3">
      <c r="A2241" s="17"/>
      <c r="B2241"/>
      <c r="C2241"/>
      <c r="D2241"/>
      <c r="E2241"/>
      <c r="F2241"/>
      <c r="G2241"/>
      <c r="H2241"/>
      <c r="I2241"/>
      <c r="M2241" s="54"/>
    </row>
    <row r="2242" spans="1:13" s="15" customFormat="1" x14ac:dyDescent="0.3">
      <c r="A2242" s="17"/>
      <c r="B2242"/>
      <c r="C2242"/>
      <c r="D2242"/>
      <c r="E2242"/>
      <c r="F2242"/>
      <c r="G2242"/>
      <c r="H2242"/>
      <c r="I2242"/>
      <c r="M2242" s="54"/>
    </row>
    <row r="2243" spans="1:13" s="15" customFormat="1" x14ac:dyDescent="0.3">
      <c r="A2243" s="17"/>
      <c r="B2243"/>
      <c r="C2243"/>
      <c r="D2243"/>
      <c r="E2243"/>
      <c r="F2243"/>
      <c r="G2243"/>
      <c r="H2243"/>
      <c r="I2243"/>
      <c r="M2243" s="54"/>
    </row>
    <row r="2244" spans="1:13" s="15" customFormat="1" x14ac:dyDescent="0.3">
      <c r="A2244" s="17"/>
      <c r="B2244"/>
      <c r="C2244"/>
      <c r="D2244"/>
      <c r="E2244"/>
      <c r="F2244"/>
      <c r="G2244"/>
      <c r="H2244"/>
      <c r="I2244"/>
      <c r="M2244" s="54"/>
    </row>
    <row r="2245" spans="1:13" s="15" customFormat="1" x14ac:dyDescent="0.3">
      <c r="A2245" s="17"/>
      <c r="B2245"/>
      <c r="C2245"/>
      <c r="D2245"/>
      <c r="E2245"/>
      <c r="F2245"/>
      <c r="G2245"/>
      <c r="H2245"/>
      <c r="I2245"/>
      <c r="M2245" s="54"/>
    </row>
    <row r="2246" spans="1:13" s="15" customFormat="1" x14ac:dyDescent="0.3">
      <c r="A2246" s="17"/>
      <c r="B2246"/>
      <c r="C2246"/>
      <c r="D2246"/>
      <c r="E2246"/>
      <c r="F2246"/>
      <c r="G2246"/>
      <c r="H2246"/>
      <c r="I2246"/>
      <c r="M2246" s="54"/>
    </row>
    <row r="2247" spans="1:13" s="15" customFormat="1" x14ac:dyDescent="0.3">
      <c r="A2247" s="17"/>
      <c r="B2247"/>
      <c r="C2247"/>
      <c r="D2247"/>
      <c r="E2247"/>
      <c r="F2247"/>
      <c r="G2247"/>
      <c r="H2247"/>
      <c r="I2247"/>
      <c r="M2247" s="54"/>
    </row>
    <row r="2248" spans="1:13" s="15" customFormat="1" x14ac:dyDescent="0.3">
      <c r="A2248" s="17"/>
      <c r="B2248"/>
      <c r="C2248"/>
      <c r="D2248"/>
      <c r="E2248"/>
      <c r="F2248"/>
      <c r="G2248"/>
      <c r="H2248"/>
      <c r="I2248"/>
      <c r="M2248" s="54"/>
    </row>
    <row r="2249" spans="1:13" s="15" customFormat="1" x14ac:dyDescent="0.3">
      <c r="A2249" s="17"/>
      <c r="B2249"/>
      <c r="C2249"/>
      <c r="D2249"/>
      <c r="E2249"/>
      <c r="F2249"/>
      <c r="G2249"/>
      <c r="H2249"/>
      <c r="I2249"/>
      <c r="M2249" s="54"/>
    </row>
    <row r="2250" spans="1:13" s="15" customFormat="1" x14ac:dyDescent="0.3">
      <c r="A2250" s="17"/>
      <c r="B2250"/>
      <c r="C2250"/>
      <c r="D2250"/>
      <c r="E2250"/>
      <c r="F2250"/>
      <c r="G2250"/>
      <c r="H2250"/>
      <c r="I2250"/>
      <c r="M2250" s="54"/>
    </row>
    <row r="2251" spans="1:13" s="15" customFormat="1" x14ac:dyDescent="0.3">
      <c r="A2251" s="17"/>
      <c r="B2251"/>
      <c r="C2251"/>
      <c r="D2251"/>
      <c r="E2251"/>
      <c r="F2251"/>
      <c r="G2251"/>
      <c r="H2251"/>
      <c r="I2251"/>
      <c r="M2251" s="54"/>
    </row>
    <row r="2252" spans="1:13" s="15" customFormat="1" x14ac:dyDescent="0.3">
      <c r="A2252" s="17"/>
      <c r="B2252"/>
      <c r="C2252"/>
      <c r="D2252"/>
      <c r="E2252"/>
      <c r="F2252"/>
      <c r="G2252"/>
      <c r="H2252"/>
      <c r="I2252"/>
      <c r="M2252" s="54"/>
    </row>
    <row r="2253" spans="1:13" s="15" customFormat="1" x14ac:dyDescent="0.3">
      <c r="A2253" s="17"/>
      <c r="B2253"/>
      <c r="C2253"/>
      <c r="D2253"/>
      <c r="E2253"/>
      <c r="F2253"/>
      <c r="G2253"/>
      <c r="H2253"/>
      <c r="I2253"/>
      <c r="M2253" s="54"/>
    </row>
    <row r="2254" spans="1:13" s="15" customFormat="1" x14ac:dyDescent="0.3">
      <c r="A2254" s="17"/>
      <c r="B2254"/>
      <c r="C2254"/>
      <c r="D2254"/>
      <c r="E2254"/>
      <c r="F2254"/>
      <c r="G2254"/>
      <c r="H2254"/>
      <c r="I2254"/>
      <c r="M2254" s="54"/>
    </row>
    <row r="2255" spans="1:13" s="15" customFormat="1" x14ac:dyDescent="0.3">
      <c r="A2255" s="17"/>
      <c r="B2255"/>
      <c r="C2255"/>
      <c r="D2255"/>
      <c r="E2255"/>
      <c r="F2255"/>
      <c r="G2255"/>
      <c r="H2255"/>
      <c r="I2255"/>
      <c r="M2255" s="54"/>
    </row>
    <row r="2256" spans="1:13" s="15" customFormat="1" x14ac:dyDescent="0.3">
      <c r="A2256" s="17"/>
      <c r="B2256"/>
      <c r="C2256"/>
      <c r="D2256"/>
      <c r="E2256"/>
      <c r="F2256"/>
      <c r="G2256"/>
      <c r="H2256"/>
      <c r="I2256"/>
      <c r="M2256" s="54"/>
    </row>
    <row r="2257" spans="1:13" s="15" customFormat="1" x14ac:dyDescent="0.3">
      <c r="A2257" s="17"/>
      <c r="B2257"/>
      <c r="C2257"/>
      <c r="D2257"/>
      <c r="E2257"/>
      <c r="F2257"/>
      <c r="G2257"/>
      <c r="H2257"/>
      <c r="I2257"/>
      <c r="M2257" s="54"/>
    </row>
    <row r="2258" spans="1:13" s="15" customFormat="1" x14ac:dyDescent="0.3">
      <c r="A2258" s="17"/>
      <c r="B2258"/>
      <c r="C2258"/>
      <c r="D2258"/>
      <c r="E2258"/>
      <c r="F2258"/>
      <c r="G2258"/>
      <c r="H2258"/>
      <c r="I2258"/>
      <c r="M2258" s="54"/>
    </row>
    <row r="2259" spans="1:13" s="15" customFormat="1" x14ac:dyDescent="0.3">
      <c r="A2259" s="17"/>
      <c r="B2259"/>
      <c r="C2259"/>
      <c r="D2259"/>
      <c r="E2259"/>
      <c r="F2259"/>
      <c r="G2259"/>
      <c r="H2259"/>
      <c r="I2259"/>
      <c r="M2259" s="54"/>
    </row>
    <row r="2260" spans="1:13" s="15" customFormat="1" x14ac:dyDescent="0.3">
      <c r="A2260" s="17"/>
      <c r="B2260"/>
      <c r="C2260"/>
      <c r="D2260"/>
      <c r="E2260"/>
      <c r="F2260"/>
      <c r="G2260"/>
      <c r="H2260"/>
      <c r="I2260"/>
      <c r="M2260" s="54"/>
    </row>
    <row r="2261" spans="1:13" s="15" customFormat="1" x14ac:dyDescent="0.3">
      <c r="A2261" s="17"/>
      <c r="B2261"/>
      <c r="C2261"/>
      <c r="D2261"/>
      <c r="E2261"/>
      <c r="F2261"/>
      <c r="G2261"/>
      <c r="H2261"/>
      <c r="I2261"/>
      <c r="M2261" s="54"/>
    </row>
    <row r="2262" spans="1:13" s="15" customFormat="1" x14ac:dyDescent="0.3">
      <c r="A2262" s="17"/>
      <c r="B2262"/>
      <c r="C2262"/>
      <c r="D2262"/>
      <c r="E2262"/>
      <c r="F2262"/>
      <c r="G2262"/>
      <c r="H2262"/>
      <c r="I2262"/>
      <c r="M2262" s="54"/>
    </row>
    <row r="2263" spans="1:13" s="15" customFormat="1" x14ac:dyDescent="0.3">
      <c r="A2263" s="17"/>
      <c r="B2263"/>
      <c r="C2263"/>
      <c r="D2263"/>
      <c r="E2263"/>
      <c r="F2263"/>
      <c r="G2263"/>
      <c r="H2263"/>
      <c r="I2263"/>
      <c r="M2263" s="54"/>
    </row>
    <row r="2264" spans="1:13" s="15" customFormat="1" x14ac:dyDescent="0.3">
      <c r="A2264" s="17"/>
      <c r="B2264"/>
      <c r="C2264"/>
      <c r="D2264"/>
      <c r="E2264"/>
      <c r="F2264"/>
      <c r="G2264"/>
      <c r="H2264"/>
      <c r="I2264"/>
      <c r="M2264" s="54"/>
    </row>
    <row r="2265" spans="1:13" s="15" customFormat="1" x14ac:dyDescent="0.3">
      <c r="A2265" s="17"/>
      <c r="B2265"/>
      <c r="C2265"/>
      <c r="D2265"/>
      <c r="E2265"/>
      <c r="F2265"/>
      <c r="G2265"/>
      <c r="H2265"/>
      <c r="I2265"/>
      <c r="M2265" s="54"/>
    </row>
    <row r="2266" spans="1:13" s="15" customFormat="1" x14ac:dyDescent="0.3">
      <c r="A2266" s="17"/>
      <c r="B2266"/>
      <c r="C2266"/>
      <c r="D2266"/>
      <c r="E2266"/>
      <c r="F2266"/>
      <c r="G2266"/>
      <c r="H2266"/>
      <c r="I2266"/>
      <c r="M2266" s="54"/>
    </row>
    <row r="2267" spans="1:13" s="15" customFormat="1" x14ac:dyDescent="0.3">
      <c r="A2267" s="17"/>
      <c r="B2267"/>
      <c r="C2267"/>
      <c r="D2267"/>
      <c r="E2267"/>
      <c r="F2267"/>
      <c r="G2267"/>
      <c r="H2267"/>
      <c r="I2267"/>
      <c r="M2267" s="54"/>
    </row>
    <row r="2268" spans="1:13" s="15" customFormat="1" x14ac:dyDescent="0.3">
      <c r="A2268" s="17"/>
      <c r="B2268"/>
      <c r="C2268"/>
      <c r="D2268"/>
      <c r="E2268"/>
      <c r="F2268"/>
      <c r="G2268"/>
      <c r="H2268"/>
      <c r="I2268"/>
      <c r="M2268" s="54"/>
    </row>
    <row r="2269" spans="1:13" s="15" customFormat="1" x14ac:dyDescent="0.3">
      <c r="A2269" s="17"/>
      <c r="B2269"/>
      <c r="C2269"/>
      <c r="D2269"/>
      <c r="E2269"/>
      <c r="F2269"/>
      <c r="G2269"/>
      <c r="H2269"/>
      <c r="I2269"/>
      <c r="M2269" s="54"/>
    </row>
    <row r="2270" spans="1:13" s="15" customFormat="1" x14ac:dyDescent="0.3">
      <c r="A2270" s="17"/>
      <c r="B2270"/>
      <c r="C2270"/>
      <c r="D2270"/>
      <c r="E2270"/>
      <c r="F2270"/>
      <c r="G2270"/>
      <c r="H2270"/>
      <c r="I2270"/>
      <c r="M2270" s="54"/>
    </row>
    <row r="2271" spans="1:13" s="15" customFormat="1" x14ac:dyDescent="0.3">
      <c r="A2271" s="17"/>
      <c r="B2271"/>
      <c r="C2271"/>
      <c r="D2271"/>
      <c r="E2271"/>
      <c r="F2271"/>
      <c r="G2271"/>
      <c r="H2271"/>
      <c r="I2271"/>
      <c r="M2271" s="54"/>
    </row>
    <row r="2272" spans="1:13" s="15" customFormat="1" x14ac:dyDescent="0.3">
      <c r="A2272" s="17"/>
      <c r="B2272"/>
      <c r="C2272"/>
      <c r="D2272"/>
      <c r="E2272"/>
      <c r="F2272"/>
      <c r="G2272"/>
      <c r="H2272"/>
      <c r="I2272"/>
      <c r="M2272" s="54"/>
    </row>
    <row r="2273" spans="1:13" s="15" customFormat="1" x14ac:dyDescent="0.3">
      <c r="A2273" s="17"/>
      <c r="B2273"/>
      <c r="C2273"/>
      <c r="D2273"/>
      <c r="E2273"/>
      <c r="F2273"/>
      <c r="G2273"/>
      <c r="H2273"/>
      <c r="I2273"/>
      <c r="M2273" s="54"/>
    </row>
    <row r="2274" spans="1:13" s="15" customFormat="1" x14ac:dyDescent="0.3">
      <c r="A2274" s="17"/>
      <c r="B2274"/>
      <c r="C2274"/>
      <c r="D2274"/>
      <c r="E2274"/>
      <c r="F2274"/>
      <c r="G2274"/>
      <c r="H2274"/>
      <c r="I2274"/>
      <c r="M2274" s="54"/>
    </row>
    <row r="2275" spans="1:13" s="15" customFormat="1" x14ac:dyDescent="0.3">
      <c r="A2275" s="17"/>
      <c r="B2275"/>
      <c r="C2275"/>
      <c r="D2275"/>
      <c r="E2275"/>
      <c r="F2275"/>
      <c r="G2275"/>
      <c r="H2275"/>
      <c r="I2275"/>
      <c r="M2275" s="54"/>
    </row>
    <row r="2276" spans="1:13" s="15" customFormat="1" x14ac:dyDescent="0.3">
      <c r="A2276" s="17"/>
      <c r="B2276"/>
      <c r="C2276"/>
      <c r="D2276"/>
      <c r="E2276"/>
      <c r="F2276"/>
      <c r="G2276"/>
      <c r="H2276"/>
      <c r="I2276"/>
      <c r="M2276" s="54"/>
    </row>
    <row r="2277" spans="1:13" s="15" customFormat="1" x14ac:dyDescent="0.3">
      <c r="A2277" s="17"/>
      <c r="B2277"/>
      <c r="C2277"/>
      <c r="D2277"/>
      <c r="E2277"/>
      <c r="F2277"/>
      <c r="G2277"/>
      <c r="H2277"/>
      <c r="I2277"/>
      <c r="M2277" s="54"/>
    </row>
    <row r="2278" spans="1:13" s="15" customFormat="1" x14ac:dyDescent="0.3">
      <c r="A2278" s="17"/>
      <c r="B2278"/>
      <c r="C2278"/>
      <c r="D2278"/>
      <c r="E2278"/>
      <c r="F2278"/>
      <c r="G2278"/>
      <c r="H2278"/>
      <c r="I2278"/>
      <c r="M2278" s="54"/>
    </row>
    <row r="2279" spans="1:13" s="15" customFormat="1" x14ac:dyDescent="0.3">
      <c r="A2279" s="17"/>
      <c r="B2279"/>
      <c r="C2279"/>
      <c r="D2279"/>
      <c r="E2279"/>
      <c r="F2279"/>
      <c r="G2279"/>
      <c r="H2279"/>
      <c r="I2279"/>
      <c r="M2279" s="54"/>
    </row>
    <row r="2280" spans="1:13" s="15" customFormat="1" x14ac:dyDescent="0.3">
      <c r="A2280" s="17"/>
      <c r="B2280"/>
      <c r="C2280"/>
      <c r="D2280"/>
      <c r="E2280"/>
      <c r="F2280"/>
      <c r="G2280"/>
      <c r="H2280"/>
      <c r="I2280"/>
      <c r="M2280" s="54"/>
    </row>
    <row r="2281" spans="1:13" s="15" customFormat="1" x14ac:dyDescent="0.3">
      <c r="A2281" s="17"/>
      <c r="B2281"/>
      <c r="C2281"/>
      <c r="D2281"/>
      <c r="E2281"/>
      <c r="F2281"/>
      <c r="G2281"/>
      <c r="H2281"/>
      <c r="I2281"/>
      <c r="M2281" s="54"/>
    </row>
    <row r="2282" spans="1:13" s="15" customFormat="1" x14ac:dyDescent="0.3">
      <c r="A2282" s="17"/>
      <c r="B2282"/>
      <c r="C2282"/>
      <c r="D2282"/>
      <c r="E2282"/>
      <c r="F2282"/>
      <c r="G2282"/>
      <c r="H2282"/>
      <c r="I2282"/>
      <c r="M2282" s="54"/>
    </row>
    <row r="2283" spans="1:13" s="15" customFormat="1" x14ac:dyDescent="0.3">
      <c r="A2283" s="17"/>
      <c r="B2283"/>
      <c r="C2283"/>
      <c r="D2283"/>
      <c r="E2283"/>
      <c r="F2283"/>
      <c r="G2283"/>
      <c r="H2283"/>
      <c r="I2283"/>
      <c r="M2283" s="54"/>
    </row>
    <row r="2284" spans="1:13" s="15" customFormat="1" x14ac:dyDescent="0.3">
      <c r="A2284" s="17"/>
      <c r="B2284"/>
      <c r="C2284"/>
      <c r="D2284"/>
      <c r="E2284"/>
      <c r="F2284"/>
      <c r="G2284"/>
      <c r="H2284"/>
      <c r="I2284"/>
      <c r="M2284" s="54"/>
    </row>
    <row r="2285" spans="1:13" s="15" customFormat="1" x14ac:dyDescent="0.3">
      <c r="A2285" s="17"/>
      <c r="B2285"/>
      <c r="C2285"/>
      <c r="D2285"/>
      <c r="E2285"/>
      <c r="F2285"/>
      <c r="G2285"/>
      <c r="H2285"/>
      <c r="I2285"/>
      <c r="M2285" s="54"/>
    </row>
    <row r="2286" spans="1:13" s="15" customFormat="1" x14ac:dyDescent="0.3">
      <c r="A2286" s="17"/>
      <c r="B2286"/>
      <c r="C2286"/>
      <c r="D2286"/>
      <c r="E2286"/>
      <c r="F2286"/>
      <c r="G2286"/>
      <c r="H2286"/>
      <c r="I2286"/>
      <c r="M2286" s="54"/>
    </row>
    <row r="2287" spans="1:13" s="15" customFormat="1" x14ac:dyDescent="0.3">
      <c r="A2287" s="17"/>
      <c r="B2287"/>
      <c r="C2287"/>
      <c r="D2287"/>
      <c r="E2287"/>
      <c r="F2287"/>
      <c r="G2287"/>
      <c r="H2287"/>
      <c r="I2287"/>
      <c r="M2287" s="54"/>
    </row>
    <row r="2288" spans="1:13" s="15" customFormat="1" x14ac:dyDescent="0.3">
      <c r="A2288" s="17"/>
      <c r="B2288"/>
      <c r="C2288"/>
      <c r="D2288"/>
      <c r="E2288"/>
      <c r="F2288"/>
      <c r="G2288"/>
      <c r="H2288"/>
      <c r="I2288"/>
      <c r="M2288" s="54"/>
    </row>
    <row r="2289" spans="1:13" s="15" customFormat="1" x14ac:dyDescent="0.3">
      <c r="A2289" s="17"/>
      <c r="B2289"/>
      <c r="C2289"/>
      <c r="D2289"/>
      <c r="E2289"/>
      <c r="F2289"/>
      <c r="G2289"/>
      <c r="H2289"/>
      <c r="I2289"/>
      <c r="M2289" s="54"/>
    </row>
    <row r="2290" spans="1:13" s="15" customFormat="1" x14ac:dyDescent="0.3">
      <c r="A2290" s="17"/>
      <c r="B2290"/>
      <c r="C2290"/>
      <c r="D2290"/>
      <c r="E2290"/>
      <c r="F2290"/>
      <c r="G2290"/>
      <c r="H2290"/>
      <c r="I2290"/>
      <c r="M2290" s="54"/>
    </row>
    <row r="2291" spans="1:13" s="15" customFormat="1" x14ac:dyDescent="0.3">
      <c r="A2291" s="17"/>
      <c r="B2291"/>
      <c r="C2291"/>
      <c r="D2291"/>
      <c r="E2291"/>
      <c r="F2291"/>
      <c r="G2291"/>
      <c r="H2291"/>
      <c r="I2291"/>
      <c r="M2291" s="54"/>
    </row>
    <row r="2292" spans="1:13" s="15" customFormat="1" x14ac:dyDescent="0.3">
      <c r="A2292" s="17"/>
      <c r="B2292"/>
      <c r="C2292"/>
      <c r="D2292"/>
      <c r="E2292"/>
      <c r="F2292"/>
      <c r="G2292"/>
      <c r="H2292"/>
      <c r="I2292"/>
      <c r="M2292" s="54"/>
    </row>
    <row r="2293" spans="1:13" s="15" customFormat="1" x14ac:dyDescent="0.3">
      <c r="A2293" s="17"/>
      <c r="B2293"/>
      <c r="C2293"/>
      <c r="D2293"/>
      <c r="E2293"/>
      <c r="F2293"/>
      <c r="G2293"/>
      <c r="H2293"/>
      <c r="I2293"/>
      <c r="M2293" s="54"/>
    </row>
    <row r="2294" spans="1:13" s="15" customFormat="1" x14ac:dyDescent="0.3">
      <c r="A2294" s="17"/>
      <c r="B2294"/>
      <c r="C2294"/>
      <c r="D2294"/>
      <c r="E2294"/>
      <c r="F2294"/>
      <c r="G2294"/>
      <c r="H2294"/>
      <c r="I2294"/>
      <c r="M2294" s="54"/>
    </row>
    <row r="2295" spans="1:13" s="15" customFormat="1" x14ac:dyDescent="0.3">
      <c r="A2295" s="17"/>
      <c r="B2295"/>
      <c r="C2295"/>
      <c r="D2295"/>
      <c r="E2295"/>
      <c r="F2295"/>
      <c r="G2295"/>
      <c r="H2295"/>
      <c r="I2295"/>
      <c r="M2295" s="54"/>
    </row>
    <row r="2296" spans="1:13" s="15" customFormat="1" x14ac:dyDescent="0.3">
      <c r="A2296" s="17"/>
      <c r="B2296"/>
      <c r="C2296"/>
      <c r="D2296"/>
      <c r="E2296"/>
      <c r="F2296"/>
      <c r="G2296"/>
      <c r="H2296"/>
      <c r="I2296"/>
      <c r="M2296" s="54"/>
    </row>
    <row r="2297" spans="1:13" s="15" customFormat="1" x14ac:dyDescent="0.3">
      <c r="A2297" s="17"/>
      <c r="B2297"/>
      <c r="C2297"/>
      <c r="D2297"/>
      <c r="E2297"/>
      <c r="F2297"/>
      <c r="G2297"/>
      <c r="H2297"/>
      <c r="I2297"/>
      <c r="M2297" s="54"/>
    </row>
    <row r="2298" spans="1:13" s="15" customFormat="1" x14ac:dyDescent="0.3">
      <c r="A2298" s="17"/>
      <c r="B2298"/>
      <c r="C2298"/>
      <c r="D2298"/>
      <c r="E2298"/>
      <c r="F2298"/>
      <c r="G2298"/>
      <c r="H2298"/>
      <c r="I2298"/>
      <c r="M2298" s="54"/>
    </row>
    <row r="2299" spans="1:13" s="15" customFormat="1" x14ac:dyDescent="0.3">
      <c r="A2299" s="17"/>
      <c r="B2299"/>
      <c r="C2299"/>
      <c r="D2299"/>
      <c r="E2299"/>
      <c r="F2299"/>
      <c r="G2299"/>
      <c r="H2299"/>
      <c r="I2299"/>
      <c r="M2299" s="54"/>
    </row>
    <row r="2300" spans="1:13" s="15" customFormat="1" x14ac:dyDescent="0.3">
      <c r="A2300" s="17"/>
      <c r="B2300"/>
      <c r="C2300"/>
      <c r="D2300"/>
      <c r="E2300"/>
      <c r="F2300"/>
      <c r="G2300"/>
      <c r="H2300"/>
      <c r="I2300"/>
      <c r="M2300" s="54"/>
    </row>
    <row r="2301" spans="1:13" s="15" customFormat="1" x14ac:dyDescent="0.3">
      <c r="A2301" s="17"/>
      <c r="B2301"/>
      <c r="C2301"/>
      <c r="D2301"/>
      <c r="E2301"/>
      <c r="F2301"/>
      <c r="G2301"/>
      <c r="H2301"/>
      <c r="I2301"/>
      <c r="M2301" s="54"/>
    </row>
    <row r="2302" spans="1:13" s="15" customFormat="1" x14ac:dyDescent="0.3">
      <c r="A2302" s="17"/>
      <c r="B2302"/>
      <c r="C2302"/>
      <c r="D2302"/>
      <c r="E2302"/>
      <c r="F2302"/>
      <c r="G2302"/>
      <c r="H2302"/>
      <c r="I2302"/>
      <c r="M2302" s="54"/>
    </row>
    <row r="2303" spans="1:13" s="15" customFormat="1" x14ac:dyDescent="0.3">
      <c r="A2303" s="17"/>
      <c r="B2303"/>
      <c r="C2303"/>
      <c r="D2303"/>
      <c r="E2303"/>
      <c r="F2303"/>
      <c r="G2303"/>
      <c r="H2303"/>
      <c r="I2303"/>
      <c r="M2303" s="54"/>
    </row>
    <row r="2304" spans="1:13" s="15" customFormat="1" x14ac:dyDescent="0.3">
      <c r="A2304" s="17"/>
      <c r="B2304"/>
      <c r="C2304"/>
      <c r="D2304"/>
      <c r="E2304"/>
      <c r="F2304"/>
      <c r="G2304"/>
      <c r="H2304"/>
      <c r="I2304"/>
      <c r="M2304" s="54"/>
    </row>
    <row r="2305" spans="1:13" s="15" customFormat="1" x14ac:dyDescent="0.3">
      <c r="A2305" s="17"/>
      <c r="B2305"/>
      <c r="C2305"/>
      <c r="D2305"/>
      <c r="E2305"/>
      <c r="F2305"/>
      <c r="G2305"/>
      <c r="H2305"/>
      <c r="I2305"/>
      <c r="M2305" s="54"/>
    </row>
    <row r="2306" spans="1:13" s="15" customFormat="1" x14ac:dyDescent="0.3">
      <c r="A2306" s="17"/>
      <c r="B2306"/>
      <c r="C2306"/>
      <c r="D2306"/>
      <c r="E2306"/>
      <c r="F2306"/>
      <c r="G2306"/>
      <c r="H2306"/>
      <c r="I2306"/>
      <c r="M2306" s="54"/>
    </row>
    <row r="2307" spans="1:13" s="15" customFormat="1" x14ac:dyDescent="0.3">
      <c r="A2307" s="17"/>
      <c r="B2307"/>
      <c r="C2307"/>
      <c r="D2307"/>
      <c r="E2307"/>
      <c r="F2307"/>
      <c r="G2307"/>
      <c r="H2307"/>
      <c r="I2307"/>
      <c r="M2307" s="54"/>
    </row>
    <row r="2308" spans="1:13" s="15" customFormat="1" x14ac:dyDescent="0.3">
      <c r="A2308" s="17"/>
      <c r="B2308"/>
      <c r="C2308"/>
      <c r="D2308"/>
      <c r="E2308"/>
      <c r="F2308"/>
      <c r="G2308"/>
      <c r="H2308"/>
      <c r="I2308"/>
      <c r="M2308" s="54"/>
    </row>
    <row r="2309" spans="1:13" s="15" customFormat="1" x14ac:dyDescent="0.3">
      <c r="A2309" s="17"/>
      <c r="B2309"/>
      <c r="C2309"/>
      <c r="D2309"/>
      <c r="E2309"/>
      <c r="F2309"/>
      <c r="G2309"/>
      <c r="H2309"/>
      <c r="I2309"/>
      <c r="M2309" s="54"/>
    </row>
    <row r="2310" spans="1:13" s="15" customFormat="1" x14ac:dyDescent="0.3">
      <c r="A2310" s="17"/>
      <c r="B2310"/>
      <c r="C2310"/>
      <c r="D2310"/>
      <c r="E2310"/>
      <c r="F2310"/>
      <c r="G2310"/>
      <c r="H2310"/>
      <c r="I2310"/>
      <c r="M2310" s="54"/>
    </row>
    <row r="2311" spans="1:13" s="15" customFormat="1" x14ac:dyDescent="0.3">
      <c r="A2311" s="17"/>
      <c r="B2311"/>
      <c r="C2311"/>
      <c r="D2311"/>
      <c r="E2311"/>
      <c r="F2311"/>
      <c r="G2311"/>
      <c r="H2311"/>
      <c r="I2311"/>
      <c r="M2311" s="54"/>
    </row>
    <row r="2312" spans="1:13" s="15" customFormat="1" x14ac:dyDescent="0.3">
      <c r="A2312" s="17"/>
      <c r="B2312"/>
      <c r="C2312"/>
      <c r="D2312"/>
      <c r="E2312"/>
      <c r="F2312"/>
      <c r="G2312"/>
      <c r="H2312"/>
      <c r="I2312"/>
      <c r="M2312" s="54"/>
    </row>
    <row r="2313" spans="1:13" s="15" customFormat="1" x14ac:dyDescent="0.3">
      <c r="A2313" s="17"/>
      <c r="B2313"/>
      <c r="C2313"/>
      <c r="D2313"/>
      <c r="E2313"/>
      <c r="F2313"/>
      <c r="G2313"/>
      <c r="H2313"/>
      <c r="I2313"/>
      <c r="M2313" s="54"/>
    </row>
    <row r="2314" spans="1:13" s="15" customFormat="1" x14ac:dyDescent="0.3">
      <c r="A2314" s="17"/>
      <c r="B2314"/>
      <c r="C2314"/>
      <c r="D2314"/>
      <c r="E2314"/>
      <c r="F2314"/>
      <c r="G2314"/>
      <c r="H2314"/>
      <c r="I2314"/>
      <c r="M2314" s="54"/>
    </row>
    <row r="2315" spans="1:13" s="15" customFormat="1" x14ac:dyDescent="0.3">
      <c r="A2315" s="17"/>
      <c r="B2315"/>
      <c r="C2315"/>
      <c r="D2315"/>
      <c r="E2315"/>
      <c r="F2315"/>
      <c r="G2315"/>
      <c r="H2315"/>
      <c r="I2315"/>
      <c r="M2315" s="54"/>
    </row>
    <row r="2316" spans="1:13" s="15" customFormat="1" x14ac:dyDescent="0.3">
      <c r="A2316" s="17"/>
      <c r="B2316"/>
      <c r="C2316"/>
      <c r="D2316"/>
      <c r="E2316"/>
      <c r="F2316"/>
      <c r="G2316"/>
      <c r="H2316"/>
      <c r="I2316"/>
      <c r="M2316" s="54"/>
    </row>
    <row r="2317" spans="1:13" s="15" customFormat="1" x14ac:dyDescent="0.3">
      <c r="A2317" s="17"/>
      <c r="B2317"/>
      <c r="C2317"/>
      <c r="D2317"/>
      <c r="E2317"/>
      <c r="F2317"/>
      <c r="G2317"/>
      <c r="H2317"/>
      <c r="I2317"/>
      <c r="M2317" s="54"/>
    </row>
    <row r="2318" spans="1:13" s="15" customFormat="1" x14ac:dyDescent="0.3">
      <c r="A2318" s="17"/>
      <c r="B2318"/>
      <c r="C2318"/>
      <c r="D2318"/>
      <c r="E2318"/>
      <c r="F2318"/>
      <c r="G2318"/>
      <c r="H2318"/>
      <c r="I2318"/>
      <c r="M2318" s="54"/>
    </row>
    <row r="2319" spans="1:13" s="15" customFormat="1" x14ac:dyDescent="0.3">
      <c r="A2319" s="17"/>
      <c r="B2319"/>
      <c r="C2319"/>
      <c r="D2319"/>
      <c r="E2319"/>
      <c r="F2319"/>
      <c r="G2319"/>
      <c r="H2319"/>
      <c r="I2319"/>
      <c r="M2319" s="54"/>
    </row>
    <row r="2320" spans="1:13" s="15" customFormat="1" x14ac:dyDescent="0.3">
      <c r="A2320" s="17"/>
      <c r="B2320"/>
      <c r="C2320"/>
      <c r="D2320"/>
      <c r="E2320"/>
      <c r="F2320"/>
      <c r="G2320"/>
      <c r="H2320"/>
      <c r="I2320"/>
      <c r="M2320" s="54"/>
    </row>
    <row r="2321" spans="1:13" s="15" customFormat="1" x14ac:dyDescent="0.3">
      <c r="A2321" s="17"/>
      <c r="B2321"/>
      <c r="C2321"/>
      <c r="D2321"/>
      <c r="E2321"/>
      <c r="F2321"/>
      <c r="G2321"/>
      <c r="H2321"/>
      <c r="I2321"/>
      <c r="M2321" s="54"/>
    </row>
    <row r="2322" spans="1:13" s="15" customFormat="1" x14ac:dyDescent="0.3">
      <c r="A2322" s="17"/>
      <c r="B2322"/>
      <c r="C2322"/>
      <c r="D2322"/>
      <c r="E2322"/>
      <c r="F2322"/>
      <c r="G2322"/>
      <c r="H2322"/>
      <c r="I2322"/>
      <c r="M2322" s="54"/>
    </row>
    <row r="2323" spans="1:13" s="15" customFormat="1" x14ac:dyDescent="0.3">
      <c r="A2323" s="17"/>
      <c r="B2323"/>
      <c r="C2323"/>
      <c r="D2323"/>
      <c r="E2323"/>
      <c r="F2323"/>
      <c r="G2323"/>
      <c r="H2323"/>
      <c r="I2323"/>
      <c r="M2323" s="54"/>
    </row>
    <row r="2324" spans="1:13" s="15" customFormat="1" x14ac:dyDescent="0.3">
      <c r="A2324" s="17"/>
      <c r="B2324"/>
      <c r="C2324"/>
      <c r="D2324"/>
      <c r="E2324"/>
      <c r="F2324"/>
      <c r="G2324"/>
      <c r="H2324"/>
      <c r="I2324"/>
      <c r="M2324" s="54"/>
    </row>
    <row r="2325" spans="1:13" s="15" customFormat="1" x14ac:dyDescent="0.3">
      <c r="A2325" s="17"/>
      <c r="B2325"/>
      <c r="C2325"/>
      <c r="D2325"/>
      <c r="E2325"/>
      <c r="F2325"/>
      <c r="G2325"/>
      <c r="H2325"/>
      <c r="I2325"/>
      <c r="M2325" s="54"/>
    </row>
    <row r="2326" spans="1:13" s="15" customFormat="1" x14ac:dyDescent="0.3">
      <c r="A2326" s="17"/>
      <c r="B2326"/>
      <c r="C2326"/>
      <c r="D2326"/>
      <c r="E2326"/>
      <c r="F2326"/>
      <c r="G2326"/>
      <c r="H2326"/>
      <c r="I2326"/>
      <c r="M2326" s="54"/>
    </row>
    <row r="2327" spans="1:13" s="15" customFormat="1" x14ac:dyDescent="0.3">
      <c r="A2327" s="17"/>
      <c r="B2327"/>
      <c r="C2327"/>
      <c r="D2327"/>
      <c r="E2327"/>
      <c r="F2327"/>
      <c r="G2327"/>
      <c r="H2327"/>
      <c r="I2327"/>
      <c r="M2327" s="54"/>
    </row>
    <row r="2328" spans="1:13" s="15" customFormat="1" x14ac:dyDescent="0.3">
      <c r="A2328" s="17"/>
      <c r="B2328"/>
      <c r="C2328"/>
      <c r="D2328"/>
      <c r="E2328"/>
      <c r="F2328"/>
      <c r="G2328"/>
      <c r="H2328"/>
      <c r="I2328"/>
      <c r="M2328" s="54"/>
    </row>
    <row r="2329" spans="1:13" s="15" customFormat="1" x14ac:dyDescent="0.3">
      <c r="A2329" s="17"/>
      <c r="B2329"/>
      <c r="C2329"/>
      <c r="D2329"/>
      <c r="E2329"/>
      <c r="F2329"/>
      <c r="G2329"/>
      <c r="H2329"/>
      <c r="I2329"/>
      <c r="M2329" s="54"/>
    </row>
    <row r="2330" spans="1:13" s="15" customFormat="1" x14ac:dyDescent="0.3">
      <c r="A2330" s="17"/>
      <c r="B2330"/>
      <c r="C2330"/>
      <c r="D2330"/>
      <c r="E2330"/>
      <c r="F2330"/>
      <c r="G2330"/>
      <c r="H2330"/>
      <c r="I2330"/>
      <c r="M2330" s="54"/>
    </row>
    <row r="2331" spans="1:13" s="15" customFormat="1" x14ac:dyDescent="0.3">
      <c r="A2331" s="17"/>
      <c r="B2331"/>
      <c r="C2331"/>
      <c r="D2331"/>
      <c r="E2331"/>
      <c r="F2331"/>
      <c r="G2331"/>
      <c r="H2331"/>
      <c r="I2331"/>
      <c r="M2331" s="54"/>
    </row>
    <row r="2332" spans="1:13" s="15" customFormat="1" x14ac:dyDescent="0.3">
      <c r="A2332" s="17"/>
      <c r="B2332"/>
      <c r="C2332"/>
      <c r="D2332"/>
      <c r="E2332"/>
      <c r="F2332"/>
      <c r="G2332"/>
      <c r="H2332"/>
      <c r="I2332"/>
      <c r="M2332" s="54"/>
    </row>
    <row r="2333" spans="1:13" s="15" customFormat="1" x14ac:dyDescent="0.3">
      <c r="A2333" s="17"/>
      <c r="B2333"/>
      <c r="C2333"/>
      <c r="D2333"/>
      <c r="E2333"/>
      <c r="F2333"/>
      <c r="G2333"/>
      <c r="H2333"/>
      <c r="I2333"/>
      <c r="M2333" s="54"/>
    </row>
    <row r="2334" spans="1:13" s="15" customFormat="1" x14ac:dyDescent="0.3">
      <c r="A2334" s="17"/>
      <c r="B2334"/>
      <c r="C2334"/>
      <c r="D2334"/>
      <c r="E2334"/>
      <c r="F2334"/>
      <c r="G2334"/>
      <c r="H2334"/>
      <c r="I2334"/>
      <c r="M2334" s="54"/>
    </row>
    <row r="2335" spans="1:13" s="15" customFormat="1" x14ac:dyDescent="0.3">
      <c r="A2335" s="17"/>
      <c r="B2335"/>
      <c r="C2335"/>
      <c r="D2335"/>
      <c r="E2335"/>
      <c r="F2335"/>
      <c r="G2335"/>
      <c r="H2335"/>
      <c r="I2335"/>
      <c r="M2335" s="54"/>
    </row>
    <row r="2336" spans="1:13" s="15" customFormat="1" x14ac:dyDescent="0.3">
      <c r="A2336" s="17"/>
      <c r="B2336"/>
      <c r="C2336"/>
      <c r="D2336"/>
      <c r="E2336"/>
      <c r="F2336"/>
      <c r="G2336"/>
      <c r="H2336"/>
      <c r="I2336"/>
      <c r="M2336" s="54"/>
    </row>
    <row r="2337" spans="1:13" s="15" customFormat="1" x14ac:dyDescent="0.3">
      <c r="A2337" s="17"/>
      <c r="B2337"/>
      <c r="C2337"/>
      <c r="D2337"/>
      <c r="E2337"/>
      <c r="F2337"/>
      <c r="G2337"/>
      <c r="H2337"/>
      <c r="I2337"/>
      <c r="M2337" s="54"/>
    </row>
    <row r="2338" spans="1:13" s="15" customFormat="1" x14ac:dyDescent="0.3">
      <c r="A2338" s="17"/>
      <c r="B2338"/>
      <c r="C2338"/>
      <c r="D2338"/>
      <c r="E2338"/>
      <c r="F2338"/>
      <c r="G2338"/>
      <c r="H2338"/>
      <c r="I2338"/>
      <c r="M2338" s="54"/>
    </row>
    <row r="2339" spans="1:13" s="15" customFormat="1" x14ac:dyDescent="0.3">
      <c r="A2339" s="17"/>
      <c r="B2339"/>
      <c r="C2339"/>
      <c r="D2339"/>
      <c r="E2339"/>
      <c r="F2339"/>
      <c r="G2339"/>
      <c r="H2339"/>
      <c r="I2339"/>
      <c r="M2339" s="54"/>
    </row>
    <row r="2340" spans="1:13" s="15" customFormat="1" x14ac:dyDescent="0.3">
      <c r="A2340" s="17"/>
      <c r="B2340"/>
      <c r="C2340"/>
      <c r="D2340"/>
      <c r="E2340"/>
      <c r="F2340"/>
      <c r="G2340"/>
      <c r="H2340"/>
      <c r="I2340"/>
      <c r="M2340" s="54"/>
    </row>
    <row r="2341" spans="1:13" s="15" customFormat="1" x14ac:dyDescent="0.3">
      <c r="A2341" s="17"/>
      <c r="B2341"/>
      <c r="C2341"/>
      <c r="D2341"/>
      <c r="E2341"/>
      <c r="F2341"/>
      <c r="G2341"/>
      <c r="H2341"/>
      <c r="I2341"/>
      <c r="M2341" s="54"/>
    </row>
    <row r="2342" spans="1:13" s="15" customFormat="1" x14ac:dyDescent="0.3">
      <c r="A2342" s="17"/>
      <c r="B2342"/>
      <c r="C2342"/>
      <c r="D2342"/>
      <c r="E2342"/>
      <c r="F2342"/>
      <c r="G2342"/>
      <c r="H2342"/>
      <c r="I2342"/>
      <c r="M2342" s="54"/>
    </row>
    <row r="2343" spans="1:13" s="15" customFormat="1" x14ac:dyDescent="0.3">
      <c r="A2343" s="17"/>
      <c r="B2343"/>
      <c r="C2343"/>
      <c r="D2343"/>
      <c r="E2343"/>
      <c r="F2343"/>
      <c r="G2343"/>
      <c r="H2343"/>
      <c r="I2343"/>
      <c r="M2343" s="54"/>
    </row>
    <row r="2344" spans="1:13" s="15" customFormat="1" x14ac:dyDescent="0.3">
      <c r="A2344" s="17"/>
      <c r="B2344"/>
      <c r="C2344"/>
      <c r="D2344"/>
      <c r="E2344"/>
      <c r="F2344"/>
      <c r="G2344"/>
      <c r="H2344"/>
      <c r="I2344"/>
      <c r="M2344" s="54"/>
    </row>
    <row r="2345" spans="1:13" s="15" customFormat="1" x14ac:dyDescent="0.3">
      <c r="A2345" s="17"/>
      <c r="B2345"/>
      <c r="C2345"/>
      <c r="D2345"/>
      <c r="E2345"/>
      <c r="F2345"/>
      <c r="G2345"/>
      <c r="H2345"/>
      <c r="I2345"/>
      <c r="M2345" s="54"/>
    </row>
    <row r="2346" spans="1:13" s="15" customFormat="1" x14ac:dyDescent="0.3">
      <c r="A2346" s="17"/>
      <c r="B2346"/>
      <c r="C2346"/>
      <c r="D2346"/>
      <c r="E2346"/>
      <c r="F2346"/>
      <c r="G2346"/>
      <c r="H2346"/>
      <c r="I2346"/>
      <c r="M2346" s="54"/>
    </row>
    <row r="2347" spans="1:13" s="15" customFormat="1" x14ac:dyDescent="0.3">
      <c r="A2347" s="17"/>
      <c r="B2347"/>
      <c r="C2347"/>
      <c r="D2347"/>
      <c r="E2347"/>
      <c r="F2347"/>
      <c r="G2347"/>
      <c r="H2347"/>
      <c r="I2347"/>
      <c r="M2347" s="54"/>
    </row>
    <row r="2348" spans="1:13" s="15" customFormat="1" x14ac:dyDescent="0.3">
      <c r="A2348" s="17"/>
      <c r="B2348"/>
      <c r="C2348"/>
      <c r="D2348"/>
      <c r="E2348"/>
      <c r="F2348"/>
      <c r="G2348"/>
      <c r="H2348"/>
      <c r="I2348"/>
      <c r="M2348" s="54"/>
    </row>
    <row r="2349" spans="1:13" s="15" customFormat="1" x14ac:dyDescent="0.3">
      <c r="A2349" s="17"/>
      <c r="B2349"/>
      <c r="C2349"/>
      <c r="D2349"/>
      <c r="E2349"/>
      <c r="F2349"/>
      <c r="G2349"/>
      <c r="H2349"/>
      <c r="I2349"/>
      <c r="M2349" s="54"/>
    </row>
    <row r="2350" spans="1:13" s="15" customFormat="1" x14ac:dyDescent="0.3">
      <c r="A2350" s="17"/>
      <c r="B2350"/>
      <c r="C2350"/>
      <c r="D2350"/>
      <c r="E2350"/>
      <c r="F2350"/>
      <c r="G2350"/>
      <c r="H2350"/>
      <c r="I2350"/>
      <c r="M2350" s="54"/>
    </row>
    <row r="2351" spans="1:13" s="15" customFormat="1" x14ac:dyDescent="0.3">
      <c r="A2351" s="17"/>
      <c r="B2351"/>
      <c r="C2351"/>
      <c r="D2351"/>
      <c r="E2351"/>
      <c r="F2351"/>
      <c r="G2351"/>
      <c r="H2351"/>
      <c r="I2351"/>
      <c r="M2351" s="54"/>
    </row>
    <row r="2352" spans="1:13" s="15" customFormat="1" x14ac:dyDescent="0.3">
      <c r="A2352" s="17"/>
      <c r="B2352"/>
      <c r="C2352"/>
      <c r="D2352"/>
      <c r="E2352"/>
      <c r="F2352"/>
      <c r="G2352"/>
      <c r="H2352"/>
      <c r="I2352"/>
      <c r="M2352" s="54"/>
    </row>
    <row r="2353" spans="1:13" s="15" customFormat="1" x14ac:dyDescent="0.3">
      <c r="A2353" s="17"/>
      <c r="B2353"/>
      <c r="C2353"/>
      <c r="D2353"/>
      <c r="E2353"/>
      <c r="F2353"/>
      <c r="G2353"/>
      <c r="H2353"/>
      <c r="I2353"/>
      <c r="M2353" s="54"/>
    </row>
    <row r="2354" spans="1:13" s="15" customFormat="1" x14ac:dyDescent="0.3">
      <c r="A2354" s="17"/>
      <c r="B2354"/>
      <c r="C2354"/>
      <c r="D2354"/>
      <c r="E2354"/>
      <c r="F2354"/>
      <c r="G2354"/>
      <c r="H2354"/>
      <c r="I2354"/>
      <c r="M2354" s="54"/>
    </row>
    <row r="2355" spans="1:13" s="15" customFormat="1" x14ac:dyDescent="0.3">
      <c r="A2355" s="17"/>
      <c r="B2355"/>
      <c r="C2355"/>
      <c r="D2355"/>
      <c r="E2355"/>
      <c r="F2355"/>
      <c r="G2355"/>
      <c r="H2355"/>
      <c r="I2355"/>
      <c r="M2355" s="54"/>
    </row>
    <row r="2356" spans="1:13" s="15" customFormat="1" x14ac:dyDescent="0.3">
      <c r="A2356" s="17"/>
      <c r="B2356"/>
      <c r="C2356"/>
      <c r="D2356"/>
      <c r="E2356"/>
      <c r="F2356"/>
      <c r="G2356"/>
      <c r="H2356"/>
      <c r="I2356"/>
      <c r="M2356" s="54"/>
    </row>
    <row r="2357" spans="1:13" s="15" customFormat="1" x14ac:dyDescent="0.3">
      <c r="A2357" s="17"/>
      <c r="B2357"/>
      <c r="C2357"/>
      <c r="D2357"/>
      <c r="E2357"/>
      <c r="F2357"/>
      <c r="G2357"/>
      <c r="H2357"/>
      <c r="I2357"/>
      <c r="M2357" s="54"/>
    </row>
    <row r="2358" spans="1:13" s="15" customFormat="1" x14ac:dyDescent="0.3">
      <c r="A2358" s="17"/>
      <c r="B2358"/>
      <c r="C2358"/>
      <c r="D2358"/>
      <c r="E2358"/>
      <c r="F2358"/>
      <c r="G2358"/>
      <c r="H2358"/>
      <c r="I2358"/>
      <c r="M2358" s="54"/>
    </row>
    <row r="2359" spans="1:13" s="15" customFormat="1" x14ac:dyDescent="0.3">
      <c r="A2359" s="17"/>
      <c r="B2359"/>
      <c r="C2359"/>
      <c r="D2359"/>
      <c r="E2359"/>
      <c r="F2359"/>
      <c r="G2359"/>
      <c r="H2359"/>
      <c r="I2359"/>
      <c r="M2359" s="54"/>
    </row>
    <row r="2360" spans="1:13" s="15" customFormat="1" x14ac:dyDescent="0.3">
      <c r="A2360" s="17"/>
      <c r="B2360"/>
      <c r="C2360"/>
      <c r="D2360"/>
      <c r="E2360"/>
      <c r="F2360"/>
      <c r="G2360"/>
      <c r="H2360"/>
      <c r="I2360"/>
      <c r="M2360" s="54"/>
    </row>
    <row r="2361" spans="1:13" s="15" customFormat="1" x14ac:dyDescent="0.3">
      <c r="A2361" s="17"/>
      <c r="B2361"/>
      <c r="C2361"/>
      <c r="D2361"/>
      <c r="E2361"/>
      <c r="F2361"/>
      <c r="G2361"/>
      <c r="H2361"/>
      <c r="I2361"/>
      <c r="M2361" s="54"/>
    </row>
    <row r="2362" spans="1:13" s="15" customFormat="1" x14ac:dyDescent="0.3">
      <c r="A2362" s="17"/>
      <c r="B2362"/>
      <c r="C2362"/>
      <c r="D2362"/>
      <c r="E2362"/>
      <c r="F2362"/>
      <c r="G2362"/>
      <c r="H2362"/>
      <c r="I2362"/>
      <c r="M2362" s="54"/>
    </row>
    <row r="2363" spans="1:13" s="15" customFormat="1" x14ac:dyDescent="0.3">
      <c r="A2363" s="17"/>
      <c r="B2363"/>
      <c r="C2363"/>
      <c r="D2363"/>
      <c r="E2363"/>
      <c r="F2363"/>
      <c r="G2363"/>
      <c r="H2363"/>
      <c r="I2363"/>
      <c r="M2363" s="54"/>
    </row>
    <row r="2364" spans="1:13" s="15" customFormat="1" x14ac:dyDescent="0.3">
      <c r="A2364" s="17"/>
      <c r="B2364"/>
      <c r="C2364"/>
      <c r="D2364"/>
      <c r="E2364"/>
      <c r="F2364"/>
      <c r="G2364"/>
      <c r="H2364"/>
      <c r="I2364"/>
      <c r="M2364" s="54"/>
    </row>
    <row r="2365" spans="1:13" s="15" customFormat="1" x14ac:dyDescent="0.3">
      <c r="A2365" s="17"/>
      <c r="B2365"/>
      <c r="C2365"/>
      <c r="D2365"/>
      <c r="E2365"/>
      <c r="F2365"/>
      <c r="G2365"/>
      <c r="H2365"/>
      <c r="I2365"/>
      <c r="M2365" s="54"/>
    </row>
    <row r="2366" spans="1:13" s="15" customFormat="1" x14ac:dyDescent="0.3">
      <c r="A2366" s="17"/>
      <c r="B2366"/>
      <c r="C2366"/>
      <c r="D2366"/>
      <c r="E2366"/>
      <c r="F2366"/>
      <c r="G2366"/>
      <c r="H2366"/>
      <c r="I2366"/>
      <c r="M2366" s="54"/>
    </row>
    <row r="2367" spans="1:13" s="15" customFormat="1" x14ac:dyDescent="0.3">
      <c r="A2367" s="17"/>
      <c r="B2367"/>
      <c r="C2367"/>
      <c r="D2367"/>
      <c r="E2367"/>
      <c r="F2367"/>
      <c r="G2367"/>
      <c r="H2367"/>
      <c r="I2367"/>
      <c r="M2367" s="54"/>
    </row>
    <row r="2368" spans="1:13" s="15" customFormat="1" x14ac:dyDescent="0.3">
      <c r="A2368" s="17"/>
      <c r="B2368"/>
      <c r="C2368"/>
      <c r="D2368"/>
      <c r="E2368"/>
      <c r="F2368"/>
      <c r="G2368"/>
      <c r="H2368"/>
      <c r="I2368"/>
      <c r="M2368" s="54"/>
    </row>
    <row r="2369" spans="1:13" s="15" customFormat="1" x14ac:dyDescent="0.3">
      <c r="A2369" s="17"/>
      <c r="B2369"/>
      <c r="C2369"/>
      <c r="D2369"/>
      <c r="E2369"/>
      <c r="F2369"/>
      <c r="G2369"/>
      <c r="H2369"/>
      <c r="I2369"/>
      <c r="M2369" s="54"/>
    </row>
    <row r="2370" spans="1:13" s="15" customFormat="1" x14ac:dyDescent="0.3">
      <c r="A2370" s="17"/>
      <c r="B2370"/>
      <c r="C2370"/>
      <c r="D2370"/>
      <c r="E2370"/>
      <c r="F2370"/>
      <c r="G2370"/>
      <c r="H2370"/>
      <c r="I2370"/>
      <c r="M2370" s="54"/>
    </row>
    <row r="2371" spans="1:13" s="15" customFormat="1" x14ac:dyDescent="0.3">
      <c r="A2371" s="17"/>
      <c r="B2371"/>
      <c r="C2371"/>
      <c r="D2371"/>
      <c r="E2371"/>
      <c r="F2371"/>
      <c r="G2371"/>
      <c r="H2371"/>
      <c r="I2371"/>
      <c r="M2371" s="54"/>
    </row>
    <row r="2372" spans="1:13" s="15" customFormat="1" x14ac:dyDescent="0.3">
      <c r="A2372" s="17"/>
      <c r="B2372"/>
      <c r="C2372"/>
      <c r="D2372"/>
      <c r="E2372"/>
      <c r="F2372"/>
      <c r="G2372"/>
      <c r="H2372"/>
      <c r="I2372"/>
      <c r="M2372" s="54"/>
    </row>
    <row r="2373" spans="1:13" s="15" customFormat="1" x14ac:dyDescent="0.3">
      <c r="A2373" s="17"/>
      <c r="B2373"/>
      <c r="C2373"/>
      <c r="D2373"/>
      <c r="E2373"/>
      <c r="F2373"/>
      <c r="G2373"/>
      <c r="H2373"/>
      <c r="I2373"/>
      <c r="M2373" s="54"/>
    </row>
    <row r="2374" spans="1:13" s="15" customFormat="1" x14ac:dyDescent="0.3">
      <c r="A2374" s="17"/>
      <c r="B2374"/>
      <c r="C2374"/>
      <c r="D2374"/>
      <c r="E2374"/>
      <c r="F2374"/>
      <c r="G2374"/>
      <c r="H2374"/>
      <c r="I2374"/>
      <c r="M2374" s="54"/>
    </row>
    <row r="2375" spans="1:13" s="15" customFormat="1" x14ac:dyDescent="0.3">
      <c r="A2375" s="17"/>
      <c r="B2375"/>
      <c r="C2375"/>
      <c r="D2375"/>
      <c r="E2375"/>
      <c r="F2375"/>
      <c r="G2375"/>
      <c r="H2375"/>
      <c r="I2375"/>
      <c r="M2375" s="54"/>
    </row>
    <row r="2376" spans="1:13" s="15" customFormat="1" x14ac:dyDescent="0.3">
      <c r="A2376" s="17"/>
      <c r="B2376"/>
      <c r="C2376"/>
      <c r="D2376"/>
      <c r="E2376"/>
      <c r="F2376"/>
      <c r="G2376"/>
      <c r="H2376"/>
      <c r="I2376"/>
      <c r="M2376" s="54"/>
    </row>
    <row r="2377" spans="1:13" s="15" customFormat="1" x14ac:dyDescent="0.3">
      <c r="A2377" s="17"/>
      <c r="B2377"/>
      <c r="C2377"/>
      <c r="D2377"/>
      <c r="E2377"/>
      <c r="F2377"/>
      <c r="G2377"/>
      <c r="H2377"/>
      <c r="I2377"/>
      <c r="M2377" s="54"/>
    </row>
    <row r="2378" spans="1:13" s="15" customFormat="1" x14ac:dyDescent="0.3">
      <c r="A2378" s="17"/>
      <c r="B2378"/>
      <c r="C2378"/>
      <c r="D2378"/>
      <c r="E2378"/>
      <c r="F2378"/>
      <c r="G2378"/>
      <c r="H2378"/>
      <c r="I2378"/>
      <c r="M2378" s="54"/>
    </row>
    <row r="2379" spans="1:13" s="15" customFormat="1" x14ac:dyDescent="0.3">
      <c r="A2379" s="17"/>
      <c r="B2379"/>
      <c r="C2379"/>
      <c r="D2379"/>
      <c r="E2379"/>
      <c r="F2379"/>
      <c r="G2379"/>
      <c r="H2379"/>
      <c r="I2379"/>
      <c r="M2379" s="54"/>
    </row>
    <row r="2380" spans="1:13" s="15" customFormat="1" x14ac:dyDescent="0.3">
      <c r="A2380" s="17"/>
      <c r="B2380"/>
      <c r="C2380"/>
      <c r="D2380"/>
      <c r="E2380"/>
      <c r="F2380"/>
      <c r="G2380"/>
      <c r="H2380"/>
      <c r="I2380"/>
      <c r="M2380" s="54"/>
    </row>
    <row r="2381" spans="1:13" s="15" customFormat="1" x14ac:dyDescent="0.3">
      <c r="A2381" s="17"/>
      <c r="B2381"/>
      <c r="C2381"/>
      <c r="D2381"/>
      <c r="E2381"/>
      <c r="F2381"/>
      <c r="G2381"/>
      <c r="H2381"/>
      <c r="I2381"/>
      <c r="M2381" s="54"/>
    </row>
    <row r="2382" spans="1:13" s="15" customFormat="1" x14ac:dyDescent="0.3">
      <c r="A2382" s="17"/>
      <c r="B2382"/>
      <c r="C2382"/>
      <c r="D2382"/>
      <c r="E2382"/>
      <c r="F2382"/>
      <c r="G2382"/>
      <c r="H2382"/>
      <c r="I2382"/>
      <c r="M2382" s="54"/>
    </row>
    <row r="2383" spans="1:13" s="15" customFormat="1" x14ac:dyDescent="0.3">
      <c r="A2383" s="17"/>
      <c r="B2383"/>
      <c r="C2383"/>
      <c r="D2383"/>
      <c r="E2383"/>
      <c r="F2383"/>
      <c r="G2383"/>
      <c r="H2383"/>
      <c r="I2383"/>
      <c r="M2383" s="54"/>
    </row>
    <row r="2384" spans="1:13" s="15" customFormat="1" x14ac:dyDescent="0.3">
      <c r="A2384" s="17"/>
      <c r="B2384"/>
      <c r="C2384"/>
      <c r="D2384"/>
      <c r="E2384"/>
      <c r="F2384"/>
      <c r="G2384"/>
      <c r="H2384"/>
      <c r="I2384"/>
      <c r="M2384" s="54"/>
    </row>
    <row r="2385" spans="1:13" s="15" customFormat="1" x14ac:dyDescent="0.3">
      <c r="A2385" s="17"/>
      <c r="B2385"/>
      <c r="C2385"/>
      <c r="D2385"/>
      <c r="E2385"/>
      <c r="F2385"/>
      <c r="G2385"/>
      <c r="H2385"/>
      <c r="I2385"/>
      <c r="M2385" s="54"/>
    </row>
    <row r="2386" spans="1:13" s="15" customFormat="1" x14ac:dyDescent="0.3">
      <c r="A2386" s="17"/>
      <c r="B2386"/>
      <c r="C2386"/>
      <c r="D2386"/>
      <c r="E2386"/>
      <c r="F2386"/>
      <c r="G2386"/>
      <c r="H2386"/>
      <c r="I2386"/>
      <c r="M2386" s="54"/>
    </row>
    <row r="2387" spans="1:13" s="15" customFormat="1" x14ac:dyDescent="0.3">
      <c r="A2387" s="17"/>
      <c r="B2387"/>
      <c r="C2387"/>
      <c r="D2387"/>
      <c r="E2387"/>
      <c r="F2387"/>
      <c r="G2387"/>
      <c r="H2387"/>
      <c r="I2387"/>
      <c r="M2387" s="54"/>
    </row>
    <row r="2388" spans="1:13" s="15" customFormat="1" x14ac:dyDescent="0.3">
      <c r="A2388" s="17"/>
      <c r="B2388"/>
      <c r="C2388"/>
      <c r="D2388"/>
      <c r="E2388"/>
      <c r="F2388"/>
      <c r="G2388"/>
      <c r="H2388"/>
      <c r="I2388"/>
      <c r="M2388" s="54"/>
    </row>
    <row r="2389" spans="1:13" s="15" customFormat="1" x14ac:dyDescent="0.3">
      <c r="A2389" s="17"/>
      <c r="B2389"/>
      <c r="C2389"/>
      <c r="D2389"/>
      <c r="E2389"/>
      <c r="F2389"/>
      <c r="G2389"/>
      <c r="H2389"/>
      <c r="I2389"/>
      <c r="M2389" s="54"/>
    </row>
    <row r="2390" spans="1:13" s="15" customFormat="1" x14ac:dyDescent="0.3">
      <c r="A2390" s="17"/>
      <c r="B2390"/>
      <c r="C2390"/>
      <c r="D2390"/>
      <c r="E2390"/>
      <c r="F2390"/>
      <c r="G2390"/>
      <c r="H2390"/>
      <c r="I2390"/>
      <c r="M2390" s="54"/>
    </row>
    <row r="2391" spans="1:13" s="15" customFormat="1" x14ac:dyDescent="0.3">
      <c r="A2391" s="17"/>
      <c r="B2391"/>
      <c r="C2391"/>
      <c r="D2391"/>
      <c r="E2391"/>
      <c r="F2391"/>
      <c r="G2391"/>
      <c r="H2391"/>
      <c r="I2391"/>
      <c r="M2391" s="54"/>
    </row>
    <row r="2392" spans="1:13" s="15" customFormat="1" x14ac:dyDescent="0.3">
      <c r="A2392" s="17"/>
      <c r="B2392"/>
      <c r="C2392"/>
      <c r="D2392"/>
      <c r="E2392"/>
      <c r="F2392"/>
      <c r="G2392"/>
      <c r="H2392"/>
      <c r="I2392"/>
      <c r="M2392" s="54"/>
    </row>
    <row r="2393" spans="1:13" s="15" customFormat="1" x14ac:dyDescent="0.3">
      <c r="A2393" s="17"/>
      <c r="B2393"/>
      <c r="C2393"/>
      <c r="D2393"/>
      <c r="E2393"/>
      <c r="F2393"/>
      <c r="G2393"/>
      <c r="H2393"/>
      <c r="I2393"/>
      <c r="M2393" s="54"/>
    </row>
    <row r="2394" spans="1:13" s="15" customFormat="1" x14ac:dyDescent="0.3">
      <c r="A2394" s="17"/>
      <c r="B2394"/>
      <c r="C2394"/>
      <c r="D2394"/>
      <c r="E2394"/>
      <c r="F2394"/>
      <c r="G2394"/>
      <c r="H2394"/>
      <c r="I2394"/>
      <c r="M2394" s="54"/>
    </row>
    <row r="2395" spans="1:13" s="15" customFormat="1" x14ac:dyDescent="0.3">
      <c r="A2395" s="17"/>
      <c r="B2395"/>
      <c r="C2395"/>
      <c r="D2395"/>
      <c r="E2395"/>
      <c r="F2395"/>
      <c r="G2395"/>
      <c r="H2395"/>
      <c r="I2395"/>
      <c r="M2395" s="54"/>
    </row>
    <row r="2396" spans="1:13" s="15" customFormat="1" x14ac:dyDescent="0.3">
      <c r="A2396" s="17"/>
      <c r="B2396"/>
      <c r="C2396"/>
      <c r="D2396"/>
      <c r="E2396"/>
      <c r="F2396"/>
      <c r="G2396"/>
      <c r="H2396"/>
      <c r="I2396"/>
      <c r="M2396" s="54"/>
    </row>
    <row r="2397" spans="1:13" s="15" customFormat="1" x14ac:dyDescent="0.3">
      <c r="A2397" s="17"/>
      <c r="B2397"/>
      <c r="C2397"/>
      <c r="D2397"/>
      <c r="E2397"/>
      <c r="F2397"/>
      <c r="G2397"/>
      <c r="H2397"/>
      <c r="I2397"/>
      <c r="M2397" s="54"/>
    </row>
    <row r="2398" spans="1:13" s="15" customFormat="1" x14ac:dyDescent="0.3">
      <c r="A2398" s="17"/>
      <c r="B2398"/>
      <c r="C2398"/>
      <c r="D2398"/>
      <c r="E2398"/>
      <c r="F2398"/>
      <c r="G2398"/>
      <c r="H2398"/>
      <c r="I2398"/>
      <c r="M2398" s="54"/>
    </row>
    <row r="2399" spans="1:13" s="15" customFormat="1" x14ac:dyDescent="0.3">
      <c r="A2399" s="17"/>
      <c r="B2399"/>
      <c r="C2399"/>
      <c r="D2399"/>
      <c r="E2399"/>
      <c r="F2399"/>
      <c r="G2399"/>
      <c r="H2399"/>
      <c r="I2399"/>
      <c r="M2399" s="54"/>
    </row>
    <row r="2400" spans="1:13" s="15" customFormat="1" x14ac:dyDescent="0.3">
      <c r="A2400" s="17"/>
      <c r="B2400"/>
      <c r="C2400"/>
      <c r="D2400"/>
      <c r="E2400"/>
      <c r="F2400"/>
      <c r="G2400"/>
      <c r="H2400"/>
      <c r="I2400"/>
      <c r="M2400" s="54"/>
    </row>
    <row r="2401" spans="1:13" s="15" customFormat="1" x14ac:dyDescent="0.3">
      <c r="A2401" s="17"/>
      <c r="B2401"/>
      <c r="C2401"/>
      <c r="D2401"/>
      <c r="E2401"/>
      <c r="F2401"/>
      <c r="G2401"/>
      <c r="H2401"/>
      <c r="I2401"/>
      <c r="M2401" s="54"/>
    </row>
    <row r="2402" spans="1:13" s="15" customFormat="1" x14ac:dyDescent="0.3">
      <c r="A2402" s="17"/>
      <c r="B2402"/>
      <c r="C2402"/>
      <c r="D2402"/>
      <c r="E2402"/>
      <c r="F2402"/>
      <c r="G2402"/>
      <c r="H2402"/>
      <c r="I2402"/>
      <c r="M2402" s="54"/>
    </row>
    <row r="2403" spans="1:13" s="15" customFormat="1" x14ac:dyDescent="0.3">
      <c r="A2403" s="17"/>
      <c r="B2403"/>
      <c r="C2403"/>
      <c r="D2403"/>
      <c r="E2403"/>
      <c r="F2403"/>
      <c r="G2403"/>
      <c r="H2403"/>
      <c r="I2403"/>
      <c r="M2403" s="54"/>
    </row>
    <row r="2404" spans="1:13" s="15" customFormat="1" x14ac:dyDescent="0.3">
      <c r="A2404" s="17"/>
      <c r="B2404"/>
      <c r="C2404"/>
      <c r="D2404"/>
      <c r="E2404"/>
      <c r="F2404"/>
      <c r="G2404"/>
      <c r="H2404"/>
      <c r="I2404"/>
      <c r="M2404" s="54"/>
    </row>
    <row r="2405" spans="1:13" s="15" customFormat="1" x14ac:dyDescent="0.3">
      <c r="A2405" s="17"/>
      <c r="B2405"/>
      <c r="C2405"/>
      <c r="D2405"/>
      <c r="E2405"/>
      <c r="F2405"/>
      <c r="G2405"/>
      <c r="H2405"/>
      <c r="I2405"/>
      <c r="M2405" s="54"/>
    </row>
    <row r="2406" spans="1:13" s="15" customFormat="1" x14ac:dyDescent="0.3">
      <c r="A2406" s="17"/>
      <c r="B2406"/>
      <c r="C2406"/>
      <c r="D2406"/>
      <c r="E2406"/>
      <c r="F2406"/>
      <c r="G2406"/>
      <c r="H2406"/>
      <c r="I2406"/>
      <c r="M2406" s="54"/>
    </row>
    <row r="2407" spans="1:13" s="15" customFormat="1" x14ac:dyDescent="0.3">
      <c r="A2407" s="17"/>
      <c r="B2407"/>
      <c r="C2407"/>
      <c r="D2407"/>
      <c r="E2407"/>
      <c r="F2407"/>
      <c r="G2407"/>
      <c r="H2407"/>
      <c r="I2407"/>
      <c r="M2407" s="54"/>
    </row>
    <row r="2408" spans="1:13" s="15" customFormat="1" x14ac:dyDescent="0.3">
      <c r="A2408" s="17"/>
      <c r="B2408"/>
      <c r="C2408"/>
      <c r="D2408"/>
      <c r="E2408"/>
      <c r="F2408"/>
      <c r="G2408"/>
      <c r="H2408"/>
      <c r="I2408"/>
      <c r="M2408" s="54"/>
    </row>
    <row r="2409" spans="1:13" s="15" customFormat="1" x14ac:dyDescent="0.3">
      <c r="A2409" s="17"/>
      <c r="B2409"/>
      <c r="C2409"/>
      <c r="D2409"/>
      <c r="E2409"/>
      <c r="F2409"/>
      <c r="G2409"/>
      <c r="H2409"/>
      <c r="I2409"/>
      <c r="M2409" s="54"/>
    </row>
    <row r="2410" spans="1:13" s="15" customFormat="1" x14ac:dyDescent="0.3">
      <c r="A2410" s="17"/>
      <c r="B2410"/>
      <c r="C2410"/>
      <c r="D2410"/>
      <c r="E2410"/>
      <c r="F2410"/>
      <c r="G2410"/>
      <c r="H2410"/>
      <c r="I2410"/>
      <c r="M2410" s="54"/>
    </row>
    <row r="2411" spans="1:13" s="15" customFormat="1" x14ac:dyDescent="0.3">
      <c r="A2411" s="17"/>
      <c r="B2411"/>
      <c r="C2411"/>
      <c r="D2411"/>
      <c r="E2411"/>
      <c r="F2411"/>
      <c r="G2411"/>
      <c r="H2411"/>
      <c r="I2411"/>
      <c r="M2411" s="54"/>
    </row>
    <row r="2412" spans="1:13" s="15" customFormat="1" x14ac:dyDescent="0.3">
      <c r="A2412" s="17"/>
      <c r="B2412"/>
      <c r="C2412"/>
      <c r="D2412"/>
      <c r="E2412"/>
      <c r="F2412"/>
      <c r="G2412"/>
      <c r="H2412"/>
      <c r="I2412"/>
      <c r="M2412" s="54"/>
    </row>
    <row r="2413" spans="1:13" s="15" customFormat="1" x14ac:dyDescent="0.3">
      <c r="A2413" s="17"/>
      <c r="B2413"/>
      <c r="C2413"/>
      <c r="D2413"/>
      <c r="E2413"/>
      <c r="F2413"/>
      <c r="G2413"/>
      <c r="H2413"/>
      <c r="I2413"/>
      <c r="M2413" s="54"/>
    </row>
    <row r="2414" spans="1:13" s="15" customFormat="1" x14ac:dyDescent="0.3">
      <c r="A2414" s="17"/>
      <c r="B2414"/>
      <c r="C2414"/>
      <c r="D2414"/>
      <c r="E2414"/>
      <c r="F2414"/>
      <c r="G2414"/>
      <c r="H2414"/>
      <c r="I2414"/>
      <c r="M2414" s="54"/>
    </row>
    <row r="2415" spans="1:13" s="15" customFormat="1" x14ac:dyDescent="0.3">
      <c r="A2415" s="17"/>
      <c r="B2415"/>
      <c r="C2415"/>
      <c r="D2415"/>
      <c r="E2415"/>
      <c r="F2415"/>
      <c r="G2415"/>
      <c r="H2415"/>
      <c r="I2415"/>
      <c r="M2415" s="54"/>
    </row>
    <row r="2416" spans="1:13" s="15" customFormat="1" x14ac:dyDescent="0.3">
      <c r="A2416" s="17"/>
      <c r="B2416"/>
      <c r="C2416"/>
      <c r="D2416"/>
      <c r="E2416"/>
      <c r="F2416"/>
      <c r="G2416"/>
      <c r="H2416"/>
      <c r="I2416"/>
      <c r="M2416" s="54"/>
    </row>
    <row r="2417" spans="1:13" s="15" customFormat="1" x14ac:dyDescent="0.3">
      <c r="A2417" s="17"/>
      <c r="B2417"/>
      <c r="C2417"/>
      <c r="D2417"/>
      <c r="E2417"/>
      <c r="F2417"/>
      <c r="G2417"/>
      <c r="H2417"/>
      <c r="I2417"/>
      <c r="M2417" s="54"/>
    </row>
    <row r="2418" spans="1:13" s="15" customFormat="1" x14ac:dyDescent="0.3">
      <c r="A2418" s="17"/>
      <c r="B2418"/>
      <c r="C2418"/>
      <c r="D2418"/>
      <c r="E2418"/>
      <c r="F2418"/>
      <c r="G2418"/>
      <c r="H2418"/>
      <c r="I2418"/>
      <c r="M2418" s="54"/>
    </row>
    <row r="2419" spans="1:13" s="15" customFormat="1" x14ac:dyDescent="0.3">
      <c r="A2419" s="17"/>
      <c r="B2419"/>
      <c r="C2419"/>
      <c r="D2419"/>
      <c r="E2419"/>
      <c r="F2419"/>
      <c r="G2419"/>
      <c r="H2419"/>
      <c r="I2419"/>
      <c r="M2419" s="54"/>
    </row>
    <row r="2420" spans="1:13" s="15" customFormat="1" x14ac:dyDescent="0.3">
      <c r="A2420" s="17"/>
      <c r="B2420"/>
      <c r="C2420"/>
      <c r="D2420"/>
      <c r="E2420"/>
      <c r="F2420"/>
      <c r="G2420"/>
      <c r="H2420"/>
      <c r="I2420"/>
      <c r="M2420" s="54"/>
    </row>
    <row r="2421" spans="1:13" s="15" customFormat="1" x14ac:dyDescent="0.3">
      <c r="A2421" s="17"/>
      <c r="B2421"/>
      <c r="C2421"/>
      <c r="D2421"/>
      <c r="E2421"/>
      <c r="F2421"/>
      <c r="G2421"/>
      <c r="H2421"/>
      <c r="I2421"/>
      <c r="M2421" s="54"/>
    </row>
    <row r="2422" spans="1:13" s="15" customFormat="1" x14ac:dyDescent="0.3">
      <c r="A2422" s="17"/>
      <c r="B2422"/>
      <c r="C2422"/>
      <c r="D2422"/>
      <c r="E2422"/>
      <c r="F2422"/>
      <c r="G2422"/>
      <c r="H2422"/>
      <c r="I2422"/>
      <c r="M2422" s="54"/>
    </row>
    <row r="2423" spans="1:13" s="15" customFormat="1" x14ac:dyDescent="0.3">
      <c r="A2423" s="17"/>
      <c r="B2423"/>
      <c r="C2423"/>
      <c r="D2423"/>
      <c r="E2423"/>
      <c r="F2423"/>
      <c r="G2423"/>
      <c r="H2423"/>
      <c r="I2423"/>
      <c r="M2423" s="54"/>
    </row>
    <row r="2424" spans="1:13" s="15" customFormat="1" x14ac:dyDescent="0.3">
      <c r="A2424" s="17"/>
      <c r="B2424"/>
      <c r="C2424"/>
      <c r="D2424"/>
      <c r="E2424"/>
      <c r="F2424"/>
      <c r="G2424"/>
      <c r="H2424"/>
      <c r="I2424"/>
      <c r="M2424" s="54"/>
    </row>
    <row r="2425" spans="1:13" s="15" customFormat="1" x14ac:dyDescent="0.3">
      <c r="A2425" s="17"/>
      <c r="B2425"/>
      <c r="C2425"/>
      <c r="D2425"/>
      <c r="E2425"/>
      <c r="F2425"/>
      <c r="G2425"/>
      <c r="H2425"/>
      <c r="I2425"/>
      <c r="M2425" s="54"/>
    </row>
    <row r="2426" spans="1:13" s="15" customFormat="1" x14ac:dyDescent="0.3">
      <c r="A2426" s="17"/>
      <c r="B2426"/>
      <c r="C2426"/>
      <c r="D2426"/>
      <c r="E2426"/>
      <c r="F2426"/>
      <c r="G2426"/>
      <c r="H2426"/>
      <c r="I2426"/>
      <c r="M2426" s="54"/>
    </row>
    <row r="2427" spans="1:13" s="15" customFormat="1" x14ac:dyDescent="0.3">
      <c r="A2427" s="17"/>
      <c r="B2427"/>
      <c r="C2427"/>
      <c r="D2427"/>
      <c r="E2427"/>
      <c r="F2427"/>
      <c r="G2427"/>
      <c r="H2427"/>
      <c r="I2427"/>
      <c r="M2427" s="54"/>
    </row>
    <row r="2428" spans="1:13" s="15" customFormat="1" x14ac:dyDescent="0.3">
      <c r="A2428" s="17"/>
      <c r="B2428"/>
      <c r="C2428"/>
      <c r="D2428"/>
      <c r="E2428"/>
      <c r="F2428"/>
      <c r="G2428"/>
      <c r="H2428"/>
      <c r="I2428"/>
      <c r="M2428" s="54"/>
    </row>
    <row r="2429" spans="1:13" s="15" customFormat="1" x14ac:dyDescent="0.3">
      <c r="A2429" s="17"/>
      <c r="B2429"/>
      <c r="C2429"/>
      <c r="D2429"/>
      <c r="E2429"/>
      <c r="F2429"/>
      <c r="G2429"/>
      <c r="H2429"/>
      <c r="I2429"/>
      <c r="M2429" s="54"/>
    </row>
    <row r="2430" spans="1:13" s="15" customFormat="1" x14ac:dyDescent="0.3">
      <c r="A2430" s="17"/>
      <c r="B2430"/>
      <c r="C2430"/>
      <c r="D2430"/>
      <c r="E2430"/>
      <c r="F2430"/>
      <c r="G2430"/>
      <c r="H2430"/>
      <c r="I2430"/>
      <c r="M2430" s="54"/>
    </row>
    <row r="2431" spans="1:13" s="15" customFormat="1" x14ac:dyDescent="0.3">
      <c r="A2431" s="17"/>
      <c r="B2431"/>
      <c r="C2431"/>
      <c r="D2431"/>
      <c r="E2431"/>
      <c r="F2431"/>
      <c r="G2431"/>
      <c r="H2431"/>
      <c r="I2431"/>
      <c r="M2431" s="54"/>
    </row>
    <row r="2432" spans="1:13" s="15" customFormat="1" x14ac:dyDescent="0.3">
      <c r="A2432" s="17"/>
      <c r="B2432"/>
      <c r="C2432"/>
      <c r="D2432"/>
      <c r="E2432"/>
      <c r="F2432"/>
      <c r="G2432"/>
      <c r="H2432"/>
      <c r="I2432"/>
      <c r="M2432" s="54"/>
    </row>
    <row r="2433" spans="1:13" s="15" customFormat="1" x14ac:dyDescent="0.3">
      <c r="A2433" s="17"/>
      <c r="B2433"/>
      <c r="C2433"/>
      <c r="D2433"/>
      <c r="E2433"/>
      <c r="F2433"/>
      <c r="G2433"/>
      <c r="H2433"/>
      <c r="I2433"/>
      <c r="M2433" s="54"/>
    </row>
    <row r="2434" spans="1:13" s="15" customFormat="1" x14ac:dyDescent="0.3">
      <c r="A2434" s="17"/>
      <c r="B2434"/>
      <c r="C2434"/>
      <c r="D2434"/>
      <c r="E2434"/>
      <c r="F2434"/>
      <c r="G2434"/>
      <c r="H2434"/>
      <c r="I2434"/>
      <c r="M2434" s="54"/>
    </row>
    <row r="2435" spans="1:13" s="15" customFormat="1" x14ac:dyDescent="0.3">
      <c r="A2435" s="17"/>
      <c r="B2435"/>
      <c r="C2435"/>
      <c r="D2435"/>
      <c r="E2435"/>
      <c r="F2435"/>
      <c r="G2435"/>
      <c r="H2435"/>
      <c r="I2435"/>
      <c r="M2435" s="54"/>
    </row>
    <row r="2436" spans="1:13" s="15" customFormat="1" x14ac:dyDescent="0.3">
      <c r="A2436" s="17"/>
      <c r="B2436"/>
      <c r="C2436"/>
      <c r="D2436"/>
      <c r="E2436"/>
      <c r="F2436"/>
      <c r="G2436"/>
      <c r="H2436"/>
      <c r="I2436"/>
      <c r="M2436" s="54"/>
    </row>
    <row r="2437" spans="1:13" s="15" customFormat="1" x14ac:dyDescent="0.3">
      <c r="A2437" s="17"/>
      <c r="B2437"/>
      <c r="C2437"/>
      <c r="D2437"/>
      <c r="E2437"/>
      <c r="F2437"/>
      <c r="G2437"/>
      <c r="H2437"/>
      <c r="I2437"/>
      <c r="M2437" s="54"/>
    </row>
    <row r="2438" spans="1:13" s="15" customFormat="1" x14ac:dyDescent="0.3">
      <c r="A2438" s="17"/>
      <c r="B2438"/>
      <c r="C2438"/>
      <c r="D2438"/>
      <c r="E2438"/>
      <c r="F2438"/>
      <c r="G2438"/>
      <c r="H2438"/>
      <c r="I2438"/>
      <c r="M2438" s="54"/>
    </row>
    <row r="2439" spans="1:13" s="15" customFormat="1" x14ac:dyDescent="0.3">
      <c r="A2439" s="17"/>
      <c r="B2439"/>
      <c r="C2439"/>
      <c r="D2439"/>
      <c r="E2439"/>
      <c r="F2439"/>
      <c r="G2439"/>
      <c r="H2439"/>
      <c r="I2439"/>
      <c r="M2439" s="54"/>
    </row>
    <row r="2440" spans="1:13" s="15" customFormat="1" x14ac:dyDescent="0.3">
      <c r="A2440" s="17"/>
      <c r="B2440"/>
      <c r="C2440"/>
      <c r="D2440"/>
      <c r="E2440"/>
      <c r="F2440"/>
      <c r="G2440"/>
      <c r="H2440"/>
      <c r="I2440"/>
      <c r="M2440" s="54"/>
    </row>
    <row r="2441" spans="1:13" s="15" customFormat="1" x14ac:dyDescent="0.3">
      <c r="A2441" s="17"/>
      <c r="B2441"/>
      <c r="C2441"/>
      <c r="D2441"/>
      <c r="E2441"/>
      <c r="F2441"/>
      <c r="G2441"/>
      <c r="H2441"/>
      <c r="I2441"/>
      <c r="M2441" s="54"/>
    </row>
    <row r="2442" spans="1:13" s="15" customFormat="1" x14ac:dyDescent="0.3">
      <c r="A2442" s="17"/>
      <c r="B2442"/>
      <c r="C2442"/>
      <c r="D2442"/>
      <c r="E2442"/>
      <c r="F2442"/>
      <c r="G2442"/>
      <c r="H2442"/>
      <c r="I2442"/>
      <c r="M2442" s="54"/>
    </row>
    <row r="2443" spans="1:13" s="15" customFormat="1" x14ac:dyDescent="0.3">
      <c r="A2443" s="17"/>
      <c r="B2443"/>
      <c r="C2443"/>
      <c r="D2443"/>
      <c r="E2443"/>
      <c r="F2443"/>
      <c r="G2443"/>
      <c r="H2443"/>
      <c r="I2443"/>
      <c r="M2443" s="54"/>
    </row>
    <row r="2444" spans="1:13" s="15" customFormat="1" x14ac:dyDescent="0.3">
      <c r="A2444" s="17"/>
      <c r="B2444"/>
      <c r="C2444"/>
      <c r="D2444"/>
      <c r="E2444"/>
      <c r="F2444"/>
      <c r="G2444"/>
      <c r="H2444"/>
      <c r="I2444"/>
      <c r="M2444" s="54"/>
    </row>
    <row r="2445" spans="1:13" s="15" customFormat="1" x14ac:dyDescent="0.3">
      <c r="A2445" s="17"/>
      <c r="B2445"/>
      <c r="C2445"/>
      <c r="D2445"/>
      <c r="E2445"/>
      <c r="F2445"/>
      <c r="G2445"/>
      <c r="H2445"/>
      <c r="I2445"/>
      <c r="M2445" s="54"/>
    </row>
    <row r="2446" spans="1:13" s="15" customFormat="1" x14ac:dyDescent="0.3">
      <c r="A2446" s="17"/>
      <c r="B2446"/>
      <c r="C2446"/>
      <c r="D2446"/>
      <c r="E2446"/>
      <c r="F2446"/>
      <c r="G2446"/>
      <c r="H2446"/>
      <c r="I2446"/>
      <c r="M2446" s="54"/>
    </row>
    <row r="2447" spans="1:13" s="15" customFormat="1" x14ac:dyDescent="0.3">
      <c r="A2447" s="17"/>
      <c r="B2447"/>
      <c r="C2447"/>
      <c r="D2447"/>
      <c r="E2447"/>
      <c r="F2447"/>
      <c r="G2447"/>
      <c r="H2447"/>
      <c r="I2447"/>
      <c r="M2447" s="54"/>
    </row>
    <row r="2448" spans="1:13" s="15" customFormat="1" x14ac:dyDescent="0.3">
      <c r="A2448" s="17"/>
      <c r="B2448"/>
      <c r="C2448"/>
      <c r="D2448"/>
      <c r="E2448"/>
      <c r="F2448"/>
      <c r="G2448"/>
      <c r="H2448"/>
      <c r="I2448"/>
      <c r="M2448" s="54"/>
    </row>
    <row r="2449" spans="1:13" s="15" customFormat="1" x14ac:dyDescent="0.3">
      <c r="A2449" s="17"/>
      <c r="B2449"/>
      <c r="C2449"/>
      <c r="D2449"/>
      <c r="E2449"/>
      <c r="F2449"/>
      <c r="G2449"/>
      <c r="H2449"/>
      <c r="I2449"/>
      <c r="M2449" s="54"/>
    </row>
    <row r="2450" spans="1:13" s="15" customFormat="1" x14ac:dyDescent="0.3">
      <c r="A2450" s="17"/>
      <c r="B2450"/>
      <c r="C2450"/>
      <c r="D2450"/>
      <c r="E2450"/>
      <c r="F2450"/>
      <c r="G2450"/>
      <c r="H2450"/>
      <c r="I2450"/>
      <c r="M2450" s="54"/>
    </row>
    <row r="2451" spans="1:13" s="15" customFormat="1" x14ac:dyDescent="0.3">
      <c r="A2451" s="17"/>
      <c r="B2451"/>
      <c r="C2451"/>
      <c r="D2451"/>
      <c r="E2451"/>
      <c r="F2451"/>
      <c r="G2451"/>
      <c r="H2451"/>
      <c r="I2451"/>
      <c r="M2451" s="54"/>
    </row>
    <row r="2452" spans="1:13" s="15" customFormat="1" x14ac:dyDescent="0.3">
      <c r="A2452" s="17"/>
      <c r="B2452"/>
      <c r="C2452"/>
      <c r="D2452"/>
      <c r="E2452"/>
      <c r="F2452"/>
      <c r="G2452"/>
      <c r="H2452"/>
      <c r="I2452"/>
      <c r="M2452" s="54"/>
    </row>
    <row r="2453" spans="1:13" s="15" customFormat="1" x14ac:dyDescent="0.3">
      <c r="A2453" s="17"/>
      <c r="B2453"/>
      <c r="C2453"/>
      <c r="D2453"/>
      <c r="E2453"/>
      <c r="F2453"/>
      <c r="G2453"/>
      <c r="H2453"/>
      <c r="I2453"/>
      <c r="M2453" s="54"/>
    </row>
    <row r="2454" spans="1:13" s="15" customFormat="1" x14ac:dyDescent="0.3">
      <c r="A2454" s="17"/>
      <c r="B2454"/>
      <c r="C2454"/>
      <c r="D2454"/>
      <c r="E2454"/>
      <c r="F2454"/>
      <c r="G2454"/>
      <c r="H2454"/>
      <c r="I2454"/>
      <c r="M2454" s="54"/>
    </row>
    <row r="2455" spans="1:13" s="15" customFormat="1" x14ac:dyDescent="0.3">
      <c r="A2455" s="17"/>
      <c r="B2455"/>
      <c r="C2455"/>
      <c r="D2455"/>
      <c r="E2455"/>
      <c r="F2455"/>
      <c r="G2455"/>
      <c r="H2455"/>
      <c r="I2455"/>
      <c r="M2455" s="54"/>
    </row>
    <row r="2456" spans="1:13" s="15" customFormat="1" x14ac:dyDescent="0.3">
      <c r="A2456" s="17"/>
      <c r="B2456"/>
      <c r="C2456"/>
      <c r="D2456"/>
      <c r="E2456"/>
      <c r="F2456"/>
      <c r="G2456"/>
      <c r="H2456"/>
      <c r="I2456"/>
      <c r="M2456" s="54"/>
    </row>
    <row r="2457" spans="1:13" s="15" customFormat="1" x14ac:dyDescent="0.3">
      <c r="A2457" s="17"/>
      <c r="B2457"/>
      <c r="C2457"/>
      <c r="D2457"/>
      <c r="E2457"/>
      <c r="F2457"/>
      <c r="G2457"/>
      <c r="H2457"/>
      <c r="I2457"/>
      <c r="M2457" s="54"/>
    </row>
    <row r="2458" spans="1:13" s="15" customFormat="1" x14ac:dyDescent="0.3">
      <c r="A2458" s="17"/>
      <c r="B2458"/>
      <c r="C2458"/>
      <c r="D2458"/>
      <c r="E2458"/>
      <c r="F2458"/>
      <c r="G2458"/>
      <c r="H2458"/>
      <c r="I2458"/>
      <c r="M2458" s="54"/>
    </row>
    <row r="2459" spans="1:13" s="15" customFormat="1" x14ac:dyDescent="0.3">
      <c r="A2459" s="17"/>
      <c r="B2459"/>
      <c r="C2459"/>
      <c r="D2459"/>
      <c r="E2459"/>
      <c r="F2459"/>
      <c r="G2459"/>
      <c r="H2459"/>
      <c r="I2459"/>
      <c r="M2459" s="54"/>
    </row>
    <row r="2460" spans="1:13" s="15" customFormat="1" x14ac:dyDescent="0.3">
      <c r="A2460" s="17"/>
      <c r="B2460"/>
      <c r="C2460"/>
      <c r="D2460"/>
      <c r="E2460"/>
      <c r="F2460"/>
      <c r="G2460"/>
      <c r="H2460"/>
      <c r="I2460"/>
      <c r="M2460" s="54"/>
    </row>
    <row r="2461" spans="1:13" s="15" customFormat="1" x14ac:dyDescent="0.3">
      <c r="A2461" s="17"/>
      <c r="B2461"/>
      <c r="C2461"/>
      <c r="D2461"/>
      <c r="E2461"/>
      <c r="F2461"/>
      <c r="G2461"/>
      <c r="H2461"/>
      <c r="I2461"/>
      <c r="M2461" s="54"/>
    </row>
    <row r="2462" spans="1:13" s="15" customFormat="1" x14ac:dyDescent="0.3">
      <c r="A2462" s="17"/>
      <c r="B2462"/>
      <c r="C2462"/>
      <c r="D2462"/>
      <c r="E2462"/>
      <c r="F2462"/>
      <c r="G2462"/>
      <c r="H2462"/>
      <c r="I2462"/>
      <c r="M2462" s="54"/>
    </row>
    <row r="2463" spans="1:13" s="15" customFormat="1" x14ac:dyDescent="0.3">
      <c r="A2463" s="17"/>
      <c r="B2463"/>
      <c r="C2463"/>
      <c r="D2463"/>
      <c r="E2463"/>
      <c r="F2463"/>
      <c r="G2463"/>
      <c r="H2463"/>
      <c r="I2463"/>
      <c r="M2463" s="54"/>
    </row>
    <row r="2464" spans="1:13" s="15" customFormat="1" x14ac:dyDescent="0.3">
      <c r="A2464" s="17"/>
      <c r="B2464"/>
      <c r="C2464"/>
      <c r="D2464"/>
      <c r="E2464"/>
      <c r="F2464"/>
      <c r="G2464"/>
      <c r="H2464"/>
      <c r="I2464"/>
      <c r="M2464" s="54"/>
    </row>
    <row r="2465" spans="1:13" s="15" customFormat="1" x14ac:dyDescent="0.3">
      <c r="A2465" s="17"/>
      <c r="B2465"/>
      <c r="C2465"/>
      <c r="D2465"/>
      <c r="E2465"/>
      <c r="F2465"/>
      <c r="G2465"/>
      <c r="H2465"/>
      <c r="I2465"/>
      <c r="M2465" s="54"/>
    </row>
    <row r="2466" spans="1:13" s="15" customFormat="1" x14ac:dyDescent="0.3">
      <c r="A2466" s="17"/>
      <c r="B2466"/>
      <c r="C2466"/>
      <c r="D2466"/>
      <c r="E2466"/>
      <c r="F2466"/>
      <c r="G2466"/>
      <c r="H2466"/>
      <c r="I2466"/>
      <c r="M2466" s="54"/>
    </row>
    <row r="2467" spans="1:13" s="15" customFormat="1" x14ac:dyDescent="0.3">
      <c r="A2467" s="17"/>
      <c r="B2467"/>
      <c r="C2467"/>
      <c r="D2467"/>
      <c r="E2467"/>
      <c r="F2467"/>
      <c r="G2467"/>
      <c r="H2467"/>
      <c r="I2467"/>
      <c r="M2467" s="54"/>
    </row>
    <row r="2468" spans="1:13" s="15" customFormat="1" x14ac:dyDescent="0.3">
      <c r="A2468" s="17"/>
      <c r="B2468"/>
      <c r="C2468"/>
      <c r="D2468"/>
      <c r="E2468"/>
      <c r="F2468"/>
      <c r="G2468"/>
      <c r="H2468"/>
      <c r="I2468"/>
      <c r="M2468" s="54"/>
    </row>
    <row r="2469" spans="1:13" s="15" customFormat="1" x14ac:dyDescent="0.3">
      <c r="A2469" s="17"/>
      <c r="B2469"/>
      <c r="C2469"/>
      <c r="D2469"/>
      <c r="E2469"/>
      <c r="F2469"/>
      <c r="G2469"/>
      <c r="H2469"/>
      <c r="I2469"/>
      <c r="M2469" s="54"/>
    </row>
    <row r="2470" spans="1:13" s="15" customFormat="1" x14ac:dyDescent="0.3">
      <c r="A2470" s="17"/>
      <c r="B2470"/>
      <c r="C2470"/>
      <c r="D2470"/>
      <c r="E2470"/>
      <c r="F2470"/>
      <c r="G2470"/>
      <c r="H2470"/>
      <c r="I2470"/>
      <c r="M2470" s="54"/>
    </row>
    <row r="2471" spans="1:13" s="15" customFormat="1" x14ac:dyDescent="0.3">
      <c r="A2471" s="17"/>
      <c r="B2471"/>
      <c r="C2471"/>
      <c r="D2471"/>
      <c r="E2471"/>
      <c r="F2471"/>
      <c r="G2471"/>
      <c r="H2471"/>
      <c r="I2471"/>
      <c r="M2471" s="54"/>
    </row>
    <row r="2472" spans="1:13" s="15" customFormat="1" x14ac:dyDescent="0.3">
      <c r="A2472" s="17"/>
      <c r="B2472"/>
      <c r="C2472"/>
      <c r="D2472"/>
      <c r="E2472"/>
      <c r="F2472"/>
      <c r="G2472"/>
      <c r="H2472"/>
      <c r="I2472"/>
      <c r="M2472" s="54"/>
    </row>
    <row r="2473" spans="1:13" s="15" customFormat="1" x14ac:dyDescent="0.3">
      <c r="A2473" s="17"/>
      <c r="B2473"/>
      <c r="C2473"/>
      <c r="D2473"/>
      <c r="E2473"/>
      <c r="F2473"/>
      <c r="G2473"/>
      <c r="H2473"/>
      <c r="I2473"/>
      <c r="M2473" s="54"/>
    </row>
    <row r="2474" spans="1:13" s="15" customFormat="1" x14ac:dyDescent="0.3">
      <c r="A2474" s="17"/>
      <c r="B2474"/>
      <c r="C2474"/>
      <c r="D2474"/>
      <c r="E2474"/>
      <c r="F2474"/>
      <c r="G2474"/>
      <c r="H2474"/>
      <c r="I2474"/>
      <c r="M2474" s="54"/>
    </row>
    <row r="2475" spans="1:13" s="15" customFormat="1" x14ac:dyDescent="0.3">
      <c r="A2475" s="17"/>
      <c r="B2475"/>
      <c r="C2475"/>
      <c r="D2475"/>
      <c r="E2475"/>
      <c r="F2475"/>
      <c r="G2475"/>
      <c r="H2475"/>
      <c r="I2475"/>
      <c r="M2475" s="54"/>
    </row>
    <row r="2476" spans="1:13" s="15" customFormat="1" x14ac:dyDescent="0.3">
      <c r="A2476" s="17"/>
      <c r="B2476"/>
      <c r="C2476"/>
      <c r="D2476"/>
      <c r="E2476"/>
      <c r="F2476"/>
      <c r="G2476"/>
      <c r="H2476"/>
      <c r="I2476"/>
      <c r="M2476" s="54"/>
    </row>
    <row r="2477" spans="1:13" s="15" customFormat="1" x14ac:dyDescent="0.3">
      <c r="A2477" s="17"/>
      <c r="B2477"/>
      <c r="C2477"/>
      <c r="D2477"/>
      <c r="E2477"/>
      <c r="F2477"/>
      <c r="G2477"/>
      <c r="H2477"/>
      <c r="I2477"/>
      <c r="M2477" s="54"/>
    </row>
    <row r="2478" spans="1:13" s="15" customFormat="1" x14ac:dyDescent="0.3">
      <c r="A2478" s="17"/>
      <c r="B2478"/>
      <c r="C2478"/>
      <c r="D2478"/>
      <c r="E2478"/>
      <c r="F2478"/>
      <c r="G2478"/>
      <c r="H2478"/>
      <c r="I2478"/>
      <c r="M2478" s="54"/>
    </row>
    <row r="2479" spans="1:13" s="15" customFormat="1" x14ac:dyDescent="0.3">
      <c r="A2479" s="17"/>
      <c r="B2479"/>
      <c r="C2479"/>
      <c r="D2479"/>
      <c r="E2479"/>
      <c r="F2479"/>
      <c r="G2479"/>
      <c r="H2479"/>
      <c r="I2479"/>
      <c r="M2479" s="54"/>
    </row>
    <row r="2480" spans="1:13" s="15" customFormat="1" x14ac:dyDescent="0.3">
      <c r="A2480" s="17"/>
      <c r="B2480"/>
      <c r="C2480"/>
      <c r="D2480"/>
      <c r="E2480"/>
      <c r="F2480"/>
      <c r="G2480"/>
      <c r="H2480"/>
      <c r="I2480"/>
      <c r="M2480" s="54"/>
    </row>
    <row r="2481" spans="1:13" s="15" customFormat="1" x14ac:dyDescent="0.3">
      <c r="A2481" s="17"/>
      <c r="B2481"/>
      <c r="C2481"/>
      <c r="D2481"/>
      <c r="E2481"/>
      <c r="F2481"/>
      <c r="G2481"/>
      <c r="H2481"/>
      <c r="I2481"/>
      <c r="M2481" s="54"/>
    </row>
    <row r="2482" spans="1:13" s="15" customFormat="1" x14ac:dyDescent="0.3">
      <c r="A2482" s="17"/>
      <c r="B2482"/>
      <c r="C2482"/>
      <c r="D2482"/>
      <c r="E2482"/>
      <c r="F2482"/>
      <c r="G2482"/>
      <c r="H2482"/>
      <c r="I2482"/>
      <c r="M2482" s="54"/>
    </row>
    <row r="2483" spans="1:13" s="15" customFormat="1" x14ac:dyDescent="0.3">
      <c r="A2483" s="17"/>
      <c r="B2483"/>
      <c r="C2483"/>
      <c r="D2483"/>
      <c r="E2483"/>
      <c r="F2483"/>
      <c r="G2483"/>
      <c r="H2483"/>
      <c r="I2483"/>
      <c r="M2483" s="54"/>
    </row>
    <row r="2484" spans="1:13" s="15" customFormat="1" x14ac:dyDescent="0.3">
      <c r="A2484" s="17"/>
      <c r="B2484"/>
      <c r="C2484"/>
      <c r="D2484"/>
      <c r="E2484"/>
      <c r="F2484"/>
      <c r="G2484"/>
      <c r="H2484"/>
      <c r="I2484"/>
      <c r="M2484" s="54"/>
    </row>
    <row r="2485" spans="1:13" s="15" customFormat="1" x14ac:dyDescent="0.3">
      <c r="A2485" s="17"/>
      <c r="B2485"/>
      <c r="C2485"/>
      <c r="D2485"/>
      <c r="E2485"/>
      <c r="F2485"/>
      <c r="G2485"/>
      <c r="H2485"/>
      <c r="I2485"/>
      <c r="M2485" s="54"/>
    </row>
    <row r="2486" spans="1:13" s="15" customFormat="1" x14ac:dyDescent="0.3">
      <c r="A2486" s="17"/>
      <c r="B2486"/>
      <c r="C2486"/>
      <c r="D2486"/>
      <c r="E2486"/>
      <c r="F2486"/>
      <c r="G2486"/>
      <c r="H2486"/>
      <c r="I2486"/>
      <c r="M2486" s="54"/>
    </row>
    <row r="2487" spans="1:13" s="15" customFormat="1" x14ac:dyDescent="0.3">
      <c r="A2487" s="17"/>
      <c r="B2487"/>
      <c r="C2487"/>
      <c r="D2487"/>
      <c r="E2487"/>
      <c r="F2487"/>
      <c r="G2487"/>
      <c r="H2487"/>
      <c r="I2487"/>
      <c r="M2487" s="54"/>
    </row>
    <row r="2488" spans="1:13" s="15" customFormat="1" x14ac:dyDescent="0.3">
      <c r="A2488" s="17"/>
      <c r="B2488"/>
      <c r="C2488"/>
      <c r="D2488"/>
      <c r="E2488"/>
      <c r="F2488"/>
      <c r="G2488"/>
      <c r="H2488"/>
      <c r="I2488"/>
      <c r="M2488" s="54"/>
    </row>
    <row r="2489" spans="1:13" s="15" customFormat="1" x14ac:dyDescent="0.3">
      <c r="A2489" s="17"/>
      <c r="B2489"/>
      <c r="C2489"/>
      <c r="D2489"/>
      <c r="E2489"/>
      <c r="F2489"/>
      <c r="G2489"/>
      <c r="H2489"/>
      <c r="I2489"/>
      <c r="M2489" s="54"/>
    </row>
    <row r="2490" spans="1:13" s="15" customFormat="1" x14ac:dyDescent="0.3">
      <c r="A2490" s="17"/>
      <c r="B2490"/>
      <c r="C2490"/>
      <c r="D2490"/>
      <c r="E2490"/>
      <c r="F2490"/>
      <c r="G2490"/>
      <c r="H2490"/>
      <c r="I2490"/>
      <c r="M2490" s="54"/>
    </row>
    <row r="2491" spans="1:13" s="15" customFormat="1" x14ac:dyDescent="0.3">
      <c r="A2491" s="17"/>
      <c r="B2491"/>
      <c r="C2491"/>
      <c r="D2491"/>
      <c r="E2491"/>
      <c r="F2491"/>
      <c r="G2491"/>
      <c r="H2491"/>
      <c r="I2491"/>
      <c r="M2491" s="54"/>
    </row>
    <row r="2492" spans="1:13" s="15" customFormat="1" x14ac:dyDescent="0.3">
      <c r="A2492" s="17"/>
      <c r="B2492"/>
      <c r="C2492"/>
      <c r="D2492"/>
      <c r="E2492"/>
      <c r="F2492"/>
      <c r="G2492"/>
      <c r="H2492"/>
      <c r="I2492"/>
      <c r="M2492" s="54"/>
    </row>
    <row r="2493" spans="1:13" s="15" customFormat="1" x14ac:dyDescent="0.3">
      <c r="A2493" s="17"/>
      <c r="B2493"/>
      <c r="C2493"/>
      <c r="D2493"/>
      <c r="E2493"/>
      <c r="F2493"/>
      <c r="G2493"/>
      <c r="H2493"/>
      <c r="I2493"/>
      <c r="M2493" s="54"/>
    </row>
    <row r="2494" spans="1:13" s="15" customFormat="1" x14ac:dyDescent="0.3">
      <c r="A2494" s="17"/>
      <c r="B2494"/>
      <c r="C2494"/>
      <c r="D2494"/>
      <c r="E2494"/>
      <c r="F2494"/>
      <c r="G2494"/>
      <c r="H2494"/>
      <c r="I2494"/>
      <c r="M2494" s="54"/>
    </row>
    <row r="2495" spans="1:13" s="15" customFormat="1" x14ac:dyDescent="0.3">
      <c r="A2495" s="17"/>
      <c r="B2495"/>
      <c r="C2495"/>
      <c r="D2495"/>
      <c r="E2495"/>
      <c r="F2495"/>
      <c r="G2495"/>
      <c r="H2495"/>
      <c r="I2495"/>
      <c r="M2495" s="54"/>
    </row>
    <row r="2496" spans="1:13" s="15" customFormat="1" x14ac:dyDescent="0.3">
      <c r="A2496" s="17"/>
      <c r="B2496"/>
      <c r="C2496"/>
      <c r="D2496"/>
      <c r="E2496"/>
      <c r="F2496"/>
      <c r="G2496"/>
      <c r="H2496"/>
      <c r="I2496"/>
      <c r="M2496" s="54"/>
    </row>
    <row r="2497" spans="1:13" s="15" customFormat="1" x14ac:dyDescent="0.3">
      <c r="A2497" s="17"/>
      <c r="B2497"/>
      <c r="C2497"/>
      <c r="D2497"/>
      <c r="E2497"/>
      <c r="F2497"/>
      <c r="G2497"/>
      <c r="H2497"/>
      <c r="I2497"/>
      <c r="M2497" s="54"/>
    </row>
    <row r="2498" spans="1:13" s="15" customFormat="1" x14ac:dyDescent="0.3">
      <c r="A2498" s="17"/>
      <c r="B2498"/>
      <c r="C2498"/>
      <c r="D2498"/>
      <c r="E2498"/>
      <c r="F2498"/>
      <c r="G2498"/>
      <c r="H2498"/>
      <c r="I2498"/>
      <c r="M2498" s="54"/>
    </row>
    <row r="2499" spans="1:13" s="15" customFormat="1" x14ac:dyDescent="0.3">
      <c r="A2499" s="17"/>
      <c r="B2499"/>
      <c r="C2499"/>
      <c r="D2499"/>
      <c r="E2499"/>
      <c r="F2499"/>
      <c r="G2499"/>
      <c r="H2499"/>
      <c r="I2499"/>
      <c r="M2499" s="54"/>
    </row>
    <row r="2500" spans="1:13" s="15" customFormat="1" x14ac:dyDescent="0.3">
      <c r="A2500" s="17"/>
      <c r="B2500"/>
      <c r="C2500"/>
      <c r="D2500"/>
      <c r="E2500"/>
      <c r="F2500"/>
      <c r="G2500"/>
      <c r="H2500"/>
      <c r="I2500"/>
      <c r="M2500" s="54"/>
    </row>
    <row r="2501" spans="1:13" s="15" customFormat="1" x14ac:dyDescent="0.3">
      <c r="A2501" s="17"/>
      <c r="B2501"/>
      <c r="C2501"/>
      <c r="D2501"/>
      <c r="E2501"/>
      <c r="F2501"/>
      <c r="G2501"/>
      <c r="H2501"/>
      <c r="I2501"/>
      <c r="M2501" s="54"/>
    </row>
    <row r="2502" spans="1:13" s="15" customFormat="1" x14ac:dyDescent="0.3">
      <c r="A2502" s="17"/>
      <c r="B2502"/>
      <c r="C2502"/>
      <c r="D2502"/>
      <c r="E2502"/>
      <c r="F2502"/>
      <c r="G2502"/>
      <c r="H2502"/>
      <c r="I2502"/>
      <c r="M2502" s="54"/>
    </row>
    <row r="2503" spans="1:13" s="15" customFormat="1" x14ac:dyDescent="0.3">
      <c r="A2503" s="17"/>
      <c r="B2503"/>
      <c r="C2503"/>
      <c r="D2503"/>
      <c r="E2503"/>
      <c r="F2503"/>
      <c r="G2503"/>
      <c r="H2503"/>
      <c r="I2503"/>
      <c r="M2503" s="54"/>
    </row>
    <row r="2504" spans="1:13" s="15" customFormat="1" x14ac:dyDescent="0.3">
      <c r="A2504" s="17"/>
      <c r="B2504"/>
      <c r="C2504"/>
      <c r="D2504"/>
      <c r="E2504"/>
      <c r="F2504"/>
      <c r="G2504"/>
      <c r="H2504"/>
      <c r="I2504"/>
      <c r="M2504" s="54"/>
    </row>
    <row r="2505" spans="1:13" s="15" customFormat="1" x14ac:dyDescent="0.3">
      <c r="A2505" s="17"/>
      <c r="B2505"/>
      <c r="C2505"/>
      <c r="D2505"/>
      <c r="E2505"/>
      <c r="F2505"/>
      <c r="G2505"/>
      <c r="H2505"/>
      <c r="I2505"/>
      <c r="M2505" s="54"/>
    </row>
    <row r="2506" spans="1:13" s="15" customFormat="1" x14ac:dyDescent="0.3">
      <c r="A2506" s="17"/>
      <c r="B2506"/>
      <c r="C2506"/>
      <c r="D2506"/>
      <c r="E2506"/>
      <c r="F2506"/>
      <c r="G2506"/>
      <c r="H2506"/>
      <c r="I2506"/>
      <c r="M2506" s="54"/>
    </row>
    <row r="2507" spans="1:13" s="15" customFormat="1" x14ac:dyDescent="0.3">
      <c r="A2507" s="17"/>
      <c r="B2507"/>
      <c r="C2507"/>
      <c r="D2507"/>
      <c r="E2507"/>
      <c r="F2507"/>
      <c r="G2507"/>
      <c r="H2507"/>
      <c r="I2507"/>
      <c r="M2507" s="54"/>
    </row>
    <row r="2508" spans="1:13" s="15" customFormat="1" x14ac:dyDescent="0.3">
      <c r="A2508" s="17"/>
      <c r="B2508"/>
      <c r="C2508"/>
      <c r="D2508"/>
      <c r="E2508"/>
      <c r="F2508"/>
      <c r="G2508"/>
      <c r="H2508"/>
      <c r="I2508"/>
      <c r="M2508" s="54"/>
    </row>
    <row r="2509" spans="1:13" s="15" customFormat="1" x14ac:dyDescent="0.3">
      <c r="A2509" s="17"/>
      <c r="B2509"/>
      <c r="C2509"/>
      <c r="D2509"/>
      <c r="E2509"/>
      <c r="F2509"/>
      <c r="G2509"/>
      <c r="H2509"/>
      <c r="I2509"/>
      <c r="M2509" s="54"/>
    </row>
    <row r="2510" spans="1:13" s="15" customFormat="1" x14ac:dyDescent="0.3">
      <c r="A2510" s="17"/>
      <c r="B2510"/>
      <c r="C2510"/>
      <c r="D2510"/>
      <c r="E2510"/>
      <c r="F2510"/>
      <c r="G2510"/>
      <c r="H2510"/>
      <c r="I2510"/>
      <c r="M2510" s="54"/>
    </row>
    <row r="2511" spans="1:13" s="15" customFormat="1" x14ac:dyDescent="0.3">
      <c r="A2511" s="17"/>
      <c r="B2511"/>
      <c r="C2511"/>
      <c r="D2511"/>
      <c r="E2511"/>
      <c r="F2511"/>
      <c r="G2511"/>
      <c r="H2511"/>
      <c r="I2511"/>
      <c r="M2511" s="54"/>
    </row>
    <row r="2512" spans="1:13" s="15" customFormat="1" x14ac:dyDescent="0.3">
      <c r="A2512" s="17"/>
      <c r="B2512"/>
      <c r="C2512"/>
      <c r="D2512"/>
      <c r="E2512"/>
      <c r="F2512"/>
      <c r="G2512"/>
      <c r="H2512"/>
      <c r="I2512"/>
      <c r="M2512" s="54"/>
    </row>
    <row r="2513" spans="1:13" s="15" customFormat="1" x14ac:dyDescent="0.3">
      <c r="A2513" s="17"/>
      <c r="B2513"/>
      <c r="C2513"/>
      <c r="D2513"/>
      <c r="E2513"/>
      <c r="F2513"/>
      <c r="G2513"/>
      <c r="H2513"/>
      <c r="I2513"/>
      <c r="M2513" s="54"/>
    </row>
    <row r="2514" spans="1:13" s="15" customFormat="1" x14ac:dyDescent="0.3">
      <c r="A2514" s="17"/>
      <c r="B2514"/>
      <c r="C2514"/>
      <c r="D2514"/>
      <c r="E2514"/>
      <c r="F2514"/>
      <c r="G2514"/>
      <c r="H2514"/>
      <c r="I2514"/>
      <c r="M2514" s="54"/>
    </row>
    <row r="2515" spans="1:13" s="15" customFormat="1" x14ac:dyDescent="0.3">
      <c r="A2515" s="17"/>
      <c r="B2515"/>
      <c r="C2515"/>
      <c r="D2515"/>
      <c r="E2515"/>
      <c r="F2515"/>
      <c r="G2515"/>
      <c r="H2515"/>
      <c r="I2515"/>
      <c r="M2515" s="54"/>
    </row>
    <row r="2516" spans="1:13" s="15" customFormat="1" x14ac:dyDescent="0.3">
      <c r="A2516" s="17"/>
      <c r="B2516"/>
      <c r="C2516"/>
      <c r="D2516"/>
      <c r="E2516"/>
      <c r="F2516"/>
      <c r="G2516"/>
      <c r="H2516"/>
      <c r="I2516"/>
      <c r="M2516" s="54"/>
    </row>
    <row r="2517" spans="1:13" s="15" customFormat="1" x14ac:dyDescent="0.3">
      <c r="A2517" s="17"/>
      <c r="B2517"/>
      <c r="C2517"/>
      <c r="D2517"/>
      <c r="E2517"/>
      <c r="F2517"/>
      <c r="G2517"/>
      <c r="H2517"/>
      <c r="I2517"/>
      <c r="M2517" s="54"/>
    </row>
    <row r="2518" spans="1:13" s="15" customFormat="1" x14ac:dyDescent="0.3">
      <c r="A2518" s="17"/>
      <c r="B2518"/>
      <c r="C2518"/>
      <c r="D2518"/>
      <c r="E2518"/>
      <c r="F2518"/>
      <c r="G2518"/>
      <c r="H2518"/>
      <c r="I2518"/>
      <c r="M2518" s="54"/>
    </row>
    <row r="2519" spans="1:13" s="15" customFormat="1" x14ac:dyDescent="0.3">
      <c r="A2519" s="17"/>
      <c r="B2519"/>
      <c r="C2519"/>
      <c r="D2519"/>
      <c r="E2519"/>
      <c r="F2519"/>
      <c r="G2519"/>
      <c r="H2519"/>
      <c r="I2519"/>
      <c r="M2519" s="54"/>
    </row>
    <row r="2520" spans="1:13" s="15" customFormat="1" x14ac:dyDescent="0.3">
      <c r="A2520" s="17"/>
      <c r="B2520"/>
      <c r="C2520"/>
      <c r="D2520"/>
      <c r="E2520"/>
      <c r="F2520"/>
      <c r="G2520"/>
      <c r="H2520"/>
      <c r="I2520"/>
      <c r="M2520" s="54"/>
    </row>
    <row r="2521" spans="1:13" s="15" customFormat="1" x14ac:dyDescent="0.3">
      <c r="A2521" s="17"/>
      <c r="B2521"/>
      <c r="C2521"/>
      <c r="D2521"/>
      <c r="E2521"/>
      <c r="F2521"/>
      <c r="G2521"/>
      <c r="H2521"/>
      <c r="I2521"/>
      <c r="M2521" s="54"/>
    </row>
    <row r="2522" spans="1:13" s="15" customFormat="1" x14ac:dyDescent="0.3">
      <c r="A2522" s="17"/>
      <c r="B2522"/>
      <c r="C2522"/>
      <c r="D2522"/>
      <c r="E2522"/>
      <c r="F2522"/>
      <c r="G2522"/>
      <c r="H2522"/>
      <c r="I2522"/>
      <c r="M2522" s="54"/>
    </row>
    <row r="2523" spans="1:13" s="15" customFormat="1" x14ac:dyDescent="0.3">
      <c r="A2523" s="17"/>
      <c r="B2523"/>
      <c r="C2523"/>
      <c r="D2523"/>
      <c r="E2523"/>
      <c r="F2523"/>
      <c r="G2523"/>
      <c r="H2523"/>
      <c r="I2523"/>
      <c r="M2523" s="54"/>
    </row>
    <row r="2524" spans="1:13" s="15" customFormat="1" x14ac:dyDescent="0.3">
      <c r="A2524" s="17"/>
      <c r="B2524"/>
      <c r="C2524"/>
      <c r="D2524"/>
      <c r="E2524"/>
      <c r="F2524"/>
      <c r="G2524"/>
      <c r="H2524"/>
      <c r="I2524"/>
      <c r="M2524" s="54"/>
    </row>
    <row r="2525" spans="1:13" s="15" customFormat="1" x14ac:dyDescent="0.3">
      <c r="A2525" s="17"/>
      <c r="B2525"/>
      <c r="C2525"/>
      <c r="D2525"/>
      <c r="E2525"/>
      <c r="F2525"/>
      <c r="G2525"/>
      <c r="H2525"/>
      <c r="I2525"/>
      <c r="M2525" s="54"/>
    </row>
    <row r="2526" spans="1:13" s="15" customFormat="1" x14ac:dyDescent="0.3">
      <c r="A2526" s="17"/>
      <c r="B2526"/>
      <c r="C2526"/>
      <c r="D2526"/>
      <c r="E2526"/>
      <c r="F2526"/>
      <c r="G2526"/>
      <c r="H2526"/>
      <c r="I2526"/>
      <c r="M2526" s="54"/>
    </row>
    <row r="2527" spans="1:13" s="15" customFormat="1" x14ac:dyDescent="0.3">
      <c r="A2527" s="17"/>
      <c r="B2527"/>
      <c r="C2527"/>
      <c r="D2527"/>
      <c r="E2527"/>
      <c r="F2527"/>
      <c r="G2527"/>
      <c r="H2527"/>
      <c r="I2527"/>
      <c r="M2527" s="54"/>
    </row>
    <row r="2528" spans="1:13" s="15" customFormat="1" x14ac:dyDescent="0.3">
      <c r="A2528" s="17"/>
      <c r="B2528"/>
      <c r="C2528"/>
      <c r="D2528"/>
      <c r="E2528"/>
      <c r="F2528"/>
      <c r="G2528"/>
      <c r="H2528"/>
      <c r="I2528"/>
      <c r="M2528" s="54"/>
    </row>
    <row r="2529" spans="1:13" s="15" customFormat="1" x14ac:dyDescent="0.3">
      <c r="A2529" s="17"/>
      <c r="B2529"/>
      <c r="C2529"/>
      <c r="D2529"/>
      <c r="E2529"/>
      <c r="F2529"/>
      <c r="G2529"/>
      <c r="H2529"/>
      <c r="I2529"/>
      <c r="M2529" s="54"/>
    </row>
    <row r="2530" spans="1:13" s="15" customFormat="1" x14ac:dyDescent="0.3">
      <c r="A2530" s="17"/>
      <c r="B2530"/>
      <c r="C2530"/>
      <c r="D2530"/>
      <c r="E2530"/>
      <c r="F2530"/>
      <c r="G2530"/>
      <c r="H2530"/>
      <c r="I2530"/>
      <c r="M2530" s="54"/>
    </row>
    <row r="2531" spans="1:13" s="15" customFormat="1" x14ac:dyDescent="0.3">
      <c r="A2531" s="17"/>
      <c r="B2531"/>
      <c r="C2531"/>
      <c r="D2531"/>
      <c r="E2531"/>
      <c r="F2531"/>
      <c r="G2531"/>
      <c r="H2531"/>
      <c r="I2531"/>
      <c r="M2531" s="54"/>
    </row>
    <row r="2532" spans="1:13" s="15" customFormat="1" x14ac:dyDescent="0.3">
      <c r="A2532" s="17"/>
      <c r="B2532"/>
      <c r="C2532"/>
      <c r="D2532"/>
      <c r="E2532"/>
      <c r="F2532"/>
      <c r="G2532"/>
      <c r="H2532"/>
      <c r="I2532"/>
      <c r="M2532" s="54"/>
    </row>
    <row r="2533" spans="1:13" s="15" customFormat="1" x14ac:dyDescent="0.3">
      <c r="A2533" s="17"/>
      <c r="B2533"/>
      <c r="C2533"/>
      <c r="D2533"/>
      <c r="E2533"/>
      <c r="F2533"/>
      <c r="G2533"/>
      <c r="H2533"/>
      <c r="I2533"/>
      <c r="M2533" s="54"/>
    </row>
    <row r="2534" spans="1:13" s="15" customFormat="1" x14ac:dyDescent="0.3">
      <c r="A2534" s="17"/>
      <c r="B2534"/>
      <c r="C2534"/>
      <c r="D2534"/>
      <c r="E2534"/>
      <c r="F2534"/>
      <c r="G2534"/>
      <c r="H2534"/>
      <c r="I2534"/>
      <c r="M2534" s="54"/>
    </row>
    <row r="2535" spans="1:13" s="15" customFormat="1" x14ac:dyDescent="0.3">
      <c r="A2535" s="17"/>
      <c r="B2535"/>
      <c r="C2535"/>
      <c r="D2535"/>
      <c r="E2535"/>
      <c r="F2535"/>
      <c r="G2535"/>
      <c r="H2535"/>
      <c r="I2535"/>
      <c r="M2535" s="54"/>
    </row>
    <row r="2536" spans="1:13" s="15" customFormat="1" x14ac:dyDescent="0.3">
      <c r="A2536" s="17"/>
      <c r="B2536"/>
      <c r="C2536"/>
      <c r="D2536"/>
      <c r="E2536"/>
      <c r="F2536"/>
      <c r="G2536"/>
      <c r="H2536"/>
      <c r="I2536"/>
      <c r="M2536" s="54"/>
    </row>
    <row r="2537" spans="1:13" s="15" customFormat="1" x14ac:dyDescent="0.3">
      <c r="A2537" s="17"/>
      <c r="B2537"/>
      <c r="C2537"/>
      <c r="D2537"/>
      <c r="E2537"/>
      <c r="F2537"/>
      <c r="G2537"/>
      <c r="H2537"/>
      <c r="I2537"/>
      <c r="M2537" s="54"/>
    </row>
    <row r="2538" spans="1:13" s="15" customFormat="1" x14ac:dyDescent="0.3">
      <c r="A2538" s="17"/>
      <c r="B2538"/>
      <c r="C2538"/>
      <c r="D2538"/>
      <c r="E2538"/>
      <c r="F2538"/>
      <c r="G2538"/>
      <c r="H2538"/>
      <c r="I2538"/>
      <c r="M2538" s="54"/>
    </row>
    <row r="2539" spans="1:13" s="15" customFormat="1" x14ac:dyDescent="0.3">
      <c r="A2539" s="17"/>
      <c r="B2539"/>
      <c r="C2539"/>
      <c r="D2539"/>
      <c r="E2539"/>
      <c r="F2539"/>
      <c r="G2539"/>
      <c r="H2539"/>
      <c r="I2539"/>
      <c r="M2539" s="54"/>
    </row>
    <row r="2540" spans="1:13" s="15" customFormat="1" x14ac:dyDescent="0.3">
      <c r="A2540" s="17"/>
      <c r="B2540"/>
      <c r="C2540"/>
      <c r="D2540"/>
      <c r="E2540"/>
      <c r="F2540"/>
      <c r="G2540"/>
      <c r="H2540"/>
      <c r="I2540"/>
      <c r="M2540" s="54"/>
    </row>
    <row r="2541" spans="1:13" s="15" customFormat="1" x14ac:dyDescent="0.3">
      <c r="A2541" s="17"/>
      <c r="B2541"/>
      <c r="C2541"/>
      <c r="D2541"/>
      <c r="E2541"/>
      <c r="F2541"/>
      <c r="G2541"/>
      <c r="H2541"/>
      <c r="I2541"/>
      <c r="M2541" s="54"/>
    </row>
    <row r="2542" spans="1:13" s="15" customFormat="1" x14ac:dyDescent="0.3">
      <c r="A2542" s="17"/>
      <c r="B2542"/>
      <c r="C2542"/>
      <c r="D2542"/>
      <c r="E2542"/>
      <c r="F2542"/>
      <c r="G2542"/>
      <c r="H2542"/>
      <c r="I2542"/>
      <c r="M2542" s="54"/>
    </row>
    <row r="2543" spans="1:13" s="15" customFormat="1" x14ac:dyDescent="0.3">
      <c r="A2543" s="17"/>
      <c r="B2543"/>
      <c r="C2543"/>
      <c r="D2543"/>
      <c r="E2543"/>
      <c r="F2543"/>
      <c r="G2543"/>
      <c r="H2543"/>
      <c r="I2543"/>
      <c r="M2543" s="54"/>
    </row>
    <row r="2544" spans="1:13" s="15" customFormat="1" x14ac:dyDescent="0.3">
      <c r="A2544" s="17"/>
      <c r="B2544"/>
      <c r="C2544"/>
      <c r="D2544"/>
      <c r="E2544"/>
      <c r="F2544"/>
      <c r="G2544"/>
      <c r="H2544"/>
      <c r="I2544"/>
      <c r="M2544" s="54"/>
    </row>
    <row r="2545" spans="1:13" s="15" customFormat="1" x14ac:dyDescent="0.3">
      <c r="A2545" s="17"/>
      <c r="B2545"/>
      <c r="C2545"/>
      <c r="D2545"/>
      <c r="E2545"/>
      <c r="F2545"/>
      <c r="G2545"/>
      <c r="H2545"/>
      <c r="I2545"/>
      <c r="M2545" s="54"/>
    </row>
    <row r="2546" spans="1:13" s="15" customFormat="1" x14ac:dyDescent="0.3">
      <c r="A2546" s="17"/>
      <c r="B2546"/>
      <c r="C2546"/>
      <c r="D2546"/>
      <c r="E2546"/>
      <c r="F2546"/>
      <c r="G2546"/>
      <c r="H2546"/>
      <c r="I2546"/>
      <c r="M2546" s="54"/>
    </row>
    <row r="2547" spans="1:13" s="15" customFormat="1" x14ac:dyDescent="0.3">
      <c r="A2547" s="17"/>
      <c r="B2547"/>
      <c r="C2547"/>
      <c r="D2547"/>
      <c r="E2547"/>
      <c r="F2547"/>
      <c r="G2547"/>
      <c r="H2547"/>
      <c r="I2547"/>
      <c r="M2547" s="54"/>
    </row>
    <row r="2548" spans="1:13" s="15" customFormat="1" x14ac:dyDescent="0.3">
      <c r="A2548" s="17"/>
      <c r="B2548"/>
      <c r="C2548"/>
      <c r="D2548"/>
      <c r="E2548"/>
      <c r="F2548"/>
      <c r="G2548"/>
      <c r="H2548"/>
      <c r="I2548"/>
      <c r="M2548" s="54"/>
    </row>
    <row r="2549" spans="1:13" s="15" customFormat="1" x14ac:dyDescent="0.3">
      <c r="A2549" s="17"/>
      <c r="B2549"/>
      <c r="C2549"/>
      <c r="D2549"/>
      <c r="E2549"/>
      <c r="F2549"/>
      <c r="G2549"/>
      <c r="H2549"/>
      <c r="I2549"/>
      <c r="M2549" s="54"/>
    </row>
    <row r="2550" spans="1:13" s="15" customFormat="1" x14ac:dyDescent="0.3">
      <c r="A2550" s="17"/>
      <c r="B2550"/>
      <c r="C2550"/>
      <c r="D2550"/>
      <c r="E2550"/>
      <c r="F2550"/>
      <c r="G2550"/>
      <c r="H2550"/>
      <c r="I2550"/>
      <c r="M2550" s="54"/>
    </row>
    <row r="2551" spans="1:13" s="15" customFormat="1" x14ac:dyDescent="0.3">
      <c r="A2551" s="17"/>
      <c r="B2551"/>
      <c r="C2551"/>
      <c r="D2551"/>
      <c r="E2551"/>
      <c r="F2551"/>
      <c r="G2551"/>
      <c r="H2551"/>
      <c r="I2551"/>
      <c r="M2551" s="54"/>
    </row>
    <row r="2552" spans="1:13" s="15" customFormat="1" x14ac:dyDescent="0.3">
      <c r="A2552" s="17"/>
      <c r="B2552"/>
      <c r="C2552"/>
      <c r="D2552"/>
      <c r="E2552"/>
      <c r="F2552"/>
      <c r="G2552"/>
      <c r="H2552"/>
      <c r="I2552"/>
      <c r="M2552" s="54"/>
    </row>
    <row r="2553" spans="1:13" s="15" customFormat="1" x14ac:dyDescent="0.3">
      <c r="A2553" s="17"/>
      <c r="B2553"/>
      <c r="C2553"/>
      <c r="D2553"/>
      <c r="E2553"/>
      <c r="F2553"/>
      <c r="G2553"/>
      <c r="H2553"/>
      <c r="I2553"/>
      <c r="M2553" s="54"/>
    </row>
    <row r="2554" spans="1:13" s="15" customFormat="1" x14ac:dyDescent="0.3">
      <c r="A2554" s="17"/>
      <c r="B2554"/>
      <c r="C2554"/>
      <c r="D2554"/>
      <c r="E2554"/>
      <c r="F2554"/>
      <c r="G2554"/>
      <c r="H2554"/>
      <c r="I2554"/>
      <c r="M2554" s="54"/>
    </row>
    <row r="2555" spans="1:13" s="15" customFormat="1" x14ac:dyDescent="0.3">
      <c r="A2555" s="17"/>
      <c r="B2555"/>
      <c r="C2555"/>
      <c r="D2555"/>
      <c r="E2555"/>
      <c r="F2555"/>
      <c r="G2555"/>
      <c r="H2555"/>
      <c r="I2555"/>
      <c r="M2555" s="54"/>
    </row>
    <row r="2556" spans="1:13" s="15" customFormat="1" x14ac:dyDescent="0.3">
      <c r="A2556" s="17"/>
      <c r="B2556"/>
      <c r="C2556"/>
      <c r="D2556"/>
      <c r="E2556"/>
      <c r="F2556"/>
      <c r="G2556"/>
      <c r="H2556"/>
      <c r="I2556"/>
      <c r="M2556" s="54"/>
    </row>
    <row r="2557" spans="1:13" s="15" customFormat="1" x14ac:dyDescent="0.3">
      <c r="A2557" s="17"/>
      <c r="B2557"/>
      <c r="C2557"/>
      <c r="D2557"/>
      <c r="E2557"/>
      <c r="F2557"/>
      <c r="G2557"/>
      <c r="H2557"/>
      <c r="I2557"/>
      <c r="M2557" s="54"/>
    </row>
    <row r="2558" spans="1:13" s="15" customFormat="1" x14ac:dyDescent="0.3">
      <c r="A2558" s="17"/>
      <c r="B2558"/>
      <c r="C2558"/>
      <c r="D2558"/>
      <c r="E2558"/>
      <c r="F2558"/>
      <c r="G2558"/>
      <c r="H2558"/>
      <c r="I2558"/>
      <c r="M2558" s="54"/>
    </row>
    <row r="2559" spans="1:13" s="15" customFormat="1" x14ac:dyDescent="0.3">
      <c r="A2559" s="17"/>
      <c r="B2559"/>
      <c r="C2559"/>
      <c r="D2559"/>
      <c r="E2559"/>
      <c r="F2559"/>
      <c r="G2559"/>
      <c r="H2559"/>
      <c r="I2559"/>
      <c r="M2559" s="54"/>
    </row>
    <row r="2560" spans="1:13" s="15" customFormat="1" x14ac:dyDescent="0.3">
      <c r="A2560" s="17"/>
      <c r="B2560"/>
      <c r="C2560"/>
      <c r="D2560"/>
      <c r="E2560"/>
      <c r="F2560"/>
      <c r="G2560"/>
      <c r="H2560"/>
      <c r="I2560"/>
      <c r="M2560" s="54"/>
    </row>
    <row r="2561" spans="1:13" s="15" customFormat="1" x14ac:dyDescent="0.3">
      <c r="A2561" s="17"/>
      <c r="B2561"/>
      <c r="C2561"/>
      <c r="D2561"/>
      <c r="E2561"/>
      <c r="F2561"/>
      <c r="G2561"/>
      <c r="H2561"/>
      <c r="I2561"/>
      <c r="M2561" s="54"/>
    </row>
    <row r="2562" spans="1:13" s="15" customFormat="1" x14ac:dyDescent="0.3">
      <c r="A2562" s="17"/>
      <c r="B2562"/>
      <c r="C2562"/>
      <c r="D2562"/>
      <c r="E2562"/>
      <c r="F2562"/>
      <c r="G2562"/>
      <c r="H2562"/>
      <c r="I2562"/>
      <c r="M2562" s="54"/>
    </row>
    <row r="2563" spans="1:13" s="15" customFormat="1" x14ac:dyDescent="0.3">
      <c r="A2563" s="17"/>
      <c r="B2563"/>
      <c r="C2563"/>
      <c r="D2563"/>
      <c r="E2563"/>
      <c r="F2563"/>
      <c r="G2563"/>
      <c r="H2563"/>
      <c r="I2563"/>
      <c r="M2563" s="54"/>
    </row>
    <row r="2564" spans="1:13" s="15" customFormat="1" x14ac:dyDescent="0.3">
      <c r="A2564" s="17"/>
      <c r="B2564"/>
      <c r="C2564"/>
      <c r="D2564"/>
      <c r="E2564"/>
      <c r="F2564"/>
      <c r="G2564"/>
      <c r="H2564"/>
      <c r="I2564"/>
      <c r="M2564" s="54"/>
    </row>
    <row r="2565" spans="1:13" s="15" customFormat="1" x14ac:dyDescent="0.3">
      <c r="A2565" s="17"/>
      <c r="B2565"/>
      <c r="C2565"/>
      <c r="D2565"/>
      <c r="E2565"/>
      <c r="F2565"/>
      <c r="G2565"/>
      <c r="H2565"/>
      <c r="I2565"/>
      <c r="M2565" s="54"/>
    </row>
    <row r="2566" spans="1:13" s="15" customFormat="1" x14ac:dyDescent="0.3">
      <c r="A2566" s="17"/>
      <c r="B2566"/>
      <c r="C2566"/>
      <c r="D2566"/>
      <c r="E2566"/>
      <c r="F2566"/>
      <c r="G2566"/>
      <c r="H2566"/>
      <c r="I2566"/>
      <c r="M2566" s="54"/>
    </row>
    <row r="2567" spans="1:13" s="15" customFormat="1" x14ac:dyDescent="0.3">
      <c r="A2567" s="17"/>
      <c r="B2567"/>
      <c r="C2567"/>
      <c r="D2567"/>
      <c r="E2567"/>
      <c r="F2567"/>
      <c r="G2567"/>
      <c r="H2567"/>
      <c r="I2567"/>
      <c r="M2567" s="54"/>
    </row>
    <row r="2568" spans="1:13" s="15" customFormat="1" x14ac:dyDescent="0.3">
      <c r="A2568" s="17"/>
      <c r="B2568"/>
      <c r="C2568"/>
      <c r="D2568"/>
      <c r="E2568"/>
      <c r="F2568"/>
      <c r="G2568"/>
      <c r="H2568"/>
      <c r="I2568"/>
      <c r="M2568" s="54"/>
    </row>
    <row r="2569" spans="1:13" s="15" customFormat="1" x14ac:dyDescent="0.3">
      <c r="A2569" s="17"/>
      <c r="B2569"/>
      <c r="C2569"/>
      <c r="D2569"/>
      <c r="E2569"/>
      <c r="F2569"/>
      <c r="G2569"/>
      <c r="H2569"/>
      <c r="I2569"/>
      <c r="M2569" s="54"/>
    </row>
    <row r="2570" spans="1:13" s="15" customFormat="1" x14ac:dyDescent="0.3">
      <c r="A2570" s="17"/>
      <c r="B2570"/>
      <c r="C2570"/>
      <c r="D2570"/>
      <c r="E2570"/>
      <c r="F2570"/>
      <c r="G2570"/>
      <c r="H2570"/>
      <c r="I2570"/>
      <c r="M2570" s="54"/>
    </row>
    <row r="2571" spans="1:13" s="15" customFormat="1" x14ac:dyDescent="0.3">
      <c r="A2571" s="17"/>
      <c r="B2571"/>
      <c r="C2571"/>
      <c r="D2571"/>
      <c r="E2571"/>
      <c r="F2571"/>
      <c r="G2571"/>
      <c r="H2571"/>
      <c r="I2571"/>
      <c r="M2571" s="54"/>
    </row>
    <row r="2572" spans="1:13" s="15" customFormat="1" x14ac:dyDescent="0.3">
      <c r="A2572" s="17"/>
      <c r="B2572"/>
      <c r="C2572"/>
      <c r="D2572"/>
      <c r="E2572"/>
      <c r="F2572"/>
      <c r="G2572"/>
      <c r="H2572"/>
      <c r="I2572"/>
      <c r="M2572" s="54"/>
    </row>
    <row r="2573" spans="1:13" s="15" customFormat="1" x14ac:dyDescent="0.3">
      <c r="A2573" s="17"/>
      <c r="B2573"/>
      <c r="C2573"/>
      <c r="D2573"/>
      <c r="E2573"/>
      <c r="F2573"/>
      <c r="G2573"/>
      <c r="H2573"/>
      <c r="I2573"/>
      <c r="M2573" s="54"/>
    </row>
    <row r="2574" spans="1:13" s="15" customFormat="1" x14ac:dyDescent="0.3">
      <c r="A2574" s="17"/>
      <c r="B2574"/>
      <c r="C2574"/>
      <c r="D2574"/>
      <c r="E2574"/>
      <c r="F2574"/>
      <c r="G2574"/>
      <c r="H2574"/>
      <c r="I2574"/>
      <c r="M2574" s="54"/>
    </row>
    <row r="2575" spans="1:13" s="15" customFormat="1" x14ac:dyDescent="0.3">
      <c r="A2575" s="17"/>
      <c r="B2575"/>
      <c r="C2575"/>
      <c r="D2575"/>
      <c r="E2575"/>
      <c r="F2575"/>
      <c r="G2575"/>
      <c r="H2575"/>
      <c r="I2575"/>
      <c r="M2575" s="54"/>
    </row>
    <row r="2576" spans="1:13" s="15" customFormat="1" x14ac:dyDescent="0.3">
      <c r="A2576" s="17"/>
      <c r="B2576"/>
      <c r="C2576"/>
      <c r="D2576"/>
      <c r="E2576"/>
      <c r="F2576"/>
      <c r="G2576"/>
      <c r="H2576"/>
      <c r="I2576"/>
      <c r="M2576" s="54"/>
    </row>
    <row r="2577" spans="1:13" s="15" customFormat="1" x14ac:dyDescent="0.3">
      <c r="A2577" s="17"/>
      <c r="B2577"/>
      <c r="C2577"/>
      <c r="D2577"/>
      <c r="E2577"/>
      <c r="F2577"/>
      <c r="G2577"/>
      <c r="H2577"/>
      <c r="I2577"/>
      <c r="M2577" s="54"/>
    </row>
    <row r="2578" spans="1:13" s="15" customFormat="1" x14ac:dyDescent="0.3">
      <c r="A2578" s="17"/>
      <c r="B2578"/>
      <c r="C2578"/>
      <c r="D2578"/>
      <c r="E2578"/>
      <c r="F2578"/>
      <c r="G2578"/>
      <c r="H2578"/>
      <c r="I2578"/>
      <c r="M2578" s="54"/>
    </row>
    <row r="2579" spans="1:13" s="15" customFormat="1" x14ac:dyDescent="0.3">
      <c r="A2579" s="17"/>
      <c r="B2579"/>
      <c r="C2579"/>
      <c r="D2579"/>
      <c r="E2579"/>
      <c r="F2579"/>
      <c r="G2579"/>
      <c r="H2579"/>
      <c r="I2579"/>
      <c r="M2579" s="54"/>
    </row>
    <row r="2580" spans="1:13" s="15" customFormat="1" x14ac:dyDescent="0.3">
      <c r="A2580" s="17"/>
      <c r="B2580"/>
      <c r="C2580"/>
      <c r="D2580"/>
      <c r="E2580"/>
      <c r="F2580"/>
      <c r="G2580"/>
      <c r="H2580"/>
      <c r="I2580"/>
      <c r="M2580" s="54"/>
    </row>
    <row r="2581" spans="1:13" s="15" customFormat="1" x14ac:dyDescent="0.3">
      <c r="A2581" s="17"/>
      <c r="B2581"/>
      <c r="C2581"/>
      <c r="D2581"/>
      <c r="E2581"/>
      <c r="F2581"/>
      <c r="G2581"/>
      <c r="H2581"/>
      <c r="I2581"/>
      <c r="M2581" s="54"/>
    </row>
    <row r="2582" spans="1:13" s="15" customFormat="1" x14ac:dyDescent="0.3">
      <c r="A2582" s="17"/>
      <c r="B2582"/>
      <c r="C2582"/>
      <c r="D2582"/>
      <c r="E2582"/>
      <c r="F2582"/>
      <c r="G2582"/>
      <c r="H2582"/>
      <c r="I2582"/>
      <c r="M2582" s="54"/>
    </row>
    <row r="2583" spans="1:13" s="15" customFormat="1" x14ac:dyDescent="0.3">
      <c r="A2583" s="17"/>
      <c r="B2583"/>
      <c r="C2583"/>
      <c r="D2583"/>
      <c r="E2583"/>
      <c r="F2583"/>
      <c r="G2583"/>
      <c r="H2583"/>
      <c r="I2583"/>
      <c r="M2583" s="54"/>
    </row>
    <row r="2584" spans="1:13" s="15" customFormat="1" x14ac:dyDescent="0.3">
      <c r="A2584" s="17"/>
      <c r="B2584"/>
      <c r="C2584"/>
      <c r="D2584"/>
      <c r="E2584"/>
      <c r="F2584"/>
      <c r="G2584"/>
      <c r="H2584"/>
      <c r="I2584"/>
      <c r="M2584" s="54"/>
    </row>
    <row r="2585" spans="1:13" s="15" customFormat="1" x14ac:dyDescent="0.3">
      <c r="A2585" s="17"/>
      <c r="B2585"/>
      <c r="C2585"/>
      <c r="D2585"/>
      <c r="E2585"/>
      <c r="F2585"/>
      <c r="G2585"/>
      <c r="H2585"/>
      <c r="I2585"/>
      <c r="M2585" s="54"/>
    </row>
    <row r="2586" spans="1:13" s="15" customFormat="1" x14ac:dyDescent="0.3">
      <c r="A2586" s="17"/>
      <c r="B2586"/>
      <c r="C2586"/>
      <c r="D2586"/>
      <c r="E2586"/>
      <c r="F2586"/>
      <c r="G2586"/>
      <c r="H2586"/>
      <c r="I2586"/>
      <c r="M2586" s="54"/>
    </row>
    <row r="2587" spans="1:13" s="15" customFormat="1" x14ac:dyDescent="0.3">
      <c r="A2587" s="17"/>
      <c r="B2587"/>
      <c r="C2587"/>
      <c r="D2587"/>
      <c r="E2587"/>
      <c r="F2587"/>
      <c r="G2587"/>
      <c r="H2587"/>
      <c r="I2587"/>
      <c r="M2587" s="54"/>
    </row>
    <row r="2588" spans="1:13" s="15" customFormat="1" x14ac:dyDescent="0.3">
      <c r="A2588" s="17"/>
      <c r="B2588"/>
      <c r="C2588"/>
      <c r="D2588"/>
      <c r="E2588"/>
      <c r="F2588"/>
      <c r="G2588"/>
      <c r="H2588"/>
      <c r="I2588"/>
      <c r="M2588" s="54"/>
    </row>
    <row r="2589" spans="1:13" s="15" customFormat="1" x14ac:dyDescent="0.3">
      <c r="A2589" s="17"/>
      <c r="B2589"/>
      <c r="C2589"/>
      <c r="D2589"/>
      <c r="E2589"/>
      <c r="F2589"/>
      <c r="G2589"/>
      <c r="H2589"/>
      <c r="I2589"/>
      <c r="M2589" s="54"/>
    </row>
    <row r="2590" spans="1:13" s="15" customFormat="1" x14ac:dyDescent="0.3">
      <c r="A2590" s="17"/>
      <c r="B2590"/>
      <c r="C2590"/>
      <c r="D2590"/>
      <c r="E2590"/>
      <c r="F2590"/>
      <c r="G2590"/>
      <c r="H2590"/>
      <c r="I2590"/>
      <c r="M2590" s="54"/>
    </row>
    <row r="2591" spans="1:13" s="15" customFormat="1" x14ac:dyDescent="0.3">
      <c r="A2591" s="17"/>
      <c r="B2591"/>
      <c r="C2591"/>
      <c r="D2591"/>
      <c r="E2591"/>
      <c r="F2591"/>
      <c r="G2591"/>
      <c r="H2591"/>
      <c r="I2591"/>
      <c r="M2591" s="54"/>
    </row>
    <row r="2592" spans="1:13" s="15" customFormat="1" x14ac:dyDescent="0.3">
      <c r="A2592" s="17"/>
      <c r="B2592"/>
      <c r="C2592"/>
      <c r="D2592"/>
      <c r="E2592"/>
      <c r="F2592"/>
      <c r="G2592"/>
      <c r="H2592"/>
      <c r="I2592"/>
      <c r="M2592" s="54"/>
    </row>
    <row r="2593" spans="1:13" s="15" customFormat="1" x14ac:dyDescent="0.3">
      <c r="A2593" s="17"/>
      <c r="B2593"/>
      <c r="C2593"/>
      <c r="D2593"/>
      <c r="E2593"/>
      <c r="F2593"/>
      <c r="G2593"/>
      <c r="H2593"/>
      <c r="I2593"/>
      <c r="M2593" s="54"/>
    </row>
    <row r="2594" spans="1:13" s="15" customFormat="1" x14ac:dyDescent="0.3">
      <c r="A2594" s="17"/>
      <c r="B2594"/>
      <c r="C2594"/>
      <c r="D2594"/>
      <c r="E2594"/>
      <c r="F2594"/>
      <c r="G2594"/>
      <c r="H2594"/>
      <c r="I2594"/>
      <c r="M2594" s="54"/>
    </row>
    <row r="2595" spans="1:13" s="15" customFormat="1" x14ac:dyDescent="0.3">
      <c r="A2595" s="17"/>
      <c r="B2595"/>
      <c r="C2595"/>
      <c r="D2595"/>
      <c r="E2595"/>
      <c r="F2595"/>
      <c r="G2595"/>
      <c r="H2595"/>
      <c r="I2595"/>
      <c r="M2595" s="54"/>
    </row>
    <row r="2596" spans="1:13" s="15" customFormat="1" x14ac:dyDescent="0.3">
      <c r="A2596" s="17"/>
      <c r="B2596"/>
      <c r="C2596"/>
      <c r="D2596"/>
      <c r="E2596"/>
      <c r="F2596"/>
      <c r="G2596"/>
      <c r="H2596"/>
      <c r="I2596"/>
      <c r="M2596" s="54"/>
    </row>
    <row r="2597" spans="1:13" s="15" customFormat="1" x14ac:dyDescent="0.3">
      <c r="A2597" s="17"/>
      <c r="B2597"/>
      <c r="C2597"/>
      <c r="D2597"/>
      <c r="E2597"/>
      <c r="F2597"/>
      <c r="G2597"/>
      <c r="H2597"/>
      <c r="I2597"/>
      <c r="M2597" s="54"/>
    </row>
    <row r="2598" spans="1:13" s="15" customFormat="1" x14ac:dyDescent="0.3">
      <c r="A2598" s="17"/>
      <c r="B2598"/>
      <c r="C2598"/>
      <c r="D2598"/>
      <c r="E2598"/>
      <c r="F2598"/>
      <c r="G2598"/>
      <c r="H2598"/>
      <c r="I2598"/>
      <c r="M2598" s="54"/>
    </row>
    <row r="2599" spans="1:13" s="15" customFormat="1" x14ac:dyDescent="0.3">
      <c r="A2599" s="17"/>
      <c r="B2599"/>
      <c r="C2599"/>
      <c r="D2599"/>
      <c r="E2599"/>
      <c r="F2599"/>
      <c r="G2599"/>
      <c r="H2599"/>
      <c r="I2599"/>
      <c r="M2599" s="54"/>
    </row>
    <row r="2600" spans="1:13" s="15" customFormat="1" x14ac:dyDescent="0.3">
      <c r="A2600" s="17"/>
      <c r="B2600"/>
      <c r="C2600"/>
      <c r="D2600"/>
      <c r="E2600"/>
      <c r="F2600"/>
      <c r="G2600"/>
      <c r="H2600"/>
      <c r="I2600"/>
      <c r="M2600" s="54"/>
    </row>
    <row r="2601" spans="1:13" s="15" customFormat="1" x14ac:dyDescent="0.3">
      <c r="A2601" s="17"/>
      <c r="B2601"/>
      <c r="C2601"/>
      <c r="D2601"/>
      <c r="E2601"/>
      <c r="F2601"/>
      <c r="G2601"/>
      <c r="H2601"/>
      <c r="I2601"/>
      <c r="M2601" s="54"/>
    </row>
    <row r="2602" spans="1:13" s="15" customFormat="1" x14ac:dyDescent="0.3">
      <c r="A2602" s="17"/>
      <c r="B2602"/>
      <c r="C2602"/>
      <c r="D2602"/>
      <c r="E2602"/>
      <c r="F2602"/>
      <c r="G2602"/>
      <c r="H2602"/>
      <c r="I2602"/>
      <c r="M2602" s="54"/>
    </row>
    <row r="2603" spans="1:13" s="15" customFormat="1" x14ac:dyDescent="0.3">
      <c r="A2603" s="17"/>
      <c r="B2603"/>
      <c r="C2603"/>
      <c r="D2603"/>
      <c r="E2603"/>
      <c r="F2603"/>
      <c r="G2603"/>
      <c r="H2603"/>
      <c r="I2603"/>
      <c r="M2603" s="54"/>
    </row>
    <row r="2604" spans="1:13" s="15" customFormat="1" x14ac:dyDescent="0.3">
      <c r="A2604" s="17"/>
      <c r="B2604"/>
      <c r="C2604"/>
      <c r="D2604"/>
      <c r="E2604"/>
      <c r="F2604"/>
      <c r="G2604"/>
      <c r="H2604"/>
      <c r="I2604"/>
      <c r="M2604" s="54"/>
    </row>
    <row r="2605" spans="1:13" s="15" customFormat="1" x14ac:dyDescent="0.3">
      <c r="A2605" s="17"/>
      <c r="B2605"/>
      <c r="C2605"/>
      <c r="D2605"/>
      <c r="E2605"/>
      <c r="F2605"/>
      <c r="G2605"/>
      <c r="H2605"/>
      <c r="I2605"/>
      <c r="M2605" s="54"/>
    </row>
    <row r="2606" spans="1:13" s="15" customFormat="1" x14ac:dyDescent="0.3">
      <c r="A2606" s="17"/>
      <c r="B2606"/>
      <c r="C2606"/>
      <c r="D2606"/>
      <c r="E2606"/>
      <c r="F2606"/>
      <c r="G2606"/>
      <c r="H2606"/>
      <c r="I2606"/>
      <c r="M2606" s="54"/>
    </row>
    <row r="2607" spans="1:13" s="15" customFormat="1" x14ac:dyDescent="0.3">
      <c r="A2607" s="17"/>
      <c r="B2607"/>
      <c r="C2607"/>
      <c r="D2607"/>
      <c r="E2607"/>
      <c r="F2607"/>
      <c r="G2607"/>
      <c r="H2607"/>
      <c r="I2607"/>
      <c r="M2607" s="54"/>
    </row>
    <row r="2608" spans="1:13" s="15" customFormat="1" x14ac:dyDescent="0.3">
      <c r="A2608" s="17"/>
      <c r="B2608"/>
      <c r="C2608"/>
      <c r="D2608"/>
      <c r="E2608"/>
      <c r="F2608"/>
      <c r="G2608"/>
      <c r="H2608"/>
      <c r="I2608"/>
      <c r="M2608" s="54"/>
    </row>
    <row r="2609" spans="1:13" s="15" customFormat="1" x14ac:dyDescent="0.3">
      <c r="A2609" s="17"/>
      <c r="B2609"/>
      <c r="C2609"/>
      <c r="D2609"/>
      <c r="E2609"/>
      <c r="F2609"/>
      <c r="G2609"/>
      <c r="H2609"/>
      <c r="I2609"/>
      <c r="M2609" s="54"/>
    </row>
    <row r="2610" spans="1:13" s="15" customFormat="1" x14ac:dyDescent="0.3">
      <c r="A2610" s="17"/>
      <c r="B2610"/>
      <c r="C2610"/>
      <c r="D2610"/>
      <c r="E2610"/>
      <c r="F2610"/>
      <c r="G2610"/>
      <c r="H2610"/>
      <c r="I2610"/>
      <c r="M2610" s="54"/>
    </row>
    <row r="2611" spans="1:13" s="15" customFormat="1" x14ac:dyDescent="0.3">
      <c r="A2611" s="17"/>
      <c r="B2611"/>
      <c r="C2611"/>
      <c r="D2611"/>
      <c r="E2611"/>
      <c r="F2611"/>
      <c r="G2611"/>
      <c r="H2611"/>
      <c r="I2611"/>
      <c r="M2611" s="54"/>
    </row>
    <row r="2612" spans="1:13" s="15" customFormat="1" x14ac:dyDescent="0.3">
      <c r="A2612" s="17"/>
      <c r="B2612"/>
      <c r="C2612"/>
      <c r="D2612"/>
      <c r="E2612"/>
      <c r="F2612"/>
      <c r="G2612"/>
      <c r="H2612"/>
      <c r="I2612"/>
      <c r="M2612" s="54"/>
    </row>
    <row r="2613" spans="1:13" s="15" customFormat="1" x14ac:dyDescent="0.3">
      <c r="A2613" s="17"/>
      <c r="B2613"/>
      <c r="C2613"/>
      <c r="D2613"/>
      <c r="E2613"/>
      <c r="F2613"/>
      <c r="G2613"/>
      <c r="H2613"/>
      <c r="I2613"/>
      <c r="M2613" s="54"/>
    </row>
    <row r="2614" spans="1:13" s="15" customFormat="1" x14ac:dyDescent="0.3">
      <c r="A2614" s="17"/>
      <c r="B2614"/>
      <c r="C2614"/>
      <c r="D2614"/>
      <c r="E2614"/>
      <c r="F2614"/>
      <c r="G2614"/>
      <c r="H2614"/>
      <c r="I2614"/>
      <c r="M2614" s="54"/>
    </row>
    <row r="2615" spans="1:13" s="15" customFormat="1" x14ac:dyDescent="0.3">
      <c r="A2615" s="17"/>
      <c r="B2615"/>
      <c r="C2615"/>
      <c r="D2615"/>
      <c r="E2615"/>
      <c r="F2615"/>
      <c r="G2615"/>
      <c r="H2615"/>
      <c r="I2615"/>
      <c r="M2615" s="54"/>
    </row>
    <row r="2616" spans="1:13" s="15" customFormat="1" x14ac:dyDescent="0.3">
      <c r="A2616" s="17"/>
      <c r="B2616"/>
      <c r="C2616"/>
      <c r="D2616"/>
      <c r="E2616"/>
      <c r="F2616"/>
      <c r="G2616"/>
      <c r="H2616"/>
      <c r="I2616"/>
      <c r="M2616" s="54"/>
    </row>
    <row r="2617" spans="1:13" s="15" customFormat="1" x14ac:dyDescent="0.3">
      <c r="A2617" s="17"/>
      <c r="B2617"/>
      <c r="C2617"/>
      <c r="D2617"/>
      <c r="E2617"/>
      <c r="F2617"/>
      <c r="G2617"/>
      <c r="H2617"/>
      <c r="I2617"/>
      <c r="M2617" s="54"/>
    </row>
    <row r="2618" spans="1:13" s="15" customFormat="1" x14ac:dyDescent="0.3">
      <c r="A2618" s="17"/>
      <c r="B2618"/>
      <c r="C2618"/>
      <c r="D2618"/>
      <c r="E2618"/>
      <c r="F2618"/>
      <c r="G2618"/>
      <c r="H2618"/>
      <c r="I2618"/>
      <c r="M2618" s="54"/>
    </row>
    <row r="2619" spans="1:13" s="15" customFormat="1" x14ac:dyDescent="0.3">
      <c r="A2619" s="17"/>
      <c r="B2619"/>
      <c r="C2619"/>
      <c r="D2619"/>
      <c r="E2619"/>
      <c r="F2619"/>
      <c r="G2619"/>
      <c r="H2619"/>
      <c r="I2619"/>
      <c r="M2619" s="54"/>
    </row>
    <row r="2620" spans="1:13" s="15" customFormat="1" x14ac:dyDescent="0.3">
      <c r="A2620" s="17"/>
      <c r="B2620"/>
      <c r="C2620"/>
      <c r="D2620"/>
      <c r="E2620"/>
      <c r="F2620"/>
      <c r="G2620"/>
      <c r="H2620"/>
      <c r="I2620"/>
      <c r="M2620" s="54"/>
    </row>
    <row r="2621" spans="1:13" s="15" customFormat="1" x14ac:dyDescent="0.3">
      <c r="A2621" s="17"/>
      <c r="B2621"/>
      <c r="C2621"/>
      <c r="D2621"/>
      <c r="E2621"/>
      <c r="F2621"/>
      <c r="G2621"/>
      <c r="H2621"/>
      <c r="I2621"/>
      <c r="M2621" s="54"/>
    </row>
    <row r="2622" spans="1:13" s="15" customFormat="1" x14ac:dyDescent="0.3">
      <c r="A2622" s="17"/>
      <c r="B2622"/>
      <c r="C2622"/>
      <c r="D2622"/>
      <c r="E2622"/>
      <c r="F2622"/>
      <c r="G2622"/>
      <c r="H2622"/>
      <c r="I2622"/>
      <c r="M2622" s="54"/>
    </row>
    <row r="2623" spans="1:13" s="15" customFormat="1" x14ac:dyDescent="0.3">
      <c r="A2623" s="17"/>
      <c r="B2623"/>
      <c r="C2623"/>
      <c r="D2623"/>
      <c r="E2623"/>
      <c r="F2623"/>
      <c r="G2623"/>
      <c r="H2623"/>
      <c r="I2623"/>
      <c r="M2623" s="54"/>
    </row>
    <row r="2624" spans="1:13" s="15" customFormat="1" x14ac:dyDescent="0.3">
      <c r="A2624" s="17"/>
      <c r="B2624"/>
      <c r="C2624"/>
      <c r="D2624"/>
      <c r="E2624"/>
      <c r="F2624"/>
      <c r="G2624"/>
      <c r="H2624"/>
      <c r="I2624"/>
      <c r="M2624" s="54"/>
    </row>
    <row r="2625" spans="1:13" s="15" customFormat="1" x14ac:dyDescent="0.3">
      <c r="A2625" s="17"/>
      <c r="B2625"/>
      <c r="C2625"/>
      <c r="D2625"/>
      <c r="E2625"/>
      <c r="F2625"/>
      <c r="G2625"/>
      <c r="H2625"/>
      <c r="I2625"/>
      <c r="M2625" s="54"/>
    </row>
    <row r="2626" spans="1:13" s="15" customFormat="1" x14ac:dyDescent="0.3">
      <c r="A2626" s="17"/>
      <c r="B2626"/>
      <c r="C2626"/>
      <c r="D2626"/>
      <c r="E2626"/>
      <c r="F2626"/>
      <c r="G2626"/>
      <c r="H2626"/>
      <c r="I2626"/>
      <c r="M2626" s="54"/>
    </row>
    <row r="2627" spans="1:13" s="15" customFormat="1" x14ac:dyDescent="0.3">
      <c r="A2627" s="17"/>
      <c r="B2627"/>
      <c r="C2627"/>
      <c r="D2627"/>
      <c r="E2627"/>
      <c r="F2627"/>
      <c r="G2627"/>
      <c r="H2627"/>
      <c r="I2627"/>
      <c r="M2627" s="54"/>
    </row>
    <row r="2628" spans="1:13" s="15" customFormat="1" x14ac:dyDescent="0.3">
      <c r="A2628" s="17"/>
      <c r="B2628"/>
      <c r="C2628"/>
      <c r="D2628"/>
      <c r="E2628"/>
      <c r="F2628"/>
      <c r="G2628"/>
      <c r="H2628"/>
      <c r="I2628"/>
      <c r="M2628" s="54"/>
    </row>
    <row r="2629" spans="1:13" s="15" customFormat="1" x14ac:dyDescent="0.3">
      <c r="A2629" s="17"/>
      <c r="B2629"/>
      <c r="C2629"/>
      <c r="D2629"/>
      <c r="E2629"/>
      <c r="F2629"/>
      <c r="G2629"/>
      <c r="H2629"/>
      <c r="I2629"/>
      <c r="M2629" s="54"/>
    </row>
    <row r="2630" spans="1:13" s="15" customFormat="1" x14ac:dyDescent="0.3">
      <c r="A2630" s="17"/>
      <c r="B2630"/>
      <c r="C2630"/>
      <c r="D2630"/>
      <c r="E2630"/>
      <c r="F2630"/>
      <c r="G2630"/>
      <c r="H2630"/>
      <c r="I2630"/>
      <c r="M2630" s="54"/>
    </row>
    <row r="2631" spans="1:13" s="15" customFormat="1" x14ac:dyDescent="0.3">
      <c r="A2631" s="17"/>
      <c r="B2631"/>
      <c r="C2631"/>
      <c r="D2631"/>
      <c r="E2631"/>
      <c r="F2631"/>
      <c r="G2631"/>
      <c r="H2631"/>
      <c r="I2631"/>
      <c r="M2631" s="54"/>
    </row>
    <row r="2632" spans="1:13" s="15" customFormat="1" x14ac:dyDescent="0.3">
      <c r="A2632" s="17"/>
      <c r="B2632"/>
      <c r="C2632"/>
      <c r="D2632"/>
      <c r="E2632"/>
      <c r="F2632"/>
      <c r="G2632"/>
      <c r="H2632"/>
      <c r="I2632"/>
      <c r="M2632" s="54"/>
    </row>
    <row r="2633" spans="1:13" s="15" customFormat="1" x14ac:dyDescent="0.3">
      <c r="A2633" s="17"/>
      <c r="B2633"/>
      <c r="C2633"/>
      <c r="D2633"/>
      <c r="E2633"/>
      <c r="F2633"/>
      <c r="G2633"/>
      <c r="H2633"/>
      <c r="I2633"/>
      <c r="M2633" s="54"/>
    </row>
    <row r="2634" spans="1:13" s="15" customFormat="1" x14ac:dyDescent="0.3">
      <c r="A2634" s="17"/>
      <c r="B2634"/>
      <c r="C2634"/>
      <c r="D2634"/>
      <c r="E2634"/>
      <c r="F2634"/>
      <c r="G2634"/>
      <c r="H2634"/>
      <c r="I2634"/>
      <c r="M2634" s="54"/>
    </row>
    <row r="2635" spans="1:13" s="15" customFormat="1" x14ac:dyDescent="0.3">
      <c r="A2635" s="17"/>
      <c r="B2635"/>
      <c r="C2635"/>
      <c r="D2635"/>
      <c r="E2635"/>
      <c r="F2635"/>
      <c r="G2635"/>
      <c r="H2635"/>
      <c r="I2635"/>
      <c r="M2635" s="54"/>
    </row>
    <row r="2636" spans="1:13" s="15" customFormat="1" x14ac:dyDescent="0.3">
      <c r="A2636" s="17"/>
      <c r="B2636"/>
      <c r="C2636"/>
      <c r="D2636"/>
      <c r="E2636"/>
      <c r="F2636"/>
      <c r="G2636"/>
      <c r="H2636"/>
      <c r="I2636"/>
      <c r="M2636" s="54"/>
    </row>
    <row r="2637" spans="1:13" s="15" customFormat="1" x14ac:dyDescent="0.3">
      <c r="A2637" s="17"/>
      <c r="B2637"/>
      <c r="C2637"/>
      <c r="D2637"/>
      <c r="E2637"/>
      <c r="F2637"/>
      <c r="G2637"/>
      <c r="H2637"/>
      <c r="I2637"/>
      <c r="M2637" s="54"/>
    </row>
    <row r="2638" spans="1:13" s="15" customFormat="1" x14ac:dyDescent="0.3">
      <c r="A2638" s="17"/>
      <c r="B2638"/>
      <c r="C2638"/>
      <c r="D2638"/>
      <c r="E2638"/>
      <c r="F2638"/>
      <c r="G2638"/>
      <c r="H2638"/>
      <c r="I2638"/>
      <c r="M2638" s="54"/>
    </row>
    <row r="2639" spans="1:13" s="15" customFormat="1" x14ac:dyDescent="0.3">
      <c r="A2639" s="17"/>
      <c r="B2639"/>
      <c r="C2639"/>
      <c r="D2639"/>
      <c r="E2639"/>
      <c r="F2639"/>
      <c r="G2639"/>
      <c r="H2639"/>
      <c r="I2639"/>
      <c r="M2639" s="54"/>
    </row>
    <row r="2640" spans="1:13" s="15" customFormat="1" x14ac:dyDescent="0.3">
      <c r="A2640" s="17"/>
      <c r="B2640"/>
      <c r="C2640"/>
      <c r="D2640"/>
      <c r="E2640"/>
      <c r="F2640"/>
      <c r="G2640"/>
      <c r="H2640"/>
      <c r="I2640"/>
      <c r="M2640" s="54"/>
    </row>
    <row r="2641" spans="1:13" s="15" customFormat="1" x14ac:dyDescent="0.3">
      <c r="A2641" s="17"/>
      <c r="B2641"/>
      <c r="C2641"/>
      <c r="D2641"/>
      <c r="E2641"/>
      <c r="F2641"/>
      <c r="G2641"/>
      <c r="H2641"/>
      <c r="I2641"/>
      <c r="M2641" s="54"/>
    </row>
    <row r="2642" spans="1:13" s="15" customFormat="1" x14ac:dyDescent="0.3">
      <c r="A2642" s="17"/>
      <c r="B2642"/>
      <c r="C2642"/>
      <c r="D2642"/>
      <c r="E2642"/>
      <c r="F2642"/>
      <c r="G2642"/>
      <c r="H2642"/>
      <c r="I2642"/>
      <c r="M2642" s="54"/>
    </row>
    <row r="2643" spans="1:13" s="15" customFormat="1" x14ac:dyDescent="0.3">
      <c r="A2643" s="17"/>
      <c r="B2643"/>
      <c r="C2643"/>
      <c r="D2643"/>
      <c r="E2643"/>
      <c r="F2643"/>
      <c r="G2643"/>
      <c r="H2643"/>
      <c r="I2643"/>
      <c r="M2643" s="54"/>
    </row>
    <row r="2644" spans="1:13" s="15" customFormat="1" x14ac:dyDescent="0.3">
      <c r="A2644" s="17"/>
      <c r="B2644"/>
      <c r="C2644"/>
      <c r="D2644"/>
      <c r="E2644"/>
      <c r="F2644"/>
      <c r="G2644"/>
      <c r="H2644"/>
      <c r="I2644"/>
      <c r="M2644" s="54"/>
    </row>
    <row r="2645" spans="1:13" s="15" customFormat="1" x14ac:dyDescent="0.3">
      <c r="A2645" s="17"/>
      <c r="B2645"/>
      <c r="C2645"/>
      <c r="D2645"/>
      <c r="E2645"/>
      <c r="F2645"/>
      <c r="G2645"/>
      <c r="H2645"/>
      <c r="I2645"/>
      <c r="M2645" s="54"/>
    </row>
    <row r="2646" spans="1:13" s="15" customFormat="1" x14ac:dyDescent="0.3">
      <c r="A2646" s="17"/>
      <c r="B2646"/>
      <c r="C2646"/>
      <c r="D2646"/>
      <c r="E2646"/>
      <c r="F2646"/>
      <c r="G2646"/>
      <c r="H2646"/>
      <c r="I2646"/>
      <c r="M2646" s="54"/>
    </row>
    <row r="2647" spans="1:13" s="15" customFormat="1" x14ac:dyDescent="0.3">
      <c r="A2647" s="17"/>
      <c r="B2647"/>
      <c r="C2647"/>
      <c r="D2647"/>
      <c r="E2647"/>
      <c r="F2647"/>
      <c r="G2647"/>
      <c r="H2647"/>
      <c r="I2647"/>
      <c r="M2647" s="54"/>
    </row>
    <row r="2648" spans="1:13" s="15" customFormat="1" x14ac:dyDescent="0.3">
      <c r="A2648" s="17"/>
      <c r="B2648"/>
      <c r="C2648"/>
      <c r="D2648"/>
      <c r="E2648"/>
      <c r="F2648"/>
      <c r="G2648"/>
      <c r="H2648"/>
      <c r="I2648"/>
      <c r="M2648" s="54"/>
    </row>
    <row r="2649" spans="1:13" s="15" customFormat="1" x14ac:dyDescent="0.3">
      <c r="A2649" s="17"/>
      <c r="B2649"/>
      <c r="C2649"/>
      <c r="D2649"/>
      <c r="E2649"/>
      <c r="F2649"/>
      <c r="G2649"/>
      <c r="H2649"/>
      <c r="I2649"/>
      <c r="M2649" s="54"/>
    </row>
    <row r="2650" spans="1:13" s="15" customFormat="1" x14ac:dyDescent="0.3">
      <c r="A2650" s="17"/>
      <c r="B2650"/>
      <c r="C2650"/>
      <c r="D2650"/>
      <c r="E2650"/>
      <c r="F2650"/>
      <c r="G2650"/>
      <c r="H2650"/>
      <c r="I2650"/>
      <c r="M2650" s="54"/>
    </row>
    <row r="2651" spans="1:13" s="15" customFormat="1" x14ac:dyDescent="0.3">
      <c r="A2651" s="17"/>
      <c r="B2651"/>
      <c r="C2651"/>
      <c r="D2651"/>
      <c r="E2651"/>
      <c r="F2651"/>
      <c r="G2651"/>
      <c r="H2651"/>
      <c r="I2651"/>
      <c r="M2651" s="54"/>
    </row>
    <row r="2652" spans="1:13" s="15" customFormat="1" x14ac:dyDescent="0.3">
      <c r="A2652" s="17"/>
      <c r="B2652"/>
      <c r="C2652"/>
      <c r="D2652"/>
      <c r="E2652"/>
      <c r="F2652"/>
      <c r="G2652"/>
      <c r="H2652"/>
      <c r="I2652"/>
      <c r="M2652" s="54"/>
    </row>
    <row r="2653" spans="1:13" s="15" customFormat="1" x14ac:dyDescent="0.3">
      <c r="A2653" s="17"/>
      <c r="B2653"/>
      <c r="C2653"/>
      <c r="D2653"/>
      <c r="E2653"/>
      <c r="F2653"/>
      <c r="G2653"/>
      <c r="H2653"/>
      <c r="I2653"/>
      <c r="M2653" s="54"/>
    </row>
    <row r="2654" spans="1:13" s="15" customFormat="1" x14ac:dyDescent="0.3">
      <c r="A2654" s="17"/>
      <c r="B2654"/>
      <c r="C2654"/>
      <c r="D2654"/>
      <c r="E2654"/>
      <c r="F2654"/>
      <c r="G2654"/>
      <c r="H2654"/>
      <c r="I2654"/>
      <c r="M2654" s="54"/>
    </row>
    <row r="2655" spans="1:13" s="15" customFormat="1" x14ac:dyDescent="0.3">
      <c r="A2655" s="17"/>
      <c r="B2655"/>
      <c r="C2655"/>
      <c r="D2655"/>
      <c r="E2655"/>
      <c r="F2655"/>
      <c r="G2655"/>
      <c r="H2655"/>
      <c r="I2655"/>
      <c r="M2655" s="54"/>
    </row>
    <row r="2656" spans="1:13" s="15" customFormat="1" x14ac:dyDescent="0.3">
      <c r="A2656" s="17"/>
      <c r="B2656"/>
      <c r="C2656"/>
      <c r="D2656"/>
      <c r="E2656"/>
      <c r="F2656"/>
      <c r="G2656"/>
      <c r="H2656"/>
      <c r="I2656"/>
      <c r="M2656" s="54"/>
    </row>
    <row r="2657" spans="1:13" s="15" customFormat="1" x14ac:dyDescent="0.3">
      <c r="A2657" s="17"/>
      <c r="B2657"/>
      <c r="C2657"/>
      <c r="D2657"/>
      <c r="E2657"/>
      <c r="F2657"/>
      <c r="G2657"/>
      <c r="H2657"/>
      <c r="I2657"/>
      <c r="M2657" s="54"/>
    </row>
    <row r="2658" spans="1:13" s="15" customFormat="1" x14ac:dyDescent="0.3">
      <c r="A2658" s="17"/>
      <c r="B2658"/>
      <c r="C2658"/>
      <c r="D2658"/>
      <c r="E2658"/>
      <c r="F2658"/>
      <c r="G2658"/>
      <c r="H2658"/>
      <c r="I2658"/>
      <c r="M2658" s="54"/>
    </row>
    <row r="2659" spans="1:13" s="15" customFormat="1" x14ac:dyDescent="0.3">
      <c r="A2659" s="17"/>
      <c r="B2659"/>
      <c r="C2659"/>
      <c r="D2659"/>
      <c r="E2659"/>
      <c r="F2659"/>
      <c r="G2659"/>
      <c r="H2659"/>
      <c r="I2659"/>
      <c r="M2659" s="54"/>
    </row>
    <row r="2660" spans="1:13" s="15" customFormat="1" x14ac:dyDescent="0.3">
      <c r="A2660" s="17"/>
      <c r="B2660"/>
      <c r="C2660"/>
      <c r="D2660"/>
      <c r="E2660"/>
      <c r="F2660"/>
      <c r="G2660"/>
      <c r="H2660"/>
      <c r="I2660"/>
      <c r="M2660" s="54"/>
    </row>
    <row r="2661" spans="1:13" s="15" customFormat="1" x14ac:dyDescent="0.3">
      <c r="A2661" s="17"/>
      <c r="B2661"/>
      <c r="C2661"/>
      <c r="D2661"/>
      <c r="E2661"/>
      <c r="F2661"/>
      <c r="G2661"/>
      <c r="H2661"/>
      <c r="I2661"/>
      <c r="M2661" s="54"/>
    </row>
    <row r="2662" spans="1:13" s="15" customFormat="1" x14ac:dyDescent="0.3">
      <c r="A2662" s="17"/>
      <c r="B2662"/>
      <c r="C2662"/>
      <c r="D2662"/>
      <c r="E2662"/>
      <c r="F2662"/>
      <c r="G2662"/>
      <c r="H2662"/>
      <c r="I2662"/>
      <c r="M2662" s="54"/>
    </row>
    <row r="2663" spans="1:13" s="15" customFormat="1" x14ac:dyDescent="0.3">
      <c r="A2663" s="17"/>
      <c r="B2663"/>
      <c r="C2663"/>
      <c r="D2663"/>
      <c r="E2663"/>
      <c r="F2663"/>
      <c r="G2663"/>
      <c r="H2663"/>
      <c r="I2663"/>
      <c r="M2663" s="54"/>
    </row>
    <row r="2664" spans="1:13" s="15" customFormat="1" x14ac:dyDescent="0.3">
      <c r="A2664" s="17"/>
      <c r="B2664"/>
      <c r="C2664"/>
      <c r="D2664"/>
      <c r="E2664"/>
      <c r="F2664"/>
      <c r="G2664"/>
      <c r="H2664"/>
      <c r="I2664"/>
      <c r="M2664" s="54"/>
    </row>
    <row r="2665" spans="1:13" s="15" customFormat="1" x14ac:dyDescent="0.3">
      <c r="A2665" s="17"/>
      <c r="B2665"/>
      <c r="C2665"/>
      <c r="D2665"/>
      <c r="E2665"/>
      <c r="F2665"/>
      <c r="G2665"/>
      <c r="H2665"/>
      <c r="I2665"/>
      <c r="M2665" s="54"/>
    </row>
    <row r="2666" spans="1:13" s="15" customFormat="1" x14ac:dyDescent="0.3">
      <c r="A2666" s="17"/>
      <c r="B2666"/>
      <c r="C2666"/>
      <c r="D2666"/>
      <c r="E2666"/>
      <c r="F2666"/>
      <c r="G2666"/>
      <c r="H2666"/>
      <c r="I2666"/>
      <c r="M2666" s="54"/>
    </row>
    <row r="2667" spans="1:13" s="15" customFormat="1" x14ac:dyDescent="0.3">
      <c r="A2667" s="17"/>
      <c r="B2667"/>
      <c r="C2667"/>
      <c r="D2667"/>
      <c r="E2667"/>
      <c r="F2667"/>
      <c r="G2667"/>
      <c r="H2667"/>
      <c r="I2667"/>
      <c r="M2667" s="54"/>
    </row>
    <row r="2668" spans="1:13" s="15" customFormat="1" x14ac:dyDescent="0.3">
      <c r="A2668" s="17"/>
      <c r="B2668"/>
      <c r="C2668"/>
      <c r="D2668"/>
      <c r="E2668"/>
      <c r="F2668"/>
      <c r="G2668"/>
      <c r="H2668"/>
      <c r="I2668"/>
      <c r="M2668" s="54"/>
    </row>
    <row r="2669" spans="1:13" s="15" customFormat="1" x14ac:dyDescent="0.3">
      <c r="A2669" s="17"/>
      <c r="B2669"/>
      <c r="C2669"/>
      <c r="D2669"/>
      <c r="E2669"/>
      <c r="F2669"/>
      <c r="G2669"/>
      <c r="H2669"/>
      <c r="I2669"/>
      <c r="M2669" s="54"/>
    </row>
    <row r="2670" spans="1:13" s="15" customFormat="1" x14ac:dyDescent="0.3">
      <c r="A2670" s="17"/>
      <c r="B2670"/>
      <c r="C2670"/>
      <c r="D2670"/>
      <c r="E2670"/>
      <c r="F2670"/>
      <c r="G2670"/>
      <c r="H2670"/>
      <c r="I2670"/>
      <c r="M2670" s="54"/>
    </row>
    <row r="2671" spans="1:13" s="15" customFormat="1" x14ac:dyDescent="0.3">
      <c r="A2671" s="17"/>
      <c r="B2671"/>
      <c r="C2671"/>
      <c r="D2671"/>
      <c r="E2671"/>
      <c r="F2671"/>
      <c r="G2671"/>
      <c r="H2671"/>
      <c r="I2671"/>
      <c r="M2671" s="54"/>
    </row>
    <row r="2672" spans="1:13" s="15" customFormat="1" x14ac:dyDescent="0.3">
      <c r="A2672" s="17"/>
      <c r="B2672"/>
      <c r="C2672"/>
      <c r="D2672"/>
      <c r="E2672"/>
      <c r="F2672"/>
      <c r="G2672"/>
      <c r="H2672"/>
      <c r="I2672"/>
      <c r="M2672" s="54"/>
    </row>
    <row r="2673" spans="1:13" s="15" customFormat="1" x14ac:dyDescent="0.3">
      <c r="A2673" s="17"/>
      <c r="B2673"/>
      <c r="C2673"/>
      <c r="D2673"/>
      <c r="E2673"/>
      <c r="F2673"/>
      <c r="G2673"/>
      <c r="H2673"/>
      <c r="I2673"/>
      <c r="M2673" s="54"/>
    </row>
    <row r="2674" spans="1:13" s="15" customFormat="1" x14ac:dyDescent="0.3">
      <c r="A2674" s="17"/>
      <c r="B2674"/>
      <c r="C2674"/>
      <c r="D2674"/>
      <c r="E2674"/>
      <c r="F2674"/>
      <c r="G2674"/>
      <c r="H2674"/>
      <c r="I2674"/>
      <c r="M2674" s="54"/>
    </row>
    <row r="2675" spans="1:13" s="15" customFormat="1" x14ac:dyDescent="0.3">
      <c r="A2675" s="17"/>
      <c r="B2675"/>
      <c r="C2675"/>
      <c r="D2675"/>
      <c r="E2675"/>
      <c r="F2675"/>
      <c r="G2675"/>
      <c r="H2675"/>
      <c r="I2675"/>
      <c r="M2675" s="54"/>
    </row>
    <row r="2676" spans="1:13" s="15" customFormat="1" x14ac:dyDescent="0.3">
      <c r="A2676" s="17"/>
      <c r="B2676"/>
      <c r="C2676"/>
      <c r="D2676"/>
      <c r="E2676"/>
      <c r="F2676"/>
      <c r="G2676"/>
      <c r="H2676"/>
      <c r="I2676"/>
      <c r="M2676" s="54"/>
    </row>
    <row r="2677" spans="1:13" s="15" customFormat="1" x14ac:dyDescent="0.3">
      <c r="A2677" s="17"/>
      <c r="B2677"/>
      <c r="C2677"/>
      <c r="D2677"/>
      <c r="E2677"/>
      <c r="F2677"/>
      <c r="G2677"/>
      <c r="H2677"/>
      <c r="I2677"/>
      <c r="M2677" s="54"/>
    </row>
    <row r="2678" spans="1:13" s="15" customFormat="1" x14ac:dyDescent="0.3">
      <c r="A2678" s="17"/>
      <c r="B2678"/>
      <c r="C2678"/>
      <c r="D2678"/>
      <c r="E2678"/>
      <c r="F2678"/>
      <c r="G2678"/>
      <c r="H2678"/>
      <c r="I2678"/>
      <c r="M2678" s="54"/>
    </row>
    <row r="2679" spans="1:13" s="15" customFormat="1" x14ac:dyDescent="0.3">
      <c r="A2679" s="17"/>
      <c r="B2679"/>
      <c r="C2679"/>
      <c r="D2679"/>
      <c r="E2679"/>
      <c r="F2679"/>
      <c r="G2679"/>
      <c r="H2679"/>
      <c r="I2679"/>
      <c r="M2679" s="54"/>
    </row>
    <row r="2680" spans="1:13" s="15" customFormat="1" x14ac:dyDescent="0.3">
      <c r="A2680" s="17"/>
      <c r="B2680"/>
      <c r="C2680"/>
      <c r="D2680"/>
      <c r="E2680"/>
      <c r="F2680"/>
      <c r="G2680"/>
      <c r="H2680"/>
      <c r="I2680"/>
      <c r="M2680" s="54"/>
    </row>
    <row r="2681" spans="1:13" s="15" customFormat="1" x14ac:dyDescent="0.3">
      <c r="A2681" s="17"/>
      <c r="B2681"/>
      <c r="C2681"/>
      <c r="D2681"/>
      <c r="E2681"/>
      <c r="F2681"/>
      <c r="G2681"/>
      <c r="H2681"/>
      <c r="I2681"/>
      <c r="M2681" s="54"/>
    </row>
    <row r="2682" spans="1:13" s="15" customFormat="1" x14ac:dyDescent="0.3">
      <c r="A2682" s="17"/>
      <c r="B2682"/>
      <c r="C2682"/>
      <c r="D2682"/>
      <c r="E2682"/>
      <c r="F2682"/>
      <c r="G2682"/>
      <c r="H2682"/>
      <c r="I2682"/>
      <c r="M2682" s="54"/>
    </row>
    <row r="2683" spans="1:13" s="15" customFormat="1" x14ac:dyDescent="0.3">
      <c r="A2683" s="17"/>
      <c r="B2683"/>
      <c r="C2683"/>
      <c r="D2683"/>
      <c r="E2683"/>
      <c r="F2683"/>
      <c r="G2683"/>
      <c r="H2683"/>
      <c r="I2683"/>
      <c r="M2683" s="54"/>
    </row>
    <row r="2684" spans="1:13" s="15" customFormat="1" x14ac:dyDescent="0.3">
      <c r="A2684" s="17"/>
      <c r="B2684"/>
      <c r="C2684"/>
      <c r="D2684"/>
      <c r="E2684"/>
      <c r="F2684"/>
      <c r="G2684"/>
      <c r="H2684"/>
      <c r="I2684"/>
      <c r="M2684" s="54"/>
    </row>
    <row r="2685" spans="1:13" s="15" customFormat="1" x14ac:dyDescent="0.3">
      <c r="A2685" s="17"/>
      <c r="B2685"/>
      <c r="C2685"/>
      <c r="D2685"/>
      <c r="E2685"/>
      <c r="F2685"/>
      <c r="G2685"/>
      <c r="H2685"/>
      <c r="I2685"/>
      <c r="M2685" s="54"/>
    </row>
    <row r="2686" spans="1:13" s="15" customFormat="1" x14ac:dyDescent="0.3">
      <c r="A2686" s="17"/>
      <c r="B2686"/>
      <c r="C2686"/>
      <c r="D2686"/>
      <c r="E2686"/>
      <c r="F2686"/>
      <c r="G2686"/>
      <c r="H2686"/>
      <c r="I2686"/>
      <c r="M2686" s="54"/>
    </row>
    <row r="2687" spans="1:13" s="15" customFormat="1" x14ac:dyDescent="0.3">
      <c r="A2687" s="17"/>
      <c r="B2687"/>
      <c r="C2687"/>
      <c r="D2687"/>
      <c r="E2687"/>
      <c r="F2687"/>
      <c r="G2687"/>
      <c r="H2687"/>
      <c r="I2687"/>
      <c r="M2687" s="54"/>
    </row>
    <row r="2688" spans="1:13" s="15" customFormat="1" x14ac:dyDescent="0.3">
      <c r="A2688" s="17"/>
      <c r="B2688"/>
      <c r="C2688"/>
      <c r="D2688"/>
      <c r="E2688"/>
      <c r="F2688"/>
      <c r="G2688"/>
      <c r="H2688"/>
      <c r="I2688"/>
      <c r="M2688" s="54"/>
    </row>
    <row r="2689" spans="1:13" s="15" customFormat="1" x14ac:dyDescent="0.3">
      <c r="A2689" s="17"/>
      <c r="B2689"/>
      <c r="C2689"/>
      <c r="D2689"/>
      <c r="E2689"/>
      <c r="F2689"/>
      <c r="G2689"/>
      <c r="H2689"/>
      <c r="I2689"/>
      <c r="M2689" s="54"/>
    </row>
    <row r="2690" spans="1:13" s="15" customFormat="1" x14ac:dyDescent="0.3">
      <c r="A2690" s="17"/>
      <c r="B2690"/>
      <c r="C2690"/>
      <c r="D2690"/>
      <c r="E2690"/>
      <c r="F2690"/>
      <c r="G2690"/>
      <c r="H2690"/>
      <c r="I2690"/>
      <c r="M2690" s="54"/>
    </row>
    <row r="2691" spans="1:13" s="15" customFormat="1" x14ac:dyDescent="0.3">
      <c r="A2691" s="17"/>
      <c r="B2691"/>
      <c r="C2691"/>
      <c r="D2691"/>
      <c r="E2691"/>
      <c r="F2691"/>
      <c r="G2691"/>
      <c r="H2691"/>
      <c r="I2691"/>
      <c r="M2691" s="54"/>
    </row>
    <row r="2692" spans="1:13" s="15" customFormat="1" x14ac:dyDescent="0.3">
      <c r="A2692" s="17"/>
      <c r="B2692"/>
      <c r="C2692"/>
      <c r="D2692"/>
      <c r="E2692"/>
      <c r="F2692"/>
      <c r="G2692"/>
      <c r="H2692"/>
      <c r="I2692"/>
      <c r="M2692" s="54"/>
    </row>
    <row r="2693" spans="1:13" s="15" customFormat="1" x14ac:dyDescent="0.3">
      <c r="A2693" s="17"/>
      <c r="B2693"/>
      <c r="C2693"/>
      <c r="D2693"/>
      <c r="E2693"/>
      <c r="F2693"/>
      <c r="G2693"/>
      <c r="H2693"/>
      <c r="I2693"/>
      <c r="M2693" s="54"/>
    </row>
    <row r="2694" spans="1:13" s="15" customFormat="1" x14ac:dyDescent="0.3">
      <c r="A2694" s="17"/>
      <c r="B2694"/>
      <c r="C2694"/>
      <c r="D2694"/>
      <c r="E2694"/>
      <c r="F2694"/>
      <c r="G2694"/>
      <c r="H2694"/>
      <c r="I2694"/>
      <c r="M2694" s="54"/>
    </row>
    <row r="2695" spans="1:13" s="15" customFormat="1" x14ac:dyDescent="0.3">
      <c r="A2695" s="17"/>
      <c r="B2695"/>
      <c r="C2695"/>
      <c r="D2695"/>
      <c r="E2695"/>
      <c r="F2695"/>
      <c r="G2695"/>
      <c r="H2695"/>
      <c r="I2695"/>
      <c r="M2695" s="54"/>
    </row>
    <row r="2696" spans="1:13" s="15" customFormat="1" x14ac:dyDescent="0.3">
      <c r="A2696" s="17"/>
      <c r="B2696"/>
      <c r="C2696"/>
      <c r="D2696"/>
      <c r="E2696"/>
      <c r="F2696"/>
      <c r="G2696"/>
      <c r="H2696"/>
      <c r="I2696"/>
      <c r="M2696" s="54"/>
    </row>
    <row r="2697" spans="1:13" s="15" customFormat="1" x14ac:dyDescent="0.3">
      <c r="A2697" s="17"/>
      <c r="B2697"/>
      <c r="C2697"/>
      <c r="D2697"/>
      <c r="E2697"/>
      <c r="F2697"/>
      <c r="G2697"/>
      <c r="H2697"/>
      <c r="I2697"/>
      <c r="M2697" s="54"/>
    </row>
    <row r="2698" spans="1:13" s="15" customFormat="1" x14ac:dyDescent="0.3">
      <c r="A2698" s="17"/>
      <c r="B2698"/>
      <c r="C2698"/>
      <c r="D2698"/>
      <c r="E2698"/>
      <c r="F2698"/>
      <c r="G2698"/>
      <c r="H2698"/>
      <c r="I2698"/>
      <c r="M2698" s="54"/>
    </row>
    <row r="2699" spans="1:13" s="15" customFormat="1" x14ac:dyDescent="0.3">
      <c r="A2699" s="17"/>
      <c r="B2699"/>
      <c r="C2699"/>
      <c r="D2699"/>
      <c r="E2699"/>
      <c r="F2699"/>
      <c r="G2699"/>
      <c r="H2699"/>
      <c r="I2699"/>
      <c r="M2699" s="54"/>
    </row>
    <row r="2700" spans="1:13" s="15" customFormat="1" x14ac:dyDescent="0.3">
      <c r="A2700" s="17"/>
      <c r="B2700"/>
      <c r="C2700"/>
      <c r="D2700"/>
      <c r="E2700"/>
      <c r="F2700"/>
      <c r="G2700"/>
      <c r="H2700"/>
      <c r="I2700"/>
      <c r="M2700" s="54"/>
    </row>
    <row r="2701" spans="1:13" s="15" customFormat="1" x14ac:dyDescent="0.3">
      <c r="A2701" s="17"/>
      <c r="B2701"/>
      <c r="C2701"/>
      <c r="D2701"/>
      <c r="E2701"/>
      <c r="F2701"/>
      <c r="G2701"/>
      <c r="H2701"/>
      <c r="I2701"/>
      <c r="M2701" s="54"/>
    </row>
    <row r="2702" spans="1:13" s="15" customFormat="1" x14ac:dyDescent="0.3">
      <c r="A2702" s="17"/>
      <c r="B2702"/>
      <c r="C2702"/>
      <c r="D2702"/>
      <c r="E2702"/>
      <c r="F2702"/>
      <c r="G2702"/>
      <c r="H2702"/>
      <c r="I2702"/>
      <c r="M2702" s="54"/>
    </row>
    <row r="2703" spans="1:13" s="15" customFormat="1" x14ac:dyDescent="0.3">
      <c r="A2703" s="17"/>
      <c r="B2703"/>
      <c r="C2703"/>
      <c r="D2703"/>
      <c r="E2703"/>
      <c r="F2703"/>
      <c r="G2703"/>
      <c r="H2703"/>
      <c r="I2703"/>
      <c r="M2703" s="54"/>
    </row>
    <row r="2704" spans="1:13" s="15" customFormat="1" x14ac:dyDescent="0.3">
      <c r="A2704" s="17"/>
      <c r="B2704"/>
      <c r="C2704"/>
      <c r="D2704"/>
      <c r="E2704"/>
      <c r="F2704"/>
      <c r="G2704"/>
      <c r="H2704"/>
      <c r="I2704"/>
      <c r="M2704" s="54"/>
    </row>
    <row r="2705" spans="1:13" s="15" customFormat="1" x14ac:dyDescent="0.3">
      <c r="A2705" s="17"/>
      <c r="B2705"/>
      <c r="C2705"/>
      <c r="D2705"/>
      <c r="E2705"/>
      <c r="F2705"/>
      <c r="G2705"/>
      <c r="H2705"/>
      <c r="I2705"/>
      <c r="M2705" s="54"/>
    </row>
    <row r="2706" spans="1:13" s="15" customFormat="1" x14ac:dyDescent="0.3">
      <c r="A2706" s="17"/>
      <c r="B2706"/>
      <c r="C2706"/>
      <c r="D2706"/>
      <c r="E2706"/>
      <c r="F2706"/>
      <c r="G2706"/>
      <c r="H2706"/>
      <c r="I2706"/>
      <c r="M2706" s="54"/>
    </row>
    <row r="2707" spans="1:13" s="15" customFormat="1" x14ac:dyDescent="0.3">
      <c r="A2707" s="17"/>
      <c r="B2707"/>
      <c r="C2707"/>
      <c r="D2707"/>
      <c r="E2707"/>
      <c r="F2707"/>
      <c r="G2707"/>
      <c r="H2707"/>
      <c r="I2707"/>
      <c r="M2707" s="54"/>
    </row>
    <row r="2708" spans="1:13" s="15" customFormat="1" x14ac:dyDescent="0.3">
      <c r="A2708" s="17"/>
      <c r="B2708"/>
      <c r="C2708"/>
      <c r="D2708"/>
      <c r="E2708"/>
      <c r="F2708"/>
      <c r="G2708"/>
      <c r="H2708"/>
      <c r="I2708"/>
      <c r="M2708" s="54"/>
    </row>
    <row r="2709" spans="1:13" s="15" customFormat="1" x14ac:dyDescent="0.3">
      <c r="A2709" s="17"/>
      <c r="B2709"/>
      <c r="C2709"/>
      <c r="D2709"/>
      <c r="E2709"/>
      <c r="F2709"/>
      <c r="G2709"/>
      <c r="H2709"/>
      <c r="I2709"/>
      <c r="M2709" s="54"/>
    </row>
    <row r="2710" spans="1:13" s="15" customFormat="1" x14ac:dyDescent="0.3">
      <c r="A2710" s="17"/>
      <c r="B2710"/>
      <c r="C2710"/>
      <c r="D2710"/>
      <c r="E2710"/>
      <c r="F2710"/>
      <c r="G2710"/>
      <c r="H2710"/>
      <c r="I2710"/>
      <c r="M2710" s="54"/>
    </row>
    <row r="2711" spans="1:13" s="15" customFormat="1" x14ac:dyDescent="0.3">
      <c r="A2711" s="17"/>
      <c r="B2711"/>
      <c r="C2711"/>
      <c r="D2711"/>
      <c r="E2711"/>
      <c r="F2711"/>
      <c r="G2711"/>
      <c r="H2711"/>
      <c r="I2711"/>
      <c r="M2711" s="54"/>
    </row>
    <row r="2712" spans="1:13" s="15" customFormat="1" x14ac:dyDescent="0.3">
      <c r="A2712" s="17"/>
      <c r="B2712"/>
      <c r="C2712"/>
      <c r="D2712"/>
      <c r="E2712"/>
      <c r="F2712"/>
      <c r="G2712"/>
      <c r="H2712"/>
      <c r="I2712"/>
      <c r="M2712" s="54"/>
    </row>
    <row r="2713" spans="1:13" s="15" customFormat="1" x14ac:dyDescent="0.3">
      <c r="A2713" s="17"/>
      <c r="B2713"/>
      <c r="C2713"/>
      <c r="D2713"/>
      <c r="E2713"/>
      <c r="F2713"/>
      <c r="G2713"/>
      <c r="H2713"/>
      <c r="I2713"/>
      <c r="M2713" s="54"/>
    </row>
    <row r="2714" spans="1:13" s="15" customFormat="1" x14ac:dyDescent="0.3">
      <c r="A2714" s="17"/>
      <c r="B2714"/>
      <c r="C2714"/>
      <c r="D2714"/>
      <c r="E2714"/>
      <c r="F2714"/>
      <c r="G2714"/>
      <c r="H2714"/>
      <c r="I2714"/>
      <c r="M2714" s="54"/>
    </row>
    <row r="2715" spans="1:13" s="15" customFormat="1" x14ac:dyDescent="0.3">
      <c r="A2715" s="17"/>
      <c r="B2715"/>
      <c r="C2715"/>
      <c r="D2715"/>
      <c r="E2715"/>
      <c r="F2715"/>
      <c r="G2715"/>
      <c r="H2715"/>
      <c r="I2715"/>
      <c r="M2715" s="54"/>
    </row>
    <row r="2716" spans="1:13" s="15" customFormat="1" x14ac:dyDescent="0.3">
      <c r="A2716" s="17"/>
      <c r="B2716"/>
      <c r="C2716"/>
      <c r="D2716"/>
      <c r="E2716"/>
      <c r="F2716"/>
      <c r="G2716"/>
      <c r="H2716"/>
      <c r="I2716"/>
      <c r="M2716" s="54"/>
    </row>
    <row r="2717" spans="1:13" s="15" customFormat="1" x14ac:dyDescent="0.3">
      <c r="A2717" s="17"/>
      <c r="B2717"/>
      <c r="C2717"/>
      <c r="D2717"/>
      <c r="E2717"/>
      <c r="F2717"/>
      <c r="G2717"/>
      <c r="H2717"/>
      <c r="I2717"/>
      <c r="M2717" s="54"/>
    </row>
    <row r="2718" spans="1:13" s="15" customFormat="1" x14ac:dyDescent="0.3">
      <c r="A2718" s="17"/>
      <c r="B2718"/>
      <c r="C2718"/>
      <c r="D2718"/>
      <c r="E2718"/>
      <c r="F2718"/>
      <c r="G2718"/>
      <c r="H2718"/>
      <c r="I2718"/>
      <c r="M2718" s="54"/>
    </row>
    <row r="2719" spans="1:13" s="15" customFormat="1" x14ac:dyDescent="0.3">
      <c r="A2719" s="17"/>
      <c r="B2719"/>
      <c r="C2719"/>
      <c r="D2719"/>
      <c r="E2719"/>
      <c r="F2719"/>
      <c r="G2719"/>
      <c r="H2719"/>
      <c r="I2719"/>
      <c r="M2719" s="54"/>
    </row>
    <row r="2720" spans="1:13" s="15" customFormat="1" x14ac:dyDescent="0.3">
      <c r="A2720" s="17"/>
      <c r="B2720"/>
      <c r="C2720"/>
      <c r="D2720"/>
      <c r="E2720"/>
      <c r="F2720"/>
      <c r="G2720"/>
      <c r="H2720"/>
      <c r="I2720"/>
      <c r="M2720" s="54"/>
    </row>
    <row r="2721" spans="1:13" s="15" customFormat="1" x14ac:dyDescent="0.3">
      <c r="A2721" s="17"/>
      <c r="B2721"/>
      <c r="C2721"/>
      <c r="D2721"/>
      <c r="E2721"/>
      <c r="F2721"/>
      <c r="G2721"/>
      <c r="H2721"/>
      <c r="I2721"/>
      <c r="M2721" s="54"/>
    </row>
    <row r="2722" spans="1:13" s="15" customFormat="1" x14ac:dyDescent="0.3">
      <c r="A2722" s="17"/>
      <c r="B2722"/>
      <c r="C2722"/>
      <c r="D2722"/>
      <c r="E2722"/>
      <c r="F2722"/>
      <c r="G2722"/>
      <c r="H2722"/>
      <c r="I2722"/>
      <c r="M2722" s="54"/>
    </row>
    <row r="2723" spans="1:13" s="15" customFormat="1" x14ac:dyDescent="0.3">
      <c r="A2723" s="17"/>
      <c r="B2723"/>
      <c r="C2723"/>
      <c r="D2723"/>
      <c r="E2723"/>
      <c r="F2723"/>
      <c r="G2723"/>
      <c r="H2723"/>
      <c r="I2723"/>
      <c r="M2723" s="54"/>
    </row>
    <row r="2724" spans="1:13" s="15" customFormat="1" x14ac:dyDescent="0.3">
      <c r="A2724" s="17"/>
      <c r="B2724"/>
      <c r="C2724"/>
      <c r="D2724"/>
      <c r="E2724"/>
      <c r="F2724"/>
      <c r="G2724"/>
      <c r="H2724"/>
      <c r="I2724"/>
      <c r="M2724" s="54"/>
    </row>
    <row r="2725" spans="1:13" s="15" customFormat="1" x14ac:dyDescent="0.3">
      <c r="A2725" s="17"/>
      <c r="B2725"/>
      <c r="C2725"/>
      <c r="D2725"/>
      <c r="E2725"/>
      <c r="F2725"/>
      <c r="G2725"/>
      <c r="H2725"/>
      <c r="I2725"/>
      <c r="M2725" s="54"/>
    </row>
    <row r="2726" spans="1:13" s="15" customFormat="1" x14ac:dyDescent="0.3">
      <c r="A2726" s="17"/>
      <c r="B2726"/>
      <c r="C2726"/>
      <c r="D2726"/>
      <c r="E2726"/>
      <c r="F2726"/>
      <c r="G2726"/>
      <c r="H2726"/>
      <c r="I2726"/>
      <c r="M2726" s="54"/>
    </row>
    <row r="2727" spans="1:13" s="15" customFormat="1" x14ac:dyDescent="0.3">
      <c r="A2727" s="17"/>
      <c r="B2727"/>
      <c r="C2727"/>
      <c r="D2727"/>
      <c r="E2727"/>
      <c r="F2727"/>
      <c r="G2727"/>
      <c r="H2727"/>
      <c r="I2727"/>
      <c r="M2727" s="54"/>
    </row>
    <row r="2728" spans="1:13" s="15" customFormat="1" x14ac:dyDescent="0.3">
      <c r="A2728" s="17"/>
      <c r="B2728"/>
      <c r="C2728"/>
      <c r="D2728"/>
      <c r="E2728"/>
      <c r="F2728"/>
      <c r="G2728"/>
      <c r="H2728"/>
      <c r="I2728"/>
      <c r="M2728" s="54"/>
    </row>
    <row r="2729" spans="1:13" s="15" customFormat="1" x14ac:dyDescent="0.3">
      <c r="A2729" s="17"/>
      <c r="B2729"/>
      <c r="C2729"/>
      <c r="D2729"/>
      <c r="E2729"/>
      <c r="F2729"/>
      <c r="G2729"/>
      <c r="H2729"/>
      <c r="I2729"/>
      <c r="M2729" s="54"/>
    </row>
    <row r="2730" spans="1:13" s="15" customFormat="1" x14ac:dyDescent="0.3">
      <c r="A2730" s="17"/>
      <c r="B2730"/>
      <c r="C2730"/>
      <c r="D2730"/>
      <c r="E2730"/>
      <c r="F2730"/>
      <c r="G2730"/>
      <c r="H2730"/>
      <c r="I2730"/>
      <c r="M2730" s="54"/>
    </row>
    <row r="2731" spans="1:13" s="15" customFormat="1" x14ac:dyDescent="0.3">
      <c r="A2731" s="17"/>
      <c r="B2731"/>
      <c r="C2731"/>
      <c r="D2731"/>
      <c r="E2731"/>
      <c r="F2731"/>
      <c r="G2731"/>
      <c r="H2731"/>
      <c r="I2731"/>
      <c r="M2731" s="54"/>
    </row>
    <row r="2732" spans="1:13" s="15" customFormat="1" x14ac:dyDescent="0.3">
      <c r="A2732" s="17"/>
      <c r="B2732"/>
      <c r="C2732"/>
      <c r="D2732"/>
      <c r="E2732"/>
      <c r="F2732"/>
      <c r="G2732"/>
      <c r="H2732"/>
      <c r="I2732"/>
      <c r="M2732" s="54"/>
    </row>
    <row r="2733" spans="1:13" s="15" customFormat="1" x14ac:dyDescent="0.3">
      <c r="A2733" s="17"/>
      <c r="B2733"/>
      <c r="C2733"/>
      <c r="D2733"/>
      <c r="E2733"/>
      <c r="F2733"/>
      <c r="G2733"/>
      <c r="H2733"/>
      <c r="I2733"/>
      <c r="M2733" s="54"/>
    </row>
    <row r="2734" spans="1:13" s="15" customFormat="1" x14ac:dyDescent="0.3">
      <c r="A2734" s="17"/>
      <c r="B2734"/>
      <c r="C2734"/>
      <c r="D2734"/>
      <c r="E2734"/>
      <c r="F2734"/>
      <c r="G2734"/>
      <c r="H2734"/>
      <c r="I2734"/>
      <c r="M2734" s="54"/>
    </row>
    <row r="2735" spans="1:13" s="15" customFormat="1" x14ac:dyDescent="0.3">
      <c r="A2735" s="17"/>
      <c r="B2735"/>
      <c r="C2735"/>
      <c r="D2735"/>
      <c r="E2735"/>
      <c r="F2735"/>
      <c r="G2735"/>
      <c r="H2735"/>
      <c r="I2735"/>
      <c r="M2735" s="54"/>
    </row>
    <row r="2736" spans="1:13" s="15" customFormat="1" x14ac:dyDescent="0.3">
      <c r="A2736" s="17"/>
      <c r="B2736"/>
      <c r="C2736"/>
      <c r="D2736"/>
      <c r="E2736"/>
      <c r="F2736"/>
      <c r="G2736"/>
      <c r="H2736"/>
      <c r="I2736"/>
      <c r="M2736" s="54"/>
    </row>
    <row r="2737" spans="1:13" s="15" customFormat="1" x14ac:dyDescent="0.3">
      <c r="A2737" s="17"/>
      <c r="B2737"/>
      <c r="C2737"/>
      <c r="D2737"/>
      <c r="E2737"/>
      <c r="F2737"/>
      <c r="G2737"/>
      <c r="H2737"/>
      <c r="I2737"/>
      <c r="M2737" s="54"/>
    </row>
    <row r="2738" spans="1:13" s="15" customFormat="1" x14ac:dyDescent="0.3">
      <c r="A2738" s="17"/>
      <c r="B2738"/>
      <c r="C2738"/>
      <c r="D2738"/>
      <c r="E2738"/>
      <c r="F2738"/>
      <c r="G2738"/>
      <c r="H2738"/>
      <c r="I2738"/>
      <c r="M2738" s="54"/>
    </row>
    <row r="2739" spans="1:13" s="15" customFormat="1" x14ac:dyDescent="0.3">
      <c r="A2739" s="17"/>
      <c r="B2739"/>
      <c r="C2739"/>
      <c r="D2739"/>
      <c r="E2739"/>
      <c r="F2739"/>
      <c r="G2739"/>
      <c r="H2739"/>
      <c r="I2739"/>
      <c r="M2739" s="54"/>
    </row>
    <row r="2740" spans="1:13" s="15" customFormat="1" x14ac:dyDescent="0.3">
      <c r="A2740" s="17"/>
      <c r="B2740"/>
      <c r="C2740"/>
      <c r="D2740"/>
      <c r="E2740"/>
      <c r="F2740"/>
      <c r="G2740"/>
      <c r="H2740"/>
      <c r="I2740"/>
      <c r="M2740" s="54"/>
    </row>
    <row r="2741" spans="1:13" s="15" customFormat="1" x14ac:dyDescent="0.3">
      <c r="A2741" s="17"/>
      <c r="B2741"/>
      <c r="C2741"/>
      <c r="D2741"/>
      <c r="E2741"/>
      <c r="F2741"/>
      <c r="G2741"/>
      <c r="H2741"/>
      <c r="I2741"/>
      <c r="M2741" s="54"/>
    </row>
    <row r="2742" spans="1:13" s="15" customFormat="1" x14ac:dyDescent="0.3">
      <c r="A2742" s="17"/>
      <c r="B2742"/>
      <c r="C2742"/>
      <c r="D2742"/>
      <c r="E2742"/>
      <c r="F2742"/>
      <c r="G2742"/>
      <c r="H2742"/>
      <c r="I2742"/>
      <c r="M2742" s="54"/>
    </row>
    <row r="2743" spans="1:13" s="15" customFormat="1" x14ac:dyDescent="0.3">
      <c r="A2743" s="17"/>
      <c r="B2743"/>
      <c r="C2743"/>
      <c r="D2743"/>
      <c r="E2743"/>
      <c r="F2743"/>
      <c r="G2743"/>
      <c r="H2743"/>
      <c r="I2743"/>
      <c r="M2743" s="54"/>
    </row>
    <row r="2744" spans="1:13" s="15" customFormat="1" x14ac:dyDescent="0.3">
      <c r="A2744" s="17"/>
      <c r="B2744"/>
      <c r="C2744"/>
      <c r="D2744"/>
      <c r="E2744"/>
      <c r="F2744"/>
      <c r="G2744"/>
      <c r="H2744"/>
      <c r="I2744"/>
      <c r="M2744" s="54"/>
    </row>
    <row r="2745" spans="1:13" s="15" customFormat="1" x14ac:dyDescent="0.3">
      <c r="A2745" s="17"/>
      <c r="B2745"/>
      <c r="C2745"/>
      <c r="D2745"/>
      <c r="E2745"/>
      <c r="F2745"/>
      <c r="G2745"/>
      <c r="H2745"/>
      <c r="I2745"/>
      <c r="M2745" s="54"/>
    </row>
    <row r="2746" spans="1:13" s="15" customFormat="1" x14ac:dyDescent="0.3">
      <c r="A2746" s="17"/>
      <c r="B2746"/>
      <c r="C2746"/>
      <c r="D2746"/>
      <c r="E2746"/>
      <c r="F2746"/>
      <c r="G2746"/>
      <c r="H2746"/>
      <c r="I2746"/>
      <c r="M2746" s="54"/>
    </row>
    <row r="2747" spans="1:13" s="15" customFormat="1" x14ac:dyDescent="0.3">
      <c r="A2747" s="17"/>
      <c r="B2747"/>
      <c r="C2747"/>
      <c r="D2747"/>
      <c r="E2747"/>
      <c r="F2747"/>
      <c r="G2747"/>
      <c r="H2747"/>
      <c r="I2747"/>
      <c r="M2747" s="54"/>
    </row>
    <row r="2748" spans="1:13" s="15" customFormat="1" x14ac:dyDescent="0.3">
      <c r="A2748" s="17"/>
      <c r="B2748"/>
      <c r="C2748"/>
      <c r="D2748"/>
      <c r="E2748"/>
      <c r="F2748"/>
      <c r="G2748"/>
      <c r="H2748"/>
      <c r="I2748"/>
      <c r="M2748" s="54"/>
    </row>
    <row r="2749" spans="1:13" s="15" customFormat="1" x14ac:dyDescent="0.3">
      <c r="A2749" s="17"/>
      <c r="B2749"/>
      <c r="C2749"/>
      <c r="D2749"/>
      <c r="E2749"/>
      <c r="F2749"/>
      <c r="G2749"/>
      <c r="H2749"/>
      <c r="I2749"/>
      <c r="M2749" s="54"/>
    </row>
    <row r="2750" spans="1:13" s="15" customFormat="1" x14ac:dyDescent="0.3">
      <c r="A2750" s="17"/>
      <c r="B2750"/>
      <c r="C2750"/>
      <c r="D2750"/>
      <c r="E2750"/>
      <c r="F2750"/>
      <c r="G2750"/>
      <c r="H2750"/>
      <c r="I2750"/>
      <c r="M2750" s="54"/>
    </row>
    <row r="2751" spans="1:13" s="15" customFormat="1" x14ac:dyDescent="0.3">
      <c r="A2751" s="17"/>
      <c r="B2751"/>
      <c r="C2751"/>
      <c r="D2751"/>
      <c r="E2751"/>
      <c r="F2751"/>
      <c r="G2751"/>
      <c r="H2751"/>
      <c r="I2751"/>
      <c r="M2751" s="54"/>
    </row>
    <row r="2752" spans="1:13" s="15" customFormat="1" x14ac:dyDescent="0.3">
      <c r="A2752" s="17"/>
      <c r="B2752"/>
      <c r="C2752"/>
      <c r="D2752"/>
      <c r="E2752"/>
      <c r="F2752"/>
      <c r="G2752"/>
      <c r="H2752"/>
      <c r="I2752"/>
      <c r="M2752" s="54"/>
    </row>
    <row r="2753" spans="1:13" s="15" customFormat="1" x14ac:dyDescent="0.3">
      <c r="A2753" s="17"/>
      <c r="B2753"/>
      <c r="C2753"/>
      <c r="D2753"/>
      <c r="E2753"/>
      <c r="F2753"/>
      <c r="G2753"/>
      <c r="H2753"/>
      <c r="I2753"/>
      <c r="M2753" s="54"/>
    </row>
    <row r="2754" spans="1:13" s="15" customFormat="1" x14ac:dyDescent="0.3">
      <c r="A2754" s="17"/>
      <c r="B2754"/>
      <c r="C2754"/>
      <c r="D2754"/>
      <c r="E2754"/>
      <c r="F2754"/>
      <c r="G2754"/>
      <c r="H2754"/>
      <c r="I2754"/>
      <c r="M2754" s="54"/>
    </row>
    <row r="2755" spans="1:13" s="15" customFormat="1" x14ac:dyDescent="0.3">
      <c r="A2755" s="17"/>
      <c r="B2755"/>
      <c r="C2755"/>
      <c r="D2755"/>
      <c r="E2755"/>
      <c r="F2755"/>
      <c r="G2755"/>
      <c r="H2755"/>
      <c r="I2755"/>
      <c r="M2755" s="54"/>
    </row>
    <row r="2756" spans="1:13" s="15" customFormat="1" x14ac:dyDescent="0.3">
      <c r="A2756" s="17"/>
      <c r="B2756"/>
      <c r="C2756"/>
      <c r="D2756"/>
      <c r="E2756"/>
      <c r="F2756"/>
      <c r="G2756"/>
      <c r="H2756"/>
      <c r="I2756"/>
      <c r="M2756" s="54"/>
    </row>
    <row r="2757" spans="1:13" s="15" customFormat="1" x14ac:dyDescent="0.3">
      <c r="A2757" s="17"/>
      <c r="B2757"/>
      <c r="C2757"/>
      <c r="D2757"/>
      <c r="E2757"/>
      <c r="F2757"/>
      <c r="G2757"/>
      <c r="H2757"/>
      <c r="I2757"/>
      <c r="M2757" s="54"/>
    </row>
    <row r="2758" spans="1:13" s="15" customFormat="1" x14ac:dyDescent="0.3">
      <c r="A2758" s="17"/>
      <c r="B2758"/>
      <c r="C2758"/>
      <c r="D2758"/>
      <c r="E2758"/>
      <c r="F2758"/>
      <c r="G2758"/>
      <c r="H2758"/>
      <c r="I2758"/>
      <c r="M2758" s="54"/>
    </row>
    <row r="2759" spans="1:13" s="15" customFormat="1" x14ac:dyDescent="0.3">
      <c r="A2759" s="17"/>
      <c r="B2759"/>
      <c r="C2759"/>
      <c r="D2759"/>
      <c r="E2759"/>
      <c r="F2759"/>
      <c r="G2759"/>
      <c r="H2759"/>
      <c r="I2759"/>
      <c r="M2759" s="54"/>
    </row>
    <row r="2760" spans="1:13" s="15" customFormat="1" x14ac:dyDescent="0.3">
      <c r="A2760" s="17"/>
      <c r="B2760"/>
      <c r="C2760"/>
      <c r="D2760"/>
      <c r="E2760"/>
      <c r="F2760"/>
      <c r="G2760"/>
      <c r="H2760"/>
      <c r="I2760"/>
      <c r="M2760" s="54"/>
    </row>
    <row r="2761" spans="1:13" s="15" customFormat="1" x14ac:dyDescent="0.3">
      <c r="A2761" s="17"/>
      <c r="B2761"/>
      <c r="C2761"/>
      <c r="D2761"/>
      <c r="E2761"/>
      <c r="F2761"/>
      <c r="G2761"/>
      <c r="H2761"/>
      <c r="I2761"/>
      <c r="M2761" s="54"/>
    </row>
    <row r="2762" spans="1:13" s="15" customFormat="1" x14ac:dyDescent="0.3">
      <c r="A2762" s="17"/>
      <c r="B2762"/>
      <c r="C2762"/>
      <c r="D2762"/>
      <c r="E2762"/>
      <c r="F2762"/>
      <c r="G2762"/>
      <c r="H2762"/>
      <c r="I2762"/>
      <c r="M2762" s="54"/>
    </row>
    <row r="2763" spans="1:13" s="15" customFormat="1" x14ac:dyDescent="0.3">
      <c r="A2763" s="17"/>
      <c r="B2763"/>
      <c r="C2763"/>
      <c r="D2763"/>
      <c r="E2763"/>
      <c r="F2763"/>
      <c r="G2763"/>
      <c r="H2763"/>
      <c r="I2763"/>
      <c r="M2763" s="54"/>
    </row>
    <row r="2764" spans="1:13" s="15" customFormat="1" x14ac:dyDescent="0.3">
      <c r="A2764" s="17"/>
      <c r="B2764"/>
      <c r="C2764"/>
      <c r="D2764"/>
      <c r="E2764"/>
      <c r="F2764"/>
      <c r="G2764"/>
      <c r="H2764"/>
      <c r="I2764"/>
      <c r="M2764" s="54"/>
    </row>
    <row r="2765" spans="1:13" s="15" customFormat="1" x14ac:dyDescent="0.3">
      <c r="A2765" s="17"/>
      <c r="B2765"/>
      <c r="C2765"/>
      <c r="D2765"/>
      <c r="E2765"/>
      <c r="F2765"/>
      <c r="G2765"/>
      <c r="H2765"/>
      <c r="I2765"/>
      <c r="M2765" s="54"/>
    </row>
    <row r="2766" spans="1:13" s="15" customFormat="1" x14ac:dyDescent="0.3">
      <c r="A2766" s="17"/>
      <c r="B2766"/>
      <c r="C2766"/>
      <c r="D2766"/>
      <c r="E2766"/>
      <c r="F2766"/>
      <c r="G2766"/>
      <c r="H2766"/>
      <c r="I2766"/>
      <c r="M2766" s="54"/>
    </row>
    <row r="2767" spans="1:13" s="15" customFormat="1" x14ac:dyDescent="0.3">
      <c r="A2767" s="17"/>
      <c r="B2767"/>
      <c r="C2767"/>
      <c r="D2767"/>
      <c r="E2767"/>
      <c r="F2767"/>
      <c r="G2767"/>
      <c r="H2767"/>
      <c r="I2767"/>
      <c r="M2767" s="54"/>
    </row>
    <row r="2768" spans="1:13" s="15" customFormat="1" x14ac:dyDescent="0.3">
      <c r="A2768" s="17"/>
      <c r="B2768"/>
      <c r="C2768"/>
      <c r="D2768"/>
      <c r="E2768"/>
      <c r="F2768"/>
      <c r="G2768"/>
      <c r="H2768"/>
      <c r="I2768"/>
      <c r="M2768" s="54"/>
    </row>
    <row r="2769" spans="1:13" s="15" customFormat="1" x14ac:dyDescent="0.3">
      <c r="A2769" s="17"/>
      <c r="B2769"/>
      <c r="C2769"/>
      <c r="D2769"/>
      <c r="E2769"/>
      <c r="F2769"/>
      <c r="G2769"/>
      <c r="H2769"/>
      <c r="I2769"/>
      <c r="M2769" s="54"/>
    </row>
    <row r="2770" spans="1:13" s="15" customFormat="1" x14ac:dyDescent="0.3">
      <c r="A2770" s="17"/>
      <c r="B2770"/>
      <c r="C2770"/>
      <c r="D2770"/>
      <c r="E2770"/>
      <c r="F2770"/>
      <c r="G2770"/>
      <c r="H2770"/>
      <c r="I2770"/>
      <c r="M2770" s="54"/>
    </row>
    <row r="2771" spans="1:13" s="15" customFormat="1" x14ac:dyDescent="0.3">
      <c r="A2771" s="17"/>
      <c r="B2771"/>
      <c r="C2771"/>
      <c r="D2771"/>
      <c r="E2771"/>
      <c r="F2771"/>
      <c r="G2771"/>
      <c r="H2771"/>
      <c r="I2771"/>
      <c r="M2771" s="54"/>
    </row>
    <row r="2772" spans="1:13" s="15" customFormat="1" x14ac:dyDescent="0.3">
      <c r="A2772" s="17"/>
      <c r="B2772"/>
      <c r="C2772"/>
      <c r="D2772"/>
      <c r="E2772"/>
      <c r="F2772"/>
      <c r="G2772"/>
      <c r="H2772"/>
      <c r="I2772"/>
      <c r="M2772" s="54"/>
    </row>
    <row r="2773" spans="1:13" s="15" customFormat="1" x14ac:dyDescent="0.3">
      <c r="A2773" s="17"/>
      <c r="B2773"/>
      <c r="C2773"/>
      <c r="D2773"/>
      <c r="E2773"/>
      <c r="F2773"/>
      <c r="G2773"/>
      <c r="H2773"/>
      <c r="I2773"/>
      <c r="M2773" s="54"/>
    </row>
    <row r="2774" spans="1:13" s="15" customFormat="1" x14ac:dyDescent="0.3">
      <c r="A2774" s="17"/>
      <c r="B2774"/>
      <c r="C2774"/>
      <c r="D2774"/>
      <c r="E2774"/>
      <c r="F2774"/>
      <c r="G2774"/>
      <c r="H2774"/>
      <c r="I2774"/>
      <c r="M2774" s="54"/>
    </row>
    <row r="2775" spans="1:13" s="15" customFormat="1" x14ac:dyDescent="0.3">
      <c r="A2775" s="17"/>
      <c r="B2775"/>
      <c r="C2775"/>
      <c r="D2775"/>
      <c r="E2775"/>
      <c r="F2775"/>
      <c r="G2775"/>
      <c r="H2775"/>
      <c r="I2775"/>
      <c r="M2775" s="54"/>
    </row>
    <row r="2776" spans="1:13" s="15" customFormat="1" x14ac:dyDescent="0.3">
      <c r="A2776" s="17"/>
      <c r="B2776"/>
      <c r="C2776"/>
      <c r="D2776"/>
      <c r="E2776"/>
      <c r="F2776"/>
      <c r="G2776"/>
      <c r="H2776"/>
      <c r="I2776"/>
      <c r="M2776" s="54"/>
    </row>
    <row r="2777" spans="1:13" s="15" customFormat="1" x14ac:dyDescent="0.3">
      <c r="A2777" s="17"/>
      <c r="B2777"/>
      <c r="C2777"/>
      <c r="D2777"/>
      <c r="E2777"/>
      <c r="F2777"/>
      <c r="G2777"/>
      <c r="H2777"/>
      <c r="I2777"/>
      <c r="M2777" s="54"/>
    </row>
    <row r="2778" spans="1:13" s="15" customFormat="1" x14ac:dyDescent="0.3">
      <c r="A2778" s="17"/>
      <c r="B2778"/>
      <c r="C2778"/>
      <c r="D2778"/>
      <c r="E2778"/>
      <c r="F2778"/>
      <c r="G2778"/>
      <c r="H2778"/>
      <c r="I2778"/>
      <c r="M2778" s="54"/>
    </row>
    <row r="2779" spans="1:13" s="15" customFormat="1" x14ac:dyDescent="0.3">
      <c r="A2779" s="17"/>
      <c r="B2779"/>
      <c r="C2779"/>
      <c r="D2779"/>
      <c r="E2779"/>
      <c r="F2779"/>
      <c r="G2779"/>
      <c r="H2779"/>
      <c r="I2779"/>
      <c r="M2779" s="54"/>
    </row>
    <row r="2780" spans="1:13" s="15" customFormat="1" x14ac:dyDescent="0.3">
      <c r="A2780" s="17"/>
      <c r="B2780"/>
      <c r="C2780"/>
      <c r="D2780"/>
      <c r="E2780"/>
      <c r="F2780"/>
      <c r="G2780"/>
      <c r="H2780"/>
      <c r="I2780"/>
      <c r="M2780" s="54"/>
    </row>
    <row r="2781" spans="1:13" s="15" customFormat="1" x14ac:dyDescent="0.3">
      <c r="A2781" s="17"/>
      <c r="B2781"/>
      <c r="C2781"/>
      <c r="D2781"/>
      <c r="E2781"/>
      <c r="F2781"/>
      <c r="G2781"/>
      <c r="H2781"/>
      <c r="I2781"/>
      <c r="M2781" s="54"/>
    </row>
    <row r="2782" spans="1:13" s="15" customFormat="1" x14ac:dyDescent="0.3">
      <c r="A2782" s="17"/>
      <c r="B2782"/>
      <c r="C2782"/>
      <c r="D2782"/>
      <c r="E2782"/>
      <c r="F2782"/>
      <c r="G2782"/>
      <c r="H2782"/>
      <c r="I2782"/>
      <c r="M2782" s="54"/>
    </row>
    <row r="2783" spans="1:13" s="15" customFormat="1" x14ac:dyDescent="0.3">
      <c r="A2783" s="17"/>
      <c r="B2783"/>
      <c r="C2783"/>
      <c r="D2783"/>
      <c r="E2783"/>
      <c r="F2783"/>
      <c r="G2783"/>
      <c r="H2783"/>
      <c r="I2783"/>
      <c r="M2783" s="54"/>
    </row>
    <row r="2784" spans="1:13" s="15" customFormat="1" x14ac:dyDescent="0.3">
      <c r="A2784" s="17"/>
      <c r="B2784"/>
      <c r="C2784"/>
      <c r="D2784"/>
      <c r="E2784"/>
      <c r="F2784"/>
      <c r="G2784"/>
      <c r="H2784"/>
      <c r="I2784"/>
      <c r="M2784" s="54"/>
    </row>
    <row r="2785" spans="1:13" s="15" customFormat="1" x14ac:dyDescent="0.3">
      <c r="A2785" s="17"/>
      <c r="B2785"/>
      <c r="C2785"/>
      <c r="D2785"/>
      <c r="E2785"/>
      <c r="F2785"/>
      <c r="G2785"/>
      <c r="H2785"/>
      <c r="I2785"/>
      <c r="M2785" s="54"/>
    </row>
    <row r="2786" spans="1:13" s="15" customFormat="1" x14ac:dyDescent="0.3">
      <c r="A2786" s="17"/>
      <c r="B2786"/>
      <c r="C2786"/>
      <c r="D2786"/>
      <c r="E2786"/>
      <c r="F2786"/>
      <c r="G2786"/>
      <c r="H2786"/>
      <c r="I2786"/>
      <c r="M2786" s="54"/>
    </row>
    <row r="2787" spans="1:13" s="15" customFormat="1" x14ac:dyDescent="0.3">
      <c r="A2787" s="17"/>
      <c r="B2787"/>
      <c r="C2787"/>
      <c r="D2787"/>
      <c r="E2787"/>
      <c r="F2787"/>
      <c r="G2787"/>
      <c r="H2787"/>
      <c r="I2787"/>
      <c r="M2787" s="54"/>
    </row>
    <row r="2788" spans="1:13" s="15" customFormat="1" x14ac:dyDescent="0.3">
      <c r="A2788" s="17"/>
      <c r="B2788"/>
      <c r="C2788"/>
      <c r="D2788"/>
      <c r="E2788"/>
      <c r="F2788"/>
      <c r="G2788"/>
      <c r="H2788"/>
      <c r="I2788"/>
      <c r="M2788" s="54"/>
    </row>
    <row r="2789" spans="1:13" s="15" customFormat="1" x14ac:dyDescent="0.3">
      <c r="A2789" s="17"/>
      <c r="B2789"/>
      <c r="C2789"/>
      <c r="D2789"/>
      <c r="E2789"/>
      <c r="F2789"/>
      <c r="G2789"/>
      <c r="H2789"/>
      <c r="I2789"/>
      <c r="M2789" s="54"/>
    </row>
    <row r="2790" spans="1:13" s="15" customFormat="1" x14ac:dyDescent="0.3">
      <c r="A2790" s="17"/>
      <c r="B2790"/>
      <c r="C2790"/>
      <c r="D2790"/>
      <c r="E2790"/>
      <c r="F2790"/>
      <c r="G2790"/>
      <c r="H2790"/>
      <c r="I2790"/>
      <c r="M2790" s="54"/>
    </row>
    <row r="2791" spans="1:13" s="15" customFormat="1" x14ac:dyDescent="0.3">
      <c r="A2791" s="17"/>
      <c r="B2791"/>
      <c r="C2791"/>
      <c r="D2791"/>
      <c r="E2791"/>
      <c r="F2791"/>
      <c r="G2791"/>
      <c r="H2791"/>
      <c r="I2791"/>
      <c r="M2791" s="54"/>
    </row>
    <row r="2792" spans="1:13" s="15" customFormat="1" x14ac:dyDescent="0.3">
      <c r="A2792" s="17"/>
      <c r="B2792"/>
      <c r="C2792"/>
      <c r="D2792"/>
      <c r="E2792"/>
      <c r="F2792"/>
      <c r="G2792"/>
      <c r="H2792"/>
      <c r="I2792"/>
      <c r="M2792" s="54"/>
    </row>
    <row r="2793" spans="1:13" s="15" customFormat="1" x14ac:dyDescent="0.3">
      <c r="A2793" s="17"/>
      <c r="B2793"/>
      <c r="C2793"/>
      <c r="D2793"/>
      <c r="E2793"/>
      <c r="F2793"/>
      <c r="G2793"/>
      <c r="H2793"/>
      <c r="I2793"/>
      <c r="M2793" s="54"/>
    </row>
    <row r="2794" spans="1:13" s="15" customFormat="1" x14ac:dyDescent="0.3">
      <c r="A2794" s="17"/>
      <c r="B2794"/>
      <c r="C2794"/>
      <c r="D2794"/>
      <c r="E2794"/>
      <c r="F2794"/>
      <c r="G2794"/>
      <c r="H2794"/>
      <c r="I2794"/>
      <c r="M2794" s="54"/>
    </row>
    <row r="2795" spans="1:13" s="15" customFormat="1" x14ac:dyDescent="0.3">
      <c r="A2795" s="17"/>
      <c r="B2795"/>
      <c r="C2795"/>
      <c r="D2795"/>
      <c r="E2795"/>
      <c r="F2795"/>
      <c r="G2795"/>
      <c r="H2795"/>
      <c r="I2795"/>
      <c r="M2795" s="54"/>
    </row>
    <row r="2796" spans="1:13" s="15" customFormat="1" x14ac:dyDescent="0.3">
      <c r="A2796" s="17"/>
      <c r="B2796"/>
      <c r="C2796"/>
      <c r="D2796"/>
      <c r="E2796"/>
      <c r="F2796"/>
      <c r="G2796"/>
      <c r="H2796"/>
      <c r="I2796"/>
      <c r="M2796" s="54"/>
    </row>
    <row r="2797" spans="1:13" s="15" customFormat="1" x14ac:dyDescent="0.3">
      <c r="A2797" s="17"/>
      <c r="B2797"/>
      <c r="C2797"/>
      <c r="D2797"/>
      <c r="E2797"/>
      <c r="F2797"/>
      <c r="G2797"/>
      <c r="H2797"/>
      <c r="I2797"/>
      <c r="M2797" s="54"/>
    </row>
    <row r="2798" spans="1:13" s="15" customFormat="1" x14ac:dyDescent="0.3">
      <c r="A2798" s="17"/>
      <c r="B2798"/>
      <c r="C2798"/>
      <c r="D2798"/>
      <c r="E2798"/>
      <c r="F2798"/>
      <c r="G2798"/>
      <c r="H2798"/>
      <c r="I2798"/>
      <c r="M2798" s="54"/>
    </row>
    <row r="2799" spans="1:13" s="15" customFormat="1" x14ac:dyDescent="0.3">
      <c r="A2799" s="17"/>
      <c r="B2799"/>
      <c r="C2799"/>
      <c r="D2799"/>
      <c r="E2799"/>
      <c r="F2799"/>
      <c r="G2799"/>
      <c r="H2799"/>
      <c r="I2799"/>
      <c r="M2799" s="54"/>
    </row>
    <row r="2800" spans="1:13" s="15" customFormat="1" x14ac:dyDescent="0.3">
      <c r="A2800" s="17"/>
      <c r="B2800"/>
      <c r="C2800"/>
      <c r="D2800"/>
      <c r="E2800"/>
      <c r="F2800"/>
      <c r="G2800"/>
      <c r="H2800"/>
      <c r="I2800"/>
      <c r="M2800" s="54"/>
    </row>
    <row r="2801" spans="1:13" s="15" customFormat="1" x14ac:dyDescent="0.3">
      <c r="A2801" s="17"/>
      <c r="B2801"/>
      <c r="C2801"/>
      <c r="D2801"/>
      <c r="E2801"/>
      <c r="F2801"/>
      <c r="G2801"/>
      <c r="H2801"/>
      <c r="I2801"/>
      <c r="M2801" s="54"/>
    </row>
    <row r="2802" spans="1:13" s="15" customFormat="1" x14ac:dyDescent="0.3">
      <c r="A2802" s="17"/>
      <c r="B2802"/>
      <c r="C2802"/>
      <c r="D2802"/>
      <c r="E2802"/>
      <c r="F2802"/>
      <c r="G2802"/>
      <c r="H2802"/>
      <c r="I2802"/>
      <c r="M2802" s="54"/>
    </row>
    <row r="2803" spans="1:13" s="15" customFormat="1" x14ac:dyDescent="0.3">
      <c r="A2803" s="17"/>
      <c r="B2803"/>
      <c r="C2803"/>
      <c r="D2803"/>
      <c r="E2803"/>
      <c r="F2803"/>
      <c r="G2803"/>
      <c r="H2803"/>
      <c r="I2803"/>
      <c r="M2803" s="54"/>
    </row>
    <row r="2804" spans="1:13" s="15" customFormat="1" x14ac:dyDescent="0.3">
      <c r="A2804" s="17"/>
      <c r="B2804"/>
      <c r="C2804"/>
      <c r="D2804"/>
      <c r="E2804"/>
      <c r="F2804"/>
      <c r="G2804"/>
      <c r="H2804"/>
      <c r="I2804"/>
      <c r="M2804" s="54"/>
    </row>
    <row r="2805" spans="1:13" s="15" customFormat="1" x14ac:dyDescent="0.3">
      <c r="A2805" s="17"/>
      <c r="B2805"/>
      <c r="C2805"/>
      <c r="D2805"/>
      <c r="E2805"/>
      <c r="F2805"/>
      <c r="G2805"/>
      <c r="H2805"/>
      <c r="I2805"/>
      <c r="M2805" s="54"/>
    </row>
    <row r="2806" spans="1:13" s="15" customFormat="1" x14ac:dyDescent="0.3">
      <c r="A2806" s="17"/>
      <c r="B2806"/>
      <c r="C2806"/>
      <c r="D2806"/>
      <c r="E2806"/>
      <c r="F2806"/>
      <c r="G2806"/>
      <c r="H2806"/>
      <c r="I2806"/>
      <c r="M2806" s="54"/>
    </row>
    <row r="2807" spans="1:13" s="15" customFormat="1" x14ac:dyDescent="0.3">
      <c r="A2807" s="17"/>
      <c r="B2807"/>
      <c r="C2807"/>
      <c r="D2807"/>
      <c r="E2807"/>
      <c r="F2807"/>
      <c r="G2807"/>
      <c r="H2807"/>
      <c r="I2807"/>
      <c r="M2807" s="54"/>
    </row>
    <row r="2808" spans="1:13" s="15" customFormat="1" x14ac:dyDescent="0.3">
      <c r="A2808" s="17"/>
      <c r="B2808"/>
      <c r="C2808"/>
      <c r="D2808"/>
      <c r="E2808"/>
      <c r="F2808"/>
      <c r="G2808"/>
      <c r="H2808"/>
      <c r="I2808"/>
      <c r="M2808" s="54"/>
    </row>
    <row r="2809" spans="1:13" s="15" customFormat="1" x14ac:dyDescent="0.3">
      <c r="A2809" s="17"/>
      <c r="B2809"/>
      <c r="C2809"/>
      <c r="D2809"/>
      <c r="E2809"/>
      <c r="F2809"/>
      <c r="G2809"/>
      <c r="H2809"/>
      <c r="I2809"/>
      <c r="M2809" s="54"/>
    </row>
    <row r="2810" spans="1:13" s="15" customFormat="1" x14ac:dyDescent="0.3">
      <c r="A2810" s="17"/>
      <c r="B2810"/>
      <c r="C2810"/>
      <c r="D2810"/>
      <c r="E2810"/>
      <c r="F2810"/>
      <c r="G2810"/>
      <c r="H2810"/>
      <c r="I2810"/>
      <c r="M2810" s="54"/>
    </row>
    <row r="2811" spans="1:13" s="15" customFormat="1" x14ac:dyDescent="0.3">
      <c r="A2811" s="17"/>
      <c r="B2811"/>
      <c r="C2811"/>
      <c r="D2811"/>
      <c r="E2811"/>
      <c r="F2811"/>
      <c r="G2811"/>
      <c r="H2811"/>
      <c r="I2811"/>
      <c r="M2811" s="54"/>
    </row>
    <row r="2812" spans="1:13" s="15" customFormat="1" x14ac:dyDescent="0.3">
      <c r="A2812" s="17"/>
      <c r="B2812"/>
      <c r="C2812"/>
      <c r="D2812"/>
      <c r="E2812"/>
      <c r="F2812"/>
      <c r="G2812"/>
      <c r="H2812"/>
      <c r="I2812"/>
      <c r="M2812" s="54"/>
    </row>
    <row r="2813" spans="1:13" s="15" customFormat="1" x14ac:dyDescent="0.3">
      <c r="A2813" s="17"/>
      <c r="B2813"/>
      <c r="C2813"/>
      <c r="D2813"/>
      <c r="E2813"/>
      <c r="F2813"/>
      <c r="G2813"/>
      <c r="H2813"/>
      <c r="I2813"/>
      <c r="M2813" s="54"/>
    </row>
    <row r="2814" spans="1:13" s="15" customFormat="1" x14ac:dyDescent="0.3">
      <c r="A2814" s="17"/>
      <c r="B2814"/>
      <c r="C2814"/>
      <c r="D2814"/>
      <c r="E2814"/>
      <c r="F2814"/>
      <c r="G2814"/>
      <c r="H2814"/>
      <c r="I2814"/>
      <c r="M2814" s="54"/>
    </row>
    <row r="2815" spans="1:13" s="15" customFormat="1" x14ac:dyDescent="0.3">
      <c r="A2815" s="17"/>
      <c r="B2815"/>
      <c r="C2815"/>
      <c r="D2815"/>
      <c r="E2815"/>
      <c r="F2815"/>
      <c r="G2815"/>
      <c r="H2815"/>
      <c r="I2815"/>
      <c r="M2815" s="54"/>
    </row>
    <row r="2816" spans="1:13" s="15" customFormat="1" x14ac:dyDescent="0.3">
      <c r="A2816" s="17"/>
      <c r="B2816"/>
      <c r="C2816"/>
      <c r="D2816"/>
      <c r="E2816"/>
      <c r="F2816"/>
      <c r="G2816"/>
      <c r="H2816"/>
      <c r="I2816"/>
      <c r="M2816" s="54"/>
    </row>
    <row r="2817" spans="1:13" s="15" customFormat="1" x14ac:dyDescent="0.3">
      <c r="A2817" s="17"/>
      <c r="B2817"/>
      <c r="C2817"/>
      <c r="D2817"/>
      <c r="E2817"/>
      <c r="F2817"/>
      <c r="G2817"/>
      <c r="H2817"/>
      <c r="I2817"/>
      <c r="M2817" s="54"/>
    </row>
    <row r="2818" spans="1:13" s="15" customFormat="1" x14ac:dyDescent="0.3">
      <c r="A2818" s="17"/>
      <c r="B2818"/>
      <c r="C2818"/>
      <c r="D2818"/>
      <c r="E2818"/>
      <c r="F2818"/>
      <c r="G2818"/>
      <c r="H2818"/>
      <c r="I2818"/>
      <c r="M2818" s="54"/>
    </row>
    <row r="2819" spans="1:13" s="15" customFormat="1" x14ac:dyDescent="0.3">
      <c r="A2819" s="17"/>
      <c r="B2819"/>
      <c r="C2819"/>
      <c r="D2819"/>
      <c r="E2819"/>
      <c r="F2819"/>
      <c r="G2819"/>
      <c r="H2819"/>
      <c r="I2819"/>
      <c r="M2819" s="54"/>
    </row>
    <row r="2820" spans="1:13" s="15" customFormat="1" x14ac:dyDescent="0.3">
      <c r="A2820" s="17"/>
      <c r="B2820"/>
      <c r="C2820"/>
      <c r="D2820"/>
      <c r="E2820"/>
      <c r="F2820"/>
      <c r="G2820"/>
      <c r="H2820"/>
      <c r="I2820"/>
      <c r="M2820" s="54"/>
    </row>
    <row r="2821" spans="1:13" s="15" customFormat="1" x14ac:dyDescent="0.3">
      <c r="A2821" s="17"/>
      <c r="B2821"/>
      <c r="C2821"/>
      <c r="D2821"/>
      <c r="E2821"/>
      <c r="F2821"/>
      <c r="G2821"/>
      <c r="H2821"/>
      <c r="I2821"/>
      <c r="M2821" s="54"/>
    </row>
    <row r="2822" spans="1:13" s="15" customFormat="1" x14ac:dyDescent="0.3">
      <c r="A2822" s="17"/>
      <c r="B2822"/>
      <c r="C2822"/>
      <c r="D2822"/>
      <c r="E2822"/>
      <c r="F2822"/>
      <c r="G2822"/>
      <c r="H2822"/>
      <c r="I2822"/>
      <c r="M2822" s="54"/>
    </row>
    <row r="2823" spans="1:13" s="15" customFormat="1" x14ac:dyDescent="0.3">
      <c r="A2823" s="17"/>
      <c r="B2823"/>
      <c r="C2823"/>
      <c r="D2823"/>
      <c r="E2823"/>
      <c r="F2823"/>
      <c r="G2823"/>
      <c r="H2823"/>
      <c r="I2823"/>
      <c r="M2823" s="54"/>
    </row>
    <row r="2824" spans="1:13" s="15" customFormat="1" x14ac:dyDescent="0.3">
      <c r="A2824" s="17"/>
      <c r="B2824"/>
      <c r="C2824"/>
      <c r="D2824"/>
      <c r="E2824"/>
      <c r="F2824"/>
      <c r="G2824"/>
      <c r="H2824"/>
      <c r="I2824"/>
      <c r="M2824" s="54"/>
    </row>
    <row r="2825" spans="1:13" s="15" customFormat="1" x14ac:dyDescent="0.3">
      <c r="A2825" s="17"/>
      <c r="B2825"/>
      <c r="C2825"/>
      <c r="D2825"/>
      <c r="E2825"/>
      <c r="F2825"/>
      <c r="G2825"/>
      <c r="H2825"/>
      <c r="I2825"/>
      <c r="M2825" s="54"/>
    </row>
    <row r="2826" spans="1:13" s="15" customFormat="1" x14ac:dyDescent="0.3">
      <c r="A2826" s="17"/>
      <c r="B2826"/>
      <c r="C2826"/>
      <c r="D2826"/>
      <c r="E2826"/>
      <c r="F2826"/>
      <c r="G2826"/>
      <c r="H2826"/>
      <c r="I2826"/>
      <c r="M2826" s="54"/>
    </row>
    <row r="2827" spans="1:13" s="15" customFormat="1" x14ac:dyDescent="0.3">
      <c r="A2827" s="17"/>
      <c r="B2827"/>
      <c r="C2827"/>
      <c r="D2827"/>
      <c r="E2827"/>
      <c r="F2827"/>
      <c r="G2827"/>
      <c r="H2827"/>
      <c r="I2827"/>
      <c r="M2827" s="54"/>
    </row>
    <row r="2828" spans="1:13" s="15" customFormat="1" x14ac:dyDescent="0.3">
      <c r="A2828" s="17"/>
      <c r="B2828"/>
      <c r="C2828"/>
      <c r="D2828"/>
      <c r="E2828"/>
      <c r="F2828"/>
      <c r="G2828"/>
      <c r="H2828"/>
      <c r="I2828"/>
      <c r="M2828" s="54"/>
    </row>
    <row r="2829" spans="1:13" s="15" customFormat="1" x14ac:dyDescent="0.3">
      <c r="A2829" s="17"/>
      <c r="B2829"/>
      <c r="C2829"/>
      <c r="D2829"/>
      <c r="E2829"/>
      <c r="F2829"/>
      <c r="G2829"/>
      <c r="H2829"/>
      <c r="I2829"/>
      <c r="M2829" s="54"/>
    </row>
    <row r="2830" spans="1:13" s="15" customFormat="1" x14ac:dyDescent="0.3">
      <c r="A2830" s="17"/>
      <c r="B2830"/>
      <c r="C2830"/>
      <c r="D2830"/>
      <c r="E2830"/>
      <c r="F2830"/>
      <c r="G2830"/>
      <c r="H2830"/>
      <c r="I2830"/>
      <c r="M2830" s="54"/>
    </row>
    <row r="2831" spans="1:13" s="15" customFormat="1" x14ac:dyDescent="0.3">
      <c r="A2831" s="17"/>
      <c r="B2831"/>
      <c r="C2831"/>
      <c r="D2831"/>
      <c r="E2831"/>
      <c r="F2831"/>
      <c r="G2831"/>
      <c r="H2831"/>
      <c r="I2831"/>
      <c r="M2831" s="54"/>
    </row>
    <row r="2832" spans="1:13" s="15" customFormat="1" x14ac:dyDescent="0.3">
      <c r="A2832" s="17"/>
      <c r="B2832"/>
      <c r="C2832"/>
      <c r="D2832"/>
      <c r="E2832"/>
      <c r="F2832"/>
      <c r="G2832"/>
      <c r="H2832"/>
      <c r="I2832"/>
      <c r="M2832" s="54"/>
    </row>
    <row r="2833" spans="1:13" s="15" customFormat="1" x14ac:dyDescent="0.3">
      <c r="A2833" s="17"/>
      <c r="B2833"/>
      <c r="C2833"/>
      <c r="D2833"/>
      <c r="E2833"/>
      <c r="F2833"/>
      <c r="G2833"/>
      <c r="H2833"/>
      <c r="I2833"/>
      <c r="M2833" s="54"/>
    </row>
    <row r="2834" spans="1:13" s="15" customFormat="1" x14ac:dyDescent="0.3">
      <c r="A2834" s="17"/>
      <c r="B2834"/>
      <c r="C2834"/>
      <c r="D2834"/>
      <c r="E2834"/>
      <c r="F2834"/>
      <c r="G2834"/>
      <c r="H2834"/>
      <c r="I2834"/>
      <c r="M2834" s="54"/>
    </row>
    <row r="2835" spans="1:13" s="15" customFormat="1" x14ac:dyDescent="0.3">
      <c r="A2835" s="17"/>
      <c r="B2835"/>
      <c r="C2835"/>
      <c r="D2835"/>
      <c r="E2835"/>
      <c r="F2835"/>
      <c r="G2835"/>
      <c r="H2835"/>
      <c r="I2835"/>
      <c r="M2835" s="54"/>
    </row>
    <row r="2836" spans="1:13" s="15" customFormat="1" x14ac:dyDescent="0.3">
      <c r="A2836" s="17"/>
      <c r="B2836"/>
      <c r="C2836"/>
      <c r="D2836"/>
      <c r="E2836"/>
      <c r="F2836"/>
      <c r="G2836"/>
      <c r="H2836"/>
      <c r="I2836"/>
      <c r="M2836" s="54"/>
    </row>
    <row r="2837" spans="1:13" s="15" customFormat="1" x14ac:dyDescent="0.3">
      <c r="A2837" s="17"/>
      <c r="B2837"/>
      <c r="C2837"/>
      <c r="D2837"/>
      <c r="E2837"/>
      <c r="F2837"/>
      <c r="G2837"/>
      <c r="H2837"/>
      <c r="I2837"/>
      <c r="M2837" s="54"/>
    </row>
    <row r="2838" spans="1:13" s="15" customFormat="1" x14ac:dyDescent="0.3">
      <c r="A2838" s="17"/>
      <c r="B2838"/>
      <c r="C2838"/>
      <c r="D2838"/>
      <c r="E2838"/>
      <c r="F2838"/>
      <c r="G2838"/>
      <c r="H2838"/>
      <c r="I2838"/>
      <c r="M2838" s="54"/>
    </row>
    <row r="2839" spans="1:13" s="15" customFormat="1" x14ac:dyDescent="0.3">
      <c r="A2839" s="17"/>
      <c r="B2839"/>
      <c r="C2839"/>
      <c r="D2839"/>
      <c r="E2839"/>
      <c r="F2839"/>
      <c r="G2839"/>
      <c r="H2839"/>
      <c r="I2839"/>
      <c r="M2839" s="54"/>
    </row>
    <row r="2840" spans="1:13" s="15" customFormat="1" x14ac:dyDescent="0.3">
      <c r="A2840" s="17"/>
      <c r="B2840"/>
      <c r="C2840"/>
      <c r="D2840"/>
      <c r="E2840"/>
      <c r="F2840"/>
      <c r="G2840"/>
      <c r="H2840"/>
      <c r="I2840"/>
      <c r="M2840" s="54"/>
    </row>
    <row r="2841" spans="1:13" s="15" customFormat="1" x14ac:dyDescent="0.3">
      <c r="A2841" s="17"/>
      <c r="B2841"/>
      <c r="C2841"/>
      <c r="D2841"/>
      <c r="E2841"/>
      <c r="F2841"/>
      <c r="G2841"/>
      <c r="H2841"/>
      <c r="I2841"/>
      <c r="M2841" s="54"/>
    </row>
    <row r="2842" spans="1:13" s="15" customFormat="1" x14ac:dyDescent="0.3">
      <c r="A2842" s="17"/>
      <c r="B2842"/>
      <c r="C2842"/>
      <c r="D2842"/>
      <c r="E2842"/>
      <c r="F2842"/>
      <c r="G2842"/>
      <c r="H2842"/>
      <c r="I2842"/>
      <c r="M2842" s="54"/>
    </row>
    <row r="2843" spans="1:13" s="15" customFormat="1" x14ac:dyDescent="0.3">
      <c r="A2843" s="17"/>
      <c r="B2843"/>
      <c r="C2843"/>
      <c r="D2843"/>
      <c r="E2843"/>
      <c r="F2843"/>
      <c r="G2843"/>
      <c r="H2843"/>
      <c r="I2843"/>
      <c r="M2843" s="54"/>
    </row>
    <row r="2844" spans="1:13" s="15" customFormat="1" x14ac:dyDescent="0.3">
      <c r="A2844" s="17"/>
      <c r="B2844"/>
      <c r="C2844"/>
      <c r="D2844"/>
      <c r="E2844"/>
      <c r="F2844"/>
      <c r="G2844"/>
      <c r="H2844"/>
      <c r="I2844"/>
      <c r="M2844" s="54"/>
    </row>
    <row r="2845" spans="1:13" s="15" customFormat="1" x14ac:dyDescent="0.3">
      <c r="A2845" s="17"/>
      <c r="B2845"/>
      <c r="C2845"/>
      <c r="D2845"/>
      <c r="E2845"/>
      <c r="F2845"/>
      <c r="G2845"/>
      <c r="H2845"/>
      <c r="I2845"/>
      <c r="M2845" s="54"/>
    </row>
    <row r="2846" spans="1:13" s="15" customFormat="1" x14ac:dyDescent="0.3">
      <c r="A2846" s="17"/>
      <c r="B2846"/>
      <c r="C2846"/>
      <c r="D2846"/>
      <c r="E2846"/>
      <c r="F2846"/>
      <c r="G2846"/>
      <c r="H2846"/>
      <c r="I2846"/>
      <c r="M2846" s="54"/>
    </row>
    <row r="2847" spans="1:13" s="15" customFormat="1" x14ac:dyDescent="0.3">
      <c r="A2847" s="17"/>
      <c r="B2847"/>
      <c r="C2847"/>
      <c r="D2847"/>
      <c r="E2847"/>
      <c r="F2847"/>
      <c r="G2847"/>
      <c r="H2847"/>
      <c r="I2847"/>
      <c r="M2847" s="54"/>
    </row>
    <row r="2848" spans="1:13" s="15" customFormat="1" x14ac:dyDescent="0.3">
      <c r="A2848" s="17"/>
      <c r="B2848"/>
      <c r="C2848"/>
      <c r="D2848"/>
      <c r="E2848"/>
      <c r="F2848"/>
      <c r="G2848"/>
      <c r="H2848"/>
      <c r="I2848"/>
      <c r="M2848" s="54"/>
    </row>
    <row r="2849" spans="1:13" s="15" customFormat="1" x14ac:dyDescent="0.3">
      <c r="A2849" s="17"/>
      <c r="B2849"/>
      <c r="C2849"/>
      <c r="D2849"/>
      <c r="E2849"/>
      <c r="F2849"/>
      <c r="G2849"/>
      <c r="H2849"/>
      <c r="I2849"/>
      <c r="M2849" s="54"/>
    </row>
    <row r="2850" spans="1:13" s="15" customFormat="1" x14ac:dyDescent="0.3">
      <c r="A2850" s="17"/>
      <c r="B2850"/>
      <c r="C2850"/>
      <c r="D2850"/>
      <c r="E2850"/>
      <c r="F2850"/>
      <c r="G2850"/>
      <c r="H2850"/>
      <c r="I2850"/>
      <c r="M2850" s="54"/>
    </row>
    <row r="2851" spans="1:13" s="15" customFormat="1" x14ac:dyDescent="0.3">
      <c r="A2851" s="17"/>
      <c r="B2851"/>
      <c r="C2851"/>
      <c r="D2851"/>
      <c r="E2851"/>
      <c r="F2851"/>
      <c r="G2851"/>
      <c r="H2851"/>
      <c r="I2851"/>
      <c r="M2851" s="54"/>
    </row>
    <row r="2852" spans="1:13" s="15" customFormat="1" x14ac:dyDescent="0.3">
      <c r="A2852" s="17"/>
      <c r="B2852"/>
      <c r="C2852"/>
      <c r="D2852"/>
      <c r="E2852"/>
      <c r="F2852"/>
      <c r="G2852"/>
      <c r="H2852"/>
      <c r="I2852"/>
      <c r="M2852" s="54"/>
    </row>
    <row r="2853" spans="1:13" s="15" customFormat="1" x14ac:dyDescent="0.3">
      <c r="A2853" s="17"/>
      <c r="B2853"/>
      <c r="C2853"/>
      <c r="D2853"/>
      <c r="E2853"/>
      <c r="F2853"/>
      <c r="G2853"/>
      <c r="H2853"/>
      <c r="I2853"/>
      <c r="M2853" s="54"/>
    </row>
    <row r="2854" spans="1:13" s="15" customFormat="1" x14ac:dyDescent="0.3">
      <c r="A2854" s="17"/>
      <c r="B2854"/>
      <c r="C2854"/>
      <c r="D2854"/>
      <c r="E2854"/>
      <c r="F2854"/>
      <c r="G2854"/>
      <c r="H2854"/>
      <c r="I2854"/>
      <c r="M2854" s="54"/>
    </row>
    <row r="2855" spans="1:13" s="15" customFormat="1" x14ac:dyDescent="0.3">
      <c r="A2855" s="17"/>
      <c r="B2855"/>
      <c r="C2855"/>
      <c r="D2855"/>
      <c r="E2855"/>
      <c r="F2855"/>
      <c r="G2855"/>
      <c r="H2855"/>
      <c r="I2855"/>
      <c r="M2855" s="54"/>
    </row>
    <row r="2856" spans="1:13" s="15" customFormat="1" x14ac:dyDescent="0.3">
      <c r="A2856" s="17"/>
      <c r="B2856"/>
      <c r="C2856"/>
      <c r="D2856"/>
      <c r="E2856"/>
      <c r="F2856"/>
      <c r="G2856"/>
      <c r="H2856"/>
      <c r="I2856"/>
      <c r="M2856" s="54"/>
    </row>
    <row r="2857" spans="1:13" s="15" customFormat="1" x14ac:dyDescent="0.3">
      <c r="A2857" s="17"/>
      <c r="B2857"/>
      <c r="C2857"/>
      <c r="D2857"/>
      <c r="E2857"/>
      <c r="F2857"/>
      <c r="G2857"/>
      <c r="H2857"/>
      <c r="I2857"/>
      <c r="M2857" s="54"/>
    </row>
    <row r="2858" spans="1:13" s="15" customFormat="1" x14ac:dyDescent="0.3">
      <c r="A2858" s="17"/>
      <c r="B2858"/>
      <c r="C2858"/>
      <c r="D2858"/>
      <c r="E2858"/>
      <c r="F2858"/>
      <c r="G2858"/>
      <c r="H2858"/>
      <c r="I2858"/>
      <c r="M2858" s="54"/>
    </row>
    <row r="2859" spans="1:13" s="15" customFormat="1" x14ac:dyDescent="0.3">
      <c r="A2859" s="17"/>
      <c r="B2859"/>
      <c r="C2859"/>
      <c r="D2859"/>
      <c r="E2859"/>
      <c r="F2859"/>
      <c r="G2859"/>
      <c r="H2859"/>
      <c r="I2859"/>
      <c r="M2859" s="54"/>
    </row>
    <row r="2860" spans="1:13" s="15" customFormat="1" x14ac:dyDescent="0.3">
      <c r="A2860" s="17"/>
      <c r="B2860"/>
      <c r="C2860"/>
      <c r="D2860"/>
      <c r="E2860"/>
      <c r="F2860"/>
      <c r="G2860"/>
      <c r="H2860"/>
      <c r="I2860"/>
      <c r="M2860" s="54"/>
    </row>
    <row r="2861" spans="1:13" s="15" customFormat="1" x14ac:dyDescent="0.3">
      <c r="A2861" s="17"/>
      <c r="B2861"/>
      <c r="C2861"/>
      <c r="D2861"/>
      <c r="E2861"/>
      <c r="F2861"/>
      <c r="G2861"/>
      <c r="H2861"/>
      <c r="I2861"/>
      <c r="M2861" s="54"/>
    </row>
    <row r="2862" spans="1:13" s="15" customFormat="1" x14ac:dyDescent="0.3">
      <c r="A2862" s="17"/>
      <c r="B2862"/>
      <c r="C2862"/>
      <c r="D2862"/>
      <c r="E2862"/>
      <c r="F2862"/>
      <c r="G2862"/>
      <c r="H2862"/>
      <c r="I2862"/>
      <c r="M2862" s="54"/>
    </row>
    <row r="2863" spans="1:13" s="15" customFormat="1" x14ac:dyDescent="0.3">
      <c r="A2863" s="17"/>
      <c r="B2863"/>
      <c r="C2863"/>
      <c r="D2863"/>
      <c r="E2863"/>
      <c r="F2863"/>
      <c r="G2863"/>
      <c r="H2863"/>
      <c r="I2863"/>
      <c r="M2863" s="54"/>
    </row>
    <row r="2864" spans="1:13" s="15" customFormat="1" x14ac:dyDescent="0.3">
      <c r="A2864" s="17"/>
      <c r="B2864"/>
      <c r="C2864"/>
      <c r="D2864"/>
      <c r="E2864"/>
      <c r="F2864"/>
      <c r="G2864"/>
      <c r="H2864"/>
      <c r="I2864"/>
      <c r="M2864" s="54"/>
    </row>
    <row r="2865" spans="1:13" s="15" customFormat="1" x14ac:dyDescent="0.3">
      <c r="A2865" s="17"/>
      <c r="B2865"/>
      <c r="C2865"/>
      <c r="D2865"/>
      <c r="E2865"/>
      <c r="F2865"/>
      <c r="G2865"/>
      <c r="H2865"/>
      <c r="I2865"/>
      <c r="M2865" s="54"/>
    </row>
    <row r="2866" spans="1:13" s="15" customFormat="1" x14ac:dyDescent="0.3">
      <c r="A2866" s="17"/>
      <c r="B2866"/>
      <c r="C2866"/>
      <c r="D2866"/>
      <c r="E2866"/>
      <c r="F2866"/>
      <c r="G2866"/>
      <c r="H2866"/>
      <c r="I2866"/>
      <c r="M2866" s="54"/>
    </row>
    <row r="2867" spans="1:13" s="15" customFormat="1" x14ac:dyDescent="0.3">
      <c r="A2867" s="17"/>
      <c r="B2867"/>
      <c r="C2867"/>
      <c r="D2867"/>
      <c r="E2867"/>
      <c r="F2867"/>
      <c r="G2867"/>
      <c r="H2867"/>
      <c r="I2867"/>
      <c r="M2867" s="54"/>
    </row>
    <row r="2868" spans="1:13" s="15" customFormat="1" x14ac:dyDescent="0.3">
      <c r="A2868" s="17"/>
      <c r="B2868"/>
      <c r="C2868"/>
      <c r="D2868"/>
      <c r="E2868"/>
      <c r="F2868"/>
      <c r="G2868"/>
      <c r="H2868"/>
      <c r="I2868"/>
      <c r="M2868" s="54"/>
    </row>
    <row r="2869" spans="1:13" s="15" customFormat="1" x14ac:dyDescent="0.3">
      <c r="A2869" s="17"/>
      <c r="B2869"/>
      <c r="C2869"/>
      <c r="D2869"/>
      <c r="E2869"/>
      <c r="F2869"/>
      <c r="G2869"/>
      <c r="H2869"/>
      <c r="I2869"/>
      <c r="M2869" s="54"/>
    </row>
    <row r="2870" spans="1:13" s="15" customFormat="1" x14ac:dyDescent="0.3">
      <c r="A2870" s="17"/>
      <c r="B2870"/>
      <c r="C2870"/>
      <c r="D2870"/>
      <c r="E2870"/>
      <c r="F2870"/>
      <c r="G2870"/>
      <c r="H2870"/>
      <c r="I2870"/>
      <c r="M2870" s="54"/>
    </row>
    <row r="2871" spans="1:13" s="15" customFormat="1" x14ac:dyDescent="0.3">
      <c r="A2871" s="17"/>
      <c r="B2871"/>
      <c r="C2871"/>
      <c r="D2871"/>
      <c r="E2871"/>
      <c r="F2871"/>
      <c r="G2871"/>
      <c r="H2871"/>
      <c r="I2871"/>
      <c r="M2871" s="54"/>
    </row>
    <row r="2872" spans="1:13" s="15" customFormat="1" x14ac:dyDescent="0.3">
      <c r="A2872" s="17"/>
      <c r="B2872"/>
      <c r="C2872"/>
      <c r="D2872"/>
      <c r="E2872"/>
      <c r="F2872"/>
      <c r="G2872"/>
      <c r="H2872"/>
      <c r="I2872"/>
      <c r="M2872" s="54"/>
    </row>
    <row r="2873" spans="1:13" s="15" customFormat="1" x14ac:dyDescent="0.3">
      <c r="A2873" s="17"/>
      <c r="B2873"/>
      <c r="C2873"/>
      <c r="D2873"/>
      <c r="E2873"/>
      <c r="F2873"/>
      <c r="G2873"/>
      <c r="H2873"/>
      <c r="I2873"/>
      <c r="M2873" s="54"/>
    </row>
    <row r="2874" spans="1:13" s="15" customFormat="1" x14ac:dyDescent="0.3">
      <c r="A2874" s="17"/>
      <c r="B2874"/>
      <c r="C2874"/>
      <c r="D2874"/>
      <c r="E2874"/>
      <c r="F2874"/>
      <c r="G2874"/>
      <c r="H2874"/>
      <c r="I2874"/>
      <c r="M2874" s="54"/>
    </row>
    <row r="2875" spans="1:13" s="15" customFormat="1" x14ac:dyDescent="0.3">
      <c r="A2875" s="17"/>
      <c r="B2875"/>
      <c r="C2875"/>
      <c r="D2875"/>
      <c r="E2875"/>
      <c r="F2875"/>
      <c r="G2875"/>
      <c r="H2875"/>
      <c r="I2875"/>
      <c r="M2875" s="54"/>
    </row>
    <row r="2876" spans="1:13" s="15" customFormat="1" x14ac:dyDescent="0.3">
      <c r="A2876" s="17"/>
      <c r="B2876"/>
      <c r="C2876"/>
      <c r="D2876"/>
      <c r="E2876"/>
      <c r="F2876"/>
      <c r="G2876"/>
      <c r="H2876"/>
      <c r="I2876"/>
      <c r="M2876" s="54"/>
    </row>
    <row r="2877" spans="1:13" s="15" customFormat="1" x14ac:dyDescent="0.3">
      <c r="A2877" s="17"/>
      <c r="B2877"/>
      <c r="C2877"/>
      <c r="D2877"/>
      <c r="E2877"/>
      <c r="F2877"/>
      <c r="G2877"/>
      <c r="H2877"/>
      <c r="I2877"/>
      <c r="M2877" s="54"/>
    </row>
    <row r="2878" spans="1:13" s="15" customFormat="1" x14ac:dyDescent="0.3">
      <c r="A2878" s="17"/>
      <c r="B2878"/>
      <c r="C2878"/>
      <c r="D2878"/>
      <c r="E2878"/>
      <c r="F2878"/>
      <c r="G2878"/>
      <c r="H2878"/>
      <c r="I2878"/>
      <c r="M2878" s="54"/>
    </row>
    <row r="2879" spans="1:13" s="15" customFormat="1" x14ac:dyDescent="0.3">
      <c r="A2879" s="17"/>
      <c r="B2879"/>
      <c r="C2879"/>
      <c r="D2879"/>
      <c r="E2879"/>
      <c r="F2879"/>
      <c r="G2879"/>
      <c r="H2879"/>
      <c r="I2879"/>
      <c r="M2879" s="54"/>
    </row>
    <row r="2880" spans="1:13" s="15" customFormat="1" x14ac:dyDescent="0.3">
      <c r="A2880" s="17"/>
      <c r="B2880"/>
      <c r="C2880"/>
      <c r="D2880"/>
      <c r="E2880"/>
      <c r="F2880"/>
      <c r="G2880"/>
      <c r="H2880"/>
      <c r="I2880"/>
      <c r="M2880" s="54"/>
    </row>
    <row r="2881" spans="1:13" s="15" customFormat="1" x14ac:dyDescent="0.3">
      <c r="A2881" s="17"/>
      <c r="B2881"/>
      <c r="C2881"/>
      <c r="D2881"/>
      <c r="E2881"/>
      <c r="F2881"/>
      <c r="G2881"/>
      <c r="H2881"/>
      <c r="I2881"/>
      <c r="M2881" s="54"/>
    </row>
    <row r="2882" spans="1:13" s="15" customFormat="1" x14ac:dyDescent="0.3">
      <c r="A2882" s="17"/>
      <c r="B2882"/>
      <c r="C2882"/>
      <c r="D2882"/>
      <c r="E2882"/>
      <c r="F2882"/>
      <c r="G2882"/>
      <c r="H2882"/>
      <c r="I2882"/>
      <c r="M2882" s="54"/>
    </row>
    <row r="2883" spans="1:13" s="15" customFormat="1" x14ac:dyDescent="0.3">
      <c r="A2883" s="17"/>
      <c r="B2883"/>
      <c r="C2883"/>
      <c r="D2883"/>
      <c r="E2883"/>
      <c r="F2883"/>
      <c r="G2883"/>
      <c r="H2883"/>
      <c r="I2883"/>
      <c r="M2883" s="54"/>
    </row>
    <row r="2884" spans="1:13" s="15" customFormat="1" x14ac:dyDescent="0.3">
      <c r="A2884" s="17"/>
      <c r="B2884"/>
      <c r="C2884"/>
      <c r="D2884"/>
      <c r="E2884"/>
      <c r="F2884"/>
      <c r="G2884"/>
      <c r="H2884"/>
      <c r="I2884"/>
      <c r="M2884" s="54"/>
    </row>
    <row r="2885" spans="1:13" s="15" customFormat="1" x14ac:dyDescent="0.3">
      <c r="A2885" s="17"/>
      <c r="B2885"/>
      <c r="C2885"/>
      <c r="D2885"/>
      <c r="E2885"/>
      <c r="F2885"/>
      <c r="G2885"/>
      <c r="H2885"/>
      <c r="I2885"/>
      <c r="M2885" s="54"/>
    </row>
    <row r="2886" spans="1:13" s="15" customFormat="1" x14ac:dyDescent="0.3">
      <c r="A2886" s="17"/>
      <c r="B2886"/>
      <c r="C2886"/>
      <c r="D2886"/>
      <c r="E2886"/>
      <c r="F2886"/>
      <c r="G2886"/>
      <c r="H2886"/>
      <c r="I2886"/>
      <c r="M2886" s="54"/>
    </row>
    <row r="2887" spans="1:13" s="15" customFormat="1" x14ac:dyDescent="0.3">
      <c r="A2887" s="17"/>
      <c r="B2887"/>
      <c r="C2887"/>
      <c r="D2887"/>
      <c r="E2887"/>
      <c r="F2887"/>
      <c r="G2887"/>
      <c r="H2887"/>
      <c r="I2887"/>
      <c r="M2887" s="54"/>
    </row>
    <row r="2888" spans="1:13" s="15" customFormat="1" x14ac:dyDescent="0.3">
      <c r="A2888" s="17"/>
      <c r="B2888"/>
      <c r="C2888"/>
      <c r="D2888"/>
      <c r="E2888"/>
      <c r="F2888"/>
      <c r="G2888"/>
      <c r="H2888"/>
      <c r="I2888"/>
      <c r="M2888" s="54"/>
    </row>
    <row r="2889" spans="1:13" s="15" customFormat="1" x14ac:dyDescent="0.3">
      <c r="A2889" s="17"/>
      <c r="B2889"/>
      <c r="C2889"/>
      <c r="D2889"/>
      <c r="E2889"/>
      <c r="F2889"/>
      <c r="G2889"/>
      <c r="H2889"/>
      <c r="I2889"/>
      <c r="M2889" s="54"/>
    </row>
    <row r="2890" spans="1:13" s="15" customFormat="1" x14ac:dyDescent="0.3">
      <c r="A2890" s="17"/>
      <c r="B2890"/>
      <c r="C2890"/>
      <c r="D2890"/>
      <c r="E2890"/>
      <c r="F2890"/>
      <c r="G2890"/>
      <c r="H2890"/>
      <c r="I2890"/>
      <c r="M2890" s="54"/>
    </row>
    <row r="2891" spans="1:13" s="15" customFormat="1" x14ac:dyDescent="0.3">
      <c r="A2891" s="17"/>
      <c r="B2891"/>
      <c r="C2891"/>
      <c r="D2891"/>
      <c r="E2891"/>
      <c r="F2891"/>
      <c r="G2891"/>
      <c r="H2891"/>
      <c r="I2891"/>
      <c r="M2891" s="54"/>
    </row>
    <row r="2892" spans="1:13" s="15" customFormat="1" x14ac:dyDescent="0.3">
      <c r="A2892" s="17"/>
      <c r="B2892"/>
      <c r="C2892"/>
      <c r="D2892"/>
      <c r="E2892"/>
      <c r="F2892"/>
      <c r="G2892"/>
      <c r="H2892"/>
      <c r="I2892"/>
      <c r="M2892" s="54"/>
    </row>
    <row r="2893" spans="1:13" s="15" customFormat="1" x14ac:dyDescent="0.3">
      <c r="A2893" s="17"/>
      <c r="B2893"/>
      <c r="C2893"/>
      <c r="D2893"/>
      <c r="E2893"/>
      <c r="F2893"/>
      <c r="G2893"/>
      <c r="H2893"/>
      <c r="I2893"/>
      <c r="M2893" s="54"/>
    </row>
    <row r="2894" spans="1:13" s="15" customFormat="1" x14ac:dyDescent="0.3">
      <c r="A2894" s="17"/>
      <c r="B2894"/>
      <c r="C2894"/>
      <c r="D2894"/>
      <c r="E2894"/>
      <c r="F2894"/>
      <c r="G2894"/>
      <c r="H2894"/>
      <c r="I2894"/>
      <c r="M2894" s="54"/>
    </row>
    <row r="2895" spans="1:13" s="15" customFormat="1" x14ac:dyDescent="0.3">
      <c r="A2895" s="17"/>
      <c r="B2895"/>
      <c r="C2895"/>
      <c r="D2895"/>
      <c r="E2895"/>
      <c r="F2895"/>
      <c r="G2895"/>
      <c r="H2895"/>
      <c r="I2895"/>
      <c r="M2895" s="54"/>
    </row>
    <row r="2896" spans="1:13" s="15" customFormat="1" x14ac:dyDescent="0.3">
      <c r="A2896" s="17"/>
      <c r="B2896"/>
      <c r="C2896"/>
      <c r="D2896"/>
      <c r="E2896"/>
      <c r="F2896"/>
      <c r="G2896"/>
      <c r="H2896"/>
      <c r="I2896"/>
      <c r="M2896" s="54"/>
    </row>
    <row r="2897" spans="1:13" s="15" customFormat="1" x14ac:dyDescent="0.3">
      <c r="A2897" s="17"/>
      <c r="B2897"/>
      <c r="C2897"/>
      <c r="D2897"/>
      <c r="E2897"/>
      <c r="F2897"/>
      <c r="G2897"/>
      <c r="H2897"/>
      <c r="I2897"/>
      <c r="M2897" s="54"/>
    </row>
    <row r="2898" spans="1:13" s="15" customFormat="1" x14ac:dyDescent="0.3">
      <c r="A2898" s="17"/>
      <c r="B2898"/>
      <c r="C2898"/>
      <c r="D2898"/>
      <c r="E2898"/>
      <c r="F2898"/>
      <c r="G2898"/>
      <c r="H2898"/>
      <c r="I2898"/>
      <c r="M2898" s="54"/>
    </row>
    <row r="2899" spans="1:13" s="15" customFormat="1" x14ac:dyDescent="0.3">
      <c r="A2899" s="17"/>
      <c r="B2899"/>
      <c r="C2899"/>
      <c r="D2899"/>
      <c r="E2899"/>
      <c r="F2899"/>
      <c r="G2899"/>
      <c r="H2899"/>
      <c r="I2899"/>
      <c r="M2899" s="54"/>
    </row>
    <row r="2900" spans="1:13" s="15" customFormat="1" x14ac:dyDescent="0.3">
      <c r="A2900" s="17"/>
      <c r="B2900"/>
      <c r="C2900"/>
      <c r="D2900"/>
      <c r="E2900"/>
      <c r="F2900"/>
      <c r="G2900"/>
      <c r="H2900"/>
      <c r="I2900"/>
      <c r="M2900" s="54"/>
    </row>
    <row r="2901" spans="1:13" s="15" customFormat="1" x14ac:dyDescent="0.3">
      <c r="A2901" s="17"/>
      <c r="B2901"/>
      <c r="C2901"/>
      <c r="D2901"/>
      <c r="E2901"/>
      <c r="F2901"/>
      <c r="G2901"/>
      <c r="H2901"/>
      <c r="I2901"/>
      <c r="M2901" s="54"/>
    </row>
    <row r="2902" spans="1:13" s="15" customFormat="1" x14ac:dyDescent="0.3">
      <c r="A2902" s="17"/>
      <c r="B2902"/>
      <c r="C2902"/>
      <c r="D2902"/>
      <c r="E2902"/>
      <c r="F2902"/>
      <c r="G2902"/>
      <c r="H2902"/>
      <c r="I2902"/>
      <c r="M2902" s="54"/>
    </row>
    <row r="2903" spans="1:13" s="15" customFormat="1" x14ac:dyDescent="0.3">
      <c r="A2903" s="17"/>
      <c r="B2903"/>
      <c r="C2903"/>
      <c r="D2903"/>
      <c r="E2903"/>
      <c r="F2903"/>
      <c r="G2903"/>
      <c r="H2903"/>
      <c r="I2903"/>
      <c r="M2903" s="54"/>
    </row>
    <row r="2904" spans="1:13" s="15" customFormat="1" x14ac:dyDescent="0.3">
      <c r="A2904" s="17"/>
      <c r="B2904"/>
      <c r="C2904"/>
      <c r="D2904"/>
      <c r="E2904"/>
      <c r="F2904"/>
      <c r="G2904"/>
      <c r="H2904"/>
      <c r="I2904"/>
      <c r="M2904" s="54"/>
    </row>
    <row r="2905" spans="1:13" s="15" customFormat="1" x14ac:dyDescent="0.3">
      <c r="A2905" s="17"/>
      <c r="B2905"/>
      <c r="C2905"/>
      <c r="D2905"/>
      <c r="E2905"/>
      <c r="F2905"/>
      <c r="G2905"/>
      <c r="H2905"/>
      <c r="I2905"/>
      <c r="M2905" s="54"/>
    </row>
    <row r="2906" spans="1:13" s="15" customFormat="1" x14ac:dyDescent="0.3">
      <c r="A2906" s="17"/>
      <c r="B2906"/>
      <c r="C2906"/>
      <c r="D2906"/>
      <c r="E2906"/>
      <c r="F2906"/>
      <c r="G2906"/>
      <c r="H2906"/>
      <c r="I2906"/>
      <c r="M2906" s="54"/>
    </row>
    <row r="2907" spans="1:13" s="15" customFormat="1" x14ac:dyDescent="0.3">
      <c r="A2907" s="17"/>
      <c r="B2907"/>
      <c r="C2907"/>
      <c r="D2907"/>
      <c r="E2907"/>
      <c r="F2907"/>
      <c r="G2907"/>
      <c r="H2907"/>
      <c r="I2907"/>
      <c r="M2907" s="54"/>
    </row>
    <row r="2908" spans="1:13" s="15" customFormat="1" x14ac:dyDescent="0.3">
      <c r="A2908" s="17"/>
      <c r="B2908"/>
      <c r="C2908"/>
      <c r="D2908"/>
      <c r="E2908"/>
      <c r="F2908"/>
      <c r="G2908"/>
      <c r="H2908"/>
      <c r="I2908"/>
      <c r="M2908" s="54"/>
    </row>
    <row r="2909" spans="1:13" s="15" customFormat="1" x14ac:dyDescent="0.3">
      <c r="A2909" s="17"/>
      <c r="B2909"/>
      <c r="C2909"/>
      <c r="D2909"/>
      <c r="E2909"/>
      <c r="F2909"/>
      <c r="G2909"/>
      <c r="H2909"/>
      <c r="I2909"/>
      <c r="M2909" s="54"/>
    </row>
    <row r="2910" spans="1:13" s="15" customFormat="1" x14ac:dyDescent="0.3">
      <c r="A2910" s="17"/>
      <c r="B2910"/>
      <c r="C2910"/>
      <c r="D2910"/>
      <c r="E2910"/>
      <c r="F2910"/>
      <c r="G2910"/>
      <c r="H2910"/>
      <c r="I2910"/>
      <c r="M2910" s="54"/>
    </row>
    <row r="2911" spans="1:13" s="15" customFormat="1" x14ac:dyDescent="0.3">
      <c r="A2911" s="17"/>
      <c r="B2911"/>
      <c r="C2911"/>
      <c r="D2911"/>
      <c r="E2911"/>
      <c r="F2911"/>
      <c r="G2911"/>
      <c r="H2911"/>
      <c r="I2911"/>
      <c r="M2911" s="54"/>
    </row>
    <row r="2912" spans="1:13" s="15" customFormat="1" x14ac:dyDescent="0.3">
      <c r="A2912" s="17"/>
      <c r="B2912"/>
      <c r="C2912"/>
      <c r="D2912"/>
      <c r="E2912"/>
      <c r="F2912"/>
      <c r="G2912"/>
      <c r="H2912"/>
      <c r="I2912"/>
      <c r="M2912" s="54"/>
    </row>
    <row r="2913" spans="1:13" s="15" customFormat="1" x14ac:dyDescent="0.3">
      <c r="A2913" s="17"/>
      <c r="B2913"/>
      <c r="C2913"/>
      <c r="D2913"/>
      <c r="E2913"/>
      <c r="F2913"/>
      <c r="G2913"/>
      <c r="H2913"/>
      <c r="I2913"/>
      <c r="M2913" s="54"/>
    </row>
    <row r="2914" spans="1:13" s="15" customFormat="1" x14ac:dyDescent="0.3">
      <c r="A2914" s="17"/>
      <c r="B2914"/>
      <c r="C2914"/>
      <c r="D2914"/>
      <c r="E2914"/>
      <c r="F2914"/>
      <c r="G2914"/>
      <c r="H2914"/>
      <c r="I2914"/>
      <c r="M2914" s="54"/>
    </row>
    <row r="2915" spans="1:13" s="15" customFormat="1" x14ac:dyDescent="0.3">
      <c r="A2915" s="17"/>
      <c r="B2915"/>
      <c r="C2915"/>
      <c r="D2915"/>
      <c r="E2915"/>
      <c r="F2915"/>
      <c r="G2915"/>
      <c r="H2915"/>
      <c r="I2915"/>
      <c r="M2915" s="54"/>
    </row>
    <row r="2916" spans="1:13" s="15" customFormat="1" x14ac:dyDescent="0.3">
      <c r="A2916" s="17"/>
      <c r="B2916"/>
      <c r="C2916"/>
      <c r="D2916"/>
      <c r="E2916"/>
      <c r="F2916"/>
      <c r="G2916"/>
      <c r="H2916"/>
      <c r="I2916"/>
      <c r="M2916" s="54"/>
    </row>
    <row r="2917" spans="1:13" s="15" customFormat="1" x14ac:dyDescent="0.3">
      <c r="A2917" s="17"/>
      <c r="B2917"/>
      <c r="C2917"/>
      <c r="D2917"/>
      <c r="E2917"/>
      <c r="F2917"/>
      <c r="G2917"/>
      <c r="H2917"/>
      <c r="I2917"/>
      <c r="M2917" s="54"/>
    </row>
    <row r="2918" spans="1:13" s="15" customFormat="1" x14ac:dyDescent="0.3">
      <c r="A2918" s="17"/>
      <c r="B2918"/>
      <c r="C2918"/>
      <c r="D2918"/>
      <c r="E2918"/>
      <c r="F2918"/>
      <c r="G2918"/>
      <c r="H2918"/>
      <c r="I2918"/>
      <c r="M2918" s="54"/>
    </row>
    <row r="2919" spans="1:13" s="15" customFormat="1" x14ac:dyDescent="0.3">
      <c r="A2919" s="17"/>
      <c r="B2919"/>
      <c r="C2919"/>
      <c r="D2919"/>
      <c r="E2919"/>
      <c r="F2919"/>
      <c r="G2919"/>
      <c r="H2919"/>
      <c r="I2919"/>
      <c r="M2919" s="54"/>
    </row>
    <row r="2920" spans="1:13" s="15" customFormat="1" x14ac:dyDescent="0.3">
      <c r="A2920" s="17"/>
      <c r="B2920"/>
      <c r="C2920"/>
      <c r="D2920"/>
      <c r="E2920"/>
      <c r="F2920"/>
      <c r="G2920"/>
      <c r="H2920"/>
      <c r="I2920"/>
      <c r="M2920" s="54"/>
    </row>
    <row r="2921" spans="1:13" s="15" customFormat="1" x14ac:dyDescent="0.3">
      <c r="A2921" s="17"/>
      <c r="B2921"/>
      <c r="C2921"/>
      <c r="D2921"/>
      <c r="E2921"/>
      <c r="F2921"/>
      <c r="G2921"/>
      <c r="H2921"/>
      <c r="I2921"/>
      <c r="M2921" s="54"/>
    </row>
    <row r="2922" spans="1:13" s="15" customFormat="1" x14ac:dyDescent="0.3">
      <c r="A2922" s="17"/>
      <c r="B2922"/>
      <c r="C2922"/>
      <c r="D2922"/>
      <c r="E2922"/>
      <c r="F2922"/>
      <c r="G2922"/>
      <c r="H2922"/>
      <c r="I2922"/>
      <c r="M2922" s="54"/>
    </row>
    <row r="2923" spans="1:13" s="15" customFormat="1" x14ac:dyDescent="0.3">
      <c r="A2923" s="17"/>
      <c r="B2923"/>
      <c r="C2923"/>
      <c r="D2923"/>
      <c r="E2923"/>
      <c r="F2923"/>
      <c r="G2923"/>
      <c r="H2923"/>
      <c r="I2923"/>
      <c r="M2923" s="54"/>
    </row>
    <row r="2924" spans="1:13" s="15" customFormat="1" x14ac:dyDescent="0.3">
      <c r="A2924" s="17"/>
      <c r="B2924"/>
      <c r="C2924"/>
      <c r="D2924"/>
      <c r="E2924"/>
      <c r="F2924"/>
      <c r="G2924"/>
      <c r="H2924"/>
      <c r="I2924"/>
      <c r="M2924" s="54"/>
    </row>
    <row r="2925" spans="1:13" s="15" customFormat="1" x14ac:dyDescent="0.3">
      <c r="A2925" s="17"/>
      <c r="B2925"/>
      <c r="C2925"/>
      <c r="D2925"/>
      <c r="E2925"/>
      <c r="F2925"/>
      <c r="G2925"/>
      <c r="H2925"/>
      <c r="I2925"/>
      <c r="M2925" s="54"/>
    </row>
    <row r="2926" spans="1:13" s="15" customFormat="1" x14ac:dyDescent="0.3">
      <c r="A2926" s="17"/>
      <c r="B2926"/>
      <c r="C2926"/>
      <c r="D2926"/>
      <c r="E2926"/>
      <c r="F2926"/>
      <c r="G2926"/>
      <c r="H2926"/>
      <c r="I2926"/>
      <c r="M2926" s="54"/>
    </row>
    <row r="2927" spans="1:13" s="15" customFormat="1" x14ac:dyDescent="0.3">
      <c r="A2927" s="17"/>
      <c r="B2927"/>
      <c r="C2927"/>
      <c r="D2927"/>
      <c r="E2927"/>
      <c r="F2927"/>
      <c r="G2927"/>
      <c r="H2927"/>
      <c r="I2927"/>
      <c r="M2927" s="54"/>
    </row>
    <row r="2928" spans="1:13" s="15" customFormat="1" x14ac:dyDescent="0.3">
      <c r="A2928" s="17"/>
      <c r="B2928"/>
      <c r="C2928"/>
      <c r="D2928"/>
      <c r="E2928"/>
      <c r="F2928"/>
      <c r="G2928"/>
      <c r="H2928"/>
      <c r="I2928"/>
      <c r="M2928" s="54"/>
    </row>
    <row r="2929" spans="1:13" s="15" customFormat="1" x14ac:dyDescent="0.3">
      <c r="A2929" s="17"/>
      <c r="B2929"/>
      <c r="C2929"/>
      <c r="D2929"/>
      <c r="E2929"/>
      <c r="F2929"/>
      <c r="G2929"/>
      <c r="H2929"/>
      <c r="I2929"/>
      <c r="M2929" s="54"/>
    </row>
    <row r="2930" spans="1:13" s="15" customFormat="1" x14ac:dyDescent="0.3">
      <c r="A2930" s="17"/>
      <c r="B2930"/>
      <c r="C2930"/>
      <c r="D2930"/>
      <c r="E2930"/>
      <c r="F2930"/>
      <c r="G2930"/>
      <c r="H2930"/>
      <c r="I2930"/>
      <c r="M2930" s="54"/>
    </row>
    <row r="2931" spans="1:13" s="15" customFormat="1" x14ac:dyDescent="0.3">
      <c r="A2931" s="17"/>
      <c r="B2931"/>
      <c r="C2931"/>
      <c r="D2931"/>
      <c r="E2931"/>
      <c r="F2931"/>
      <c r="G2931"/>
      <c r="H2931"/>
      <c r="I2931"/>
      <c r="M2931" s="54"/>
    </row>
    <row r="2932" spans="1:13" s="15" customFormat="1" x14ac:dyDescent="0.3">
      <c r="A2932" s="17"/>
      <c r="B2932"/>
      <c r="C2932"/>
      <c r="D2932"/>
      <c r="E2932"/>
      <c r="F2932"/>
      <c r="G2932"/>
      <c r="H2932"/>
      <c r="I2932"/>
      <c r="M2932" s="54"/>
    </row>
    <row r="2933" spans="1:13" s="15" customFormat="1" x14ac:dyDescent="0.3">
      <c r="A2933" s="17"/>
      <c r="B2933"/>
      <c r="C2933"/>
      <c r="D2933"/>
      <c r="E2933"/>
      <c r="F2933"/>
      <c r="G2933"/>
      <c r="H2933"/>
      <c r="I2933"/>
      <c r="M2933" s="54"/>
    </row>
    <row r="2934" spans="1:13" s="15" customFormat="1" x14ac:dyDescent="0.3">
      <c r="A2934" s="17"/>
      <c r="B2934"/>
      <c r="C2934"/>
      <c r="D2934"/>
      <c r="E2934"/>
      <c r="F2934"/>
      <c r="G2934"/>
      <c r="H2934"/>
      <c r="I2934"/>
      <c r="M2934" s="54"/>
    </row>
    <row r="2935" spans="1:13" s="15" customFormat="1" x14ac:dyDescent="0.3">
      <c r="A2935" s="17"/>
      <c r="B2935"/>
      <c r="C2935"/>
      <c r="D2935"/>
      <c r="E2935"/>
      <c r="F2935"/>
      <c r="G2935"/>
      <c r="H2935"/>
      <c r="I2935"/>
      <c r="M2935" s="54"/>
    </row>
    <row r="2936" spans="1:13" s="15" customFormat="1" x14ac:dyDescent="0.3">
      <c r="A2936" s="17"/>
      <c r="B2936"/>
      <c r="C2936"/>
      <c r="D2936"/>
      <c r="E2936"/>
      <c r="F2936"/>
      <c r="G2936"/>
      <c r="H2936"/>
      <c r="I2936"/>
      <c r="M2936" s="54"/>
    </row>
    <row r="2937" spans="1:13" s="15" customFormat="1" x14ac:dyDescent="0.3">
      <c r="A2937" s="17"/>
      <c r="B2937"/>
      <c r="C2937"/>
      <c r="D2937"/>
      <c r="E2937"/>
      <c r="F2937"/>
      <c r="G2937"/>
      <c r="H2937"/>
      <c r="I2937"/>
      <c r="M2937" s="54"/>
    </row>
    <row r="2938" spans="1:13" s="15" customFormat="1" x14ac:dyDescent="0.3">
      <c r="A2938" s="17"/>
      <c r="B2938"/>
      <c r="C2938"/>
      <c r="D2938"/>
      <c r="E2938"/>
      <c r="F2938"/>
      <c r="G2938"/>
      <c r="H2938"/>
      <c r="I2938"/>
      <c r="M2938" s="54"/>
    </row>
    <row r="2939" spans="1:13" s="15" customFormat="1" x14ac:dyDescent="0.3">
      <c r="A2939" s="17"/>
      <c r="B2939"/>
      <c r="C2939"/>
      <c r="D2939"/>
      <c r="E2939"/>
      <c r="F2939"/>
      <c r="G2939"/>
      <c r="H2939"/>
      <c r="I2939"/>
      <c r="M2939" s="54"/>
    </row>
    <row r="2940" spans="1:13" s="15" customFormat="1" x14ac:dyDescent="0.3">
      <c r="A2940" s="17"/>
      <c r="B2940"/>
      <c r="C2940"/>
      <c r="D2940"/>
      <c r="E2940"/>
      <c r="F2940"/>
      <c r="G2940"/>
      <c r="H2940"/>
      <c r="I2940"/>
      <c r="M2940" s="54"/>
    </row>
    <row r="2941" spans="1:13" s="15" customFormat="1" x14ac:dyDescent="0.3">
      <c r="A2941" s="17"/>
      <c r="B2941"/>
      <c r="C2941"/>
      <c r="D2941"/>
      <c r="E2941"/>
      <c r="F2941"/>
      <c r="G2941"/>
      <c r="H2941"/>
      <c r="I2941"/>
      <c r="M2941" s="54"/>
    </row>
    <row r="2942" spans="1:13" s="15" customFormat="1" x14ac:dyDescent="0.3">
      <c r="A2942" s="17"/>
      <c r="B2942"/>
      <c r="C2942"/>
      <c r="D2942"/>
      <c r="E2942"/>
      <c r="F2942"/>
      <c r="G2942"/>
      <c r="H2942"/>
      <c r="I2942"/>
      <c r="M2942" s="54"/>
    </row>
    <row r="2943" spans="1:13" s="15" customFormat="1" x14ac:dyDescent="0.3">
      <c r="A2943" s="17"/>
      <c r="B2943"/>
      <c r="C2943"/>
      <c r="D2943"/>
      <c r="E2943"/>
      <c r="F2943"/>
      <c r="G2943"/>
      <c r="H2943"/>
      <c r="I2943"/>
      <c r="M2943" s="54"/>
    </row>
    <row r="2944" spans="1:13" s="15" customFormat="1" x14ac:dyDescent="0.3">
      <c r="A2944" s="17"/>
      <c r="B2944"/>
      <c r="C2944"/>
      <c r="D2944"/>
      <c r="E2944"/>
      <c r="F2944"/>
      <c r="G2944"/>
      <c r="H2944"/>
      <c r="I2944"/>
      <c r="M2944" s="54"/>
    </row>
    <row r="2945" spans="1:13" s="15" customFormat="1" x14ac:dyDescent="0.3">
      <c r="A2945" s="17"/>
      <c r="B2945"/>
      <c r="C2945"/>
      <c r="D2945"/>
      <c r="E2945"/>
      <c r="F2945"/>
      <c r="G2945"/>
      <c r="H2945"/>
      <c r="I2945"/>
      <c r="M2945" s="54"/>
    </row>
    <row r="2946" spans="1:13" s="15" customFormat="1" x14ac:dyDescent="0.3">
      <c r="A2946" s="17"/>
      <c r="B2946"/>
      <c r="C2946"/>
      <c r="D2946"/>
      <c r="E2946"/>
      <c r="F2946"/>
      <c r="G2946"/>
      <c r="H2946"/>
      <c r="I2946"/>
      <c r="M2946" s="54"/>
    </row>
    <row r="2947" spans="1:13" s="15" customFormat="1" x14ac:dyDescent="0.3">
      <c r="A2947" s="17"/>
      <c r="B2947"/>
      <c r="C2947"/>
      <c r="D2947"/>
      <c r="E2947"/>
      <c r="F2947"/>
      <c r="G2947"/>
      <c r="H2947"/>
      <c r="I2947"/>
      <c r="M2947" s="54"/>
    </row>
    <row r="2948" spans="1:13" s="15" customFormat="1" x14ac:dyDescent="0.3">
      <c r="A2948" s="17"/>
      <c r="B2948"/>
      <c r="C2948"/>
      <c r="D2948"/>
      <c r="E2948"/>
      <c r="F2948"/>
      <c r="G2948"/>
      <c r="H2948"/>
      <c r="I2948"/>
      <c r="M2948" s="54"/>
    </row>
    <row r="2949" spans="1:13" s="15" customFormat="1" x14ac:dyDescent="0.3">
      <c r="A2949" s="17"/>
      <c r="B2949"/>
      <c r="C2949"/>
      <c r="D2949"/>
      <c r="E2949"/>
      <c r="F2949"/>
      <c r="G2949"/>
      <c r="H2949"/>
      <c r="I2949"/>
      <c r="M2949" s="54"/>
    </row>
    <row r="2950" spans="1:13" s="15" customFormat="1" x14ac:dyDescent="0.3">
      <c r="A2950" s="17"/>
      <c r="B2950"/>
      <c r="C2950"/>
      <c r="D2950"/>
      <c r="E2950"/>
      <c r="F2950"/>
      <c r="G2950"/>
      <c r="H2950"/>
      <c r="I2950"/>
      <c r="M2950" s="54"/>
    </row>
    <row r="2951" spans="1:13" s="15" customFormat="1" x14ac:dyDescent="0.3">
      <c r="A2951" s="17"/>
      <c r="B2951"/>
      <c r="C2951"/>
      <c r="D2951"/>
      <c r="E2951"/>
      <c r="F2951"/>
      <c r="G2951"/>
      <c r="H2951"/>
      <c r="I2951"/>
      <c r="M2951" s="54"/>
    </row>
    <row r="2952" spans="1:13" s="15" customFormat="1" x14ac:dyDescent="0.3">
      <c r="A2952" s="17"/>
      <c r="B2952"/>
      <c r="C2952"/>
      <c r="D2952"/>
      <c r="E2952"/>
      <c r="F2952"/>
      <c r="G2952"/>
      <c r="H2952"/>
      <c r="I2952"/>
      <c r="M2952" s="54"/>
    </row>
    <row r="2953" spans="1:13" s="15" customFormat="1" x14ac:dyDescent="0.3">
      <c r="A2953" s="17"/>
      <c r="B2953"/>
      <c r="C2953"/>
      <c r="D2953"/>
      <c r="E2953"/>
      <c r="F2953"/>
      <c r="G2953"/>
      <c r="H2953"/>
      <c r="I2953"/>
      <c r="M2953" s="54"/>
    </row>
    <row r="2954" spans="1:13" s="15" customFormat="1" x14ac:dyDescent="0.3">
      <c r="A2954" s="17"/>
      <c r="B2954"/>
      <c r="C2954"/>
      <c r="D2954"/>
      <c r="E2954"/>
      <c r="F2954"/>
      <c r="G2954"/>
      <c r="H2954"/>
      <c r="I2954"/>
      <c r="M2954" s="54"/>
    </row>
    <row r="2955" spans="1:13" s="15" customFormat="1" x14ac:dyDescent="0.3">
      <c r="A2955" s="17"/>
      <c r="B2955"/>
      <c r="C2955"/>
      <c r="D2955"/>
      <c r="E2955"/>
      <c r="F2955"/>
      <c r="G2955"/>
      <c r="H2955"/>
      <c r="I2955"/>
      <c r="M2955" s="54"/>
    </row>
    <row r="2956" spans="1:13" s="15" customFormat="1" x14ac:dyDescent="0.3">
      <c r="A2956" s="17"/>
      <c r="B2956"/>
      <c r="C2956"/>
      <c r="D2956"/>
      <c r="E2956"/>
      <c r="F2956"/>
      <c r="G2956"/>
      <c r="H2956"/>
      <c r="I2956"/>
      <c r="M2956" s="54"/>
    </row>
    <row r="2957" spans="1:13" s="15" customFormat="1" x14ac:dyDescent="0.3">
      <c r="A2957" s="17"/>
      <c r="B2957"/>
      <c r="C2957"/>
      <c r="D2957"/>
      <c r="E2957"/>
      <c r="F2957"/>
      <c r="G2957"/>
      <c r="H2957"/>
      <c r="I2957"/>
      <c r="M2957" s="54"/>
    </row>
    <row r="2958" spans="1:13" s="15" customFormat="1" x14ac:dyDescent="0.3">
      <c r="A2958" s="17"/>
      <c r="B2958"/>
      <c r="C2958"/>
      <c r="D2958"/>
      <c r="E2958"/>
      <c r="F2958"/>
      <c r="G2958"/>
      <c r="H2958"/>
      <c r="I2958"/>
      <c r="M2958" s="54"/>
    </row>
    <row r="2959" spans="1:13" s="15" customFormat="1" x14ac:dyDescent="0.3">
      <c r="A2959" s="17"/>
      <c r="B2959"/>
      <c r="C2959"/>
      <c r="D2959"/>
      <c r="E2959"/>
      <c r="F2959"/>
      <c r="G2959"/>
      <c r="H2959"/>
      <c r="I2959"/>
      <c r="M2959" s="54"/>
    </row>
    <row r="2960" spans="1:13" s="15" customFormat="1" x14ac:dyDescent="0.3">
      <c r="A2960" s="17"/>
      <c r="B2960"/>
      <c r="C2960"/>
      <c r="D2960"/>
      <c r="E2960"/>
      <c r="F2960"/>
      <c r="G2960"/>
      <c r="H2960"/>
      <c r="I2960"/>
      <c r="M2960" s="54"/>
    </row>
    <row r="2961" spans="1:13" s="15" customFormat="1" x14ac:dyDescent="0.3">
      <c r="A2961" s="17"/>
      <c r="B2961"/>
      <c r="C2961"/>
      <c r="D2961"/>
      <c r="E2961"/>
      <c r="F2961"/>
      <c r="G2961"/>
      <c r="H2961"/>
      <c r="I2961"/>
      <c r="M2961" s="54"/>
    </row>
    <row r="2962" spans="1:13" s="15" customFormat="1" x14ac:dyDescent="0.3">
      <c r="A2962" s="17"/>
      <c r="B2962"/>
      <c r="C2962"/>
      <c r="D2962"/>
      <c r="E2962"/>
      <c r="F2962"/>
      <c r="G2962"/>
      <c r="H2962"/>
      <c r="I2962"/>
      <c r="M2962" s="54"/>
    </row>
    <row r="2963" spans="1:13" s="15" customFormat="1" x14ac:dyDescent="0.3">
      <c r="A2963" s="17"/>
      <c r="B2963"/>
      <c r="C2963"/>
      <c r="D2963"/>
      <c r="E2963"/>
      <c r="F2963"/>
      <c r="G2963"/>
      <c r="H2963"/>
      <c r="I2963"/>
      <c r="M2963" s="54"/>
    </row>
    <row r="2964" spans="1:13" s="15" customFormat="1" x14ac:dyDescent="0.3">
      <c r="A2964" s="17"/>
      <c r="B2964"/>
      <c r="C2964"/>
      <c r="D2964"/>
      <c r="E2964"/>
      <c r="F2964"/>
      <c r="G2964"/>
      <c r="H2964"/>
      <c r="I2964"/>
      <c r="M2964" s="54"/>
    </row>
    <row r="2965" spans="1:13" s="15" customFormat="1" x14ac:dyDescent="0.3">
      <c r="A2965" s="17"/>
      <c r="B2965"/>
      <c r="C2965"/>
      <c r="D2965"/>
      <c r="E2965"/>
      <c r="F2965"/>
      <c r="G2965"/>
      <c r="H2965"/>
      <c r="I2965"/>
      <c r="M2965" s="54"/>
    </row>
    <row r="2966" spans="1:13" s="15" customFormat="1" x14ac:dyDescent="0.3">
      <c r="A2966" s="17"/>
      <c r="B2966"/>
      <c r="C2966"/>
      <c r="D2966"/>
      <c r="E2966"/>
      <c r="F2966"/>
      <c r="G2966"/>
      <c r="H2966"/>
      <c r="I2966"/>
      <c r="M2966" s="54"/>
    </row>
    <row r="2967" spans="1:13" s="15" customFormat="1" x14ac:dyDescent="0.3">
      <c r="A2967" s="17"/>
      <c r="B2967"/>
      <c r="C2967"/>
      <c r="D2967"/>
      <c r="E2967"/>
      <c r="F2967"/>
      <c r="G2967"/>
      <c r="H2967"/>
      <c r="I2967"/>
      <c r="M2967" s="54"/>
    </row>
    <row r="2968" spans="1:13" s="15" customFormat="1" x14ac:dyDescent="0.3">
      <c r="A2968" s="17"/>
      <c r="B2968"/>
      <c r="C2968"/>
      <c r="D2968"/>
      <c r="E2968"/>
      <c r="F2968"/>
      <c r="G2968"/>
      <c r="H2968"/>
      <c r="I2968"/>
      <c r="M2968" s="54"/>
    </row>
    <row r="2969" spans="1:13" s="15" customFormat="1" x14ac:dyDescent="0.3">
      <c r="A2969" s="17"/>
      <c r="B2969"/>
      <c r="C2969"/>
      <c r="D2969"/>
      <c r="E2969"/>
      <c r="F2969"/>
      <c r="G2969"/>
      <c r="H2969"/>
      <c r="I2969"/>
      <c r="M2969" s="54"/>
    </row>
    <row r="2970" spans="1:13" s="15" customFormat="1" x14ac:dyDescent="0.3">
      <c r="A2970" s="17"/>
      <c r="B2970"/>
      <c r="C2970"/>
      <c r="D2970"/>
      <c r="E2970"/>
      <c r="F2970"/>
      <c r="G2970"/>
      <c r="H2970"/>
      <c r="I2970"/>
      <c r="M2970" s="54"/>
    </row>
    <row r="2971" spans="1:13" s="15" customFormat="1" x14ac:dyDescent="0.3">
      <c r="A2971" s="17"/>
      <c r="B2971"/>
      <c r="C2971"/>
      <c r="D2971"/>
      <c r="E2971"/>
      <c r="F2971"/>
      <c r="G2971"/>
      <c r="H2971"/>
      <c r="I2971"/>
      <c r="M2971" s="54"/>
    </row>
    <row r="2972" spans="1:13" s="15" customFormat="1" x14ac:dyDescent="0.3">
      <c r="A2972" s="17"/>
      <c r="B2972"/>
      <c r="C2972"/>
      <c r="D2972"/>
      <c r="E2972"/>
      <c r="F2972"/>
      <c r="G2972"/>
      <c r="H2972"/>
      <c r="I2972"/>
      <c r="M2972" s="54"/>
    </row>
    <row r="2973" spans="1:13" s="15" customFormat="1" x14ac:dyDescent="0.3">
      <c r="A2973" s="17"/>
      <c r="B2973"/>
      <c r="C2973"/>
      <c r="D2973"/>
      <c r="E2973"/>
      <c r="F2973"/>
      <c r="G2973"/>
      <c r="H2973"/>
      <c r="I2973"/>
      <c r="M2973" s="54"/>
    </row>
    <row r="2974" spans="1:13" s="15" customFormat="1" x14ac:dyDescent="0.3">
      <c r="A2974" s="17"/>
      <c r="B2974"/>
      <c r="C2974"/>
      <c r="D2974"/>
      <c r="E2974"/>
      <c r="F2974"/>
      <c r="G2974"/>
      <c r="H2974"/>
      <c r="I2974"/>
      <c r="M2974" s="54"/>
    </row>
    <row r="2975" spans="1:13" s="15" customFormat="1" x14ac:dyDescent="0.3">
      <c r="A2975" s="17"/>
      <c r="B2975"/>
      <c r="C2975"/>
      <c r="D2975"/>
      <c r="E2975"/>
      <c r="F2975"/>
      <c r="G2975"/>
      <c r="H2975"/>
      <c r="I2975"/>
      <c r="M2975" s="54"/>
    </row>
    <row r="2976" spans="1:13" s="15" customFormat="1" x14ac:dyDescent="0.3">
      <c r="A2976" s="17"/>
      <c r="B2976"/>
      <c r="C2976"/>
      <c r="D2976"/>
      <c r="E2976"/>
      <c r="F2976"/>
      <c r="G2976"/>
      <c r="H2976"/>
      <c r="I2976"/>
      <c r="M2976" s="54"/>
    </row>
    <row r="2977" spans="1:13" s="15" customFormat="1" x14ac:dyDescent="0.3">
      <c r="A2977" s="17"/>
      <c r="B2977"/>
      <c r="C2977"/>
      <c r="D2977"/>
      <c r="E2977"/>
      <c r="F2977"/>
      <c r="G2977"/>
      <c r="H2977"/>
      <c r="I2977"/>
      <c r="M2977" s="54"/>
    </row>
    <row r="2978" spans="1:13" s="15" customFormat="1" x14ac:dyDescent="0.3">
      <c r="A2978" s="17"/>
      <c r="B2978"/>
      <c r="C2978"/>
      <c r="D2978"/>
      <c r="E2978"/>
      <c r="F2978"/>
      <c r="G2978"/>
      <c r="H2978"/>
      <c r="I2978"/>
      <c r="M2978" s="54"/>
    </row>
    <row r="2979" spans="1:13" s="15" customFormat="1" x14ac:dyDescent="0.3">
      <c r="A2979" s="17"/>
      <c r="B2979"/>
      <c r="C2979"/>
      <c r="D2979"/>
      <c r="E2979"/>
      <c r="F2979"/>
      <c r="G2979"/>
      <c r="H2979"/>
      <c r="I2979"/>
      <c r="M2979" s="54"/>
    </row>
    <row r="2980" spans="1:13" s="15" customFormat="1" x14ac:dyDescent="0.3">
      <c r="A2980" s="17"/>
      <c r="B2980"/>
      <c r="C2980"/>
      <c r="D2980"/>
      <c r="E2980"/>
      <c r="F2980"/>
      <c r="G2980"/>
      <c r="H2980"/>
      <c r="I2980"/>
      <c r="M2980" s="54"/>
    </row>
    <row r="2981" spans="1:13" s="15" customFormat="1" x14ac:dyDescent="0.3">
      <c r="A2981" s="17"/>
      <c r="B2981"/>
      <c r="C2981"/>
      <c r="D2981"/>
      <c r="E2981"/>
      <c r="F2981"/>
      <c r="G2981"/>
      <c r="H2981"/>
      <c r="I2981"/>
      <c r="M2981" s="54"/>
    </row>
    <row r="2982" spans="1:13" s="15" customFormat="1" x14ac:dyDescent="0.3">
      <c r="A2982" s="17"/>
      <c r="B2982"/>
      <c r="C2982"/>
      <c r="D2982"/>
      <c r="E2982"/>
      <c r="F2982"/>
      <c r="G2982"/>
      <c r="H2982"/>
      <c r="I2982"/>
      <c r="M2982" s="54"/>
    </row>
    <row r="2983" spans="1:13" s="15" customFormat="1" x14ac:dyDescent="0.3">
      <c r="A2983" s="17"/>
      <c r="B2983"/>
      <c r="C2983"/>
      <c r="D2983"/>
      <c r="E2983"/>
      <c r="F2983"/>
      <c r="G2983"/>
      <c r="H2983"/>
      <c r="I2983"/>
      <c r="M2983" s="54"/>
    </row>
    <row r="2984" spans="1:13" s="15" customFormat="1" x14ac:dyDescent="0.3">
      <c r="A2984" s="17"/>
      <c r="B2984"/>
      <c r="C2984"/>
      <c r="D2984"/>
      <c r="E2984"/>
      <c r="F2984"/>
      <c r="G2984"/>
      <c r="H2984"/>
      <c r="I2984"/>
      <c r="M2984" s="54"/>
    </row>
    <row r="2985" spans="1:13" s="15" customFormat="1" x14ac:dyDescent="0.3">
      <c r="A2985" s="17"/>
      <c r="B2985"/>
      <c r="C2985"/>
      <c r="D2985"/>
      <c r="E2985"/>
      <c r="F2985"/>
      <c r="G2985"/>
      <c r="H2985"/>
      <c r="I2985"/>
      <c r="M2985" s="54"/>
    </row>
    <row r="2986" spans="1:13" s="15" customFormat="1" x14ac:dyDescent="0.3">
      <c r="A2986" s="17"/>
      <c r="B2986"/>
      <c r="C2986"/>
      <c r="D2986"/>
      <c r="E2986"/>
      <c r="F2986"/>
      <c r="G2986"/>
      <c r="H2986"/>
      <c r="I2986"/>
      <c r="M2986" s="54"/>
    </row>
    <row r="2987" spans="1:13" s="15" customFormat="1" x14ac:dyDescent="0.3">
      <c r="A2987" s="17"/>
      <c r="B2987"/>
      <c r="C2987"/>
      <c r="D2987"/>
      <c r="E2987"/>
      <c r="F2987"/>
      <c r="G2987"/>
      <c r="H2987"/>
      <c r="I2987"/>
      <c r="M2987" s="54"/>
    </row>
    <row r="2988" spans="1:13" s="15" customFormat="1" x14ac:dyDescent="0.3">
      <c r="A2988" s="17"/>
      <c r="B2988"/>
      <c r="C2988"/>
      <c r="D2988"/>
      <c r="E2988"/>
      <c r="F2988"/>
      <c r="G2988"/>
      <c r="H2988"/>
      <c r="I2988"/>
      <c r="M2988" s="54"/>
    </row>
    <row r="2989" spans="1:13" s="15" customFormat="1" x14ac:dyDescent="0.3">
      <c r="A2989" s="17"/>
      <c r="B2989"/>
      <c r="C2989"/>
      <c r="D2989"/>
      <c r="E2989"/>
      <c r="F2989"/>
      <c r="G2989"/>
      <c r="H2989"/>
      <c r="I2989"/>
      <c r="M2989" s="54"/>
    </row>
    <row r="2990" spans="1:13" s="15" customFormat="1" x14ac:dyDescent="0.3">
      <c r="A2990" s="17"/>
      <c r="B2990"/>
      <c r="C2990"/>
      <c r="D2990"/>
      <c r="E2990"/>
      <c r="F2990"/>
      <c r="G2990"/>
      <c r="H2990"/>
      <c r="I2990"/>
      <c r="M2990" s="54"/>
    </row>
    <row r="2991" spans="1:13" s="15" customFormat="1" x14ac:dyDescent="0.3">
      <c r="A2991" s="17"/>
      <c r="B2991"/>
      <c r="C2991"/>
      <c r="D2991"/>
      <c r="E2991"/>
      <c r="F2991"/>
      <c r="G2991"/>
      <c r="H2991"/>
      <c r="I2991"/>
      <c r="M2991" s="54"/>
    </row>
    <row r="2992" spans="1:13" s="15" customFormat="1" x14ac:dyDescent="0.3">
      <c r="A2992" s="17"/>
      <c r="B2992"/>
      <c r="C2992"/>
      <c r="D2992"/>
      <c r="E2992"/>
      <c r="F2992"/>
      <c r="G2992"/>
      <c r="H2992"/>
      <c r="I2992"/>
      <c r="M2992" s="54"/>
    </row>
    <row r="2993" spans="1:13" s="15" customFormat="1" x14ac:dyDescent="0.3">
      <c r="A2993" s="17"/>
      <c r="B2993"/>
      <c r="C2993"/>
      <c r="D2993"/>
      <c r="E2993"/>
      <c r="F2993"/>
      <c r="G2993"/>
      <c r="H2993"/>
      <c r="I2993"/>
      <c r="M2993" s="54"/>
    </row>
    <row r="2994" spans="1:13" s="15" customFormat="1" x14ac:dyDescent="0.3">
      <c r="A2994" s="17"/>
      <c r="B2994"/>
      <c r="C2994"/>
      <c r="D2994"/>
      <c r="E2994"/>
      <c r="F2994"/>
      <c r="G2994"/>
      <c r="H2994"/>
      <c r="I2994"/>
      <c r="M2994" s="54"/>
    </row>
    <row r="2995" spans="1:13" s="15" customFormat="1" x14ac:dyDescent="0.3">
      <c r="A2995" s="17"/>
      <c r="B2995"/>
      <c r="C2995"/>
      <c r="D2995"/>
      <c r="E2995"/>
      <c r="F2995"/>
      <c r="G2995"/>
      <c r="H2995"/>
      <c r="I2995"/>
      <c r="M2995" s="54"/>
    </row>
    <row r="2996" spans="1:13" s="15" customFormat="1" x14ac:dyDescent="0.3">
      <c r="A2996" s="17"/>
      <c r="B2996"/>
      <c r="C2996"/>
      <c r="D2996"/>
      <c r="E2996"/>
      <c r="F2996"/>
      <c r="G2996"/>
      <c r="H2996"/>
      <c r="I2996"/>
      <c r="M2996" s="54"/>
    </row>
    <row r="2997" spans="1:13" s="15" customFormat="1" x14ac:dyDescent="0.3">
      <c r="A2997" s="17"/>
      <c r="B2997"/>
      <c r="C2997"/>
      <c r="D2997"/>
      <c r="E2997"/>
      <c r="F2997"/>
      <c r="G2997"/>
      <c r="H2997"/>
      <c r="I2997"/>
      <c r="M2997" s="54"/>
    </row>
    <row r="2998" spans="1:13" s="15" customFormat="1" x14ac:dyDescent="0.3">
      <c r="A2998" s="17"/>
      <c r="B2998"/>
      <c r="C2998"/>
      <c r="D2998"/>
      <c r="E2998"/>
      <c r="F2998"/>
      <c r="G2998"/>
      <c r="H2998"/>
      <c r="I2998"/>
      <c r="M2998" s="54"/>
    </row>
    <row r="2999" spans="1:13" s="15" customFormat="1" x14ac:dyDescent="0.3">
      <c r="A2999" s="17"/>
      <c r="B2999"/>
      <c r="C2999"/>
      <c r="D2999"/>
      <c r="E2999"/>
      <c r="F2999"/>
      <c r="G2999"/>
      <c r="H2999"/>
      <c r="I2999"/>
      <c r="M2999" s="54"/>
    </row>
    <row r="3000" spans="1:13" s="15" customFormat="1" x14ac:dyDescent="0.3">
      <c r="A3000" s="17"/>
      <c r="B3000"/>
      <c r="C3000"/>
      <c r="D3000"/>
      <c r="E3000"/>
      <c r="F3000"/>
      <c r="G3000"/>
      <c r="H3000"/>
      <c r="I3000"/>
      <c r="M3000" s="54"/>
    </row>
    <row r="3001" spans="1:13" s="15" customFormat="1" x14ac:dyDescent="0.3">
      <c r="A3001" s="17"/>
      <c r="B3001"/>
      <c r="C3001"/>
      <c r="D3001"/>
      <c r="E3001"/>
      <c r="F3001"/>
      <c r="G3001"/>
      <c r="H3001"/>
      <c r="I3001"/>
      <c r="M3001" s="54"/>
    </row>
    <row r="3002" spans="1:13" s="15" customFormat="1" x14ac:dyDescent="0.3">
      <c r="A3002" s="17"/>
      <c r="B3002"/>
      <c r="C3002"/>
      <c r="D3002"/>
      <c r="E3002"/>
      <c r="F3002"/>
      <c r="G3002"/>
      <c r="H3002"/>
      <c r="I3002"/>
      <c r="M3002" s="54"/>
    </row>
    <row r="3003" spans="1:13" s="15" customFormat="1" x14ac:dyDescent="0.3">
      <c r="A3003" s="17"/>
      <c r="B3003"/>
      <c r="C3003"/>
      <c r="D3003"/>
      <c r="E3003"/>
      <c r="F3003"/>
      <c r="G3003"/>
      <c r="H3003"/>
      <c r="I3003"/>
      <c r="M3003" s="54"/>
    </row>
    <row r="3004" spans="1:13" s="15" customFormat="1" x14ac:dyDescent="0.3">
      <c r="A3004" s="17"/>
      <c r="B3004"/>
      <c r="C3004"/>
      <c r="D3004"/>
      <c r="E3004"/>
      <c r="F3004"/>
      <c r="G3004"/>
      <c r="H3004"/>
      <c r="I3004"/>
      <c r="M3004" s="54"/>
    </row>
    <row r="3005" spans="1:13" s="15" customFormat="1" x14ac:dyDescent="0.3">
      <c r="A3005" s="17"/>
      <c r="B3005"/>
      <c r="C3005"/>
      <c r="D3005"/>
      <c r="E3005"/>
      <c r="F3005"/>
      <c r="G3005"/>
      <c r="H3005"/>
      <c r="I3005"/>
      <c r="M3005" s="54"/>
    </row>
    <row r="3006" spans="1:13" s="15" customFormat="1" x14ac:dyDescent="0.3">
      <c r="A3006" s="17"/>
      <c r="B3006"/>
      <c r="C3006"/>
      <c r="D3006"/>
      <c r="E3006"/>
      <c r="F3006"/>
      <c r="G3006"/>
      <c r="H3006"/>
      <c r="I3006"/>
      <c r="M3006" s="54"/>
    </row>
    <row r="3007" spans="1:13" s="15" customFormat="1" x14ac:dyDescent="0.3">
      <c r="A3007" s="17"/>
      <c r="B3007"/>
      <c r="C3007"/>
      <c r="D3007"/>
      <c r="E3007"/>
      <c r="F3007"/>
      <c r="G3007"/>
      <c r="H3007"/>
      <c r="I3007"/>
      <c r="M3007" s="54"/>
    </row>
    <row r="3008" spans="1:13" s="15" customFormat="1" x14ac:dyDescent="0.3">
      <c r="A3008" s="17"/>
      <c r="B3008"/>
      <c r="C3008"/>
      <c r="D3008"/>
      <c r="E3008"/>
      <c r="F3008"/>
      <c r="G3008"/>
      <c r="H3008"/>
      <c r="I3008"/>
      <c r="M3008" s="54"/>
    </row>
    <row r="3009" spans="1:13" s="15" customFormat="1" x14ac:dyDescent="0.3">
      <c r="A3009" s="17"/>
      <c r="B3009"/>
      <c r="C3009"/>
      <c r="D3009"/>
      <c r="E3009"/>
      <c r="F3009"/>
      <c r="G3009"/>
      <c r="H3009"/>
      <c r="I3009"/>
      <c r="M3009" s="54"/>
    </row>
    <row r="3010" spans="1:13" s="15" customFormat="1" x14ac:dyDescent="0.3">
      <c r="A3010" s="17"/>
      <c r="B3010"/>
      <c r="C3010"/>
      <c r="D3010"/>
      <c r="E3010"/>
      <c r="F3010"/>
      <c r="G3010"/>
      <c r="H3010"/>
      <c r="I3010"/>
      <c r="M3010" s="54"/>
    </row>
    <row r="3011" spans="1:13" s="15" customFormat="1" x14ac:dyDescent="0.3">
      <c r="A3011" s="17"/>
      <c r="B3011"/>
      <c r="C3011"/>
      <c r="D3011"/>
      <c r="E3011"/>
      <c r="F3011"/>
      <c r="G3011"/>
      <c r="H3011"/>
      <c r="I3011"/>
      <c r="M3011" s="54"/>
    </row>
    <row r="3012" spans="1:13" s="15" customFormat="1" x14ac:dyDescent="0.3">
      <c r="A3012" s="17"/>
      <c r="B3012"/>
      <c r="C3012"/>
      <c r="D3012"/>
      <c r="E3012"/>
      <c r="F3012"/>
      <c r="G3012"/>
      <c r="H3012"/>
      <c r="I3012"/>
      <c r="M3012" s="54"/>
    </row>
    <row r="3013" spans="1:13" s="15" customFormat="1" x14ac:dyDescent="0.3">
      <c r="A3013" s="17"/>
      <c r="B3013"/>
      <c r="C3013"/>
      <c r="D3013"/>
      <c r="E3013"/>
      <c r="F3013"/>
      <c r="G3013"/>
      <c r="H3013"/>
      <c r="I3013"/>
      <c r="M3013" s="54"/>
    </row>
    <row r="3014" spans="1:13" s="15" customFormat="1" x14ac:dyDescent="0.3">
      <c r="A3014" s="17"/>
      <c r="B3014"/>
      <c r="C3014"/>
      <c r="D3014"/>
      <c r="E3014"/>
      <c r="F3014"/>
      <c r="G3014"/>
      <c r="H3014"/>
      <c r="I3014"/>
      <c r="M3014" s="54"/>
    </row>
  </sheetData>
  <mergeCells count="3">
    <mergeCell ref="F14:H14"/>
    <mergeCell ref="F25:H25"/>
    <mergeCell ref="A11:H11"/>
  </mergeCells>
  <pageMargins left="0.511811024" right="0.511811024" top="0.78740157499999996" bottom="0.78740157499999996" header="0.31496062000000002" footer="0.31496062000000002"/>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037D9-72BB-4233-9058-351C214C502B}">
  <sheetPr codeName="Planilha66">
    <tabColor theme="9" tint="0.59999389629810485"/>
  </sheetPr>
  <dimension ref="A1:Y525"/>
  <sheetViews>
    <sheetView showGridLines="0" topLeftCell="A2" zoomScale="85" zoomScaleNormal="85" workbookViewId="0">
      <selection activeCell="B14" sqref="B14"/>
    </sheetView>
  </sheetViews>
  <sheetFormatPr defaultColWidth="8.85546875" defaultRowHeight="18.75" x14ac:dyDescent="0.3"/>
  <cols>
    <col min="1" max="1" width="18.5703125" style="17" customWidth="1"/>
    <col min="2" max="2" width="49" customWidth="1"/>
    <col min="4" max="4" width="8.5703125" bestFit="1" customWidth="1"/>
    <col min="5" max="5" width="4.5703125" customWidth="1"/>
    <col min="6" max="6" width="8.7109375" bestFit="1" customWidth="1"/>
    <col min="7" max="10" width="17" bestFit="1" customWidth="1"/>
    <col min="11" max="11" width="12.85546875" bestFit="1" customWidth="1"/>
    <col min="13" max="15" width="9" style="15" customWidth="1"/>
    <col min="16" max="24" width="8.85546875" style="15"/>
  </cols>
  <sheetData>
    <row r="1" spans="1:24" x14ac:dyDescent="0.3">
      <c r="A1" s="16" t="s">
        <v>664</v>
      </c>
      <c r="M1" s="14"/>
      <c r="N1" s="14"/>
      <c r="O1" s="14"/>
      <c r="P1" s="14"/>
      <c r="Q1" s="14"/>
      <c r="R1" s="14"/>
      <c r="S1" s="14"/>
      <c r="T1" s="14"/>
      <c r="U1" s="14"/>
      <c r="V1" s="14"/>
      <c r="W1" s="14"/>
      <c r="X1" s="14"/>
    </row>
    <row r="2" spans="1:24" x14ac:dyDescent="0.3">
      <c r="A2" s="17" t="s">
        <v>665</v>
      </c>
      <c r="M2" s="14"/>
      <c r="N2" s="14"/>
      <c r="O2" s="14"/>
      <c r="P2" s="14"/>
      <c r="Q2" s="14"/>
      <c r="R2" s="14"/>
      <c r="S2" s="14"/>
      <c r="T2" s="14"/>
      <c r="U2" s="14"/>
      <c r="V2" s="14"/>
      <c r="W2" s="14"/>
      <c r="X2" s="14"/>
    </row>
    <row r="3" spans="1:24" ht="15" x14ac:dyDescent="0.25">
      <c r="A3" s="120" t="s">
        <v>649</v>
      </c>
      <c r="M3" s="14"/>
      <c r="N3" s="14"/>
      <c r="O3" s="14"/>
      <c r="P3" s="14"/>
      <c r="Q3" s="14"/>
      <c r="R3" s="14"/>
      <c r="S3" s="14"/>
      <c r="T3" s="14"/>
      <c r="U3" s="14"/>
      <c r="V3" s="14"/>
      <c r="W3" s="14"/>
      <c r="X3" s="14"/>
    </row>
    <row r="4" spans="1:24" ht="15" x14ac:dyDescent="0.25">
      <c r="A4" s="120" t="s">
        <v>647</v>
      </c>
      <c r="M4" s="14"/>
      <c r="N4" s="14"/>
      <c r="O4" s="14"/>
      <c r="P4" s="14"/>
      <c r="Q4" s="14"/>
      <c r="R4" s="14"/>
      <c r="S4" s="14"/>
      <c r="T4" s="14"/>
      <c r="U4" s="14"/>
      <c r="V4" s="14"/>
      <c r="W4" s="14"/>
      <c r="X4" s="14"/>
    </row>
    <row r="5" spans="1:24" ht="15" x14ac:dyDescent="0.25">
      <c r="A5" s="120" t="s">
        <v>648</v>
      </c>
      <c r="M5" s="14"/>
      <c r="N5" s="14"/>
      <c r="O5" s="14"/>
      <c r="P5" s="14"/>
      <c r="Q5" s="14"/>
      <c r="R5" s="14"/>
      <c r="S5" s="14"/>
      <c r="T5" s="14"/>
      <c r="U5" s="14"/>
      <c r="V5" s="14"/>
      <c r="W5" s="14"/>
      <c r="X5" s="14"/>
    </row>
    <row r="6" spans="1:24" ht="15" x14ac:dyDescent="0.25">
      <c r="A6" s="120" t="s">
        <v>663</v>
      </c>
      <c r="M6" s="14"/>
      <c r="N6" s="14"/>
      <c r="O6" s="14"/>
      <c r="P6" s="14"/>
      <c r="Q6" s="14"/>
      <c r="R6" s="14"/>
      <c r="S6" s="14"/>
      <c r="T6" s="14"/>
      <c r="U6" s="14"/>
      <c r="V6" s="14"/>
      <c r="W6" s="14"/>
      <c r="X6" s="14"/>
    </row>
    <row r="7" spans="1:24" ht="15" x14ac:dyDescent="0.25">
      <c r="A7" s="120"/>
      <c r="M7" s="14"/>
      <c r="N7" s="14"/>
      <c r="O7" s="14"/>
      <c r="P7" s="14"/>
      <c r="Q7" s="14"/>
      <c r="R7" s="14"/>
      <c r="S7" s="14"/>
      <c r="T7" s="14"/>
      <c r="U7" s="14"/>
      <c r="V7" s="14"/>
      <c r="W7" s="14"/>
      <c r="X7" s="14"/>
    </row>
    <row r="8" spans="1:24" x14ac:dyDescent="0.3">
      <c r="A8" s="17" t="s">
        <v>666</v>
      </c>
      <c r="M8" s="14"/>
      <c r="N8" s="14"/>
      <c r="O8" s="14"/>
      <c r="P8" s="14"/>
      <c r="Q8" s="14"/>
      <c r="R8" s="14"/>
      <c r="S8" s="14"/>
      <c r="T8" s="14"/>
      <c r="U8" s="14"/>
      <c r="V8" s="14"/>
      <c r="W8" s="14"/>
      <c r="X8" s="14"/>
    </row>
    <row r="10" spans="1:24" ht="15.75" x14ac:dyDescent="0.25">
      <c r="A10" s="2" t="s">
        <v>15</v>
      </c>
      <c r="B10" s="2" t="s">
        <v>16</v>
      </c>
    </row>
    <row r="11" spans="1:24" ht="15.75" x14ac:dyDescent="0.25">
      <c r="A11" s="23" t="s">
        <v>651</v>
      </c>
      <c r="B11" s="24" t="s">
        <v>655</v>
      </c>
    </row>
    <row r="12" spans="1:24" ht="15.75" x14ac:dyDescent="0.25">
      <c r="A12" s="23" t="s">
        <v>652</v>
      </c>
      <c r="B12" s="24" t="s">
        <v>656</v>
      </c>
    </row>
    <row r="13" spans="1:24" ht="15.75" x14ac:dyDescent="0.25">
      <c r="A13" s="23" t="s">
        <v>653</v>
      </c>
      <c r="B13" s="24" t="s">
        <v>657</v>
      </c>
    </row>
    <row r="14" spans="1:24" ht="15.75" x14ac:dyDescent="0.25">
      <c r="A14" s="23" t="s">
        <v>654</v>
      </c>
      <c r="B14" s="24" t="s">
        <v>658</v>
      </c>
    </row>
    <row r="15" spans="1:24" ht="31.5" x14ac:dyDescent="0.25">
      <c r="A15" s="23" t="s">
        <v>246</v>
      </c>
      <c r="B15" s="24" t="s">
        <v>824</v>
      </c>
    </row>
    <row r="16" spans="1:24" ht="15.75" x14ac:dyDescent="0.25">
      <c r="A16" s="23"/>
      <c r="B16" s="24"/>
      <c r="I16" t="s">
        <v>644</v>
      </c>
      <c r="J16" t="s">
        <v>645</v>
      </c>
    </row>
    <row r="17" spans="1:25" x14ac:dyDescent="0.3">
      <c r="D17" s="1" t="s">
        <v>17</v>
      </c>
      <c r="G17" s="1" t="s">
        <v>642</v>
      </c>
      <c r="H17" s="1" t="s">
        <v>643</v>
      </c>
      <c r="I17" s="13" t="s">
        <v>651</v>
      </c>
      <c r="J17" s="13" t="s">
        <v>652</v>
      </c>
      <c r="K17" s="13" t="s">
        <v>246</v>
      </c>
      <c r="M17" s="15" t="s">
        <v>661</v>
      </c>
      <c r="O17" s="15" t="s">
        <v>662</v>
      </c>
    </row>
    <row r="18" spans="1:25" x14ac:dyDescent="0.3">
      <c r="F18" s="121">
        <v>43465</v>
      </c>
      <c r="G18" s="53">
        <v>233.81840500000001</v>
      </c>
      <c r="H18" s="53">
        <v>88.142380000000003</v>
      </c>
      <c r="I18" s="102"/>
      <c r="J18" s="102"/>
      <c r="K18" s="55" t="b">
        <v>0</v>
      </c>
      <c r="M18" s="123" cm="1">
        <f t="array" ref="M18">_xlfn.LAMBDA(_xlpm.sampleNonCrisis_1,_xlpm.sampleNonCrisis_2,_xlpm.sampleCrisis_1,_xlpm.sampleCrisis_2,_xlop.returnPValue,_xlfn.LET(_xlpm.volNonCrisis_1,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_xlpm.zStat, (1 / 2 * LN((1 + _xlpm.corrCrisisAdj) / (1 - _xlpm.corrCrisisAdj)) - 1 / 2 * LN((1 + _xlpm.corrNonCrisis) / (1 - _xlpm.corrNonCrisis))) / (SQRT(1 / (_xlpm.nCrisis_1 - 3) + 1 / (_xlpm.nNonCrisis_1 - 3))), _xlpm.pTest, 2 * (1 - _xlfn.NORM.S.DIST(ABS(_xlpm.zStat), 1)), IF(_xlpm.returnPValue, _xlpm.pTest, _xlpm.zStat)))(I19:I317,J19:J317,I320:I525,J320:J525,K18)</f>
        <v>0.1681552498416696</v>
      </c>
      <c r="N18" s="54"/>
      <c r="O18" s="27" cm="1">
        <f t="array" ref="O18">CONTAGION_FORBESRIGOBON(I19:I317,J19:J317,I320:I525,J320:J525,K18)</f>
        <v>0.1681552498416696</v>
      </c>
    </row>
    <row r="19" spans="1:25" x14ac:dyDescent="0.3">
      <c r="F19" s="121">
        <v>43467</v>
      </c>
      <c r="G19" s="53">
        <v>234.0616</v>
      </c>
      <c r="H19" s="53">
        <v>88.132744000000002</v>
      </c>
      <c r="I19" s="122">
        <f>G19/G18-1</f>
        <v>1.0401020398713712E-3</v>
      </c>
      <c r="J19" s="122">
        <f>H19/H18-1</f>
        <v>-1.0932312016076473E-4</v>
      </c>
      <c r="M19" s="54"/>
      <c r="N19" s="54"/>
      <c r="O19" s="54"/>
    </row>
    <row r="20" spans="1:25" x14ac:dyDescent="0.3">
      <c r="F20" s="121">
        <v>43468</v>
      </c>
      <c r="G20" s="53">
        <v>228.476257</v>
      </c>
      <c r="H20" s="53">
        <v>88.161666999999994</v>
      </c>
      <c r="I20" s="122">
        <f t="shared" ref="I20:J83" si="0">G20/G19-1</f>
        <v>-2.3862705373286275E-2</v>
      </c>
      <c r="J20" s="122">
        <f t="shared" si="0"/>
        <v>3.2817541684604379E-4</v>
      </c>
      <c r="M20" s="54"/>
      <c r="N20" s="54"/>
      <c r="O20" s="54"/>
    </row>
    <row r="21" spans="1:25" ht="18.75" customHeight="1" x14ac:dyDescent="0.3">
      <c r="D21" s="134"/>
      <c r="F21" s="121">
        <v>43469</v>
      </c>
      <c r="G21" s="53">
        <v>236.129257</v>
      </c>
      <c r="H21" s="53">
        <v>88.171302999999995</v>
      </c>
      <c r="I21" s="122">
        <f t="shared" si="0"/>
        <v>3.3495821843755103E-2</v>
      </c>
      <c r="J21" s="122">
        <f t="shared" si="0"/>
        <v>1.0929920370039703E-4</v>
      </c>
      <c r="M21" s="54"/>
      <c r="N21" s="54"/>
      <c r="O21" s="54"/>
    </row>
    <row r="22" spans="1:25" x14ac:dyDescent="0.3">
      <c r="D22" s="134"/>
      <c r="F22" s="121">
        <v>43472</v>
      </c>
      <c r="G22" s="53">
        <v>237.991028</v>
      </c>
      <c r="H22" s="53">
        <v>88.171302999999995</v>
      </c>
      <c r="I22" s="122">
        <f t="shared" si="0"/>
        <v>7.8845418126225475E-3</v>
      </c>
      <c r="J22" s="122">
        <f t="shared" si="0"/>
        <v>0</v>
      </c>
      <c r="M22" s="54"/>
      <c r="N22" s="54"/>
      <c r="O22" s="54"/>
    </row>
    <row r="23" spans="1:25" x14ac:dyDescent="0.3">
      <c r="D23" s="47"/>
      <c r="F23" s="121">
        <v>43473</v>
      </c>
      <c r="G23" s="53">
        <v>240.22705099999999</v>
      </c>
      <c r="H23" s="53">
        <v>88.171302999999995</v>
      </c>
      <c r="I23" s="122">
        <f t="shared" si="0"/>
        <v>9.3954088050747231E-3</v>
      </c>
      <c r="J23" s="122">
        <f t="shared" si="0"/>
        <v>0</v>
      </c>
      <c r="M23" s="54"/>
      <c r="N23" s="54"/>
      <c r="O23" s="54"/>
    </row>
    <row r="24" spans="1:25" x14ac:dyDescent="0.3">
      <c r="F24" s="121">
        <v>43474</v>
      </c>
      <c r="G24" s="53">
        <v>241.349762</v>
      </c>
      <c r="H24" s="53">
        <v>88.171302999999995</v>
      </c>
      <c r="I24" s="122">
        <f t="shared" si="0"/>
        <v>4.6735411159004592E-3</v>
      </c>
      <c r="J24" s="122">
        <f t="shared" si="0"/>
        <v>0</v>
      </c>
      <c r="M24" s="54"/>
      <c r="N24" s="54"/>
      <c r="O24" s="54"/>
    </row>
    <row r="25" spans="1:25" x14ac:dyDescent="0.3">
      <c r="F25" s="121">
        <v>43475</v>
      </c>
      <c r="G25" s="53">
        <v>242.20112599999999</v>
      </c>
      <c r="H25" s="53">
        <v>88.180938999999995</v>
      </c>
      <c r="I25" s="122">
        <f t="shared" si="0"/>
        <v>3.5275112473489578E-3</v>
      </c>
      <c r="J25" s="122">
        <f t="shared" si="0"/>
        <v>1.0928725869008282E-4</v>
      </c>
      <c r="M25" s="54"/>
      <c r="N25" s="54"/>
      <c r="O25" s="54"/>
    </row>
    <row r="26" spans="1:25" x14ac:dyDescent="0.3">
      <c r="F26" s="121">
        <v>43476</v>
      </c>
      <c r="G26" s="53">
        <v>242.294647</v>
      </c>
      <c r="H26" s="53">
        <v>88.200203000000002</v>
      </c>
      <c r="I26" s="122">
        <f t="shared" si="0"/>
        <v>3.8612950131367008E-4</v>
      </c>
      <c r="J26" s="122">
        <f t="shared" si="0"/>
        <v>2.1845991002655829E-4</v>
      </c>
      <c r="M26" s="54"/>
      <c r="N26" s="54"/>
      <c r="O26" s="54"/>
    </row>
    <row r="27" spans="1:25" s="15" customFormat="1" x14ac:dyDescent="0.3">
      <c r="A27" s="17"/>
      <c r="B27"/>
      <c r="C27"/>
      <c r="D27"/>
      <c r="E27"/>
      <c r="F27" s="121">
        <v>43479</v>
      </c>
      <c r="G27" s="53">
        <v>240.816452</v>
      </c>
      <c r="H27" s="53">
        <v>88.190574999999995</v>
      </c>
      <c r="I27" s="122">
        <f t="shared" si="0"/>
        <v>-6.1008157559502285E-3</v>
      </c>
      <c r="J27" s="122">
        <f t="shared" si="0"/>
        <v>-1.0916074648947838E-4</v>
      </c>
      <c r="K27"/>
      <c r="L27"/>
      <c r="M27" s="54"/>
      <c r="N27" s="54"/>
      <c r="O27" s="54"/>
      <c r="Y27"/>
    </row>
    <row r="28" spans="1:25" s="15" customFormat="1" x14ac:dyDescent="0.3">
      <c r="A28" s="17"/>
      <c r="B28"/>
      <c r="C28"/>
      <c r="D28"/>
      <c r="E28"/>
      <c r="F28" s="121">
        <v>43480</v>
      </c>
      <c r="G28" s="53">
        <v>243.57638499999999</v>
      </c>
      <c r="H28" s="53">
        <v>88.209868999999998</v>
      </c>
      <c r="I28" s="122">
        <f t="shared" si="0"/>
        <v>1.146073275757753E-2</v>
      </c>
      <c r="J28" s="122">
        <f t="shared" si="0"/>
        <v>2.1877621276433779E-4</v>
      </c>
      <c r="K28"/>
      <c r="L28"/>
      <c r="M28" s="54"/>
      <c r="N28" s="54"/>
      <c r="O28" s="54"/>
      <c r="Y28"/>
    </row>
    <row r="29" spans="1:25" s="15" customFormat="1" x14ac:dyDescent="0.3">
      <c r="A29" s="17"/>
      <c r="B29"/>
      <c r="C29"/>
      <c r="D29"/>
      <c r="E29"/>
      <c r="F29" s="121">
        <v>43481</v>
      </c>
      <c r="G29" s="53">
        <v>244.16583299999999</v>
      </c>
      <c r="H29" s="53">
        <v>88.219466999999995</v>
      </c>
      <c r="I29" s="122">
        <f t="shared" si="0"/>
        <v>2.4199718704258633E-3</v>
      </c>
      <c r="J29" s="122">
        <f t="shared" si="0"/>
        <v>1.0880868670137822E-4</v>
      </c>
      <c r="K29"/>
      <c r="L29"/>
      <c r="M29" s="54"/>
      <c r="N29" s="54"/>
      <c r="O29" s="54"/>
      <c r="Y29"/>
    </row>
    <row r="30" spans="1:25" s="15" customFormat="1" x14ac:dyDescent="0.3">
      <c r="A30" s="17"/>
      <c r="B30"/>
      <c r="C30"/>
      <c r="D30"/>
      <c r="E30"/>
      <c r="F30" s="121">
        <v>43482</v>
      </c>
      <c r="G30" s="53">
        <v>246.01823400000001</v>
      </c>
      <c r="H30" s="53">
        <v>88.238761999999994</v>
      </c>
      <c r="I30" s="122">
        <f t="shared" si="0"/>
        <v>7.5866511593374319E-3</v>
      </c>
      <c r="J30" s="122">
        <f t="shared" si="0"/>
        <v>2.1871589861222063E-4</v>
      </c>
      <c r="K30"/>
      <c r="L30"/>
      <c r="M30" s="54"/>
      <c r="N30" s="54"/>
      <c r="O30" s="54"/>
      <c r="Y30"/>
    </row>
    <row r="31" spans="1:25" s="15" customFormat="1" x14ac:dyDescent="0.3">
      <c r="A31" s="17"/>
      <c r="B31"/>
      <c r="C31"/>
      <c r="D31"/>
      <c r="E31"/>
      <c r="F31" s="121">
        <v>43483</v>
      </c>
      <c r="G31" s="53">
        <v>249.29276999999999</v>
      </c>
      <c r="H31" s="53">
        <v>88.238761999999994</v>
      </c>
      <c r="I31" s="122">
        <f t="shared" si="0"/>
        <v>1.3310135378014287E-2</v>
      </c>
      <c r="J31" s="122">
        <f t="shared" si="0"/>
        <v>0</v>
      </c>
      <c r="K31"/>
      <c r="L31"/>
      <c r="M31" s="54"/>
      <c r="N31" s="54"/>
      <c r="O31" s="54"/>
      <c r="Y31"/>
    </row>
    <row r="32" spans="1:25" s="15" customFormat="1" x14ac:dyDescent="0.3">
      <c r="A32" s="17"/>
      <c r="B32"/>
      <c r="C32"/>
      <c r="D32"/>
      <c r="E32"/>
      <c r="F32" s="121">
        <v>43487</v>
      </c>
      <c r="G32" s="53">
        <v>245.92463699999999</v>
      </c>
      <c r="H32" s="53">
        <v>88.248405000000005</v>
      </c>
      <c r="I32" s="122">
        <f t="shared" si="0"/>
        <v>-1.3510752838921114E-2</v>
      </c>
      <c r="J32" s="122">
        <f t="shared" si="0"/>
        <v>1.0928303821855501E-4</v>
      </c>
      <c r="K32"/>
      <c r="L32"/>
      <c r="M32" s="54"/>
      <c r="N32" s="54"/>
      <c r="O32" s="54"/>
      <c r="Y32"/>
    </row>
    <row r="33" spans="1:25" s="15" customFormat="1" x14ac:dyDescent="0.3">
      <c r="A33" s="17"/>
      <c r="B33"/>
      <c r="C33"/>
      <c r="D33"/>
      <c r="E33"/>
      <c r="F33" s="121">
        <v>43488</v>
      </c>
      <c r="G33" s="53">
        <v>246.439255</v>
      </c>
      <c r="H33" s="53">
        <v>88.248405000000005</v>
      </c>
      <c r="I33" s="122">
        <f t="shared" si="0"/>
        <v>2.0925841602441597E-3</v>
      </c>
      <c r="J33" s="122">
        <f t="shared" si="0"/>
        <v>0</v>
      </c>
      <c r="K33"/>
      <c r="L33"/>
      <c r="M33" s="54"/>
      <c r="N33" s="54"/>
      <c r="O33" s="54"/>
      <c r="Y33"/>
    </row>
    <row r="34" spans="1:25" s="15" customFormat="1" x14ac:dyDescent="0.3">
      <c r="A34" s="17"/>
      <c r="B34"/>
      <c r="C34"/>
      <c r="D34"/>
      <c r="E34"/>
      <c r="F34" s="121">
        <v>43489</v>
      </c>
      <c r="G34" s="53">
        <v>246.57023599999999</v>
      </c>
      <c r="H34" s="53">
        <v>88.277289999999994</v>
      </c>
      <c r="I34" s="122">
        <f t="shared" si="0"/>
        <v>5.3149405925601023E-4</v>
      </c>
      <c r="J34" s="122">
        <f t="shared" si="0"/>
        <v>3.2731469764235577E-4</v>
      </c>
      <c r="K34"/>
      <c r="L34"/>
      <c r="M34" s="54"/>
      <c r="N34" s="54"/>
      <c r="O34" s="54"/>
      <c r="Y34"/>
    </row>
    <row r="35" spans="1:25" s="15" customFormat="1" x14ac:dyDescent="0.3">
      <c r="A35" s="17"/>
      <c r="B35"/>
      <c r="C35"/>
      <c r="D35"/>
      <c r="E35"/>
      <c r="F35" s="121">
        <v>43490</v>
      </c>
      <c r="G35" s="53">
        <v>248.65656999999999</v>
      </c>
      <c r="H35" s="53">
        <v>88.267669999999995</v>
      </c>
      <c r="I35" s="122">
        <f t="shared" si="0"/>
        <v>8.4614186766645005E-3</v>
      </c>
      <c r="J35" s="122">
        <f t="shared" si="0"/>
        <v>-1.0897479974747437E-4</v>
      </c>
      <c r="K35"/>
      <c r="L35"/>
      <c r="M35" s="54"/>
      <c r="N35" s="54"/>
      <c r="O35" s="54"/>
      <c r="Y35"/>
    </row>
    <row r="36" spans="1:25" s="15" customFormat="1" x14ac:dyDescent="0.3">
      <c r="A36" s="17"/>
      <c r="B36"/>
      <c r="C36"/>
      <c r="D36"/>
      <c r="E36"/>
      <c r="F36" s="121">
        <v>43493</v>
      </c>
      <c r="G36" s="53">
        <v>246.76676900000001</v>
      </c>
      <c r="H36" s="53">
        <v>88.277289999999994</v>
      </c>
      <c r="I36" s="122">
        <f t="shared" si="0"/>
        <v>-7.6000445111905623E-3</v>
      </c>
      <c r="J36" s="122">
        <f t="shared" si="0"/>
        <v>1.0898667654868355E-4</v>
      </c>
      <c r="K36"/>
      <c r="L36"/>
      <c r="M36" s="54"/>
      <c r="N36" s="54"/>
      <c r="O36" s="54"/>
      <c r="Y36"/>
    </row>
    <row r="37" spans="1:25" s="15" customFormat="1" x14ac:dyDescent="0.3">
      <c r="A37" s="17"/>
      <c r="B37"/>
      <c r="C37"/>
      <c r="D37"/>
      <c r="E37"/>
      <c r="F37" s="121">
        <v>43494</v>
      </c>
      <c r="G37" s="53">
        <v>246.439255</v>
      </c>
      <c r="H37" s="53">
        <v>88.277289999999994</v>
      </c>
      <c r="I37" s="122">
        <f t="shared" si="0"/>
        <v>-1.3272208463369628E-3</v>
      </c>
      <c r="J37" s="122">
        <f t="shared" si="0"/>
        <v>0</v>
      </c>
      <c r="K37"/>
      <c r="L37"/>
      <c r="M37" s="54"/>
      <c r="N37" s="54"/>
      <c r="O37" s="54"/>
      <c r="Y37"/>
    </row>
    <row r="38" spans="1:25" s="15" customFormat="1" x14ac:dyDescent="0.3">
      <c r="A38" s="17"/>
      <c r="B38"/>
      <c r="C38"/>
      <c r="D38"/>
      <c r="E38"/>
      <c r="F38" s="121">
        <v>43495</v>
      </c>
      <c r="G38" s="53">
        <v>250.34056100000001</v>
      </c>
      <c r="H38" s="53">
        <v>88.296570000000003</v>
      </c>
      <c r="I38" s="122">
        <f t="shared" si="0"/>
        <v>1.5830700348449023E-2</v>
      </c>
      <c r="J38" s="122">
        <f t="shared" si="0"/>
        <v>2.1840271716544457E-4</v>
      </c>
      <c r="K38"/>
      <c r="L38"/>
      <c r="M38" s="54"/>
      <c r="N38" s="54"/>
      <c r="O38" s="54"/>
      <c r="Y38"/>
    </row>
    <row r="39" spans="1:25" s="15" customFormat="1" x14ac:dyDescent="0.3">
      <c r="A39" s="17"/>
      <c r="B39"/>
      <c r="C39"/>
      <c r="D39"/>
      <c r="E39"/>
      <c r="F39" s="121">
        <v>43496</v>
      </c>
      <c r="G39" s="53">
        <v>252.539185</v>
      </c>
      <c r="H39" s="53">
        <v>88.296570000000003</v>
      </c>
      <c r="I39" s="122">
        <f t="shared" si="0"/>
        <v>8.7825320484122837E-3</v>
      </c>
      <c r="J39" s="122">
        <f t="shared" si="0"/>
        <v>0</v>
      </c>
      <c r="K39"/>
      <c r="L39"/>
      <c r="M39" s="54"/>
      <c r="N39" s="54"/>
      <c r="O39" s="54"/>
      <c r="Y39"/>
    </row>
    <row r="40" spans="1:25" s="15" customFormat="1" x14ac:dyDescent="0.3">
      <c r="A40" s="17"/>
      <c r="B40"/>
      <c r="C40"/>
      <c r="D40"/>
      <c r="E40"/>
      <c r="F40" s="121">
        <v>43497</v>
      </c>
      <c r="G40" s="53">
        <v>252.660751</v>
      </c>
      <c r="H40" s="53">
        <v>88.305267000000001</v>
      </c>
      <c r="I40" s="122">
        <f t="shared" si="0"/>
        <v>4.8137480130061583E-4</v>
      </c>
      <c r="J40" s="122">
        <f t="shared" si="0"/>
        <v>9.8497597358582212E-5</v>
      </c>
      <c r="K40"/>
      <c r="L40"/>
      <c r="M40" s="54"/>
      <c r="N40" s="54"/>
      <c r="O40" s="54"/>
      <c r="Y40"/>
    </row>
    <row r="41" spans="1:25" s="15" customFormat="1" x14ac:dyDescent="0.3">
      <c r="A41" s="17"/>
      <c r="B41"/>
      <c r="C41"/>
      <c r="D41"/>
      <c r="E41"/>
      <c r="F41" s="121">
        <v>43500</v>
      </c>
      <c r="G41" s="53">
        <v>254.43838500000001</v>
      </c>
      <c r="H41" s="53">
        <v>88.314933999999994</v>
      </c>
      <c r="I41" s="122">
        <f t="shared" si="0"/>
        <v>7.0356554904722479E-3</v>
      </c>
      <c r="J41" s="122">
        <f t="shared" si="0"/>
        <v>1.094725187795742E-4</v>
      </c>
      <c r="K41"/>
      <c r="L41"/>
      <c r="M41" s="54"/>
      <c r="N41" s="54"/>
      <c r="O41" s="54"/>
      <c r="Y41"/>
    </row>
    <row r="42" spans="1:25" s="15" customFormat="1" x14ac:dyDescent="0.3">
      <c r="A42" s="17"/>
      <c r="B42"/>
      <c r="C42"/>
      <c r="D42"/>
      <c r="E42"/>
      <c r="F42" s="121">
        <v>43501</v>
      </c>
      <c r="G42" s="53">
        <v>255.504974</v>
      </c>
      <c r="H42" s="53">
        <v>88.314933999999994</v>
      </c>
      <c r="I42" s="122">
        <f t="shared" si="0"/>
        <v>4.191934326261304E-3</v>
      </c>
      <c r="J42" s="122">
        <f t="shared" si="0"/>
        <v>0</v>
      </c>
      <c r="K42"/>
      <c r="L42"/>
      <c r="M42" s="54"/>
      <c r="N42" s="54"/>
      <c r="O42" s="54"/>
      <c r="Y42"/>
    </row>
    <row r="43" spans="1:25" s="15" customFormat="1" x14ac:dyDescent="0.3">
      <c r="A43" s="17"/>
      <c r="B43"/>
      <c r="C43"/>
      <c r="D43"/>
      <c r="E43"/>
      <c r="F43" s="121">
        <v>43502</v>
      </c>
      <c r="G43" s="53">
        <v>255.16816700000001</v>
      </c>
      <c r="H43" s="53">
        <v>88.334259000000003</v>
      </c>
      <c r="I43" s="122">
        <f t="shared" si="0"/>
        <v>-1.3182013435087958E-3</v>
      </c>
      <c r="J43" s="122">
        <f t="shared" si="0"/>
        <v>2.1881916369892451E-4</v>
      </c>
      <c r="K43"/>
      <c r="L43"/>
      <c r="M43" s="54"/>
      <c r="N43" s="54"/>
      <c r="O43" s="54"/>
      <c r="Y43"/>
    </row>
    <row r="44" spans="1:25" s="15" customFormat="1" x14ac:dyDescent="0.3">
      <c r="A44" s="17"/>
      <c r="B44"/>
      <c r="C44"/>
      <c r="D44"/>
      <c r="E44"/>
      <c r="F44" s="121">
        <v>43503</v>
      </c>
      <c r="G44" s="53">
        <v>252.735657</v>
      </c>
      <c r="H44" s="53">
        <v>88.334259000000003</v>
      </c>
      <c r="I44" s="122">
        <f t="shared" si="0"/>
        <v>-9.5329681151019585E-3</v>
      </c>
      <c r="J44" s="122">
        <f t="shared" si="0"/>
        <v>0</v>
      </c>
      <c r="K44"/>
      <c r="L44"/>
      <c r="M44" s="54"/>
      <c r="N44" s="54"/>
      <c r="O44" s="54"/>
      <c r="Y44"/>
    </row>
    <row r="45" spans="1:25" s="15" customFormat="1" x14ac:dyDescent="0.3">
      <c r="A45" s="17"/>
      <c r="B45"/>
      <c r="C45"/>
      <c r="D45"/>
      <c r="E45"/>
      <c r="F45" s="121">
        <v>43504</v>
      </c>
      <c r="G45" s="53">
        <v>253.04437300000001</v>
      </c>
      <c r="H45" s="53">
        <v>88.353545999999994</v>
      </c>
      <c r="I45" s="122">
        <f t="shared" si="0"/>
        <v>1.22149760609358E-3</v>
      </c>
      <c r="J45" s="122">
        <f t="shared" si="0"/>
        <v>2.18341108176201E-4</v>
      </c>
      <c r="K45"/>
      <c r="L45"/>
      <c r="M45" s="54"/>
      <c r="N45" s="54"/>
      <c r="O45" s="54"/>
      <c r="Y45"/>
    </row>
    <row r="46" spans="1:25" s="15" customFormat="1" x14ac:dyDescent="0.3">
      <c r="A46" s="17"/>
      <c r="B46"/>
      <c r="C46"/>
      <c r="D46"/>
      <c r="E46"/>
      <c r="F46" s="121">
        <v>43507</v>
      </c>
      <c r="G46" s="53">
        <v>253.184753</v>
      </c>
      <c r="H46" s="53">
        <v>88.343886999999995</v>
      </c>
      <c r="I46" s="122">
        <f t="shared" si="0"/>
        <v>5.5476436142676278E-4</v>
      </c>
      <c r="J46" s="122">
        <f t="shared" si="0"/>
        <v>-1.0932215442716053E-4</v>
      </c>
      <c r="K46"/>
      <c r="L46"/>
      <c r="M46" s="54"/>
      <c r="N46" s="54"/>
      <c r="O46" s="54"/>
      <c r="Y46"/>
    </row>
    <row r="47" spans="1:25" s="15" customFormat="1" x14ac:dyDescent="0.3">
      <c r="A47" s="17"/>
      <c r="B47"/>
      <c r="C47"/>
      <c r="D47"/>
      <c r="E47"/>
      <c r="F47" s="121">
        <v>43508</v>
      </c>
      <c r="G47" s="53">
        <v>256.44058200000001</v>
      </c>
      <c r="H47" s="53">
        <v>88.363213000000002</v>
      </c>
      <c r="I47" s="122">
        <f t="shared" si="0"/>
        <v>1.2859498691850657E-2</v>
      </c>
      <c r="J47" s="122">
        <f t="shared" si="0"/>
        <v>2.1875876935339988E-4</v>
      </c>
      <c r="K47"/>
      <c r="L47"/>
      <c r="M47" s="54"/>
      <c r="N47" s="54"/>
      <c r="O47" s="54"/>
      <c r="Y47"/>
    </row>
    <row r="48" spans="1:25" s="15" customFormat="1" x14ac:dyDescent="0.3">
      <c r="A48" s="17"/>
      <c r="B48"/>
      <c r="C48"/>
      <c r="D48"/>
      <c r="E48"/>
      <c r="F48" s="121">
        <v>43509</v>
      </c>
      <c r="G48" s="53">
        <v>257.27319299999999</v>
      </c>
      <c r="H48" s="53">
        <v>88.363213000000002</v>
      </c>
      <c r="I48" s="122">
        <f t="shared" si="0"/>
        <v>3.2467989017432863E-3</v>
      </c>
      <c r="J48" s="122">
        <f t="shared" si="0"/>
        <v>0</v>
      </c>
      <c r="K48"/>
      <c r="L48"/>
      <c r="M48" s="54"/>
      <c r="N48" s="54"/>
      <c r="O48" s="54"/>
      <c r="Y48"/>
    </row>
    <row r="49" spans="1:25" s="15" customFormat="1" x14ac:dyDescent="0.3">
      <c r="A49" s="17"/>
      <c r="B49"/>
      <c r="C49"/>
      <c r="D49"/>
      <c r="E49"/>
      <c r="F49" s="121">
        <v>43510</v>
      </c>
      <c r="G49" s="53">
        <v>256.70248400000003</v>
      </c>
      <c r="H49" s="53">
        <v>88.382544999999993</v>
      </c>
      <c r="I49" s="122">
        <f t="shared" si="0"/>
        <v>-2.2182995178979814E-3</v>
      </c>
      <c r="J49" s="122">
        <f t="shared" si="0"/>
        <v>2.1877882598042575E-4</v>
      </c>
      <c r="K49"/>
      <c r="L49"/>
      <c r="M49" s="54"/>
      <c r="N49" s="54"/>
      <c r="O49" s="54"/>
      <c r="Y49"/>
    </row>
    <row r="50" spans="1:25" s="15" customFormat="1" x14ac:dyDescent="0.3">
      <c r="A50" s="17"/>
      <c r="B50"/>
      <c r="C50"/>
      <c r="D50"/>
      <c r="E50"/>
      <c r="F50" s="121">
        <v>43511</v>
      </c>
      <c r="G50" s="53">
        <v>259.49987800000002</v>
      </c>
      <c r="H50" s="53">
        <v>88.382544999999993</v>
      </c>
      <c r="I50" s="122">
        <f t="shared" si="0"/>
        <v>1.0897416949031236E-2</v>
      </c>
      <c r="J50" s="122">
        <f t="shared" si="0"/>
        <v>0</v>
      </c>
      <c r="K50"/>
      <c r="L50"/>
      <c r="M50" s="54"/>
      <c r="N50" s="54"/>
      <c r="O50" s="54"/>
      <c r="Y50"/>
    </row>
    <row r="51" spans="1:25" s="15" customFormat="1" x14ac:dyDescent="0.3">
      <c r="A51" s="17"/>
      <c r="B51"/>
      <c r="C51"/>
      <c r="D51"/>
      <c r="E51"/>
      <c r="F51" s="121">
        <v>43515</v>
      </c>
      <c r="G51" s="53">
        <v>259.94894399999998</v>
      </c>
      <c r="H51" s="53">
        <v>88.401840000000007</v>
      </c>
      <c r="I51" s="122">
        <f t="shared" si="0"/>
        <v>1.7305056305265687E-3</v>
      </c>
      <c r="J51" s="122">
        <f t="shared" si="0"/>
        <v>2.183123375776308E-4</v>
      </c>
      <c r="K51"/>
      <c r="L51"/>
      <c r="M51" s="54"/>
      <c r="N51" s="54"/>
      <c r="O51" s="54"/>
      <c r="Y51"/>
    </row>
    <row r="52" spans="1:25" s="15" customFormat="1" x14ac:dyDescent="0.3">
      <c r="A52" s="17"/>
      <c r="B52"/>
      <c r="C52"/>
      <c r="D52"/>
      <c r="E52"/>
      <c r="F52" s="121">
        <v>43516</v>
      </c>
      <c r="G52" s="53">
        <v>260.47283900000002</v>
      </c>
      <c r="H52" s="53">
        <v>88.401840000000007</v>
      </c>
      <c r="I52" s="122">
        <f t="shared" si="0"/>
        <v>2.0153765271693214E-3</v>
      </c>
      <c r="J52" s="122">
        <f t="shared" si="0"/>
        <v>0</v>
      </c>
      <c r="K52"/>
      <c r="L52"/>
      <c r="M52" s="54"/>
      <c r="N52" s="54"/>
      <c r="O52" s="54"/>
      <c r="Y52"/>
    </row>
    <row r="53" spans="1:25" s="15" customFormat="1" x14ac:dyDescent="0.3">
      <c r="A53" s="17"/>
      <c r="B53"/>
      <c r="C53"/>
      <c r="D53"/>
      <c r="E53"/>
      <c r="F53" s="121">
        <v>43517</v>
      </c>
      <c r="G53" s="53">
        <v>259.54660000000001</v>
      </c>
      <c r="H53" s="53">
        <v>88.411484000000002</v>
      </c>
      <c r="I53" s="122">
        <f t="shared" si="0"/>
        <v>-3.5559907265417801E-3</v>
      </c>
      <c r="J53" s="122">
        <f t="shared" si="0"/>
        <v>1.0909275191561818E-4</v>
      </c>
      <c r="K53"/>
      <c r="L53"/>
      <c r="M53" s="54"/>
      <c r="N53" s="54"/>
      <c r="O53" s="54"/>
      <c r="Y53"/>
    </row>
    <row r="54" spans="1:25" s="15" customFormat="1" x14ac:dyDescent="0.3">
      <c r="A54" s="17"/>
      <c r="B54"/>
      <c r="C54"/>
      <c r="D54"/>
      <c r="E54"/>
      <c r="F54" s="121">
        <v>43518</v>
      </c>
      <c r="G54" s="53">
        <v>261.155823</v>
      </c>
      <c r="H54" s="53">
        <v>88.430817000000005</v>
      </c>
      <c r="I54" s="122">
        <f t="shared" si="0"/>
        <v>6.2001313059003582E-3</v>
      </c>
      <c r="J54" s="122">
        <f t="shared" si="0"/>
        <v>2.1867068762237984E-4</v>
      </c>
      <c r="K54"/>
      <c r="L54"/>
      <c r="M54" s="54"/>
      <c r="N54" s="54"/>
      <c r="O54" s="54"/>
      <c r="Y54"/>
    </row>
    <row r="55" spans="1:25" s="15" customFormat="1" x14ac:dyDescent="0.3">
      <c r="A55" s="17"/>
      <c r="B55"/>
      <c r="C55"/>
      <c r="D55"/>
      <c r="E55"/>
      <c r="F55" s="121">
        <v>43521</v>
      </c>
      <c r="G55" s="53">
        <v>261.51129200000003</v>
      </c>
      <c r="H55" s="53">
        <v>88.421149999999997</v>
      </c>
      <c r="I55" s="122">
        <f t="shared" si="0"/>
        <v>1.3611375611564114E-3</v>
      </c>
      <c r="J55" s="122">
        <f t="shared" si="0"/>
        <v>-1.0931709474093498E-4</v>
      </c>
      <c r="K55"/>
      <c r="L55"/>
      <c r="M55" s="54"/>
      <c r="N55" s="54"/>
      <c r="O55" s="54"/>
      <c r="Y55"/>
    </row>
    <row r="56" spans="1:25" s="15" customFormat="1" x14ac:dyDescent="0.3">
      <c r="A56" s="17"/>
      <c r="B56"/>
      <c r="C56"/>
      <c r="D56"/>
      <c r="E56"/>
      <c r="F56" s="121">
        <v>43522</v>
      </c>
      <c r="G56" s="53">
        <v>261.32421900000003</v>
      </c>
      <c r="H56" s="53">
        <v>88.430817000000005</v>
      </c>
      <c r="I56" s="122">
        <f t="shared" si="0"/>
        <v>-7.1535343108619642E-4</v>
      </c>
      <c r="J56" s="122">
        <f t="shared" si="0"/>
        <v>1.0932904627458662E-4</v>
      </c>
      <c r="K56"/>
      <c r="L56"/>
      <c r="M56" s="54"/>
      <c r="N56" s="54"/>
      <c r="O56" s="54"/>
      <c r="Y56"/>
    </row>
    <row r="57" spans="1:25" s="15" customFormat="1" x14ac:dyDescent="0.3">
      <c r="A57" s="17"/>
      <c r="B57"/>
      <c r="C57"/>
      <c r="D57"/>
      <c r="E57"/>
      <c r="F57" s="121">
        <v>43523</v>
      </c>
      <c r="G57" s="53">
        <v>261.21200599999997</v>
      </c>
      <c r="H57" s="53">
        <v>88.440453000000005</v>
      </c>
      <c r="I57" s="122">
        <f t="shared" si="0"/>
        <v>-4.2940145551551012E-4</v>
      </c>
      <c r="J57" s="122">
        <f t="shared" si="0"/>
        <v>1.0896653821479418E-4</v>
      </c>
      <c r="K57"/>
      <c r="L57"/>
      <c r="M57" s="54"/>
      <c r="N57" s="54"/>
      <c r="O57" s="54"/>
      <c r="Y57"/>
    </row>
    <row r="58" spans="1:25" s="15" customFormat="1" x14ac:dyDescent="0.3">
      <c r="A58" s="17"/>
      <c r="B58"/>
      <c r="C58"/>
      <c r="D58"/>
      <c r="E58"/>
      <c r="F58" s="121">
        <v>43524</v>
      </c>
      <c r="G58" s="53">
        <v>260.72543300000001</v>
      </c>
      <c r="H58" s="53">
        <v>88.459770000000006</v>
      </c>
      <c r="I58" s="122">
        <f t="shared" si="0"/>
        <v>-1.8627512856356221E-3</v>
      </c>
      <c r="J58" s="122">
        <f t="shared" si="0"/>
        <v>2.1841814853673647E-4</v>
      </c>
      <c r="K58"/>
      <c r="L58"/>
      <c r="M58" s="54"/>
      <c r="N58" s="54"/>
      <c r="O58" s="54"/>
      <c r="Y58"/>
    </row>
    <row r="59" spans="1:25" s="15" customFormat="1" x14ac:dyDescent="0.3">
      <c r="A59" s="17"/>
      <c r="B59"/>
      <c r="C59"/>
      <c r="D59"/>
      <c r="E59"/>
      <c r="F59" s="121">
        <v>43525</v>
      </c>
      <c r="G59" s="53">
        <v>262.35327100000001</v>
      </c>
      <c r="H59" s="53">
        <v>88.469436999999999</v>
      </c>
      <c r="I59" s="122">
        <f t="shared" si="0"/>
        <v>6.2434952404508692E-3</v>
      </c>
      <c r="J59" s="122">
        <f t="shared" si="0"/>
        <v>1.092813151106764E-4</v>
      </c>
      <c r="K59"/>
      <c r="L59"/>
      <c r="M59" s="54"/>
      <c r="N59" s="54"/>
      <c r="O59" s="54"/>
      <c r="Y59"/>
    </row>
    <row r="60" spans="1:25" s="15" customFormat="1" x14ac:dyDescent="0.3">
      <c r="A60" s="17"/>
      <c r="B60"/>
      <c r="C60"/>
      <c r="D60"/>
      <c r="E60"/>
      <c r="F60" s="121">
        <v>43528</v>
      </c>
      <c r="G60" s="53">
        <v>261.39904799999999</v>
      </c>
      <c r="H60" s="53">
        <v>88.459762999999995</v>
      </c>
      <c r="I60" s="122">
        <f t="shared" si="0"/>
        <v>-3.6371682973985742E-3</v>
      </c>
      <c r="J60" s="122">
        <f t="shared" si="0"/>
        <v>-1.0934849737997965E-4</v>
      </c>
      <c r="K60"/>
      <c r="L60"/>
      <c r="M60" s="54"/>
      <c r="N60" s="54"/>
      <c r="O60" s="54"/>
      <c r="Y60"/>
    </row>
    <row r="61" spans="1:25" s="15" customFormat="1" x14ac:dyDescent="0.3">
      <c r="A61" s="17"/>
      <c r="B61"/>
      <c r="C61"/>
      <c r="D61"/>
      <c r="E61"/>
      <c r="F61" s="121">
        <v>43529</v>
      </c>
      <c r="G61" s="53">
        <v>261.04351800000001</v>
      </c>
      <c r="H61" s="53">
        <v>88.469436999999999</v>
      </c>
      <c r="I61" s="122">
        <f t="shared" si="0"/>
        <v>-1.3601044178247479E-3</v>
      </c>
      <c r="J61" s="122">
        <f t="shared" si="0"/>
        <v>1.0936045578158193E-4</v>
      </c>
      <c r="K61"/>
      <c r="L61"/>
      <c r="M61" s="54"/>
      <c r="N61" s="54"/>
      <c r="O61" s="54"/>
      <c r="Y61"/>
    </row>
    <row r="62" spans="1:25" s="15" customFormat="1" x14ac:dyDescent="0.3">
      <c r="A62" s="17"/>
      <c r="B62"/>
      <c r="C62"/>
      <c r="D62"/>
      <c r="E62"/>
      <c r="F62" s="121">
        <v>43530</v>
      </c>
      <c r="G62" s="53">
        <v>259.46246300000001</v>
      </c>
      <c r="H62" s="53">
        <v>88.479111000000003</v>
      </c>
      <c r="I62" s="122">
        <f t="shared" si="0"/>
        <v>-6.0566721292807379E-3</v>
      </c>
      <c r="J62" s="122">
        <f t="shared" si="0"/>
        <v>1.0934849737997965E-4</v>
      </c>
      <c r="K62"/>
      <c r="L62"/>
      <c r="M62" s="54"/>
      <c r="N62" s="54"/>
      <c r="O62" s="54"/>
      <c r="Y62"/>
    </row>
    <row r="63" spans="1:25" s="15" customFormat="1" x14ac:dyDescent="0.3">
      <c r="A63" s="17"/>
      <c r="B63"/>
      <c r="C63"/>
      <c r="D63"/>
      <c r="E63"/>
      <c r="F63" s="121">
        <v>43531</v>
      </c>
      <c r="G63" s="53">
        <v>257.29187000000002</v>
      </c>
      <c r="H63" s="53">
        <v>88.498474000000002</v>
      </c>
      <c r="I63" s="122">
        <f t="shared" si="0"/>
        <v>-8.3657303445855424E-3</v>
      </c>
      <c r="J63" s="122">
        <f t="shared" si="0"/>
        <v>2.1884261472737698E-4</v>
      </c>
      <c r="K63"/>
      <c r="L63"/>
      <c r="M63" s="54"/>
      <c r="N63" s="54"/>
      <c r="O63" s="54"/>
      <c r="Y63"/>
    </row>
    <row r="64" spans="1:25" s="15" customFormat="1" x14ac:dyDescent="0.3">
      <c r="A64" s="17"/>
      <c r="B64"/>
      <c r="C64"/>
      <c r="D64"/>
      <c r="E64"/>
      <c r="F64" s="121">
        <v>43532</v>
      </c>
      <c r="G64" s="53">
        <v>256.77737400000001</v>
      </c>
      <c r="H64" s="53">
        <v>88.508156</v>
      </c>
      <c r="I64" s="122">
        <f t="shared" si="0"/>
        <v>-1.9996589865043379E-3</v>
      </c>
      <c r="J64" s="122">
        <f t="shared" si="0"/>
        <v>1.0940301637285543E-4</v>
      </c>
      <c r="K64"/>
      <c r="L64"/>
      <c r="M64" s="54"/>
      <c r="N64" s="54"/>
      <c r="O64" s="54"/>
      <c r="Y64"/>
    </row>
    <row r="65" spans="1:25" s="15" customFormat="1" x14ac:dyDescent="0.3">
      <c r="A65" s="17"/>
      <c r="B65"/>
      <c r="C65"/>
      <c r="D65"/>
      <c r="E65"/>
      <c r="F65" s="121">
        <v>43535</v>
      </c>
      <c r="G65" s="53">
        <v>260.50091600000002</v>
      </c>
      <c r="H65" s="53">
        <v>88.508156</v>
      </c>
      <c r="I65" s="122">
        <f t="shared" si="0"/>
        <v>1.4501051794384434E-2</v>
      </c>
      <c r="J65" s="122">
        <f t="shared" si="0"/>
        <v>0</v>
      </c>
      <c r="K65"/>
      <c r="L65"/>
      <c r="M65" s="54"/>
      <c r="N65" s="54"/>
      <c r="O65" s="54"/>
      <c r="Y65"/>
    </row>
    <row r="66" spans="1:25" s="15" customFormat="1" x14ac:dyDescent="0.3">
      <c r="A66" s="17"/>
      <c r="B66"/>
      <c r="C66"/>
      <c r="D66"/>
      <c r="E66"/>
      <c r="F66" s="121">
        <v>43536</v>
      </c>
      <c r="G66" s="53">
        <v>261.48327599999999</v>
      </c>
      <c r="H66" s="53">
        <v>88.517821999999995</v>
      </c>
      <c r="I66" s="122">
        <f t="shared" si="0"/>
        <v>3.7710424020158673E-3</v>
      </c>
      <c r="J66" s="122">
        <f t="shared" si="0"/>
        <v>1.0921027436161523E-4</v>
      </c>
      <c r="K66"/>
      <c r="L66"/>
      <c r="M66" s="54"/>
      <c r="N66" s="54"/>
      <c r="O66" s="54"/>
      <c r="Y66"/>
    </row>
    <row r="67" spans="1:25" s="15" customFormat="1" x14ac:dyDescent="0.3">
      <c r="A67" s="17"/>
      <c r="B67"/>
      <c r="C67"/>
      <c r="D67"/>
      <c r="E67"/>
      <c r="F67" s="121">
        <v>43537</v>
      </c>
      <c r="G67" s="53">
        <v>263.214111</v>
      </c>
      <c r="H67" s="53">
        <v>88.527495999999999</v>
      </c>
      <c r="I67" s="122">
        <f t="shared" si="0"/>
        <v>6.6192952240662351E-3</v>
      </c>
      <c r="J67" s="122">
        <f t="shared" si="0"/>
        <v>1.0928872606030815E-4</v>
      </c>
      <c r="K67"/>
      <c r="L67"/>
      <c r="M67" s="54"/>
      <c r="N67" s="54"/>
      <c r="O67" s="54"/>
      <c r="Y67"/>
    </row>
    <row r="68" spans="1:25" s="15" customFormat="1" x14ac:dyDescent="0.3">
      <c r="A68" s="17"/>
      <c r="B68"/>
      <c r="C68"/>
      <c r="D68"/>
      <c r="E68"/>
      <c r="F68" s="121">
        <v>43538</v>
      </c>
      <c r="G68" s="53">
        <v>263.04562399999998</v>
      </c>
      <c r="H68" s="53">
        <v>88.527495999999999</v>
      </c>
      <c r="I68" s="122">
        <f t="shared" si="0"/>
        <v>-6.4011385772566598E-4</v>
      </c>
      <c r="J68" s="122">
        <f t="shared" si="0"/>
        <v>0</v>
      </c>
      <c r="K68"/>
      <c r="L68"/>
      <c r="M68" s="54"/>
      <c r="N68" s="54"/>
      <c r="O68" s="54"/>
      <c r="Y68"/>
    </row>
    <row r="69" spans="1:25" s="15" customFormat="1" x14ac:dyDescent="0.3">
      <c r="A69" s="17"/>
      <c r="B69"/>
      <c r="C69"/>
      <c r="D69"/>
      <c r="E69"/>
      <c r="F69" s="121">
        <v>43539</v>
      </c>
      <c r="G69" s="53">
        <v>264.34527600000001</v>
      </c>
      <c r="H69" s="53">
        <v>88.537139999999994</v>
      </c>
      <c r="I69" s="122">
        <f t="shared" si="0"/>
        <v>4.9407854813812158E-3</v>
      </c>
      <c r="J69" s="122">
        <f t="shared" si="0"/>
        <v>1.0893790557453542E-4</v>
      </c>
      <c r="K69"/>
      <c r="L69"/>
      <c r="M69" s="54"/>
      <c r="N69" s="54"/>
      <c r="O69" s="54"/>
      <c r="Y69"/>
    </row>
    <row r="70" spans="1:25" s="15" customFormat="1" x14ac:dyDescent="0.3">
      <c r="A70" s="17"/>
      <c r="B70"/>
      <c r="C70"/>
      <c r="D70"/>
      <c r="E70"/>
      <c r="F70" s="121">
        <v>43542</v>
      </c>
      <c r="G70" s="53">
        <v>265.30377199999998</v>
      </c>
      <c r="H70" s="53">
        <v>88.546852000000001</v>
      </c>
      <c r="I70" s="122">
        <f t="shared" si="0"/>
        <v>3.6259244519276645E-3</v>
      </c>
      <c r="J70" s="122">
        <f t="shared" si="0"/>
        <v>1.0969407866578962E-4</v>
      </c>
      <c r="K70"/>
      <c r="L70"/>
      <c r="M70" s="54"/>
      <c r="N70" s="54"/>
      <c r="O70" s="54"/>
      <c r="Y70"/>
    </row>
    <row r="71" spans="1:25" s="15" customFormat="1" x14ac:dyDescent="0.3">
      <c r="A71" s="17"/>
      <c r="B71"/>
      <c r="C71"/>
      <c r="D71"/>
      <c r="E71"/>
      <c r="F71" s="121">
        <v>43543</v>
      </c>
      <c r="G71" s="53">
        <v>265.369507</v>
      </c>
      <c r="H71" s="53">
        <v>88.546852000000001</v>
      </c>
      <c r="I71" s="122">
        <f t="shared" si="0"/>
        <v>2.4777257972807831E-4</v>
      </c>
      <c r="J71" s="122">
        <f t="shared" si="0"/>
        <v>0</v>
      </c>
      <c r="K71"/>
      <c r="L71"/>
      <c r="M71" s="54"/>
      <c r="N71" s="54"/>
      <c r="O71" s="54"/>
      <c r="Y71"/>
    </row>
    <row r="72" spans="1:25" s="15" customFormat="1" x14ac:dyDescent="0.3">
      <c r="A72" s="17"/>
      <c r="B72"/>
      <c r="C72"/>
      <c r="D72"/>
      <c r="E72"/>
      <c r="F72" s="121">
        <v>43544</v>
      </c>
      <c r="G72" s="53">
        <v>264.57080100000002</v>
      </c>
      <c r="H72" s="53">
        <v>88.546852000000001</v>
      </c>
      <c r="I72" s="122">
        <f t="shared" si="0"/>
        <v>-3.0097881592702214E-3</v>
      </c>
      <c r="J72" s="122">
        <f t="shared" si="0"/>
        <v>0</v>
      </c>
      <c r="K72"/>
      <c r="L72"/>
      <c r="M72" s="54"/>
      <c r="N72" s="54"/>
      <c r="O72" s="54"/>
      <c r="Y72"/>
    </row>
    <row r="73" spans="1:25" s="15" customFormat="1" x14ac:dyDescent="0.3">
      <c r="A73" s="17"/>
      <c r="B73"/>
      <c r="C73"/>
      <c r="D73"/>
      <c r="E73"/>
      <c r="F73" s="121">
        <v>43545</v>
      </c>
      <c r="G73" s="53">
        <v>267.55898999999999</v>
      </c>
      <c r="H73" s="53">
        <v>88.575858999999994</v>
      </c>
      <c r="I73" s="122">
        <f t="shared" si="0"/>
        <v>1.1294477654773205E-2</v>
      </c>
      <c r="J73" s="122">
        <f t="shared" si="0"/>
        <v>3.27589285726404E-4</v>
      </c>
      <c r="K73"/>
      <c r="L73"/>
      <c r="M73" s="54"/>
      <c r="N73" s="54"/>
      <c r="O73" s="54"/>
      <c r="Y73"/>
    </row>
    <row r="74" spans="1:25" s="15" customFormat="1" x14ac:dyDescent="0.3">
      <c r="A74" s="17"/>
      <c r="B74"/>
      <c r="C74"/>
      <c r="D74"/>
      <c r="E74"/>
      <c r="F74" s="121">
        <v>43546</v>
      </c>
      <c r="G74" s="53">
        <v>262.40948500000002</v>
      </c>
      <c r="H74" s="53">
        <v>88.575858999999994</v>
      </c>
      <c r="I74" s="122">
        <f t="shared" si="0"/>
        <v>-1.9246241735327185E-2</v>
      </c>
      <c r="J74" s="122">
        <f t="shared" si="0"/>
        <v>0</v>
      </c>
      <c r="K74"/>
      <c r="L74"/>
      <c r="M74" s="54"/>
      <c r="N74" s="54"/>
      <c r="O74" s="54"/>
      <c r="Y74"/>
    </row>
    <row r="75" spans="1:25" s="15" customFormat="1" x14ac:dyDescent="0.3">
      <c r="A75" s="17"/>
      <c r="B75"/>
      <c r="C75"/>
      <c r="D75"/>
      <c r="E75"/>
      <c r="F75" s="121">
        <v>43549</v>
      </c>
      <c r="G75" s="53">
        <v>262.21212800000001</v>
      </c>
      <c r="H75" s="53">
        <v>88.575858999999994</v>
      </c>
      <c r="I75" s="122">
        <f t="shared" si="0"/>
        <v>-7.520955273396801E-4</v>
      </c>
      <c r="J75" s="122">
        <f t="shared" si="0"/>
        <v>0</v>
      </c>
      <c r="K75"/>
      <c r="L75"/>
      <c r="M75" s="54"/>
      <c r="N75" s="54"/>
      <c r="O75" s="54"/>
      <c r="Y75"/>
    </row>
    <row r="76" spans="1:25" s="15" customFormat="1" x14ac:dyDescent="0.3">
      <c r="A76" s="17"/>
      <c r="B76"/>
      <c r="C76"/>
      <c r="D76"/>
      <c r="E76"/>
      <c r="F76" s="121">
        <v>43550</v>
      </c>
      <c r="G76" s="53">
        <v>264.16674799999998</v>
      </c>
      <c r="H76" s="53">
        <v>88.585548000000003</v>
      </c>
      <c r="I76" s="122">
        <f t="shared" si="0"/>
        <v>7.4543462764620205E-3</v>
      </c>
      <c r="J76" s="122">
        <f t="shared" si="0"/>
        <v>1.0938646386726703E-4</v>
      </c>
      <c r="K76"/>
      <c r="L76"/>
      <c r="M76" s="54"/>
      <c r="N76" s="54"/>
      <c r="O76" s="54"/>
      <c r="Y76"/>
    </row>
    <row r="77" spans="1:25" s="15" customFormat="1" x14ac:dyDescent="0.3">
      <c r="A77" s="17"/>
      <c r="B77"/>
      <c r="C77"/>
      <c r="D77"/>
      <c r="E77"/>
      <c r="F77" s="121">
        <v>43551</v>
      </c>
      <c r="G77" s="53">
        <v>262.78539999999998</v>
      </c>
      <c r="H77" s="53">
        <v>88.595191999999997</v>
      </c>
      <c r="I77" s="122">
        <f t="shared" si="0"/>
        <v>-5.22907599256206E-3</v>
      </c>
      <c r="J77" s="122">
        <f t="shared" si="0"/>
        <v>1.0886651624031352E-4</v>
      </c>
      <c r="K77"/>
      <c r="L77"/>
      <c r="M77" s="54"/>
      <c r="N77" s="54"/>
      <c r="O77" s="54"/>
      <c r="Y77"/>
    </row>
    <row r="78" spans="1:25" s="15" customFormat="1" x14ac:dyDescent="0.3">
      <c r="A78" s="17"/>
      <c r="B78"/>
      <c r="C78"/>
      <c r="D78"/>
      <c r="E78"/>
      <c r="F78" s="121">
        <v>43552</v>
      </c>
      <c r="G78" s="53">
        <v>263.78146400000003</v>
      </c>
      <c r="H78" s="53">
        <v>88.614554999999996</v>
      </c>
      <c r="I78" s="122">
        <f t="shared" si="0"/>
        <v>3.7904084473492361E-3</v>
      </c>
      <c r="J78" s="122">
        <f t="shared" si="0"/>
        <v>2.1855587829189282E-4</v>
      </c>
      <c r="K78"/>
      <c r="L78"/>
      <c r="M78" s="54"/>
      <c r="N78" s="54"/>
      <c r="O78" s="54"/>
      <c r="Y78"/>
    </row>
    <row r="79" spans="1:25" s="15" customFormat="1" x14ac:dyDescent="0.3">
      <c r="A79" s="17"/>
      <c r="B79"/>
      <c r="C79"/>
      <c r="D79"/>
      <c r="E79"/>
      <c r="F79" s="121">
        <v>43553</v>
      </c>
      <c r="G79" s="53">
        <v>265.44473299999999</v>
      </c>
      <c r="H79" s="53">
        <v>88.614554999999996</v>
      </c>
      <c r="I79" s="122">
        <f t="shared" si="0"/>
        <v>6.3054809643483534E-3</v>
      </c>
      <c r="J79" s="122">
        <f t="shared" si="0"/>
        <v>0</v>
      </c>
      <c r="K79"/>
      <c r="L79"/>
      <c r="M79" s="54"/>
      <c r="N79" s="54"/>
      <c r="O79" s="54"/>
      <c r="Y79"/>
    </row>
    <row r="80" spans="1:25" s="15" customFormat="1" x14ac:dyDescent="0.3">
      <c r="A80" s="17"/>
      <c r="B80"/>
      <c r="C80"/>
      <c r="D80"/>
      <c r="E80"/>
      <c r="F80" s="121">
        <v>43556</v>
      </c>
      <c r="G80" s="53">
        <v>268.59265099999999</v>
      </c>
      <c r="H80" s="53">
        <v>88.630081000000004</v>
      </c>
      <c r="I80" s="122">
        <f t="shared" si="0"/>
        <v>1.1859033571406385E-2</v>
      </c>
      <c r="J80" s="122">
        <f t="shared" si="0"/>
        <v>1.7520823751815406E-4</v>
      </c>
      <c r="K80"/>
      <c r="L80"/>
      <c r="M80" s="54"/>
      <c r="N80" s="54"/>
      <c r="O80" s="54"/>
      <c r="Y80"/>
    </row>
    <row r="81" spans="1:25" s="15" customFormat="1" x14ac:dyDescent="0.3">
      <c r="A81" s="17"/>
      <c r="B81"/>
      <c r="C81"/>
      <c r="D81"/>
      <c r="E81"/>
      <c r="F81" s="121">
        <v>43557</v>
      </c>
      <c r="G81" s="53">
        <v>268.724243</v>
      </c>
      <c r="H81" s="53">
        <v>88.620377000000005</v>
      </c>
      <c r="I81" s="122">
        <f t="shared" si="0"/>
        <v>4.8993149853537865E-4</v>
      </c>
      <c r="J81" s="122">
        <f t="shared" si="0"/>
        <v>-1.0948878631844572E-4</v>
      </c>
      <c r="K81"/>
      <c r="L81"/>
      <c r="M81" s="54"/>
      <c r="N81" s="54"/>
      <c r="O81" s="54"/>
      <c r="Y81"/>
    </row>
    <row r="82" spans="1:25" s="15" customFormat="1" x14ac:dyDescent="0.3">
      <c r="A82" s="17"/>
      <c r="B82"/>
      <c r="C82"/>
      <c r="D82"/>
      <c r="E82"/>
      <c r="F82" s="121">
        <v>43558</v>
      </c>
      <c r="G82" s="53">
        <v>269.14718599999998</v>
      </c>
      <c r="H82" s="53">
        <v>88.630081000000004</v>
      </c>
      <c r="I82" s="122">
        <f t="shared" si="0"/>
        <v>1.5738922371808517E-3</v>
      </c>
      <c r="J82" s="122">
        <f t="shared" si="0"/>
        <v>1.095007754254862E-4</v>
      </c>
      <c r="K82"/>
      <c r="L82"/>
      <c r="M82" s="54"/>
      <c r="N82" s="54"/>
      <c r="O82" s="54"/>
      <c r="Y82"/>
    </row>
    <row r="83" spans="1:25" s="15" customFormat="1" x14ac:dyDescent="0.3">
      <c r="A83" s="17"/>
      <c r="B83"/>
      <c r="C83"/>
      <c r="D83"/>
      <c r="E83"/>
      <c r="F83" s="121">
        <v>43559</v>
      </c>
      <c r="G83" s="53">
        <v>269.861267</v>
      </c>
      <c r="H83" s="53">
        <v>88.659142000000003</v>
      </c>
      <c r="I83" s="122">
        <f t="shared" si="0"/>
        <v>2.6531245249579172E-3</v>
      </c>
      <c r="J83" s="122">
        <f t="shared" si="0"/>
        <v>3.2789093355334309E-4</v>
      </c>
      <c r="K83"/>
      <c r="L83"/>
      <c r="M83" s="54"/>
      <c r="N83" s="54"/>
      <c r="O83" s="54"/>
      <c r="Y83"/>
    </row>
    <row r="84" spans="1:25" s="15" customFormat="1" x14ac:dyDescent="0.3">
      <c r="A84" s="17"/>
      <c r="B84"/>
      <c r="C84"/>
      <c r="D84"/>
      <c r="E84"/>
      <c r="F84" s="121">
        <v>43560</v>
      </c>
      <c r="G84" s="53">
        <v>271.16744999999997</v>
      </c>
      <c r="H84" s="53">
        <v>88.659142000000003</v>
      </c>
      <c r="I84" s="122">
        <f t="shared" ref="I84:J147" si="1">G84/G83-1</f>
        <v>4.8402018360047538E-3</v>
      </c>
      <c r="J84" s="122">
        <f t="shared" si="1"/>
        <v>0</v>
      </c>
      <c r="K84"/>
      <c r="L84"/>
      <c r="M84" s="54"/>
      <c r="N84" s="54"/>
      <c r="O84" s="54"/>
      <c r="Y84"/>
    </row>
    <row r="85" spans="1:25" s="15" customFormat="1" x14ac:dyDescent="0.3">
      <c r="A85" s="17"/>
      <c r="B85"/>
      <c r="C85"/>
      <c r="D85"/>
      <c r="E85"/>
      <c r="F85" s="121">
        <v>43563</v>
      </c>
      <c r="G85" s="53">
        <v>271.374146</v>
      </c>
      <c r="H85" s="53">
        <v>88.659142000000003</v>
      </c>
      <c r="I85" s="122">
        <f t="shared" si="1"/>
        <v>7.6224487857978751E-4</v>
      </c>
      <c r="J85" s="122">
        <f t="shared" si="1"/>
        <v>0</v>
      </c>
      <c r="K85"/>
      <c r="L85"/>
      <c r="M85" s="54"/>
      <c r="N85" s="54"/>
      <c r="O85" s="54"/>
      <c r="Y85"/>
    </row>
    <row r="86" spans="1:25" s="15" customFormat="1" x14ac:dyDescent="0.3">
      <c r="A86" s="17"/>
      <c r="B86"/>
      <c r="C86"/>
      <c r="D86"/>
      <c r="E86"/>
      <c r="F86" s="121">
        <v>43564</v>
      </c>
      <c r="G86" s="53">
        <v>269.98345899999998</v>
      </c>
      <c r="H86" s="53">
        <v>88.668846000000002</v>
      </c>
      <c r="I86" s="122">
        <f t="shared" si="1"/>
        <v>-5.1246112442856484E-3</v>
      </c>
      <c r="J86" s="122">
        <f t="shared" si="1"/>
        <v>1.0945289770569744E-4</v>
      </c>
      <c r="K86"/>
      <c r="L86"/>
      <c r="M86" s="54"/>
      <c r="N86" s="54"/>
      <c r="O86" s="54"/>
      <c r="Y86"/>
    </row>
    <row r="87" spans="1:25" s="15" customFormat="1" x14ac:dyDescent="0.3">
      <c r="A87" s="17"/>
      <c r="B87"/>
      <c r="C87"/>
      <c r="D87"/>
      <c r="E87"/>
      <c r="F87" s="121">
        <v>43565</v>
      </c>
      <c r="G87" s="53">
        <v>270.904358</v>
      </c>
      <c r="H87" s="53">
        <v>88.668846000000002</v>
      </c>
      <c r="I87" s="122">
        <f t="shared" si="1"/>
        <v>3.4109460016957804E-3</v>
      </c>
      <c r="J87" s="122">
        <f t="shared" si="1"/>
        <v>0</v>
      </c>
      <c r="K87"/>
      <c r="L87"/>
      <c r="M87" s="54"/>
      <c r="N87" s="54"/>
      <c r="O87" s="54"/>
      <c r="Y87"/>
    </row>
    <row r="88" spans="1:25" s="15" customFormat="1" x14ac:dyDescent="0.3">
      <c r="A88" s="17"/>
      <c r="B88"/>
      <c r="C88"/>
      <c r="D88"/>
      <c r="E88"/>
      <c r="F88" s="121">
        <v>43566</v>
      </c>
      <c r="G88" s="53">
        <v>270.82913200000002</v>
      </c>
      <c r="H88" s="53">
        <v>88.697906000000003</v>
      </c>
      <c r="I88" s="122">
        <f t="shared" si="1"/>
        <v>-2.7768471705424957E-4</v>
      </c>
      <c r="J88" s="122">
        <f t="shared" si="1"/>
        <v>3.2773630548876831E-4</v>
      </c>
      <c r="K88"/>
      <c r="L88"/>
      <c r="M88" s="54"/>
      <c r="N88" s="54"/>
      <c r="O88" s="54"/>
      <c r="Y88"/>
    </row>
    <row r="89" spans="1:25" s="15" customFormat="1" x14ac:dyDescent="0.3">
      <c r="A89" s="17"/>
      <c r="B89"/>
      <c r="C89"/>
      <c r="D89"/>
      <c r="E89"/>
      <c r="F89" s="121">
        <v>43567</v>
      </c>
      <c r="G89" s="53">
        <v>272.66162100000003</v>
      </c>
      <c r="H89" s="53">
        <v>88.697906000000003</v>
      </c>
      <c r="I89" s="122">
        <f t="shared" si="1"/>
        <v>6.7662181925096654E-3</v>
      </c>
      <c r="J89" s="122">
        <f t="shared" si="1"/>
        <v>0</v>
      </c>
      <c r="K89"/>
      <c r="L89"/>
      <c r="M89" s="54"/>
      <c r="N89" s="54"/>
      <c r="O89" s="54"/>
      <c r="Y89"/>
    </row>
    <row r="90" spans="1:25" s="15" customFormat="1" x14ac:dyDescent="0.3">
      <c r="A90" s="17"/>
      <c r="B90"/>
      <c r="C90"/>
      <c r="D90"/>
      <c r="E90"/>
      <c r="F90" s="121">
        <v>43570</v>
      </c>
      <c r="G90" s="53">
        <v>272.48303199999998</v>
      </c>
      <c r="H90" s="53">
        <v>88.707611</v>
      </c>
      <c r="I90" s="122">
        <f t="shared" si="1"/>
        <v>-6.5498400304764282E-4</v>
      </c>
      <c r="J90" s="122">
        <f t="shared" si="1"/>
        <v>1.0941633729211198E-4</v>
      </c>
      <c r="K90"/>
      <c r="L90"/>
      <c r="M90" s="54"/>
      <c r="N90" s="54"/>
      <c r="O90" s="54"/>
      <c r="Y90"/>
    </row>
    <row r="91" spans="1:25" s="15" customFormat="1" x14ac:dyDescent="0.3">
      <c r="A91" s="17"/>
      <c r="B91"/>
      <c r="C91"/>
      <c r="D91"/>
      <c r="E91"/>
      <c r="F91" s="121">
        <v>43571</v>
      </c>
      <c r="G91" s="53">
        <v>272.66162100000003</v>
      </c>
      <c r="H91" s="53">
        <v>88.707611</v>
      </c>
      <c r="I91" s="122">
        <f t="shared" si="1"/>
        <v>6.554132882667929E-4</v>
      </c>
      <c r="J91" s="122">
        <f t="shared" si="1"/>
        <v>0</v>
      </c>
      <c r="K91"/>
      <c r="L91"/>
      <c r="M91" s="54"/>
      <c r="N91" s="54"/>
      <c r="O91" s="54"/>
      <c r="Y91"/>
    </row>
    <row r="92" spans="1:25" s="15" customFormat="1" x14ac:dyDescent="0.3">
      <c r="A92" s="17"/>
      <c r="B92"/>
      <c r="C92"/>
      <c r="D92"/>
      <c r="E92"/>
      <c r="F92" s="121">
        <v>43572</v>
      </c>
      <c r="G92" s="53">
        <v>271.99438500000002</v>
      </c>
      <c r="H92" s="53">
        <v>88.726982000000007</v>
      </c>
      <c r="I92" s="122">
        <f t="shared" si="1"/>
        <v>-2.4471210783273412E-3</v>
      </c>
      <c r="J92" s="122">
        <f t="shared" si="1"/>
        <v>2.1836908672923094E-4</v>
      </c>
      <c r="K92"/>
      <c r="L92"/>
      <c r="M92" s="54"/>
      <c r="N92" s="54"/>
      <c r="O92" s="54"/>
      <c r="Y92"/>
    </row>
    <row r="93" spans="1:25" s="15" customFormat="1" x14ac:dyDescent="0.3">
      <c r="A93" s="17"/>
      <c r="B93"/>
      <c r="C93"/>
      <c r="D93"/>
      <c r="E93"/>
      <c r="F93" s="121">
        <v>43573</v>
      </c>
      <c r="G93" s="53">
        <v>272.529968</v>
      </c>
      <c r="H93" s="53">
        <v>88.736716999999999</v>
      </c>
      <c r="I93" s="122">
        <f t="shared" si="1"/>
        <v>1.969095795856024E-3</v>
      </c>
      <c r="J93" s="122">
        <f t="shared" si="1"/>
        <v>1.0971859721320421E-4</v>
      </c>
      <c r="K93"/>
      <c r="L93"/>
      <c r="M93" s="54"/>
      <c r="N93" s="54"/>
      <c r="O93" s="54"/>
      <c r="Y93"/>
    </row>
    <row r="94" spans="1:25" s="15" customFormat="1" x14ac:dyDescent="0.3">
      <c r="A94" s="17"/>
      <c r="B94"/>
      <c r="C94"/>
      <c r="D94"/>
      <c r="E94"/>
      <c r="F94" s="121">
        <v>43577</v>
      </c>
      <c r="G94" s="53">
        <v>272.76492300000001</v>
      </c>
      <c r="H94" s="53">
        <v>88.736716999999999</v>
      </c>
      <c r="I94" s="122">
        <f t="shared" si="1"/>
        <v>8.6212537184171545E-4</v>
      </c>
      <c r="J94" s="122">
        <f t="shared" si="1"/>
        <v>0</v>
      </c>
      <c r="K94"/>
      <c r="L94"/>
      <c r="M94" s="54"/>
      <c r="N94" s="54"/>
      <c r="O94" s="54"/>
      <c r="Y94"/>
    </row>
    <row r="95" spans="1:25" s="15" customFormat="1" x14ac:dyDescent="0.3">
      <c r="A95" s="17"/>
      <c r="B95"/>
      <c r="C95"/>
      <c r="D95"/>
      <c r="E95"/>
      <c r="F95" s="121">
        <v>43578</v>
      </c>
      <c r="G95" s="53">
        <v>275.21755999999999</v>
      </c>
      <c r="H95" s="53">
        <v>88.736716999999999</v>
      </c>
      <c r="I95" s="122">
        <f t="shared" si="1"/>
        <v>8.9917610117338231E-3</v>
      </c>
      <c r="J95" s="122">
        <f t="shared" si="1"/>
        <v>0</v>
      </c>
      <c r="K95"/>
      <c r="L95"/>
      <c r="M95" s="54"/>
      <c r="N95" s="54"/>
      <c r="O95" s="54"/>
      <c r="Y95"/>
    </row>
    <row r="96" spans="1:25" s="15" customFormat="1" x14ac:dyDescent="0.3">
      <c r="A96" s="17"/>
      <c r="B96"/>
      <c r="C96"/>
      <c r="D96"/>
      <c r="E96"/>
      <c r="F96" s="121">
        <v>43579</v>
      </c>
      <c r="G96" s="53">
        <v>274.60674999999998</v>
      </c>
      <c r="H96" s="53">
        <v>88.756073000000001</v>
      </c>
      <c r="I96" s="122">
        <f t="shared" si="1"/>
        <v>-2.2193714674311193E-3</v>
      </c>
      <c r="J96" s="122">
        <f t="shared" si="1"/>
        <v>2.1812842140644939E-4</v>
      </c>
      <c r="K96"/>
      <c r="L96"/>
      <c r="M96" s="54"/>
      <c r="N96" s="54"/>
      <c r="O96" s="54"/>
      <c r="Y96"/>
    </row>
    <row r="97" spans="1:25" s="15" customFormat="1" x14ac:dyDescent="0.3">
      <c r="A97" s="17"/>
      <c r="B97"/>
      <c r="C97"/>
      <c r="D97"/>
      <c r="E97"/>
      <c r="F97" s="121">
        <v>43580</v>
      </c>
      <c r="G97" s="53">
        <v>274.43753099999998</v>
      </c>
      <c r="H97" s="53">
        <v>88.775435999999999</v>
      </c>
      <c r="I97" s="122">
        <f t="shared" si="1"/>
        <v>-6.1622301709629568E-4</v>
      </c>
      <c r="J97" s="122">
        <f t="shared" si="1"/>
        <v>2.181597196171392E-4</v>
      </c>
      <c r="K97"/>
      <c r="L97"/>
      <c r="M97" s="54"/>
      <c r="N97" s="54"/>
      <c r="O97" s="54"/>
      <c r="Y97"/>
    </row>
    <row r="98" spans="1:25" s="15" customFormat="1" x14ac:dyDescent="0.3">
      <c r="A98" s="17"/>
      <c r="B98"/>
      <c r="C98"/>
      <c r="D98"/>
      <c r="E98"/>
      <c r="F98" s="121">
        <v>43581</v>
      </c>
      <c r="G98" s="53">
        <v>275.71554600000002</v>
      </c>
      <c r="H98" s="53">
        <v>88.765761999999995</v>
      </c>
      <c r="I98" s="122">
        <f t="shared" si="1"/>
        <v>4.6568521271241892E-3</v>
      </c>
      <c r="J98" s="122">
        <f t="shared" si="1"/>
        <v>-1.0897158533818008E-4</v>
      </c>
      <c r="K98"/>
      <c r="L98"/>
      <c r="M98" s="54"/>
      <c r="N98" s="54"/>
      <c r="O98" s="54"/>
      <c r="Y98"/>
    </row>
    <row r="99" spans="1:25" s="15" customFormat="1" x14ac:dyDescent="0.3">
      <c r="A99" s="17"/>
      <c r="B99"/>
      <c r="C99"/>
      <c r="D99"/>
      <c r="E99"/>
      <c r="F99" s="121">
        <v>43584</v>
      </c>
      <c r="G99" s="53">
        <v>276.14782700000001</v>
      </c>
      <c r="H99" s="53">
        <v>88.775435999999999</v>
      </c>
      <c r="I99" s="122">
        <f t="shared" si="1"/>
        <v>1.5678513825985174E-3</v>
      </c>
      <c r="J99" s="122">
        <f t="shared" si="1"/>
        <v>1.089834614387275E-4</v>
      </c>
      <c r="K99"/>
      <c r="L99"/>
      <c r="M99" s="54"/>
      <c r="N99" s="54"/>
      <c r="O99" s="54"/>
      <c r="Y99"/>
    </row>
    <row r="100" spans="1:25" s="15" customFormat="1" x14ac:dyDescent="0.3">
      <c r="A100" s="17"/>
      <c r="B100"/>
      <c r="C100"/>
      <c r="D100"/>
      <c r="E100"/>
      <c r="F100" s="121">
        <v>43585</v>
      </c>
      <c r="G100" s="53">
        <v>276.28872699999999</v>
      </c>
      <c r="H100" s="53">
        <v>88.785149000000004</v>
      </c>
      <c r="I100" s="122">
        <f t="shared" si="1"/>
        <v>5.1023396247829034E-4</v>
      </c>
      <c r="J100" s="122">
        <f t="shared" si="1"/>
        <v>1.0941089605021048E-4</v>
      </c>
      <c r="K100"/>
      <c r="L100"/>
      <c r="M100" s="54"/>
      <c r="N100" s="54"/>
      <c r="O100" s="54"/>
      <c r="Y100"/>
    </row>
    <row r="101" spans="1:25" s="15" customFormat="1" x14ac:dyDescent="0.3">
      <c r="A101" s="17"/>
      <c r="B101"/>
      <c r="C101"/>
      <c r="D101"/>
      <c r="E101"/>
      <c r="F101" s="121">
        <v>43586</v>
      </c>
      <c r="G101" s="53">
        <v>274.21206699999999</v>
      </c>
      <c r="H101" s="53">
        <v>88.789023999999998</v>
      </c>
      <c r="I101" s="122">
        <f t="shared" si="1"/>
        <v>-7.5162675746810459E-3</v>
      </c>
      <c r="J101" s="122">
        <f t="shared" si="1"/>
        <v>4.3644686567922975E-5</v>
      </c>
      <c r="K101"/>
      <c r="L101"/>
      <c r="M101" s="54"/>
      <c r="N101" s="54"/>
      <c r="O101" s="54"/>
      <c r="Y101"/>
    </row>
    <row r="102" spans="1:25" s="15" customFormat="1" x14ac:dyDescent="0.3">
      <c r="A102" s="17"/>
      <c r="B102"/>
      <c r="C102"/>
      <c r="D102"/>
      <c r="E102"/>
      <c r="F102" s="121">
        <v>43587</v>
      </c>
      <c r="G102" s="53">
        <v>273.620026</v>
      </c>
      <c r="H102" s="53">
        <v>88.798766999999998</v>
      </c>
      <c r="I102" s="122">
        <f t="shared" si="1"/>
        <v>-2.1590625331597835E-3</v>
      </c>
      <c r="J102" s="122">
        <f t="shared" si="1"/>
        <v>1.0973203174291513E-4</v>
      </c>
      <c r="K102"/>
      <c r="L102"/>
      <c r="M102" s="54"/>
      <c r="N102" s="54"/>
      <c r="O102" s="54"/>
      <c r="Y102"/>
    </row>
    <row r="103" spans="1:25" s="15" customFormat="1" x14ac:dyDescent="0.3">
      <c r="A103" s="17"/>
      <c r="B103"/>
      <c r="C103"/>
      <c r="D103"/>
      <c r="E103"/>
      <c r="F103" s="121">
        <v>43588</v>
      </c>
      <c r="G103" s="53">
        <v>276.29818699999998</v>
      </c>
      <c r="H103" s="53">
        <v>88.808456000000007</v>
      </c>
      <c r="I103" s="122">
        <f t="shared" si="1"/>
        <v>9.7878837274871788E-3</v>
      </c>
      <c r="J103" s="122">
        <f t="shared" si="1"/>
        <v>1.0911187539353051E-4</v>
      </c>
      <c r="K103"/>
      <c r="L103"/>
      <c r="M103" s="54"/>
      <c r="N103" s="54"/>
      <c r="O103" s="54"/>
      <c r="Y103"/>
    </row>
    <row r="104" spans="1:25" s="15" customFormat="1" x14ac:dyDescent="0.3">
      <c r="A104" s="17"/>
      <c r="B104"/>
      <c r="C104"/>
      <c r="D104"/>
      <c r="E104"/>
      <c r="F104" s="121">
        <v>43591</v>
      </c>
      <c r="G104" s="53">
        <v>275.16110200000003</v>
      </c>
      <c r="H104" s="53">
        <v>88.818152999999995</v>
      </c>
      <c r="I104" s="122">
        <f t="shared" si="1"/>
        <v>-4.1154269318457448E-3</v>
      </c>
      <c r="J104" s="122">
        <f t="shared" si="1"/>
        <v>1.0919005280296545E-4</v>
      </c>
      <c r="K104"/>
      <c r="L104"/>
      <c r="M104" s="54"/>
      <c r="N104" s="54"/>
      <c r="O104" s="54"/>
      <c r="Y104"/>
    </row>
    <row r="105" spans="1:25" s="15" customFormat="1" x14ac:dyDescent="0.3">
      <c r="A105" s="17"/>
      <c r="B105"/>
      <c r="C105"/>
      <c r="D105"/>
      <c r="E105"/>
      <c r="F105" s="121">
        <v>43592</v>
      </c>
      <c r="G105" s="53">
        <v>270.56607100000002</v>
      </c>
      <c r="H105" s="53">
        <v>88.827866</v>
      </c>
      <c r="I105" s="122">
        <f t="shared" si="1"/>
        <v>-1.6699420690646893E-2</v>
      </c>
      <c r="J105" s="122">
        <f t="shared" si="1"/>
        <v>1.0935827499136686E-4</v>
      </c>
      <c r="K105"/>
      <c r="L105"/>
      <c r="M105" s="54"/>
      <c r="N105" s="54"/>
      <c r="O105" s="54"/>
      <c r="Y105"/>
    </row>
    <row r="106" spans="1:25" s="15" customFormat="1" x14ac:dyDescent="0.3">
      <c r="A106" s="17"/>
      <c r="B106"/>
      <c r="C106"/>
      <c r="D106"/>
      <c r="E106"/>
      <c r="F106" s="121">
        <v>43593</v>
      </c>
      <c r="G106" s="53">
        <v>270.190155</v>
      </c>
      <c r="H106" s="53">
        <v>88.827866</v>
      </c>
      <c r="I106" s="122">
        <f t="shared" si="1"/>
        <v>-1.3893685879040607E-3</v>
      </c>
      <c r="J106" s="122">
        <f t="shared" si="1"/>
        <v>0</v>
      </c>
      <c r="K106"/>
      <c r="L106"/>
      <c r="M106" s="54"/>
      <c r="N106" s="54"/>
      <c r="O106" s="54"/>
      <c r="Y106"/>
    </row>
    <row r="107" spans="1:25" s="15" customFormat="1" x14ac:dyDescent="0.3">
      <c r="A107" s="17"/>
      <c r="B107"/>
      <c r="C107"/>
      <c r="D107"/>
      <c r="E107"/>
      <c r="F107" s="121">
        <v>43594</v>
      </c>
      <c r="G107" s="53">
        <v>269.372589</v>
      </c>
      <c r="H107" s="53">
        <v>88.837585000000004</v>
      </c>
      <c r="I107" s="122">
        <f t="shared" si="1"/>
        <v>-3.0258911543242784E-3</v>
      </c>
      <c r="J107" s="122">
        <f t="shared" si="1"/>
        <v>1.094138634378794E-4</v>
      </c>
      <c r="K107"/>
      <c r="L107"/>
      <c r="M107" s="54"/>
      <c r="N107" s="54"/>
      <c r="O107" s="54"/>
      <c r="Y107"/>
    </row>
    <row r="108" spans="1:25" s="15" customFormat="1" x14ac:dyDescent="0.3">
      <c r="A108" s="17"/>
      <c r="B108"/>
      <c r="C108"/>
      <c r="D108"/>
      <c r="E108"/>
      <c r="F108" s="121">
        <v>43595</v>
      </c>
      <c r="G108" s="53">
        <v>270.72582999999997</v>
      </c>
      <c r="H108" s="53">
        <v>88.857017999999997</v>
      </c>
      <c r="I108" s="122">
        <f t="shared" si="1"/>
        <v>5.0236774462599776E-3</v>
      </c>
      <c r="J108" s="122">
        <f t="shared" si="1"/>
        <v>2.187475042234599E-4</v>
      </c>
      <c r="K108"/>
      <c r="L108"/>
      <c r="M108" s="54"/>
      <c r="N108" s="54"/>
      <c r="O108" s="54"/>
      <c r="Y108"/>
    </row>
    <row r="109" spans="1:25" s="15" customFormat="1" x14ac:dyDescent="0.3">
      <c r="A109" s="17"/>
      <c r="B109"/>
      <c r="C109"/>
      <c r="D109"/>
      <c r="E109"/>
      <c r="F109" s="121">
        <v>43598</v>
      </c>
      <c r="G109" s="53">
        <v>263.92233299999998</v>
      </c>
      <c r="H109" s="53">
        <v>88.847282000000007</v>
      </c>
      <c r="I109" s="122">
        <f t="shared" si="1"/>
        <v>-2.5130579523941265E-2</v>
      </c>
      <c r="J109" s="122">
        <f t="shared" si="1"/>
        <v>-1.0956928579342051E-4</v>
      </c>
      <c r="K109"/>
      <c r="L109"/>
      <c r="M109" s="54"/>
      <c r="N109" s="54"/>
      <c r="O109" s="54"/>
      <c r="Y109"/>
    </row>
    <row r="110" spans="1:25" s="15" customFormat="1" x14ac:dyDescent="0.3">
      <c r="A110" s="17"/>
      <c r="B110"/>
      <c r="C110"/>
      <c r="D110"/>
      <c r="E110"/>
      <c r="F110" s="121">
        <v>43599</v>
      </c>
      <c r="G110" s="53">
        <v>266.309235</v>
      </c>
      <c r="H110" s="53">
        <v>88.857017999999997</v>
      </c>
      <c r="I110" s="122">
        <f t="shared" si="1"/>
        <v>9.0439561247741551E-3</v>
      </c>
      <c r="J110" s="122">
        <f t="shared" si="1"/>
        <v>1.0958129253735294E-4</v>
      </c>
      <c r="K110"/>
      <c r="L110"/>
      <c r="M110" s="54"/>
      <c r="N110" s="54"/>
      <c r="O110" s="54"/>
      <c r="Y110"/>
    </row>
    <row r="111" spans="1:25" s="15" customFormat="1" x14ac:dyDescent="0.3">
      <c r="A111" s="17"/>
      <c r="B111"/>
      <c r="C111"/>
      <c r="D111"/>
      <c r="E111"/>
      <c r="F111" s="121">
        <v>43600</v>
      </c>
      <c r="G111" s="53">
        <v>267.86910999999998</v>
      </c>
      <c r="H111" s="53">
        <v>88.866721999999996</v>
      </c>
      <c r="I111" s="122">
        <f t="shared" si="1"/>
        <v>5.8573823021945692E-3</v>
      </c>
      <c r="J111" s="122">
        <f t="shared" si="1"/>
        <v>1.0920915667012032E-4</v>
      </c>
      <c r="K111"/>
      <c r="L111"/>
      <c r="M111" s="54"/>
      <c r="N111" s="54"/>
      <c r="O111" s="54"/>
      <c r="Y111"/>
    </row>
    <row r="112" spans="1:25" s="15" customFormat="1" x14ac:dyDescent="0.3">
      <c r="A112" s="17"/>
      <c r="B112"/>
      <c r="C112"/>
      <c r="D112"/>
      <c r="E112"/>
      <c r="F112" s="121">
        <v>43601</v>
      </c>
      <c r="G112" s="53">
        <v>270.34988399999997</v>
      </c>
      <c r="H112" s="53">
        <v>88.876434000000003</v>
      </c>
      <c r="I112" s="122">
        <f t="shared" si="1"/>
        <v>9.2611425035160622E-3</v>
      </c>
      <c r="J112" s="122">
        <f t="shared" si="1"/>
        <v>1.0928725378223092E-4</v>
      </c>
      <c r="K112"/>
      <c r="L112"/>
      <c r="M112" s="54"/>
      <c r="N112" s="54"/>
      <c r="O112" s="54"/>
      <c r="Y112"/>
    </row>
    <row r="113" spans="1:25" s="15" customFormat="1" x14ac:dyDescent="0.3">
      <c r="A113" s="17"/>
      <c r="B113"/>
      <c r="C113"/>
      <c r="D113"/>
      <c r="E113"/>
      <c r="F113" s="121">
        <v>43602</v>
      </c>
      <c r="G113" s="53">
        <v>268.602081</v>
      </c>
      <c r="H113" s="53">
        <v>88.886168999999995</v>
      </c>
      <c r="I113" s="122">
        <f t="shared" si="1"/>
        <v>-6.4649667095842966E-3</v>
      </c>
      <c r="J113" s="122">
        <f t="shared" si="1"/>
        <v>1.0953409764380417E-4</v>
      </c>
      <c r="K113"/>
      <c r="L113"/>
      <c r="M113" s="54"/>
      <c r="N113" s="54"/>
      <c r="O113" s="54"/>
      <c r="Y113"/>
    </row>
    <row r="114" spans="1:25" s="15" customFormat="1" x14ac:dyDescent="0.3">
      <c r="A114" s="17"/>
      <c r="B114"/>
      <c r="C114"/>
      <c r="D114"/>
      <c r="E114"/>
      <c r="F114" s="121">
        <v>43605</v>
      </c>
      <c r="G114" s="53">
        <v>266.82607999999999</v>
      </c>
      <c r="H114" s="53">
        <v>88.895843999999997</v>
      </c>
      <c r="I114" s="122">
        <f t="shared" si="1"/>
        <v>-6.6120150424300306E-3</v>
      </c>
      <c r="J114" s="122">
        <f t="shared" si="1"/>
        <v>1.0884708058456205E-4</v>
      </c>
      <c r="K114"/>
      <c r="L114"/>
      <c r="M114" s="54"/>
      <c r="N114" s="54"/>
      <c r="O114" s="54"/>
      <c r="Y114"/>
    </row>
    <row r="115" spans="1:25" s="15" customFormat="1" x14ac:dyDescent="0.3">
      <c r="A115" s="17"/>
      <c r="B115"/>
      <c r="C115"/>
      <c r="D115"/>
      <c r="E115"/>
      <c r="F115" s="121">
        <v>43606</v>
      </c>
      <c r="G115" s="53">
        <v>269.23172</v>
      </c>
      <c r="H115" s="53">
        <v>88.895843999999997</v>
      </c>
      <c r="I115" s="122">
        <f t="shared" si="1"/>
        <v>9.0157603784457585E-3</v>
      </c>
      <c r="J115" s="122">
        <f t="shared" si="1"/>
        <v>0</v>
      </c>
      <c r="K115"/>
      <c r="L115"/>
      <c r="M115" s="54"/>
      <c r="N115" s="54"/>
      <c r="O115" s="54"/>
      <c r="Y115"/>
    </row>
    <row r="116" spans="1:25" s="15" customFormat="1" x14ac:dyDescent="0.3">
      <c r="A116" s="17"/>
      <c r="B116"/>
      <c r="C116"/>
      <c r="D116"/>
      <c r="E116"/>
      <c r="F116" s="121">
        <v>43607</v>
      </c>
      <c r="G116" s="53">
        <v>268.404785</v>
      </c>
      <c r="H116" s="53">
        <v>88.915276000000006</v>
      </c>
      <c r="I116" s="122">
        <f t="shared" si="1"/>
        <v>-3.0714620104941304E-3</v>
      </c>
      <c r="J116" s="122">
        <f t="shared" si="1"/>
        <v>2.185928961988548E-4</v>
      </c>
      <c r="K116"/>
      <c r="L116"/>
      <c r="M116" s="54"/>
      <c r="N116" s="54"/>
      <c r="O116" s="54"/>
      <c r="Y116"/>
    </row>
    <row r="117" spans="1:25" s="15" customFormat="1" x14ac:dyDescent="0.3">
      <c r="A117" s="17"/>
      <c r="B117"/>
      <c r="C117"/>
      <c r="D117"/>
      <c r="E117"/>
      <c r="F117" s="121">
        <v>43608</v>
      </c>
      <c r="G117" s="53">
        <v>265.12527499999999</v>
      </c>
      <c r="H117" s="53">
        <v>88.934700000000007</v>
      </c>
      <c r="I117" s="122">
        <f t="shared" si="1"/>
        <v>-1.221852285532099E-2</v>
      </c>
      <c r="J117" s="122">
        <f t="shared" si="1"/>
        <v>2.1845515049623287E-4</v>
      </c>
      <c r="K117"/>
      <c r="L117"/>
      <c r="M117" s="54"/>
      <c r="N117" s="54"/>
      <c r="O117" s="54"/>
      <c r="Y117"/>
    </row>
    <row r="118" spans="1:25" s="15" customFormat="1" x14ac:dyDescent="0.3">
      <c r="A118" s="17"/>
      <c r="B118"/>
      <c r="C118"/>
      <c r="D118"/>
      <c r="E118"/>
      <c r="F118" s="121">
        <v>43609</v>
      </c>
      <c r="G118" s="53">
        <v>265.726563</v>
      </c>
      <c r="H118" s="53">
        <v>88.934700000000007</v>
      </c>
      <c r="I118" s="122">
        <f t="shared" si="1"/>
        <v>2.2679391845987773E-3</v>
      </c>
      <c r="J118" s="122">
        <f t="shared" si="1"/>
        <v>0</v>
      </c>
      <c r="K118"/>
      <c r="L118"/>
      <c r="M118" s="54"/>
      <c r="N118" s="54"/>
      <c r="O118" s="54"/>
      <c r="Y118"/>
    </row>
    <row r="119" spans="1:25" s="15" customFormat="1" x14ac:dyDescent="0.3">
      <c r="A119" s="17"/>
      <c r="B119"/>
      <c r="C119"/>
      <c r="D119"/>
      <c r="E119"/>
      <c r="F119" s="121">
        <v>43613</v>
      </c>
      <c r="G119" s="53">
        <v>263.25521900000001</v>
      </c>
      <c r="H119" s="53">
        <v>88.944382000000004</v>
      </c>
      <c r="I119" s="122">
        <f t="shared" si="1"/>
        <v>-9.3003272691258854E-3</v>
      </c>
      <c r="J119" s="122">
        <f t="shared" si="1"/>
        <v>1.0886639298268719E-4</v>
      </c>
      <c r="K119"/>
      <c r="L119"/>
      <c r="M119" s="54"/>
      <c r="N119" s="54"/>
      <c r="O119" s="54"/>
      <c r="Y119"/>
    </row>
    <row r="120" spans="1:25" s="15" customFormat="1" x14ac:dyDescent="0.3">
      <c r="A120" s="17"/>
      <c r="B120"/>
      <c r="C120"/>
      <c r="D120"/>
      <c r="E120"/>
      <c r="F120" s="121">
        <v>43614</v>
      </c>
      <c r="G120" s="53">
        <v>261.488586</v>
      </c>
      <c r="H120" s="53">
        <v>88.944382000000004</v>
      </c>
      <c r="I120" s="122">
        <f t="shared" si="1"/>
        <v>-6.7107235583429015E-3</v>
      </c>
      <c r="J120" s="122">
        <f t="shared" si="1"/>
        <v>0</v>
      </c>
      <c r="K120"/>
      <c r="L120"/>
      <c r="M120" s="54"/>
      <c r="N120" s="54"/>
      <c r="O120" s="54"/>
      <c r="Y120"/>
    </row>
    <row r="121" spans="1:25" s="15" customFormat="1" x14ac:dyDescent="0.3">
      <c r="A121" s="17"/>
      <c r="B121"/>
      <c r="C121"/>
      <c r="D121"/>
      <c r="E121"/>
      <c r="F121" s="121">
        <v>43615</v>
      </c>
      <c r="G121" s="53">
        <v>262.20281999999997</v>
      </c>
      <c r="H121" s="53">
        <v>88.973549000000006</v>
      </c>
      <c r="I121" s="122">
        <f t="shared" si="1"/>
        <v>2.7314155884416991E-3</v>
      </c>
      <c r="J121" s="122">
        <f t="shared" si="1"/>
        <v>3.279240278493134E-4</v>
      </c>
      <c r="K121"/>
      <c r="L121"/>
      <c r="M121" s="54"/>
      <c r="N121" s="54"/>
      <c r="O121" s="54"/>
      <c r="Y121"/>
    </row>
    <row r="122" spans="1:25" s="15" customFormat="1" x14ac:dyDescent="0.3">
      <c r="A122" s="17"/>
      <c r="B122"/>
      <c r="C122"/>
      <c r="D122"/>
      <c r="E122"/>
      <c r="F122" s="121">
        <v>43616</v>
      </c>
      <c r="G122" s="53">
        <v>258.669556</v>
      </c>
      <c r="H122" s="53">
        <v>88.973549000000006</v>
      </c>
      <c r="I122" s="122">
        <f t="shared" si="1"/>
        <v>-1.3475308923069473E-2</v>
      </c>
      <c r="J122" s="122">
        <f t="shared" si="1"/>
        <v>0</v>
      </c>
      <c r="K122"/>
      <c r="L122"/>
      <c r="M122" s="54"/>
      <c r="N122" s="54"/>
      <c r="O122" s="54"/>
      <c r="Y122"/>
    </row>
    <row r="123" spans="1:25" s="15" customFormat="1" x14ac:dyDescent="0.3">
      <c r="A123" s="17"/>
      <c r="B123"/>
      <c r="C123"/>
      <c r="D123"/>
      <c r="E123"/>
      <c r="F123" s="121">
        <v>43619</v>
      </c>
      <c r="G123" s="53">
        <v>258.01174900000001</v>
      </c>
      <c r="H123" s="53">
        <v>88.969673</v>
      </c>
      <c r="I123" s="122">
        <f t="shared" si="1"/>
        <v>-2.5430398929512377E-3</v>
      </c>
      <c r="J123" s="122">
        <f t="shared" si="1"/>
        <v>-4.3563508970612119E-5</v>
      </c>
      <c r="K123"/>
      <c r="L123"/>
      <c r="M123" s="54"/>
      <c r="N123" s="54"/>
      <c r="O123" s="54"/>
      <c r="Y123"/>
    </row>
    <row r="124" spans="1:25" s="15" customFormat="1" x14ac:dyDescent="0.3">
      <c r="A124" s="17"/>
      <c r="B124"/>
      <c r="C124"/>
      <c r="D124"/>
      <c r="E124"/>
      <c r="F124" s="121">
        <v>43620</v>
      </c>
      <c r="G124" s="53">
        <v>263.61230499999999</v>
      </c>
      <c r="H124" s="53">
        <v>88.989104999999995</v>
      </c>
      <c r="I124" s="122">
        <f t="shared" si="1"/>
        <v>2.1706592904030764E-2</v>
      </c>
      <c r="J124" s="122">
        <f t="shared" si="1"/>
        <v>2.184115029848499E-4</v>
      </c>
      <c r="K124"/>
      <c r="L124"/>
      <c r="M124" s="54"/>
      <c r="N124" s="54"/>
      <c r="O124" s="54"/>
      <c r="Y124"/>
    </row>
    <row r="125" spans="1:25" s="15" customFormat="1" x14ac:dyDescent="0.3">
      <c r="A125" s="17"/>
      <c r="B125"/>
      <c r="C125"/>
      <c r="D125"/>
      <c r="E125"/>
      <c r="F125" s="121">
        <v>43621</v>
      </c>
      <c r="G125" s="53">
        <v>265.89575200000002</v>
      </c>
      <c r="H125" s="53">
        <v>88.989104999999995</v>
      </c>
      <c r="I125" s="122">
        <f t="shared" si="1"/>
        <v>8.6621411697758166E-3</v>
      </c>
      <c r="J125" s="122">
        <f t="shared" si="1"/>
        <v>0</v>
      </c>
      <c r="K125"/>
      <c r="L125"/>
      <c r="M125" s="54"/>
      <c r="N125" s="54"/>
      <c r="O125" s="54"/>
      <c r="Y125"/>
    </row>
    <row r="126" spans="1:25" s="15" customFormat="1" x14ac:dyDescent="0.3">
      <c r="A126" s="17"/>
      <c r="B126"/>
      <c r="C126"/>
      <c r="D126"/>
      <c r="E126"/>
      <c r="F126" s="121">
        <v>43622</v>
      </c>
      <c r="G126" s="53">
        <v>267.62481700000001</v>
      </c>
      <c r="H126" s="53">
        <v>89.018294999999995</v>
      </c>
      <c r="I126" s="122">
        <f t="shared" si="1"/>
        <v>6.5027928689886938E-3</v>
      </c>
      <c r="J126" s="122">
        <f t="shared" si="1"/>
        <v>3.2801768261414566E-4</v>
      </c>
      <c r="K126"/>
      <c r="L126"/>
      <c r="M126" s="54"/>
      <c r="N126" s="54"/>
      <c r="O126" s="54"/>
      <c r="Y126"/>
    </row>
    <row r="127" spans="1:25" s="15" customFormat="1" x14ac:dyDescent="0.3">
      <c r="A127" s="17"/>
      <c r="B127"/>
      <c r="C127"/>
      <c r="D127"/>
      <c r="E127"/>
      <c r="F127" s="121">
        <v>43623</v>
      </c>
      <c r="G127" s="53">
        <v>270.30291699999998</v>
      </c>
      <c r="H127" s="53">
        <v>89.008567999999997</v>
      </c>
      <c r="I127" s="122">
        <f t="shared" si="1"/>
        <v>1.0006919500294309E-2</v>
      </c>
      <c r="J127" s="122">
        <f t="shared" si="1"/>
        <v>-1.0926967316093883E-4</v>
      </c>
      <c r="K127"/>
      <c r="L127"/>
      <c r="M127" s="54"/>
      <c r="N127" s="54"/>
      <c r="O127" s="54"/>
      <c r="Y127"/>
    </row>
    <row r="128" spans="1:25" s="15" customFormat="1" x14ac:dyDescent="0.3">
      <c r="A128" s="17"/>
      <c r="B128"/>
      <c r="C128"/>
      <c r="D128"/>
      <c r="E128"/>
      <c r="F128" s="121">
        <v>43626</v>
      </c>
      <c r="G128" s="53">
        <v>271.54330399999998</v>
      </c>
      <c r="H128" s="53">
        <v>89.028037999999995</v>
      </c>
      <c r="I128" s="122">
        <f t="shared" si="1"/>
        <v>4.5888775961673289E-3</v>
      </c>
      <c r="J128" s="122">
        <f t="shared" si="1"/>
        <v>2.1874298663027147E-4</v>
      </c>
      <c r="K128"/>
      <c r="L128"/>
      <c r="M128" s="54"/>
      <c r="N128" s="54"/>
      <c r="O128" s="54"/>
      <c r="Y128"/>
    </row>
    <row r="129" spans="1:25" s="15" customFormat="1" x14ac:dyDescent="0.3">
      <c r="A129" s="17"/>
      <c r="B129"/>
      <c r="C129"/>
      <c r="D129"/>
      <c r="E129"/>
      <c r="F129" s="121">
        <v>43627</v>
      </c>
      <c r="G129" s="53">
        <v>271.47757000000001</v>
      </c>
      <c r="H129" s="53">
        <v>89.018294999999995</v>
      </c>
      <c r="I129" s="122">
        <f t="shared" si="1"/>
        <v>-2.4207556964828125E-4</v>
      </c>
      <c r="J129" s="122">
        <f t="shared" si="1"/>
        <v>-1.0943743363189817E-4</v>
      </c>
      <c r="K129"/>
      <c r="L129"/>
      <c r="M129" s="54"/>
      <c r="N129" s="54"/>
      <c r="O129" s="54"/>
      <c r="Y129"/>
    </row>
    <row r="130" spans="1:25" s="15" customFormat="1" x14ac:dyDescent="0.3">
      <c r="A130" s="17"/>
      <c r="B130"/>
      <c r="C130"/>
      <c r="D130"/>
      <c r="E130"/>
      <c r="F130" s="121">
        <v>43628</v>
      </c>
      <c r="G130" s="53">
        <v>270.99829099999999</v>
      </c>
      <c r="H130" s="53">
        <v>89.028037999999995</v>
      </c>
      <c r="I130" s="122">
        <f t="shared" si="1"/>
        <v>-1.7654460366652858E-3</v>
      </c>
      <c r="J130" s="122">
        <f t="shared" si="1"/>
        <v>1.0944941149459986E-4</v>
      </c>
      <c r="K130"/>
      <c r="L130"/>
      <c r="M130" s="54"/>
      <c r="N130" s="54"/>
      <c r="O130" s="54"/>
      <c r="Y130"/>
    </row>
    <row r="131" spans="1:25" s="15" customFormat="1" x14ac:dyDescent="0.3">
      <c r="A131" s="17"/>
      <c r="B131"/>
      <c r="C131"/>
      <c r="D131"/>
      <c r="E131"/>
      <c r="F131" s="121">
        <v>43629</v>
      </c>
      <c r="G131" s="53">
        <v>272.11648600000001</v>
      </c>
      <c r="H131" s="53">
        <v>89.057243</v>
      </c>
      <c r="I131" s="122">
        <f t="shared" si="1"/>
        <v>4.1262068327951873E-3</v>
      </c>
      <c r="J131" s="122">
        <f t="shared" si="1"/>
        <v>3.2804272290043457E-4</v>
      </c>
      <c r="K131"/>
      <c r="L131"/>
      <c r="M131" s="54"/>
      <c r="N131" s="54"/>
      <c r="O131" s="54"/>
      <c r="Y131"/>
    </row>
    <row r="132" spans="1:25" s="15" customFormat="1" x14ac:dyDescent="0.3">
      <c r="A132" s="17"/>
      <c r="B132"/>
      <c r="C132"/>
      <c r="D132"/>
      <c r="E132"/>
      <c r="F132" s="121">
        <v>43630</v>
      </c>
      <c r="G132" s="53">
        <v>271.81585699999999</v>
      </c>
      <c r="H132" s="53">
        <v>89.066940000000002</v>
      </c>
      <c r="I132" s="122">
        <f t="shared" si="1"/>
        <v>-1.1047805460784321E-3</v>
      </c>
      <c r="J132" s="122">
        <f t="shared" si="1"/>
        <v>1.0888502353489926E-4</v>
      </c>
      <c r="K132"/>
      <c r="L132"/>
      <c r="M132" s="54"/>
      <c r="N132" s="54"/>
      <c r="O132" s="54"/>
      <c r="Y132"/>
    </row>
    <row r="133" spans="1:25" s="15" customFormat="1" x14ac:dyDescent="0.3">
      <c r="A133" s="17"/>
      <c r="B133"/>
      <c r="C133"/>
      <c r="D133"/>
      <c r="E133"/>
      <c r="F133" s="121">
        <v>43633</v>
      </c>
      <c r="G133" s="53">
        <v>271.91915899999998</v>
      </c>
      <c r="H133" s="53">
        <v>89.066940000000002</v>
      </c>
      <c r="I133" s="122">
        <f t="shared" si="1"/>
        <v>3.8004405313252221E-4</v>
      </c>
      <c r="J133" s="122">
        <f t="shared" si="1"/>
        <v>0</v>
      </c>
      <c r="K133"/>
      <c r="L133"/>
      <c r="M133" s="54"/>
      <c r="N133" s="54"/>
      <c r="O133" s="54"/>
      <c r="Y133"/>
    </row>
    <row r="134" spans="1:25" s="15" customFormat="1" x14ac:dyDescent="0.3">
      <c r="A134" s="17"/>
      <c r="B134"/>
      <c r="C134"/>
      <c r="D134"/>
      <c r="E134"/>
      <c r="F134" s="121">
        <v>43634</v>
      </c>
      <c r="G134" s="53">
        <v>274.76641799999999</v>
      </c>
      <c r="H134" s="53">
        <v>89.066940000000002</v>
      </c>
      <c r="I134" s="122">
        <f t="shared" si="1"/>
        <v>1.0470976044758995E-2</v>
      </c>
      <c r="J134" s="122">
        <f t="shared" si="1"/>
        <v>0</v>
      </c>
      <c r="K134"/>
      <c r="L134"/>
      <c r="M134" s="54"/>
      <c r="N134" s="54"/>
      <c r="O134" s="54"/>
      <c r="Y134"/>
    </row>
    <row r="135" spans="1:25" s="15" customFormat="1" x14ac:dyDescent="0.3">
      <c r="A135" s="17"/>
      <c r="B135"/>
      <c r="C135"/>
      <c r="D135"/>
      <c r="E135"/>
      <c r="F135" s="121">
        <v>43635</v>
      </c>
      <c r="G135" s="53">
        <v>275.38662699999998</v>
      </c>
      <c r="H135" s="53">
        <v>89.086417999999995</v>
      </c>
      <c r="I135" s="122">
        <f t="shared" si="1"/>
        <v>2.2572227148951463E-3</v>
      </c>
      <c r="J135" s="122">
        <f t="shared" si="1"/>
        <v>2.1868944863268069E-4</v>
      </c>
      <c r="K135"/>
      <c r="L135"/>
      <c r="M135" s="54"/>
      <c r="N135" s="54"/>
      <c r="O135" s="54"/>
      <c r="Y135"/>
    </row>
    <row r="136" spans="1:25" s="15" customFormat="1" x14ac:dyDescent="0.3">
      <c r="A136" s="17"/>
      <c r="B136"/>
      <c r="C136"/>
      <c r="D136"/>
      <c r="E136"/>
      <c r="F136" s="121">
        <v>43636</v>
      </c>
      <c r="G136" s="53">
        <v>278.01776100000001</v>
      </c>
      <c r="H136" s="53">
        <v>89.096130000000002</v>
      </c>
      <c r="I136" s="122">
        <f t="shared" si="1"/>
        <v>9.5543274147442681E-3</v>
      </c>
      <c r="J136" s="122">
        <f t="shared" si="1"/>
        <v>1.0901774050453561E-4</v>
      </c>
      <c r="K136"/>
      <c r="L136"/>
      <c r="M136" s="54"/>
      <c r="N136" s="54"/>
      <c r="O136" s="54"/>
      <c r="Y136"/>
    </row>
    <row r="137" spans="1:25" s="15" customFormat="1" x14ac:dyDescent="0.3">
      <c r="A137" s="17"/>
      <c r="B137"/>
      <c r="C137"/>
      <c r="D137"/>
      <c r="E137"/>
      <c r="F137" s="121">
        <v>43637</v>
      </c>
      <c r="G137" s="53">
        <v>277.61370799999997</v>
      </c>
      <c r="H137" s="53">
        <v>89.096130000000002</v>
      </c>
      <c r="I137" s="122">
        <f t="shared" si="1"/>
        <v>-1.4533352061634197E-3</v>
      </c>
      <c r="J137" s="122">
        <f t="shared" si="1"/>
        <v>0</v>
      </c>
      <c r="K137"/>
      <c r="L137"/>
      <c r="M137" s="54"/>
      <c r="N137" s="54"/>
      <c r="O137" s="54"/>
      <c r="Y137"/>
    </row>
    <row r="138" spans="1:25" s="15" customFormat="1" x14ac:dyDescent="0.3">
      <c r="A138" s="17"/>
      <c r="B138"/>
      <c r="C138"/>
      <c r="D138"/>
      <c r="E138"/>
      <c r="F138" s="121">
        <v>43640</v>
      </c>
      <c r="G138" s="53">
        <v>277.27377300000001</v>
      </c>
      <c r="H138" s="53">
        <v>89.105864999999994</v>
      </c>
      <c r="I138" s="122">
        <f t="shared" si="1"/>
        <v>-1.2244892460424595E-3</v>
      </c>
      <c r="J138" s="122">
        <f t="shared" si="1"/>
        <v>1.0926400506949818E-4</v>
      </c>
      <c r="K138"/>
      <c r="L138"/>
      <c r="M138" s="54"/>
      <c r="N138" s="54"/>
      <c r="O138" s="54"/>
      <c r="Y138"/>
    </row>
    <row r="139" spans="1:25" s="15" customFormat="1" x14ac:dyDescent="0.3">
      <c r="A139" s="17"/>
      <c r="B139"/>
      <c r="C139"/>
      <c r="D139"/>
      <c r="E139"/>
      <c r="F139" s="121">
        <v>43641</v>
      </c>
      <c r="G139" s="53">
        <v>274.55429099999998</v>
      </c>
      <c r="H139" s="53">
        <v>89.105864999999994</v>
      </c>
      <c r="I139" s="122">
        <f t="shared" si="1"/>
        <v>-9.8079308784824182E-3</v>
      </c>
      <c r="J139" s="122">
        <f t="shared" si="1"/>
        <v>0</v>
      </c>
      <c r="K139"/>
      <c r="L139"/>
      <c r="M139" s="54"/>
      <c r="N139" s="54"/>
      <c r="O139" s="54"/>
      <c r="Y139"/>
    </row>
    <row r="140" spans="1:25" s="15" customFormat="1" x14ac:dyDescent="0.3">
      <c r="A140" s="17"/>
      <c r="B140"/>
      <c r="C140"/>
      <c r="D140"/>
      <c r="E140"/>
      <c r="F140" s="121">
        <v>43642</v>
      </c>
      <c r="G140" s="53">
        <v>274.28042599999998</v>
      </c>
      <c r="H140" s="53">
        <v>89.125327999999996</v>
      </c>
      <c r="I140" s="122">
        <f t="shared" si="1"/>
        <v>-9.9748941822219717E-4</v>
      </c>
      <c r="J140" s="122">
        <f t="shared" si="1"/>
        <v>2.1842557726148293E-4</v>
      </c>
      <c r="K140"/>
      <c r="L140"/>
      <c r="M140" s="54"/>
      <c r="N140" s="54"/>
      <c r="O140" s="54"/>
      <c r="Y140"/>
    </row>
    <row r="141" spans="1:25" s="15" customFormat="1" x14ac:dyDescent="0.3">
      <c r="A141" s="17"/>
      <c r="B141"/>
      <c r="C141"/>
      <c r="D141"/>
      <c r="E141"/>
      <c r="F141" s="121">
        <v>43643</v>
      </c>
      <c r="G141" s="53">
        <v>275.25302099999999</v>
      </c>
      <c r="H141" s="53">
        <v>89.125327999999996</v>
      </c>
      <c r="I141" s="122">
        <f t="shared" si="1"/>
        <v>3.5459876382137878E-3</v>
      </c>
      <c r="J141" s="122">
        <f t="shared" si="1"/>
        <v>0</v>
      </c>
      <c r="K141"/>
      <c r="L141"/>
      <c r="M141" s="54"/>
      <c r="N141" s="54"/>
      <c r="O141" s="54"/>
      <c r="Y141"/>
    </row>
    <row r="142" spans="1:25" s="15" customFormat="1" x14ac:dyDescent="0.3">
      <c r="A142" s="17"/>
      <c r="B142"/>
      <c r="C142"/>
      <c r="D142"/>
      <c r="E142"/>
      <c r="F142" s="121">
        <v>43644</v>
      </c>
      <c r="G142" s="53">
        <v>276.669464</v>
      </c>
      <c r="H142" s="53">
        <v>89.135047999999998</v>
      </c>
      <c r="I142" s="122">
        <f t="shared" si="1"/>
        <v>5.1459671354525671E-3</v>
      </c>
      <c r="J142" s="122">
        <f t="shared" si="1"/>
        <v>1.0905990719045633E-4</v>
      </c>
      <c r="K142"/>
      <c r="L142"/>
      <c r="M142" s="54"/>
      <c r="N142" s="54"/>
      <c r="O142" s="54"/>
      <c r="Y142"/>
    </row>
    <row r="143" spans="1:25" s="15" customFormat="1" x14ac:dyDescent="0.3">
      <c r="A143" s="17"/>
      <c r="B143"/>
      <c r="C143"/>
      <c r="D143"/>
      <c r="E143"/>
      <c r="F143" s="121">
        <v>43647</v>
      </c>
      <c r="G143" s="53">
        <v>279.181152</v>
      </c>
      <c r="H143" s="53">
        <v>89.130211000000003</v>
      </c>
      <c r="I143" s="122">
        <f t="shared" si="1"/>
        <v>9.0782985721908904E-3</v>
      </c>
      <c r="J143" s="122">
        <f t="shared" si="1"/>
        <v>-5.4265971786926492E-5</v>
      </c>
      <c r="K143"/>
      <c r="L143"/>
      <c r="M143" s="54"/>
      <c r="N143" s="54"/>
      <c r="O143" s="54"/>
      <c r="Y143"/>
    </row>
    <row r="144" spans="1:25" s="15" customFormat="1" x14ac:dyDescent="0.3">
      <c r="A144" s="17"/>
      <c r="B144"/>
      <c r="C144"/>
      <c r="D144"/>
      <c r="E144"/>
      <c r="F144" s="121">
        <v>43648</v>
      </c>
      <c r="G144" s="53">
        <v>279.90823399999999</v>
      </c>
      <c r="H144" s="53">
        <v>89.139938000000001</v>
      </c>
      <c r="I144" s="122">
        <f t="shared" si="1"/>
        <v>2.6043377025681824E-3</v>
      </c>
      <c r="J144" s="122">
        <f t="shared" si="1"/>
        <v>1.0913246912425123E-4</v>
      </c>
      <c r="K144"/>
      <c r="L144"/>
      <c r="M144" s="54"/>
      <c r="N144" s="54"/>
      <c r="O144" s="54"/>
      <c r="Y144"/>
    </row>
    <row r="145" spans="1:25" s="15" customFormat="1" x14ac:dyDescent="0.3">
      <c r="A145" s="17"/>
      <c r="B145"/>
      <c r="C145"/>
      <c r="D145"/>
      <c r="E145"/>
      <c r="F145" s="121">
        <v>43649</v>
      </c>
      <c r="G145" s="53">
        <v>282.14605699999998</v>
      </c>
      <c r="H145" s="53">
        <v>89.169182000000006</v>
      </c>
      <c r="I145" s="122">
        <f t="shared" si="1"/>
        <v>7.9948451963010037E-3</v>
      </c>
      <c r="J145" s="122">
        <f t="shared" si="1"/>
        <v>3.2806843549759712E-4</v>
      </c>
      <c r="K145"/>
      <c r="L145"/>
      <c r="M145" s="54"/>
      <c r="N145" s="54"/>
      <c r="O145" s="54"/>
      <c r="Y145"/>
    </row>
    <row r="146" spans="1:25" s="15" customFormat="1" x14ac:dyDescent="0.3">
      <c r="A146" s="17"/>
      <c r="B146"/>
      <c r="C146"/>
      <c r="D146"/>
      <c r="E146"/>
      <c r="F146" s="121">
        <v>43651</v>
      </c>
      <c r="G146" s="53">
        <v>281.82510400000001</v>
      </c>
      <c r="H146" s="53">
        <v>89.159415999999993</v>
      </c>
      <c r="I146" s="122">
        <f t="shared" si="1"/>
        <v>-1.1375420355421717E-3</v>
      </c>
      <c r="J146" s="122">
        <f t="shared" si="1"/>
        <v>-1.0952214409698513E-4</v>
      </c>
      <c r="K146"/>
      <c r="L146"/>
      <c r="M146" s="54"/>
      <c r="N146" s="54"/>
      <c r="O146" s="54"/>
      <c r="Y146"/>
    </row>
    <row r="147" spans="1:25" s="15" customFormat="1" x14ac:dyDescent="0.3">
      <c r="A147" s="17"/>
      <c r="B147"/>
      <c r="C147"/>
      <c r="D147"/>
      <c r="E147"/>
      <c r="F147" s="121">
        <v>43654</v>
      </c>
      <c r="G147" s="53">
        <v>280.27648900000003</v>
      </c>
      <c r="H147" s="53">
        <v>89.159415999999993</v>
      </c>
      <c r="I147" s="122">
        <f t="shared" si="1"/>
        <v>-5.4949505137057431E-3</v>
      </c>
      <c r="J147" s="122">
        <f t="shared" si="1"/>
        <v>0</v>
      </c>
      <c r="K147"/>
      <c r="L147"/>
      <c r="M147" s="54"/>
      <c r="N147" s="54"/>
      <c r="O147" s="54"/>
      <c r="Y147"/>
    </row>
    <row r="148" spans="1:25" s="15" customFormat="1" x14ac:dyDescent="0.3">
      <c r="A148" s="17"/>
      <c r="B148"/>
      <c r="C148"/>
      <c r="D148"/>
      <c r="E148"/>
      <c r="F148" s="121">
        <v>43655</v>
      </c>
      <c r="G148" s="53">
        <v>280.625854</v>
      </c>
      <c r="H148" s="53">
        <v>89.169182000000006</v>
      </c>
      <c r="I148" s="122">
        <f t="shared" ref="I148:J211" si="2">G148/G147-1</f>
        <v>1.2465012718207991E-3</v>
      </c>
      <c r="J148" s="122">
        <f t="shared" si="2"/>
        <v>1.0953414051084742E-4</v>
      </c>
      <c r="K148"/>
      <c r="L148"/>
      <c r="M148" s="54"/>
      <c r="N148" s="54"/>
      <c r="O148" s="54"/>
      <c r="Y148"/>
    </row>
    <row r="149" spans="1:25" s="15" customFormat="1" x14ac:dyDescent="0.3">
      <c r="A149" s="17"/>
      <c r="B149"/>
      <c r="C149"/>
      <c r="D149"/>
      <c r="E149"/>
      <c r="F149" s="121">
        <v>43656</v>
      </c>
      <c r="G149" s="53">
        <v>281.96673600000003</v>
      </c>
      <c r="H149" s="53">
        <v>89.178932000000003</v>
      </c>
      <c r="I149" s="122">
        <f t="shared" si="2"/>
        <v>4.7781841226932631E-3</v>
      </c>
      <c r="J149" s="122">
        <f t="shared" si="2"/>
        <v>1.0934270990614614E-4</v>
      </c>
      <c r="K149"/>
      <c r="L149"/>
      <c r="M149" s="54"/>
      <c r="N149" s="54"/>
      <c r="O149" s="54"/>
      <c r="Y149"/>
    </row>
    <row r="150" spans="1:25" s="15" customFormat="1" x14ac:dyDescent="0.3">
      <c r="A150" s="17"/>
      <c r="B150"/>
      <c r="C150"/>
      <c r="D150"/>
      <c r="E150"/>
      <c r="F150" s="121">
        <v>43657</v>
      </c>
      <c r="G150" s="53">
        <v>282.627655</v>
      </c>
      <c r="H150" s="53">
        <v>89.198409999999996</v>
      </c>
      <c r="I150" s="122">
        <f t="shared" si="2"/>
        <v>2.3439608848043747E-3</v>
      </c>
      <c r="J150" s="122">
        <f t="shared" si="2"/>
        <v>2.1841481573248167E-4</v>
      </c>
      <c r="K150"/>
      <c r="L150"/>
      <c r="M150" s="54"/>
      <c r="N150" s="54"/>
      <c r="O150" s="54"/>
      <c r="Y150"/>
    </row>
    <row r="151" spans="1:25" s="15" customFormat="1" x14ac:dyDescent="0.3">
      <c r="A151" s="17"/>
      <c r="B151"/>
      <c r="C151"/>
      <c r="D151"/>
      <c r="E151"/>
      <c r="F151" s="121">
        <v>43658</v>
      </c>
      <c r="G151" s="53">
        <v>283.89306599999998</v>
      </c>
      <c r="H151" s="53">
        <v>89.208175999999995</v>
      </c>
      <c r="I151" s="122">
        <f t="shared" si="2"/>
        <v>4.477307785043072E-3</v>
      </c>
      <c r="J151" s="122">
        <f t="shared" si="2"/>
        <v>1.0948625653761646E-4</v>
      </c>
      <c r="K151"/>
      <c r="L151"/>
      <c r="M151" s="54"/>
      <c r="N151" s="54"/>
      <c r="O151" s="54"/>
      <c r="Y151"/>
    </row>
    <row r="152" spans="1:25" s="15" customFormat="1" x14ac:dyDescent="0.3">
      <c r="A152" s="17"/>
      <c r="B152"/>
      <c r="C152"/>
      <c r="D152"/>
      <c r="E152"/>
      <c r="F152" s="121">
        <v>43661</v>
      </c>
      <c r="G152" s="53">
        <v>283.98748799999998</v>
      </c>
      <c r="H152" s="53">
        <v>89.208175999999995</v>
      </c>
      <c r="I152" s="122">
        <f t="shared" si="2"/>
        <v>3.3259706314914261E-4</v>
      </c>
      <c r="J152" s="122">
        <f t="shared" si="2"/>
        <v>0</v>
      </c>
      <c r="K152"/>
      <c r="L152"/>
      <c r="M152" s="54"/>
      <c r="N152" s="54"/>
      <c r="O152" s="54"/>
      <c r="Y152"/>
    </row>
    <row r="153" spans="1:25" s="15" customFormat="1" x14ac:dyDescent="0.3">
      <c r="A153" s="17"/>
      <c r="B153"/>
      <c r="C153"/>
      <c r="D153"/>
      <c r="E153"/>
      <c r="F153" s="121">
        <v>43662</v>
      </c>
      <c r="G153" s="53">
        <v>283.07153299999999</v>
      </c>
      <c r="H153" s="53">
        <v>89.217934</v>
      </c>
      <c r="I153" s="122">
        <f t="shared" si="2"/>
        <v>-3.2253357584542952E-3</v>
      </c>
      <c r="J153" s="122">
        <f t="shared" si="2"/>
        <v>1.0938459273068801E-4</v>
      </c>
      <c r="K153"/>
      <c r="L153"/>
      <c r="M153" s="54"/>
      <c r="N153" s="54"/>
      <c r="O153" s="54"/>
      <c r="Y153"/>
    </row>
    <row r="154" spans="1:25" s="15" customFormat="1" x14ac:dyDescent="0.3">
      <c r="A154" s="17"/>
      <c r="B154"/>
      <c r="C154"/>
      <c r="D154"/>
      <c r="E154"/>
      <c r="F154" s="121">
        <v>43663</v>
      </c>
      <c r="G154" s="53">
        <v>281.14520299999998</v>
      </c>
      <c r="H154" s="53">
        <v>89.217934</v>
      </c>
      <c r="I154" s="122">
        <f t="shared" si="2"/>
        <v>-6.8050996848206813E-3</v>
      </c>
      <c r="J154" s="122">
        <f t="shared" si="2"/>
        <v>0</v>
      </c>
      <c r="K154"/>
      <c r="L154"/>
      <c r="M154" s="54"/>
      <c r="N154" s="54"/>
      <c r="O154" s="54"/>
      <c r="Y154"/>
    </row>
    <row r="155" spans="1:25" s="15" customFormat="1" x14ac:dyDescent="0.3">
      <c r="A155" s="17"/>
      <c r="B155"/>
      <c r="C155"/>
      <c r="D155"/>
      <c r="E155"/>
      <c r="F155" s="121">
        <v>43664</v>
      </c>
      <c r="G155" s="53">
        <v>282.17446899999999</v>
      </c>
      <c r="H155" s="53">
        <v>89.247153999999995</v>
      </c>
      <c r="I155" s="122">
        <f t="shared" si="2"/>
        <v>3.6609765666177907E-3</v>
      </c>
      <c r="J155" s="122">
        <f t="shared" si="2"/>
        <v>3.2751262767405365E-4</v>
      </c>
      <c r="K155"/>
      <c r="L155"/>
      <c r="M155" s="54"/>
      <c r="N155" s="54"/>
      <c r="O155" s="54"/>
      <c r="Y155"/>
    </row>
    <row r="156" spans="1:25" s="15" customFormat="1" x14ac:dyDescent="0.3">
      <c r="A156" s="17"/>
      <c r="B156"/>
      <c r="C156"/>
      <c r="D156"/>
      <c r="E156"/>
      <c r="F156" s="121">
        <v>43665</v>
      </c>
      <c r="G156" s="53">
        <v>280.60699499999998</v>
      </c>
      <c r="H156" s="53">
        <v>89.247153999999995</v>
      </c>
      <c r="I156" s="122">
        <f t="shared" si="2"/>
        <v>-5.5549816592371792E-3</v>
      </c>
      <c r="J156" s="122">
        <f t="shared" si="2"/>
        <v>0</v>
      </c>
      <c r="K156"/>
      <c r="L156"/>
      <c r="M156" s="54"/>
      <c r="N156" s="54"/>
      <c r="O156" s="54"/>
      <c r="Y156"/>
    </row>
    <row r="157" spans="1:25" s="15" customFormat="1" x14ac:dyDescent="0.3">
      <c r="A157" s="17"/>
      <c r="B157"/>
      <c r="C157"/>
      <c r="D157"/>
      <c r="E157"/>
      <c r="F157" s="121">
        <v>43668</v>
      </c>
      <c r="G157" s="53">
        <v>281.29629499999999</v>
      </c>
      <c r="H157" s="53">
        <v>89.247153999999995</v>
      </c>
      <c r="I157" s="122">
        <f t="shared" si="2"/>
        <v>2.4564605027042052E-3</v>
      </c>
      <c r="J157" s="122">
        <f t="shared" si="2"/>
        <v>0</v>
      </c>
      <c r="K157"/>
      <c r="L157"/>
      <c r="M157" s="54"/>
      <c r="N157" s="54"/>
      <c r="O157" s="54"/>
      <c r="Y157"/>
    </row>
    <row r="158" spans="1:25" s="15" customFormat="1" x14ac:dyDescent="0.3">
      <c r="A158" s="17"/>
      <c r="B158"/>
      <c r="C158"/>
      <c r="D158"/>
      <c r="E158"/>
      <c r="F158" s="121">
        <v>43669</v>
      </c>
      <c r="G158" s="53">
        <v>283.30755599999998</v>
      </c>
      <c r="H158" s="53">
        <v>89.237426999999997</v>
      </c>
      <c r="I158" s="122">
        <f t="shared" si="2"/>
        <v>7.149973304838575E-3</v>
      </c>
      <c r="J158" s="122">
        <f t="shared" si="2"/>
        <v>-1.0898946984905233E-4</v>
      </c>
      <c r="K158"/>
      <c r="L158"/>
      <c r="M158" s="54"/>
      <c r="N158" s="54"/>
      <c r="O158" s="54"/>
      <c r="Y158"/>
    </row>
    <row r="159" spans="1:25" s="15" customFormat="1" x14ac:dyDescent="0.3">
      <c r="A159" s="17"/>
      <c r="B159"/>
      <c r="C159"/>
      <c r="D159"/>
      <c r="E159"/>
      <c r="F159" s="121">
        <v>43670</v>
      </c>
      <c r="G159" s="53">
        <v>284.63897700000001</v>
      </c>
      <c r="H159" s="53">
        <v>89.256889000000001</v>
      </c>
      <c r="I159" s="122">
        <f t="shared" si="2"/>
        <v>4.6995605016622033E-3</v>
      </c>
      <c r="J159" s="122">
        <f t="shared" si="2"/>
        <v>2.1809234818026546E-4</v>
      </c>
      <c r="K159"/>
      <c r="L159"/>
      <c r="M159" s="54"/>
      <c r="N159" s="54"/>
      <c r="O159" s="54"/>
      <c r="Y159"/>
    </row>
    <row r="160" spans="1:25" s="15" customFormat="1" x14ac:dyDescent="0.3">
      <c r="A160" s="17"/>
      <c r="B160"/>
      <c r="C160"/>
      <c r="D160"/>
      <c r="E160"/>
      <c r="F160" s="121">
        <v>43671</v>
      </c>
      <c r="G160" s="53">
        <v>283.27926600000001</v>
      </c>
      <c r="H160" s="53">
        <v>89.276381999999998</v>
      </c>
      <c r="I160" s="122">
        <f t="shared" si="2"/>
        <v>-4.7769669998497521E-3</v>
      </c>
      <c r="J160" s="122">
        <f t="shared" si="2"/>
        <v>2.1839210640650641E-4</v>
      </c>
      <c r="K160"/>
      <c r="L160"/>
      <c r="M160" s="54"/>
      <c r="N160" s="54"/>
      <c r="O160" s="54"/>
      <c r="Y160"/>
    </row>
    <row r="161" spans="1:25" s="15" customFormat="1" x14ac:dyDescent="0.3">
      <c r="A161" s="17"/>
      <c r="B161"/>
      <c r="C161"/>
      <c r="D161"/>
      <c r="E161"/>
      <c r="F161" s="121">
        <v>43672</v>
      </c>
      <c r="G161" s="53">
        <v>285.17721599999999</v>
      </c>
      <c r="H161" s="53">
        <v>89.266655</v>
      </c>
      <c r="I161" s="122">
        <f t="shared" si="2"/>
        <v>6.6999255780335609E-3</v>
      </c>
      <c r="J161" s="122">
        <f t="shared" si="2"/>
        <v>-1.0895378802422417E-4</v>
      </c>
      <c r="K161"/>
      <c r="L161"/>
      <c r="M161" s="54"/>
      <c r="N161" s="54"/>
      <c r="O161" s="54"/>
      <c r="Y161"/>
    </row>
    <row r="162" spans="1:25" s="15" customFormat="1" x14ac:dyDescent="0.3">
      <c r="A162" s="17"/>
      <c r="B162"/>
      <c r="C162"/>
      <c r="D162"/>
      <c r="E162"/>
      <c r="F162" s="121">
        <v>43675</v>
      </c>
      <c r="G162" s="53">
        <v>284.65789799999999</v>
      </c>
      <c r="H162" s="53">
        <v>89.286140000000003</v>
      </c>
      <c r="I162" s="122">
        <f t="shared" si="2"/>
        <v>-1.8210360816482973E-3</v>
      </c>
      <c r="J162" s="122">
        <f t="shared" si="2"/>
        <v>2.1827859462186794E-4</v>
      </c>
      <c r="K162"/>
      <c r="L162"/>
      <c r="M162" s="54"/>
      <c r="N162" s="54"/>
      <c r="O162" s="54"/>
      <c r="Y162"/>
    </row>
    <row r="163" spans="1:25" s="15" customFormat="1" x14ac:dyDescent="0.3">
      <c r="A163" s="17"/>
      <c r="B163"/>
      <c r="C163"/>
      <c r="D163"/>
      <c r="E163"/>
      <c r="F163" s="121">
        <v>43676</v>
      </c>
      <c r="G163" s="53">
        <v>283.959137</v>
      </c>
      <c r="H163" s="53">
        <v>89.286140000000003</v>
      </c>
      <c r="I163" s="122">
        <f t="shared" si="2"/>
        <v>-2.4547395484526557E-3</v>
      </c>
      <c r="J163" s="122">
        <f t="shared" si="2"/>
        <v>0</v>
      </c>
      <c r="K163"/>
      <c r="L163"/>
      <c r="M163" s="54"/>
      <c r="N163" s="54"/>
      <c r="O163" s="54"/>
      <c r="Y163"/>
    </row>
    <row r="164" spans="1:25" s="15" customFormat="1" x14ac:dyDescent="0.3">
      <c r="A164" s="17"/>
      <c r="B164"/>
      <c r="C164"/>
      <c r="D164"/>
      <c r="E164"/>
      <c r="F164" s="121">
        <v>43677</v>
      </c>
      <c r="G164" s="53">
        <v>280.852509</v>
      </c>
      <c r="H164" s="53">
        <v>89.295876000000007</v>
      </c>
      <c r="I164" s="122">
        <f t="shared" si="2"/>
        <v>-1.0940405133010422E-2</v>
      </c>
      <c r="J164" s="122">
        <f t="shared" si="2"/>
        <v>1.0904268008449236E-4</v>
      </c>
      <c r="K164"/>
      <c r="L164"/>
      <c r="M164" s="54"/>
      <c r="N164" s="54"/>
      <c r="O164" s="54"/>
      <c r="Y164"/>
    </row>
    <row r="165" spans="1:25" s="15" customFormat="1" x14ac:dyDescent="0.3">
      <c r="A165" s="17"/>
      <c r="B165"/>
      <c r="C165"/>
      <c r="D165"/>
      <c r="E165"/>
      <c r="F165" s="121">
        <v>43678</v>
      </c>
      <c r="G165" s="53">
        <v>278.40683000000001</v>
      </c>
      <c r="H165" s="53">
        <v>89.320312999999999</v>
      </c>
      <c r="I165" s="122">
        <f t="shared" si="2"/>
        <v>-8.7080546608183651E-3</v>
      </c>
      <c r="J165" s="122">
        <f t="shared" si="2"/>
        <v>2.7366325405653313E-4</v>
      </c>
      <c r="K165"/>
      <c r="L165"/>
      <c r="M165" s="54"/>
      <c r="N165" s="54"/>
      <c r="O165" s="54"/>
      <c r="Y165"/>
    </row>
    <row r="166" spans="1:25" s="15" customFormat="1" x14ac:dyDescent="0.3">
      <c r="A166" s="17"/>
      <c r="B166"/>
      <c r="C166"/>
      <c r="D166"/>
      <c r="E166"/>
      <c r="F166" s="121">
        <v>43679</v>
      </c>
      <c r="G166" s="53">
        <v>276.31057700000002</v>
      </c>
      <c r="H166" s="53">
        <v>89.320312999999999</v>
      </c>
      <c r="I166" s="122">
        <f t="shared" si="2"/>
        <v>-7.5294596759712951E-3</v>
      </c>
      <c r="J166" s="122">
        <f t="shared" si="2"/>
        <v>0</v>
      </c>
      <c r="K166"/>
      <c r="L166"/>
      <c r="M166" s="54"/>
      <c r="N166" s="54"/>
      <c r="O166" s="54"/>
      <c r="Y166"/>
    </row>
    <row r="167" spans="1:25" s="15" customFormat="1" x14ac:dyDescent="0.3">
      <c r="A167" s="17"/>
      <c r="B167"/>
      <c r="C167"/>
      <c r="D167"/>
      <c r="E167"/>
      <c r="F167" s="121">
        <v>43682</v>
      </c>
      <c r="G167" s="53">
        <v>268.00100700000002</v>
      </c>
      <c r="H167" s="53">
        <v>89.310531999999995</v>
      </c>
      <c r="I167" s="122">
        <f t="shared" si="2"/>
        <v>-3.0073296832209273E-2</v>
      </c>
      <c r="J167" s="122">
        <f t="shared" si="2"/>
        <v>-1.0950476628990291E-4</v>
      </c>
      <c r="K167"/>
      <c r="L167"/>
      <c r="M167" s="54"/>
      <c r="N167" s="54"/>
      <c r="O167" s="54"/>
      <c r="Y167"/>
    </row>
    <row r="168" spans="1:25" s="15" customFormat="1" x14ac:dyDescent="0.3">
      <c r="A168" s="17"/>
      <c r="B168"/>
      <c r="C168"/>
      <c r="D168"/>
      <c r="E168"/>
      <c r="F168" s="121">
        <v>43683</v>
      </c>
      <c r="G168" s="53">
        <v>271.75924700000002</v>
      </c>
      <c r="H168" s="53">
        <v>89.320312999999999</v>
      </c>
      <c r="I168" s="122">
        <f t="shared" si="2"/>
        <v>1.4023230890322758E-2</v>
      </c>
      <c r="J168" s="122">
        <f t="shared" si="2"/>
        <v>1.0951675889692147E-4</v>
      </c>
      <c r="K168"/>
      <c r="L168"/>
      <c r="M168" s="54"/>
      <c r="N168" s="54"/>
      <c r="O168" s="54"/>
      <c r="Y168"/>
    </row>
    <row r="169" spans="1:25" s="15" customFormat="1" x14ac:dyDescent="0.3">
      <c r="A169" s="17"/>
      <c r="B169"/>
      <c r="C169"/>
      <c r="D169"/>
      <c r="E169"/>
      <c r="F169" s="121">
        <v>43684</v>
      </c>
      <c r="G169" s="53">
        <v>271.91970800000001</v>
      </c>
      <c r="H169" s="53">
        <v>89.339827999999997</v>
      </c>
      <c r="I169" s="122">
        <f t="shared" si="2"/>
        <v>5.9045276939562186E-4</v>
      </c>
      <c r="J169" s="122">
        <f t="shared" si="2"/>
        <v>2.1848333648355478E-4</v>
      </c>
      <c r="K169"/>
      <c r="L169"/>
      <c r="M169" s="54"/>
      <c r="N169" s="54"/>
      <c r="O169" s="54"/>
      <c r="Y169"/>
    </row>
    <row r="170" spans="1:25" s="15" customFormat="1" x14ac:dyDescent="0.3">
      <c r="A170" s="17"/>
      <c r="B170"/>
      <c r="C170"/>
      <c r="D170"/>
      <c r="E170"/>
      <c r="F170" s="121">
        <v>43685</v>
      </c>
      <c r="G170" s="53">
        <v>277.25491299999999</v>
      </c>
      <c r="H170" s="53">
        <v>89.349586000000002</v>
      </c>
      <c r="I170" s="122">
        <f t="shared" si="2"/>
        <v>1.9620516067926808E-2</v>
      </c>
      <c r="J170" s="122">
        <f t="shared" si="2"/>
        <v>1.0922340257923935E-4</v>
      </c>
      <c r="K170"/>
      <c r="L170"/>
      <c r="M170" s="54"/>
      <c r="N170" s="54"/>
      <c r="O170" s="54"/>
      <c r="Y170"/>
    </row>
    <row r="171" spans="1:25" s="15" customFormat="1" x14ac:dyDescent="0.3">
      <c r="A171" s="17"/>
      <c r="B171"/>
      <c r="C171"/>
      <c r="D171"/>
      <c r="E171"/>
      <c r="F171" s="121">
        <v>43686</v>
      </c>
      <c r="G171" s="53">
        <v>275.366333</v>
      </c>
      <c r="H171" s="53">
        <v>89.339827999999997</v>
      </c>
      <c r="I171" s="122">
        <f t="shared" si="2"/>
        <v>-6.8117097712169228E-3</v>
      </c>
      <c r="J171" s="122">
        <f t="shared" si="2"/>
        <v>-1.0921147413045507E-4</v>
      </c>
      <c r="K171"/>
      <c r="L171"/>
      <c r="M171" s="54"/>
      <c r="N171" s="54"/>
      <c r="O171" s="54"/>
      <c r="Y171"/>
    </row>
    <row r="172" spans="1:25" s="15" customFormat="1" x14ac:dyDescent="0.3">
      <c r="A172" s="17"/>
      <c r="B172"/>
      <c r="C172"/>
      <c r="D172"/>
      <c r="E172"/>
      <c r="F172" s="121">
        <v>43689</v>
      </c>
      <c r="G172" s="53">
        <v>272.01416</v>
      </c>
      <c r="H172" s="53">
        <v>89.359367000000006</v>
      </c>
      <c r="I172" s="122">
        <f t="shared" si="2"/>
        <v>-1.2173503432607369E-2</v>
      </c>
      <c r="J172" s="122">
        <f t="shared" si="2"/>
        <v>2.1870424912839859E-4</v>
      </c>
      <c r="K172"/>
      <c r="L172"/>
      <c r="M172" s="54"/>
      <c r="N172" s="54"/>
      <c r="O172" s="54"/>
      <c r="Y172"/>
    </row>
    <row r="173" spans="1:25" s="15" customFormat="1" x14ac:dyDescent="0.3">
      <c r="A173" s="17"/>
      <c r="B173"/>
      <c r="C173"/>
      <c r="D173"/>
      <c r="E173"/>
      <c r="F173" s="121">
        <v>43690</v>
      </c>
      <c r="G173" s="53">
        <v>276.244415</v>
      </c>
      <c r="H173" s="53">
        <v>89.369140999999999</v>
      </c>
      <c r="I173" s="122">
        <f t="shared" si="2"/>
        <v>1.5551598490313845E-2</v>
      </c>
      <c r="J173" s="122">
        <f t="shared" si="2"/>
        <v>1.0937857247794724E-4</v>
      </c>
      <c r="K173"/>
      <c r="L173"/>
      <c r="M173" s="54"/>
      <c r="N173" s="54"/>
      <c r="O173" s="54"/>
      <c r="Y173"/>
    </row>
    <row r="174" spans="1:25" s="15" customFormat="1" x14ac:dyDescent="0.3">
      <c r="A174" s="17"/>
      <c r="B174"/>
      <c r="C174"/>
      <c r="D174"/>
      <c r="E174"/>
      <c r="F174" s="121">
        <v>43691</v>
      </c>
      <c r="G174" s="53">
        <v>268.07656900000001</v>
      </c>
      <c r="H174" s="53">
        <v>89.359367000000006</v>
      </c>
      <c r="I174" s="122">
        <f t="shared" si="2"/>
        <v>-2.956746111953068E-2</v>
      </c>
      <c r="J174" s="122">
        <f t="shared" si="2"/>
        <v>-1.0936661011429205E-4</v>
      </c>
      <c r="K174"/>
      <c r="L174"/>
      <c r="M174" s="54"/>
      <c r="N174" s="54"/>
      <c r="O174" s="54"/>
      <c r="Y174"/>
    </row>
    <row r="175" spans="1:25" s="15" customFormat="1" x14ac:dyDescent="0.3">
      <c r="A175" s="17"/>
      <c r="B175"/>
      <c r="C175"/>
      <c r="D175"/>
      <c r="E175"/>
      <c r="F175" s="121">
        <v>43692</v>
      </c>
      <c r="G175" s="53">
        <v>268.78478999999999</v>
      </c>
      <c r="H175" s="53">
        <v>89.398398999999998</v>
      </c>
      <c r="I175" s="122">
        <f t="shared" si="2"/>
        <v>2.6418608781879627E-3</v>
      </c>
      <c r="J175" s="122">
        <f t="shared" si="2"/>
        <v>4.3679808072050186E-4</v>
      </c>
      <c r="K175"/>
      <c r="L175"/>
      <c r="M175" s="54"/>
      <c r="N175" s="54"/>
      <c r="O175" s="54"/>
      <c r="Y175"/>
    </row>
    <row r="176" spans="1:25" s="15" customFormat="1" x14ac:dyDescent="0.3">
      <c r="A176" s="17"/>
      <c r="B176"/>
      <c r="C176"/>
      <c r="D176"/>
      <c r="E176"/>
      <c r="F176" s="121">
        <v>43693</v>
      </c>
      <c r="G176" s="53">
        <v>272.75070199999999</v>
      </c>
      <c r="H176" s="53">
        <v>89.388656999999995</v>
      </c>
      <c r="I176" s="122">
        <f t="shared" si="2"/>
        <v>1.4754971812207085E-2</v>
      </c>
      <c r="J176" s="122">
        <f t="shared" si="2"/>
        <v>-1.089728687423408E-4</v>
      </c>
      <c r="K176"/>
      <c r="L176"/>
      <c r="M176" s="54"/>
      <c r="N176" s="54"/>
      <c r="O176" s="54"/>
      <c r="Y176"/>
    </row>
    <row r="177" spans="1:25" s="15" customFormat="1" x14ac:dyDescent="0.3">
      <c r="A177" s="17"/>
      <c r="B177"/>
      <c r="C177"/>
      <c r="D177"/>
      <c r="E177"/>
      <c r="F177" s="121">
        <v>43696</v>
      </c>
      <c r="G177" s="53">
        <v>276.03668199999998</v>
      </c>
      <c r="H177" s="53">
        <v>89.388656999999995</v>
      </c>
      <c r="I177" s="122">
        <f t="shared" si="2"/>
        <v>1.2047558359721489E-2</v>
      </c>
      <c r="J177" s="122">
        <f t="shared" si="2"/>
        <v>0</v>
      </c>
      <c r="K177"/>
      <c r="L177"/>
      <c r="M177" s="54"/>
      <c r="N177" s="54"/>
      <c r="O177" s="54"/>
      <c r="Y177"/>
    </row>
    <row r="178" spans="1:25" s="15" customFormat="1" x14ac:dyDescent="0.3">
      <c r="A178" s="17"/>
      <c r="B178"/>
      <c r="C178"/>
      <c r="D178"/>
      <c r="E178"/>
      <c r="F178" s="121">
        <v>43697</v>
      </c>
      <c r="G178" s="53">
        <v>273.92156999999997</v>
      </c>
      <c r="H178" s="53">
        <v>89.398398999999998</v>
      </c>
      <c r="I178" s="122">
        <f t="shared" si="2"/>
        <v>-7.6624308938766372E-3</v>
      </c>
      <c r="J178" s="122">
        <f t="shared" si="2"/>
        <v>1.0898474512277545E-4</v>
      </c>
      <c r="K178"/>
      <c r="L178"/>
      <c r="M178" s="54"/>
      <c r="N178" s="54"/>
      <c r="O178" s="54"/>
      <c r="Y178"/>
    </row>
    <row r="179" spans="1:25" s="15" customFormat="1" x14ac:dyDescent="0.3">
      <c r="A179" s="17"/>
      <c r="B179"/>
      <c r="C179"/>
      <c r="D179"/>
      <c r="E179"/>
      <c r="F179" s="121">
        <v>43698</v>
      </c>
      <c r="G179" s="53">
        <v>276.15011600000003</v>
      </c>
      <c r="H179" s="53">
        <v>89.388656999999995</v>
      </c>
      <c r="I179" s="122">
        <f t="shared" si="2"/>
        <v>8.1357083343238656E-3</v>
      </c>
      <c r="J179" s="122">
        <f t="shared" si="2"/>
        <v>-1.089728687423408E-4</v>
      </c>
      <c r="K179"/>
      <c r="L179"/>
      <c r="M179" s="54"/>
      <c r="N179" s="54"/>
      <c r="O179" s="54"/>
      <c r="Y179"/>
    </row>
    <row r="180" spans="1:25" s="15" customFormat="1" x14ac:dyDescent="0.3">
      <c r="A180" s="17"/>
      <c r="B180"/>
      <c r="C180"/>
      <c r="D180"/>
      <c r="E180"/>
      <c r="F180" s="121">
        <v>43699</v>
      </c>
      <c r="G180" s="53">
        <v>276.06506300000001</v>
      </c>
      <c r="H180" s="53">
        <v>89.417946000000001</v>
      </c>
      <c r="I180" s="122">
        <f t="shared" si="2"/>
        <v>-3.0799552515858863E-4</v>
      </c>
      <c r="J180" s="122">
        <f t="shared" si="2"/>
        <v>3.2765902277742676E-4</v>
      </c>
      <c r="K180"/>
      <c r="L180"/>
      <c r="M180" s="54"/>
      <c r="N180" s="54"/>
      <c r="O180" s="54"/>
      <c r="Y180"/>
    </row>
    <row r="181" spans="1:25" s="15" customFormat="1" x14ac:dyDescent="0.3">
      <c r="A181" s="17"/>
      <c r="B181"/>
      <c r="C181"/>
      <c r="D181"/>
      <c r="E181"/>
      <c r="F181" s="121">
        <v>43700</v>
      </c>
      <c r="G181" s="53">
        <v>268.97363300000001</v>
      </c>
      <c r="H181" s="53">
        <v>89.408173000000005</v>
      </c>
      <c r="I181" s="122">
        <f t="shared" si="2"/>
        <v>-2.5687531493255311E-2</v>
      </c>
      <c r="J181" s="122">
        <f t="shared" si="2"/>
        <v>-1.0929573354323541E-4</v>
      </c>
      <c r="K181"/>
      <c r="L181"/>
      <c r="M181" s="54"/>
      <c r="N181" s="54"/>
      <c r="O181" s="54"/>
      <c r="Y181"/>
    </row>
    <row r="182" spans="1:25" s="15" customFormat="1" x14ac:dyDescent="0.3">
      <c r="A182" s="17"/>
      <c r="B182"/>
      <c r="C182"/>
      <c r="D182"/>
      <c r="E182"/>
      <c r="F182" s="121">
        <v>43703</v>
      </c>
      <c r="G182" s="53">
        <v>271.94802900000002</v>
      </c>
      <c r="H182" s="53">
        <v>89.417946000000001</v>
      </c>
      <c r="I182" s="122">
        <f t="shared" si="2"/>
        <v>1.1058318121464294E-2</v>
      </c>
      <c r="J182" s="122">
        <f t="shared" si="2"/>
        <v>1.0930768040640082E-4</v>
      </c>
      <c r="K182"/>
      <c r="L182"/>
      <c r="M182" s="54"/>
      <c r="N182" s="54"/>
      <c r="O182" s="54"/>
      <c r="Y182"/>
    </row>
    <row r="183" spans="1:25" s="15" customFormat="1" x14ac:dyDescent="0.3">
      <c r="A183" s="17"/>
      <c r="B183"/>
      <c r="C183"/>
      <c r="D183"/>
      <c r="E183"/>
      <c r="F183" s="121">
        <v>43704</v>
      </c>
      <c r="G183" s="53">
        <v>270.88110399999999</v>
      </c>
      <c r="H183" s="53">
        <v>89.427689000000001</v>
      </c>
      <c r="I183" s="122">
        <f t="shared" si="2"/>
        <v>-3.9232680005929499E-3</v>
      </c>
      <c r="J183" s="122">
        <f t="shared" si="2"/>
        <v>1.0896023042183955E-4</v>
      </c>
      <c r="K183"/>
      <c r="L183"/>
      <c r="M183" s="54"/>
      <c r="N183" s="54"/>
      <c r="O183" s="54"/>
      <c r="Y183"/>
    </row>
    <row r="184" spans="1:25" s="15" customFormat="1" x14ac:dyDescent="0.3">
      <c r="A184" s="17"/>
      <c r="B184"/>
      <c r="C184"/>
      <c r="D184"/>
      <c r="E184"/>
      <c r="F184" s="121">
        <v>43705</v>
      </c>
      <c r="G184" s="53">
        <v>272.78851300000002</v>
      </c>
      <c r="H184" s="53">
        <v>89.417946000000001</v>
      </c>
      <c r="I184" s="122">
        <f t="shared" si="2"/>
        <v>7.0414989153324559E-3</v>
      </c>
      <c r="J184" s="122">
        <f t="shared" si="2"/>
        <v>-1.0894835938346503E-4</v>
      </c>
      <c r="K184"/>
      <c r="L184"/>
      <c r="M184" s="54"/>
      <c r="N184" s="54"/>
      <c r="O184" s="54"/>
      <c r="Y184"/>
    </row>
    <row r="185" spans="1:25" s="15" customFormat="1" x14ac:dyDescent="0.3">
      <c r="A185" s="17"/>
      <c r="B185"/>
      <c r="C185"/>
      <c r="D185"/>
      <c r="E185"/>
      <c r="F185" s="121">
        <v>43706</v>
      </c>
      <c r="G185" s="53">
        <v>276.27279700000003</v>
      </c>
      <c r="H185" s="53">
        <v>89.437461999999996</v>
      </c>
      <c r="I185" s="122">
        <f t="shared" si="2"/>
        <v>1.2772839888606224E-2</v>
      </c>
      <c r="J185" s="122">
        <f t="shared" si="2"/>
        <v>2.1825596396496394E-4</v>
      </c>
      <c r="K185"/>
      <c r="L185"/>
      <c r="M185" s="54"/>
      <c r="N185" s="54"/>
      <c r="O185" s="54"/>
      <c r="Y185"/>
    </row>
    <row r="186" spans="1:25" s="15" customFormat="1" x14ac:dyDescent="0.3">
      <c r="A186" s="17"/>
      <c r="B186"/>
      <c r="C186"/>
      <c r="D186"/>
      <c r="E186"/>
      <c r="F186" s="121">
        <v>43707</v>
      </c>
      <c r="G186" s="53">
        <v>276.15011600000003</v>
      </c>
      <c r="H186" s="53">
        <v>89.447211999999993</v>
      </c>
      <c r="I186" s="122">
        <f t="shared" si="2"/>
        <v>-4.4405747265807705E-4</v>
      </c>
      <c r="J186" s="122">
        <f t="shared" si="2"/>
        <v>1.0901472137025969E-4</v>
      </c>
      <c r="K186"/>
      <c r="L186"/>
      <c r="M186" s="54"/>
      <c r="N186" s="54"/>
      <c r="O186" s="54"/>
      <c r="Y186"/>
    </row>
    <row r="187" spans="1:25" s="15" customFormat="1" x14ac:dyDescent="0.3">
      <c r="A187" s="17"/>
      <c r="B187"/>
      <c r="C187"/>
      <c r="D187"/>
      <c r="E187"/>
      <c r="F187" s="121">
        <v>43711</v>
      </c>
      <c r="G187" s="53">
        <v>274.53533900000002</v>
      </c>
      <c r="H187" s="53">
        <v>89.464850999999996</v>
      </c>
      <c r="I187" s="122">
        <f t="shared" si="2"/>
        <v>-5.8474608788504634E-3</v>
      </c>
      <c r="J187" s="122">
        <f t="shared" si="2"/>
        <v>1.9720010949031419E-4</v>
      </c>
      <c r="K187"/>
      <c r="L187"/>
      <c r="M187" s="54"/>
      <c r="N187" s="54"/>
      <c r="O187" s="54"/>
      <c r="Y187"/>
    </row>
    <row r="188" spans="1:25" s="15" customFormat="1" x14ac:dyDescent="0.3">
      <c r="A188" s="17"/>
      <c r="B188"/>
      <c r="C188"/>
      <c r="D188"/>
      <c r="E188"/>
      <c r="F188" s="121">
        <v>43712</v>
      </c>
      <c r="G188" s="53">
        <v>277.65145899999999</v>
      </c>
      <c r="H188" s="53">
        <v>89.455062999999996</v>
      </c>
      <c r="I188" s="122">
        <f t="shared" si="2"/>
        <v>1.1350524166945153E-2</v>
      </c>
      <c r="J188" s="122">
        <f t="shared" si="2"/>
        <v>-1.0940609513787614E-4</v>
      </c>
      <c r="K188"/>
      <c r="L188"/>
      <c r="M188" s="54"/>
      <c r="N188" s="54"/>
      <c r="O188" s="54"/>
      <c r="Y188"/>
    </row>
    <row r="189" spans="1:25" s="15" customFormat="1" x14ac:dyDescent="0.3">
      <c r="A189" s="17"/>
      <c r="B189"/>
      <c r="C189"/>
      <c r="D189"/>
      <c r="E189"/>
      <c r="F189" s="121">
        <v>43713</v>
      </c>
      <c r="G189" s="53">
        <v>281.22076399999997</v>
      </c>
      <c r="H189" s="53">
        <v>89.464850999999996</v>
      </c>
      <c r="I189" s="122">
        <f t="shared" si="2"/>
        <v>1.2855343936802432E-2</v>
      </c>
      <c r="J189" s="122">
        <f t="shared" si="2"/>
        <v>1.0941806614117588E-4</v>
      </c>
      <c r="K189"/>
      <c r="L189"/>
      <c r="M189" s="54"/>
      <c r="N189" s="54"/>
      <c r="O189" s="54"/>
      <c r="Y189"/>
    </row>
    <row r="190" spans="1:25" s="15" customFormat="1" x14ac:dyDescent="0.3">
      <c r="A190" s="17"/>
      <c r="B190"/>
      <c r="C190"/>
      <c r="D190"/>
      <c r="E190"/>
      <c r="F190" s="121">
        <v>43714</v>
      </c>
      <c r="G190" s="53">
        <v>281.43789700000002</v>
      </c>
      <c r="H190" s="53">
        <v>89.474632</v>
      </c>
      <c r="I190" s="122">
        <f t="shared" si="2"/>
        <v>7.7210870531607689E-4</v>
      </c>
      <c r="J190" s="122">
        <f t="shared" si="2"/>
        <v>1.0932785211936746E-4</v>
      </c>
      <c r="K190"/>
      <c r="L190"/>
      <c r="M190" s="54"/>
      <c r="N190" s="54"/>
      <c r="O190" s="54"/>
      <c r="Y190"/>
    </row>
    <row r="191" spans="1:25" s="15" customFormat="1" x14ac:dyDescent="0.3">
      <c r="A191" s="17"/>
      <c r="B191"/>
      <c r="C191"/>
      <c r="D191"/>
      <c r="E191"/>
      <c r="F191" s="121">
        <v>43717</v>
      </c>
      <c r="G191" s="53">
        <v>281.579498</v>
      </c>
      <c r="H191" s="53">
        <v>89.474632</v>
      </c>
      <c r="I191" s="122">
        <f t="shared" si="2"/>
        <v>5.0313408929425485E-4</v>
      </c>
      <c r="J191" s="122">
        <f t="shared" si="2"/>
        <v>0</v>
      </c>
      <c r="K191"/>
      <c r="L191"/>
      <c r="M191" s="54"/>
      <c r="N191" s="54"/>
      <c r="O191" s="54"/>
      <c r="Y191"/>
    </row>
    <row r="192" spans="1:25" s="15" customFormat="1" x14ac:dyDescent="0.3">
      <c r="A192" s="17"/>
      <c r="B192"/>
      <c r="C192"/>
      <c r="D192"/>
      <c r="E192"/>
      <c r="F192" s="121">
        <v>43718</v>
      </c>
      <c r="G192" s="53">
        <v>281.51348899999999</v>
      </c>
      <c r="H192" s="53">
        <v>89.494193999999993</v>
      </c>
      <c r="I192" s="122">
        <f t="shared" si="2"/>
        <v>-2.3442402756190805E-4</v>
      </c>
      <c r="J192" s="122">
        <f t="shared" si="2"/>
        <v>2.1863180169323648E-4</v>
      </c>
      <c r="K192"/>
      <c r="L192"/>
      <c r="M192" s="54"/>
      <c r="N192" s="54"/>
      <c r="O192" s="54"/>
      <c r="Y192"/>
    </row>
    <row r="193" spans="1:25" s="15" customFormat="1" x14ac:dyDescent="0.3">
      <c r="A193" s="17"/>
      <c r="B193"/>
      <c r="C193"/>
      <c r="D193"/>
      <c r="E193"/>
      <c r="F193" s="121">
        <v>43719</v>
      </c>
      <c r="G193" s="53">
        <v>283.51535000000001</v>
      </c>
      <c r="H193" s="53">
        <v>89.484413000000004</v>
      </c>
      <c r="I193" s="122">
        <f t="shared" si="2"/>
        <v>7.1110659993987024E-3</v>
      </c>
      <c r="J193" s="122">
        <f t="shared" si="2"/>
        <v>-1.0929200613829515E-4</v>
      </c>
      <c r="K193"/>
      <c r="L193"/>
      <c r="M193" s="54"/>
      <c r="N193" s="54"/>
      <c r="O193" s="54"/>
      <c r="Y193"/>
    </row>
    <row r="194" spans="1:25" s="15" customFormat="1" x14ac:dyDescent="0.3">
      <c r="A194" s="17"/>
      <c r="B194"/>
      <c r="C194"/>
      <c r="D194"/>
      <c r="E194"/>
      <c r="F194" s="121">
        <v>43720</v>
      </c>
      <c r="G194" s="53">
        <v>284.497345</v>
      </c>
      <c r="H194" s="53">
        <v>89.503951999999998</v>
      </c>
      <c r="I194" s="122">
        <f t="shared" si="2"/>
        <v>3.4636396230398603E-3</v>
      </c>
      <c r="J194" s="122">
        <f t="shared" si="2"/>
        <v>2.1835087636978834E-4</v>
      </c>
      <c r="K194"/>
      <c r="L194"/>
      <c r="M194" s="54"/>
      <c r="N194" s="54"/>
      <c r="O194" s="54"/>
      <c r="Y194"/>
    </row>
    <row r="195" spans="1:25" s="15" customFormat="1" x14ac:dyDescent="0.3">
      <c r="A195" s="17"/>
      <c r="B195"/>
      <c r="C195"/>
      <c r="D195"/>
      <c r="E195"/>
      <c r="F195" s="121">
        <v>43721</v>
      </c>
      <c r="G195" s="53">
        <v>284.30850199999998</v>
      </c>
      <c r="H195" s="53">
        <v>89.503951999999998</v>
      </c>
      <c r="I195" s="122">
        <f t="shared" si="2"/>
        <v>-6.6377772347936403E-4</v>
      </c>
      <c r="J195" s="122">
        <f t="shared" si="2"/>
        <v>0</v>
      </c>
      <c r="K195"/>
      <c r="L195"/>
      <c r="M195" s="54"/>
      <c r="N195" s="54"/>
      <c r="O195" s="54"/>
      <c r="Y195"/>
    </row>
    <row r="196" spans="1:25" s="15" customFormat="1" x14ac:dyDescent="0.3">
      <c r="A196" s="17"/>
      <c r="B196"/>
      <c r="C196"/>
      <c r="D196"/>
      <c r="E196"/>
      <c r="F196" s="121">
        <v>43724</v>
      </c>
      <c r="G196" s="53">
        <v>283.43032799999997</v>
      </c>
      <c r="H196" s="53">
        <v>89.503951999999998</v>
      </c>
      <c r="I196" s="122">
        <f t="shared" si="2"/>
        <v>-3.0888066794428903E-3</v>
      </c>
      <c r="J196" s="122">
        <f t="shared" si="2"/>
        <v>0</v>
      </c>
      <c r="K196"/>
      <c r="L196"/>
      <c r="M196" s="54"/>
      <c r="N196" s="54"/>
      <c r="O196" s="54"/>
      <c r="Y196"/>
    </row>
    <row r="197" spans="1:25" s="15" customFormat="1" x14ac:dyDescent="0.3">
      <c r="A197" s="17"/>
      <c r="B197"/>
      <c r="C197"/>
      <c r="D197"/>
      <c r="E197"/>
      <c r="F197" s="121">
        <v>43725</v>
      </c>
      <c r="G197" s="53">
        <v>284.14798000000002</v>
      </c>
      <c r="H197" s="53">
        <v>89.513756000000001</v>
      </c>
      <c r="I197" s="122">
        <f t="shared" si="2"/>
        <v>2.5320226140375102E-3</v>
      </c>
      <c r="J197" s="122">
        <f t="shared" si="2"/>
        <v>1.0953706267624597E-4</v>
      </c>
      <c r="K197"/>
      <c r="L197"/>
      <c r="M197" s="54"/>
      <c r="N197" s="54"/>
      <c r="O197" s="54"/>
      <c r="Y197"/>
    </row>
    <row r="198" spans="1:25" s="15" customFormat="1" x14ac:dyDescent="0.3">
      <c r="A198" s="17"/>
      <c r="B198"/>
      <c r="C198"/>
      <c r="D198"/>
      <c r="E198"/>
      <c r="F198" s="121">
        <v>43726</v>
      </c>
      <c r="G198" s="53">
        <v>284.317993</v>
      </c>
      <c r="H198" s="53">
        <v>89.53331</v>
      </c>
      <c r="I198" s="122">
        <f t="shared" si="2"/>
        <v>5.9832556261696368E-4</v>
      </c>
      <c r="J198" s="122">
        <f t="shared" si="2"/>
        <v>2.1844687200922586E-4</v>
      </c>
      <c r="K198"/>
      <c r="L198"/>
      <c r="M198" s="54"/>
      <c r="N198" s="54"/>
      <c r="O198" s="54"/>
      <c r="Y198"/>
    </row>
    <row r="199" spans="1:25" s="15" customFormat="1" x14ac:dyDescent="0.3">
      <c r="A199" s="17"/>
      <c r="B199"/>
      <c r="C199"/>
      <c r="D199"/>
      <c r="E199"/>
      <c r="F199" s="121">
        <v>43727</v>
      </c>
      <c r="G199" s="53">
        <v>284.29904199999999</v>
      </c>
      <c r="H199" s="53">
        <v>89.53331</v>
      </c>
      <c r="I199" s="122">
        <f t="shared" si="2"/>
        <v>-6.665424090834815E-5</v>
      </c>
      <c r="J199" s="122">
        <f t="shared" si="2"/>
        <v>0</v>
      </c>
      <c r="K199"/>
      <c r="L199"/>
      <c r="M199" s="54"/>
      <c r="N199" s="54"/>
      <c r="O199" s="54"/>
      <c r="Y199"/>
    </row>
    <row r="200" spans="1:25" s="15" customFormat="1" x14ac:dyDescent="0.3">
      <c r="A200" s="17"/>
      <c r="B200"/>
      <c r="C200"/>
      <c r="D200"/>
      <c r="E200"/>
      <c r="F200" s="121">
        <v>43728</v>
      </c>
      <c r="G200" s="53">
        <v>282.95584100000002</v>
      </c>
      <c r="H200" s="53">
        <v>89.543098000000001</v>
      </c>
      <c r="I200" s="122">
        <f t="shared" si="2"/>
        <v>-4.7246061420072039E-3</v>
      </c>
      <c r="J200" s="122">
        <f t="shared" si="2"/>
        <v>1.0932244099981503E-4</v>
      </c>
      <c r="K200"/>
      <c r="L200"/>
      <c r="M200" s="54"/>
      <c r="N200" s="54"/>
      <c r="O200" s="54"/>
      <c r="Y200"/>
    </row>
    <row r="201" spans="1:25" s="15" customFormat="1" x14ac:dyDescent="0.3">
      <c r="A201" s="17"/>
      <c r="B201"/>
      <c r="C201"/>
      <c r="D201"/>
      <c r="E201"/>
      <c r="F201" s="121">
        <v>43731</v>
      </c>
      <c r="G201" s="53">
        <v>282.88937399999998</v>
      </c>
      <c r="H201" s="53">
        <v>89.562652999999997</v>
      </c>
      <c r="I201" s="122">
        <f t="shared" si="2"/>
        <v>-2.3490237828327487E-4</v>
      </c>
      <c r="J201" s="122">
        <f t="shared" si="2"/>
        <v>2.1838645788196942E-4</v>
      </c>
      <c r="K201"/>
      <c r="L201"/>
      <c r="M201" s="54"/>
      <c r="N201" s="54"/>
      <c r="O201" s="54"/>
      <c r="Y201"/>
    </row>
    <row r="202" spans="1:25" s="15" customFormat="1" x14ac:dyDescent="0.3">
      <c r="A202" s="17"/>
      <c r="B202"/>
      <c r="C202"/>
      <c r="D202"/>
      <c r="E202"/>
      <c r="F202" s="121">
        <v>43732</v>
      </c>
      <c r="G202" s="53">
        <v>280.66961700000002</v>
      </c>
      <c r="H202" s="53">
        <v>89.562652999999997</v>
      </c>
      <c r="I202" s="122">
        <f t="shared" si="2"/>
        <v>-7.8467316343948657E-3</v>
      </c>
      <c r="J202" s="122">
        <f t="shared" si="2"/>
        <v>0</v>
      </c>
      <c r="K202"/>
      <c r="L202"/>
      <c r="M202" s="54"/>
      <c r="N202" s="54"/>
      <c r="O202" s="54"/>
      <c r="Y202"/>
    </row>
    <row r="203" spans="1:25" s="15" customFormat="1" x14ac:dyDescent="0.3">
      <c r="A203" s="17"/>
      <c r="B203"/>
      <c r="C203"/>
      <c r="D203"/>
      <c r="E203"/>
      <c r="F203" s="121">
        <v>43733</v>
      </c>
      <c r="G203" s="53">
        <v>282.32974200000001</v>
      </c>
      <c r="H203" s="53">
        <v>89.562652999999997</v>
      </c>
      <c r="I203" s="122">
        <f t="shared" si="2"/>
        <v>5.914872502925661E-3</v>
      </c>
      <c r="J203" s="122">
        <f t="shared" si="2"/>
        <v>0</v>
      </c>
      <c r="K203"/>
      <c r="L203"/>
      <c r="M203" s="54"/>
      <c r="N203" s="54"/>
      <c r="O203" s="54"/>
      <c r="Y203"/>
    </row>
    <row r="204" spans="1:25" s="15" customFormat="1" x14ac:dyDescent="0.3">
      <c r="A204" s="17"/>
      <c r="B204"/>
      <c r="C204"/>
      <c r="D204"/>
      <c r="E204"/>
      <c r="F204" s="121">
        <v>43734</v>
      </c>
      <c r="G204" s="53">
        <v>281.74154700000003</v>
      </c>
      <c r="H204" s="53">
        <v>89.582222000000002</v>
      </c>
      <c r="I204" s="122">
        <f t="shared" si="2"/>
        <v>-2.0833618018182287E-3</v>
      </c>
      <c r="J204" s="122">
        <f t="shared" si="2"/>
        <v>2.1849509080529295E-4</v>
      </c>
      <c r="K204"/>
      <c r="L204"/>
      <c r="M204" s="54"/>
      <c r="N204" s="54"/>
      <c r="O204" s="54"/>
      <c r="Y204"/>
    </row>
    <row r="205" spans="1:25" s="15" customFormat="1" x14ac:dyDescent="0.3">
      <c r="A205" s="17"/>
      <c r="B205"/>
      <c r="C205"/>
      <c r="D205"/>
      <c r="E205"/>
      <c r="F205" s="121">
        <v>43735</v>
      </c>
      <c r="G205" s="53">
        <v>280.223724</v>
      </c>
      <c r="H205" s="53">
        <v>89.582222000000002</v>
      </c>
      <c r="I205" s="122">
        <f t="shared" si="2"/>
        <v>-5.3872885137526971E-3</v>
      </c>
      <c r="J205" s="122">
        <f t="shared" si="2"/>
        <v>0</v>
      </c>
      <c r="K205"/>
      <c r="L205"/>
      <c r="M205" s="54"/>
      <c r="N205" s="54"/>
      <c r="O205" s="54"/>
      <c r="Y205"/>
    </row>
    <row r="206" spans="1:25" s="15" customFormat="1" x14ac:dyDescent="0.3">
      <c r="A206" s="17"/>
      <c r="B206"/>
      <c r="C206"/>
      <c r="D206"/>
      <c r="E206"/>
      <c r="F206" s="121">
        <v>43738</v>
      </c>
      <c r="G206" s="53">
        <v>281.52337599999998</v>
      </c>
      <c r="H206" s="53">
        <v>89.591994999999997</v>
      </c>
      <c r="I206" s="122">
        <f t="shared" si="2"/>
        <v>4.6379085305425782E-3</v>
      </c>
      <c r="J206" s="122">
        <f t="shared" si="2"/>
        <v>1.0909530687897018E-4</v>
      </c>
      <c r="K206"/>
      <c r="L206"/>
      <c r="M206" s="54"/>
      <c r="N206" s="54"/>
      <c r="O206" s="54"/>
      <c r="Y206"/>
    </row>
    <row r="207" spans="1:25" s="15" customFormat="1" x14ac:dyDescent="0.3">
      <c r="A207" s="17"/>
      <c r="B207"/>
      <c r="C207"/>
      <c r="D207"/>
      <c r="E207"/>
      <c r="F207" s="121">
        <v>43739</v>
      </c>
      <c r="G207" s="53">
        <v>278.17474399999998</v>
      </c>
      <c r="H207" s="53">
        <v>89.58905</v>
      </c>
      <c r="I207" s="122">
        <f t="shared" si="2"/>
        <v>-1.1894685434576502E-2</v>
      </c>
      <c r="J207" s="122">
        <f t="shared" si="2"/>
        <v>-3.2871240337906116E-5</v>
      </c>
      <c r="K207"/>
      <c r="L207"/>
      <c r="M207" s="54"/>
      <c r="N207" s="54"/>
      <c r="O207" s="54"/>
      <c r="Y207"/>
    </row>
    <row r="208" spans="1:25" s="15" customFormat="1" x14ac:dyDescent="0.3">
      <c r="A208" s="17"/>
      <c r="B208"/>
      <c r="C208"/>
      <c r="D208"/>
      <c r="E208"/>
      <c r="F208" s="121">
        <v>43740</v>
      </c>
      <c r="G208" s="53">
        <v>273.26086400000003</v>
      </c>
      <c r="H208" s="53">
        <v>89.58905</v>
      </c>
      <c r="I208" s="122">
        <f t="shared" si="2"/>
        <v>-1.7664723724882592E-2</v>
      </c>
      <c r="J208" s="122">
        <f t="shared" si="2"/>
        <v>0</v>
      </c>
      <c r="K208"/>
      <c r="L208"/>
      <c r="M208" s="54"/>
      <c r="N208" s="54"/>
      <c r="O208" s="54"/>
      <c r="Y208"/>
    </row>
    <row r="209" spans="1:25" s="15" customFormat="1" x14ac:dyDescent="0.3">
      <c r="A209" s="17"/>
      <c r="B209"/>
      <c r="C209"/>
      <c r="D209"/>
      <c r="E209"/>
      <c r="F209" s="121">
        <v>43741</v>
      </c>
      <c r="G209" s="53">
        <v>275.49960299999998</v>
      </c>
      <c r="H209" s="53">
        <v>89.618454</v>
      </c>
      <c r="I209" s="122">
        <f t="shared" si="2"/>
        <v>8.19268067600043E-3</v>
      </c>
      <c r="J209" s="122">
        <f t="shared" si="2"/>
        <v>3.2820975331238067E-4</v>
      </c>
      <c r="K209"/>
      <c r="L209"/>
      <c r="M209" s="54"/>
      <c r="N209" s="54"/>
      <c r="O209" s="54"/>
      <c r="Y209"/>
    </row>
    <row r="210" spans="1:25" s="15" customFormat="1" x14ac:dyDescent="0.3">
      <c r="A210" s="17"/>
      <c r="B210"/>
      <c r="C210"/>
      <c r="D210"/>
      <c r="E210"/>
      <c r="F210" s="121">
        <v>43742</v>
      </c>
      <c r="G210" s="53">
        <v>279.22778299999999</v>
      </c>
      <c r="H210" s="53">
        <v>89.618454</v>
      </c>
      <c r="I210" s="122">
        <f t="shared" si="2"/>
        <v>1.3532433293560908E-2</v>
      </c>
      <c r="J210" s="122">
        <f t="shared" si="2"/>
        <v>0</v>
      </c>
      <c r="K210"/>
      <c r="L210"/>
      <c r="M210" s="54"/>
      <c r="N210" s="54"/>
      <c r="O210" s="54"/>
      <c r="Y210"/>
    </row>
    <row r="211" spans="1:25" s="15" customFormat="1" x14ac:dyDescent="0.3">
      <c r="A211" s="17"/>
      <c r="B211"/>
      <c r="C211"/>
      <c r="D211"/>
      <c r="E211"/>
      <c r="F211" s="121">
        <v>43745</v>
      </c>
      <c r="G211" s="53">
        <v>278.022919</v>
      </c>
      <c r="H211" s="53">
        <v>89.628264999999999</v>
      </c>
      <c r="I211" s="122">
        <f t="shared" si="2"/>
        <v>-4.3149860914807325E-3</v>
      </c>
      <c r="J211" s="122">
        <f t="shared" si="2"/>
        <v>1.094752203603111E-4</v>
      </c>
      <c r="K211"/>
      <c r="L211"/>
      <c r="M211" s="54"/>
      <c r="N211" s="54"/>
      <c r="O211" s="54"/>
      <c r="Y211"/>
    </row>
    <row r="212" spans="1:25" s="15" customFormat="1" x14ac:dyDescent="0.3">
      <c r="A212" s="17"/>
      <c r="B212"/>
      <c r="C212"/>
      <c r="D212"/>
      <c r="E212"/>
      <c r="F212" s="121">
        <v>43746</v>
      </c>
      <c r="G212" s="53">
        <v>273.706726</v>
      </c>
      <c r="H212" s="53">
        <v>89.628264999999999</v>
      </c>
      <c r="I212" s="122">
        <f t="shared" ref="I212:J275" si="3">G212/G211-1</f>
        <v>-1.5524594215198473E-2</v>
      </c>
      <c r="J212" s="122">
        <f t="shared" si="3"/>
        <v>0</v>
      </c>
      <c r="K212"/>
      <c r="L212"/>
      <c r="M212" s="54"/>
      <c r="N212" s="54"/>
      <c r="O212" s="54"/>
      <c r="Y212"/>
    </row>
    <row r="213" spans="1:25" s="15" customFormat="1" x14ac:dyDescent="0.3">
      <c r="A213" s="17"/>
      <c r="B213"/>
      <c r="C213"/>
      <c r="D213"/>
      <c r="E213"/>
      <c r="F213" s="121">
        <v>43747</v>
      </c>
      <c r="G213" s="53">
        <v>276.30590799999999</v>
      </c>
      <c r="H213" s="53">
        <v>89.628264999999999</v>
      </c>
      <c r="I213" s="122">
        <f t="shared" si="3"/>
        <v>9.4962299172727249E-3</v>
      </c>
      <c r="J213" s="122">
        <f t="shared" si="3"/>
        <v>0</v>
      </c>
      <c r="K213"/>
      <c r="L213"/>
      <c r="M213" s="54"/>
      <c r="N213" s="54"/>
      <c r="O213" s="54"/>
      <c r="Y213"/>
    </row>
    <row r="214" spans="1:25" s="15" customFormat="1" x14ac:dyDescent="0.3">
      <c r="A214" s="17"/>
      <c r="B214"/>
      <c r="C214"/>
      <c r="D214"/>
      <c r="E214"/>
      <c r="F214" s="121">
        <v>43748</v>
      </c>
      <c r="G214" s="53">
        <v>278.17474399999998</v>
      </c>
      <c r="H214" s="53">
        <v>89.647841999999997</v>
      </c>
      <c r="I214" s="122">
        <f t="shared" si="3"/>
        <v>6.7636483545621129E-3</v>
      </c>
      <c r="J214" s="122">
        <f t="shared" si="3"/>
        <v>2.1842439993680074E-4</v>
      </c>
      <c r="K214"/>
      <c r="L214"/>
      <c r="M214" s="54"/>
      <c r="N214" s="54"/>
      <c r="O214" s="54"/>
      <c r="Y214"/>
    </row>
    <row r="215" spans="1:25" s="15" customFormat="1" x14ac:dyDescent="0.3">
      <c r="A215" s="17"/>
      <c r="B215"/>
      <c r="C215"/>
      <c r="D215"/>
      <c r="E215"/>
      <c r="F215" s="121">
        <v>43749</v>
      </c>
      <c r="G215" s="53">
        <v>281.05856299999999</v>
      </c>
      <c r="H215" s="53">
        <v>89.657639000000003</v>
      </c>
      <c r="I215" s="122">
        <f t="shared" si="3"/>
        <v>1.0366933239633003E-2</v>
      </c>
      <c r="J215" s="122">
        <f t="shared" si="3"/>
        <v>1.0928316601321875E-4</v>
      </c>
      <c r="K215"/>
      <c r="L215"/>
      <c r="M215" s="54"/>
      <c r="N215" s="54"/>
      <c r="O215" s="54"/>
      <c r="Y215"/>
    </row>
    <row r="216" spans="1:25" s="15" customFormat="1" x14ac:dyDescent="0.3">
      <c r="A216" s="17"/>
      <c r="B216"/>
      <c r="C216"/>
      <c r="D216"/>
      <c r="E216"/>
      <c r="F216" s="121">
        <v>43752</v>
      </c>
      <c r="G216" s="53">
        <v>280.745544</v>
      </c>
      <c r="H216" s="53">
        <v>89.647841999999997</v>
      </c>
      <c r="I216" s="122">
        <f t="shared" si="3"/>
        <v>-1.1137145108082169E-3</v>
      </c>
      <c r="J216" s="122">
        <f t="shared" si="3"/>
        <v>-1.0927122450776761E-4</v>
      </c>
      <c r="K216"/>
      <c r="L216"/>
      <c r="M216" s="54"/>
      <c r="N216" s="54"/>
      <c r="O216" s="54"/>
      <c r="Y216"/>
    </row>
    <row r="217" spans="1:25" s="15" customFormat="1" x14ac:dyDescent="0.3">
      <c r="A217" s="17"/>
      <c r="B217"/>
      <c r="C217"/>
      <c r="D217"/>
      <c r="E217"/>
      <c r="F217" s="121">
        <v>43753</v>
      </c>
      <c r="G217" s="53">
        <v>283.52499399999999</v>
      </c>
      <c r="H217" s="53">
        <v>89.657639000000003</v>
      </c>
      <c r="I217" s="122">
        <f t="shared" si="3"/>
        <v>9.9002461816455334E-3</v>
      </c>
      <c r="J217" s="122">
        <f t="shared" si="3"/>
        <v>1.0928316601321875E-4</v>
      </c>
      <c r="K217"/>
      <c r="L217"/>
      <c r="M217" s="54"/>
      <c r="N217" s="54"/>
      <c r="O217" s="54"/>
      <c r="Y217"/>
    </row>
    <row r="218" spans="1:25" s="15" customFormat="1" x14ac:dyDescent="0.3">
      <c r="A218" s="17"/>
      <c r="B218"/>
      <c r="C218"/>
      <c r="D218"/>
      <c r="E218"/>
      <c r="F218" s="121">
        <v>43754</v>
      </c>
      <c r="G218" s="53">
        <v>283.06964099999999</v>
      </c>
      <c r="H218" s="53">
        <v>89.667434999999998</v>
      </c>
      <c r="I218" s="122">
        <f t="shared" si="3"/>
        <v>-1.6060418292435097E-3</v>
      </c>
      <c r="J218" s="122">
        <f t="shared" si="3"/>
        <v>1.0926007096845325E-4</v>
      </c>
      <c r="K218"/>
      <c r="L218"/>
      <c r="M218" s="54"/>
      <c r="N218" s="54"/>
      <c r="O218" s="54"/>
      <c r="Y218"/>
    </row>
    <row r="219" spans="1:25" s="15" customFormat="1" x14ac:dyDescent="0.3">
      <c r="A219" s="17"/>
      <c r="B219"/>
      <c r="C219"/>
      <c r="D219"/>
      <c r="E219"/>
      <c r="F219" s="121">
        <v>43755</v>
      </c>
      <c r="G219" s="53">
        <v>283.904449</v>
      </c>
      <c r="H219" s="53">
        <v>89.677238000000003</v>
      </c>
      <c r="I219" s="122">
        <f t="shared" si="3"/>
        <v>2.9491258654614771E-3</v>
      </c>
      <c r="J219" s="122">
        <f t="shared" si="3"/>
        <v>1.0932620075521093E-4</v>
      </c>
      <c r="K219"/>
      <c r="L219"/>
      <c r="M219" s="54"/>
      <c r="N219" s="54"/>
      <c r="O219" s="54"/>
      <c r="Y219"/>
    </row>
    <row r="220" spans="1:25" s="15" customFormat="1" x14ac:dyDescent="0.3">
      <c r="A220" s="17"/>
      <c r="B220"/>
      <c r="C220"/>
      <c r="D220"/>
      <c r="E220"/>
      <c r="F220" s="121">
        <v>43756</v>
      </c>
      <c r="G220" s="53">
        <v>282.66171300000002</v>
      </c>
      <c r="H220" s="53">
        <v>89.677238000000003</v>
      </c>
      <c r="I220" s="122">
        <f t="shared" si="3"/>
        <v>-4.377303717420733E-3</v>
      </c>
      <c r="J220" s="122">
        <f t="shared" si="3"/>
        <v>0</v>
      </c>
      <c r="K220"/>
      <c r="L220"/>
      <c r="M220" s="54"/>
      <c r="N220" s="54"/>
      <c r="O220" s="54"/>
      <c r="Y220"/>
    </row>
    <row r="221" spans="1:25" s="15" customFormat="1" x14ac:dyDescent="0.3">
      <c r="A221" s="17"/>
      <c r="B221"/>
      <c r="C221"/>
      <c r="D221"/>
      <c r="E221"/>
      <c r="F221" s="121">
        <v>43759</v>
      </c>
      <c r="G221" s="53">
        <v>284.57794200000001</v>
      </c>
      <c r="H221" s="53">
        <v>89.687034999999995</v>
      </c>
      <c r="I221" s="122">
        <f t="shared" si="3"/>
        <v>6.7792308327232487E-3</v>
      </c>
      <c r="J221" s="122">
        <f t="shared" si="3"/>
        <v>1.0924734323314311E-4</v>
      </c>
      <c r="K221"/>
      <c r="L221"/>
      <c r="M221" s="54"/>
      <c r="N221" s="54"/>
      <c r="O221" s="54"/>
      <c r="Y221"/>
    </row>
    <row r="222" spans="1:25" s="15" customFormat="1" x14ac:dyDescent="0.3">
      <c r="A222" s="17"/>
      <c r="B222"/>
      <c r="C222"/>
      <c r="D222"/>
      <c r="E222"/>
      <c r="F222" s="121">
        <v>43760</v>
      </c>
      <c r="G222" s="53">
        <v>283.64828499999999</v>
      </c>
      <c r="H222" s="53">
        <v>89.687034999999995</v>
      </c>
      <c r="I222" s="122">
        <f t="shared" si="3"/>
        <v>-3.2667921957212354E-3</v>
      </c>
      <c r="J222" s="122">
        <f t="shared" si="3"/>
        <v>0</v>
      </c>
      <c r="K222"/>
      <c r="L222"/>
      <c r="M222" s="54"/>
      <c r="N222" s="54"/>
      <c r="O222" s="54"/>
      <c r="Y222"/>
    </row>
    <row r="223" spans="1:25" s="15" customFormat="1" x14ac:dyDescent="0.3">
      <c r="A223" s="17"/>
      <c r="B223"/>
      <c r="C223"/>
      <c r="D223"/>
      <c r="E223"/>
      <c r="F223" s="121">
        <v>43761</v>
      </c>
      <c r="G223" s="53">
        <v>284.47366299999999</v>
      </c>
      <c r="H223" s="53">
        <v>89.687034999999995</v>
      </c>
      <c r="I223" s="122">
        <f t="shared" si="3"/>
        <v>2.9098642355620541E-3</v>
      </c>
      <c r="J223" s="122">
        <f t="shared" si="3"/>
        <v>0</v>
      </c>
      <c r="K223"/>
      <c r="L223"/>
      <c r="M223" s="54"/>
      <c r="N223" s="54"/>
      <c r="O223" s="54"/>
      <c r="Y223"/>
    </row>
    <row r="224" spans="1:25" s="15" customFormat="1" x14ac:dyDescent="0.3">
      <c r="A224" s="17"/>
      <c r="B224"/>
      <c r="C224"/>
      <c r="D224"/>
      <c r="E224"/>
      <c r="F224" s="121">
        <v>43762</v>
      </c>
      <c r="G224" s="53">
        <v>284.938446</v>
      </c>
      <c r="H224" s="53">
        <v>89.706619000000003</v>
      </c>
      <c r="I224" s="122">
        <f t="shared" si="3"/>
        <v>1.6338349044284772E-3</v>
      </c>
      <c r="J224" s="122">
        <f t="shared" si="3"/>
        <v>2.1835932027425287E-4</v>
      </c>
      <c r="K224"/>
      <c r="L224"/>
      <c r="M224" s="54"/>
      <c r="N224" s="54"/>
      <c r="O224" s="54"/>
      <c r="Y224"/>
    </row>
    <row r="225" spans="1:25" s="15" customFormat="1" x14ac:dyDescent="0.3">
      <c r="A225" s="17"/>
      <c r="B225"/>
      <c r="C225"/>
      <c r="D225"/>
      <c r="E225"/>
      <c r="F225" s="121">
        <v>43763</v>
      </c>
      <c r="G225" s="53">
        <v>286.10519399999998</v>
      </c>
      <c r="H225" s="53">
        <v>89.706619000000003</v>
      </c>
      <c r="I225" s="122">
        <f t="shared" si="3"/>
        <v>4.0947370085677726E-3</v>
      </c>
      <c r="J225" s="122">
        <f t="shared" si="3"/>
        <v>0</v>
      </c>
      <c r="K225"/>
      <c r="L225"/>
      <c r="M225" s="54"/>
      <c r="N225" s="54"/>
      <c r="O225" s="54"/>
      <c r="Y225"/>
    </row>
    <row r="226" spans="1:25" s="15" customFormat="1" x14ac:dyDescent="0.3">
      <c r="A226" s="17"/>
      <c r="B226"/>
      <c r="C226"/>
      <c r="D226"/>
      <c r="E226"/>
      <c r="F226" s="121">
        <v>43766</v>
      </c>
      <c r="G226" s="53">
        <v>287.71792599999998</v>
      </c>
      <c r="H226" s="53">
        <v>89.696815000000001</v>
      </c>
      <c r="I226" s="122">
        <f t="shared" si="3"/>
        <v>5.6368497805041606E-3</v>
      </c>
      <c r="J226" s="122">
        <f t="shared" si="3"/>
        <v>-1.0928959433864627E-4</v>
      </c>
      <c r="K226"/>
      <c r="L226"/>
      <c r="M226" s="54"/>
      <c r="N226" s="54"/>
      <c r="O226" s="54"/>
      <c r="Y226"/>
    </row>
    <row r="227" spans="1:25" s="15" customFormat="1" x14ac:dyDescent="0.3">
      <c r="A227" s="17"/>
      <c r="B227"/>
      <c r="C227"/>
      <c r="D227"/>
      <c r="E227"/>
      <c r="F227" s="121">
        <v>43767</v>
      </c>
      <c r="G227" s="53">
        <v>287.63247699999999</v>
      </c>
      <c r="H227" s="53">
        <v>89.716431</v>
      </c>
      <c r="I227" s="122">
        <f t="shared" si="3"/>
        <v>-2.9698879450412718E-4</v>
      </c>
      <c r="J227" s="122">
        <f t="shared" si="3"/>
        <v>2.1869226906212624E-4</v>
      </c>
      <c r="K227"/>
      <c r="L227"/>
      <c r="M227" s="54"/>
      <c r="N227" s="54"/>
      <c r="O227" s="54"/>
      <c r="Y227"/>
    </row>
    <row r="228" spans="1:25" s="15" customFormat="1" x14ac:dyDescent="0.3">
      <c r="A228" s="17"/>
      <c r="B228"/>
      <c r="C228"/>
      <c r="D228"/>
      <c r="E228"/>
      <c r="F228" s="121">
        <v>43768</v>
      </c>
      <c r="G228" s="53">
        <v>288.514771</v>
      </c>
      <c r="H228" s="53">
        <v>89.726212000000004</v>
      </c>
      <c r="I228" s="122">
        <f t="shared" si="3"/>
        <v>3.0674352534953986E-3</v>
      </c>
      <c r="J228" s="122">
        <f t="shared" si="3"/>
        <v>1.090212783876332E-4</v>
      </c>
      <c r="K228"/>
      <c r="L228"/>
      <c r="M228" s="54"/>
      <c r="N228" s="54"/>
      <c r="O228" s="54"/>
      <c r="Y228"/>
    </row>
    <row r="229" spans="1:25" s="15" customFormat="1" x14ac:dyDescent="0.3">
      <c r="A229" s="17"/>
      <c r="B229"/>
      <c r="C229"/>
      <c r="D229"/>
      <c r="E229"/>
      <c r="F229" s="121">
        <v>43769</v>
      </c>
      <c r="G229" s="53">
        <v>287.74636800000002</v>
      </c>
      <c r="H229" s="53">
        <v>89.736007999999998</v>
      </c>
      <c r="I229" s="122">
        <f t="shared" si="3"/>
        <v>-2.6633055816749351E-3</v>
      </c>
      <c r="J229" s="122">
        <f t="shared" si="3"/>
        <v>1.0917656927267316E-4</v>
      </c>
      <c r="K229"/>
      <c r="L229"/>
      <c r="M229" s="54"/>
      <c r="N229" s="54"/>
      <c r="O229" s="54"/>
      <c r="Y229"/>
    </row>
    <row r="230" spans="1:25" s="15" customFormat="1" x14ac:dyDescent="0.3">
      <c r="A230" s="17"/>
      <c r="B230"/>
      <c r="C230"/>
      <c r="D230"/>
      <c r="E230"/>
      <c r="F230" s="121">
        <v>43770</v>
      </c>
      <c r="G230" s="53">
        <v>290.41195699999997</v>
      </c>
      <c r="H230" s="53">
        <v>89.735039</v>
      </c>
      <c r="I230" s="122">
        <f t="shared" si="3"/>
        <v>9.2636755713975116E-3</v>
      </c>
      <c r="J230" s="122">
        <f t="shared" si="3"/>
        <v>-1.0798340839945908E-5</v>
      </c>
      <c r="K230"/>
      <c r="L230"/>
      <c r="M230" s="54"/>
      <c r="N230" s="54"/>
      <c r="O230" s="54"/>
      <c r="Y230"/>
    </row>
    <row r="231" spans="1:25" s="15" customFormat="1" x14ac:dyDescent="0.3">
      <c r="A231" s="17"/>
      <c r="B231"/>
      <c r="C231"/>
      <c r="D231"/>
      <c r="E231"/>
      <c r="F231" s="121">
        <v>43773</v>
      </c>
      <c r="G231" s="53">
        <v>291.57879600000001</v>
      </c>
      <c r="H231" s="53">
        <v>89.74485</v>
      </c>
      <c r="I231" s="122">
        <f t="shared" si="3"/>
        <v>4.017875200641452E-3</v>
      </c>
      <c r="J231" s="122">
        <f t="shared" si="3"/>
        <v>1.0933298864457264E-4</v>
      </c>
      <c r="K231"/>
      <c r="L231"/>
      <c r="M231" s="54"/>
      <c r="N231" s="54"/>
      <c r="O231" s="54"/>
      <c r="Y231"/>
    </row>
    <row r="232" spans="1:25" s="15" customFormat="1" x14ac:dyDescent="0.3">
      <c r="A232" s="17"/>
      <c r="B232"/>
      <c r="C232"/>
      <c r="D232"/>
      <c r="E232"/>
      <c r="F232" s="121">
        <v>43774</v>
      </c>
      <c r="G232" s="53">
        <v>291.25622600000003</v>
      </c>
      <c r="H232" s="53">
        <v>89.735039</v>
      </c>
      <c r="I232" s="122">
        <f t="shared" si="3"/>
        <v>-1.1062875779210835E-3</v>
      </c>
      <c r="J232" s="122">
        <f t="shared" si="3"/>
        <v>-1.0932103624883283E-4</v>
      </c>
      <c r="K232"/>
      <c r="L232"/>
      <c r="M232" s="54"/>
      <c r="N232" s="54"/>
      <c r="O232" s="54"/>
      <c r="Y232"/>
    </row>
    <row r="233" spans="1:25" s="15" customFormat="1" x14ac:dyDescent="0.3">
      <c r="A233" s="17"/>
      <c r="B233"/>
      <c r="C233"/>
      <c r="D233"/>
      <c r="E233"/>
      <c r="F233" s="121">
        <v>43775</v>
      </c>
      <c r="G233" s="53">
        <v>291.322632</v>
      </c>
      <c r="H233" s="53">
        <v>89.74485</v>
      </c>
      <c r="I233" s="122">
        <f t="shared" si="3"/>
        <v>2.2799855959121373E-4</v>
      </c>
      <c r="J233" s="122">
        <f t="shared" si="3"/>
        <v>1.0933298864457264E-4</v>
      </c>
      <c r="K233"/>
      <c r="L233"/>
      <c r="M233" s="54"/>
      <c r="N233" s="54"/>
      <c r="O233" s="54"/>
      <c r="Y233"/>
    </row>
    <row r="234" spans="1:25" s="15" customFormat="1" x14ac:dyDescent="0.3">
      <c r="A234" s="17"/>
      <c r="B234"/>
      <c r="C234"/>
      <c r="D234"/>
      <c r="E234"/>
      <c r="F234" s="121">
        <v>43776</v>
      </c>
      <c r="G234" s="53">
        <v>292.34716800000001</v>
      </c>
      <c r="H234" s="53">
        <v>89.764472999999995</v>
      </c>
      <c r="I234" s="122">
        <f t="shared" si="3"/>
        <v>3.5168431404257738E-3</v>
      </c>
      <c r="J234" s="122">
        <f t="shared" si="3"/>
        <v>2.1865321519842773E-4</v>
      </c>
      <c r="K234"/>
      <c r="L234"/>
      <c r="M234" s="54"/>
      <c r="N234" s="54"/>
      <c r="O234" s="54"/>
      <c r="Y234"/>
    </row>
    <row r="235" spans="1:25" s="15" customFormat="1" x14ac:dyDescent="0.3">
      <c r="A235" s="17"/>
      <c r="B235"/>
      <c r="C235"/>
      <c r="D235"/>
      <c r="E235"/>
      <c r="F235" s="121">
        <v>43777</v>
      </c>
      <c r="G235" s="53">
        <v>293.06811499999998</v>
      </c>
      <c r="H235" s="53">
        <v>89.764472999999995</v>
      </c>
      <c r="I235" s="122">
        <f t="shared" si="3"/>
        <v>2.4660645934493353E-3</v>
      </c>
      <c r="J235" s="122">
        <f t="shared" si="3"/>
        <v>0</v>
      </c>
      <c r="K235"/>
      <c r="L235"/>
      <c r="M235" s="54"/>
      <c r="N235" s="54"/>
      <c r="O235" s="54"/>
      <c r="Y235"/>
    </row>
    <row r="236" spans="1:25" s="15" customFormat="1" x14ac:dyDescent="0.3">
      <c r="A236" s="17"/>
      <c r="B236"/>
      <c r="C236"/>
      <c r="D236"/>
      <c r="E236"/>
      <c r="F236" s="121">
        <v>43780</v>
      </c>
      <c r="G236" s="53">
        <v>292.50845299999997</v>
      </c>
      <c r="H236" s="53">
        <v>89.764472999999995</v>
      </c>
      <c r="I236" s="122">
        <f t="shared" si="3"/>
        <v>-1.9096652667247582E-3</v>
      </c>
      <c r="J236" s="122">
        <f t="shared" si="3"/>
        <v>0</v>
      </c>
      <c r="K236"/>
      <c r="L236"/>
      <c r="M236" s="54"/>
      <c r="N236" s="54"/>
      <c r="O236" s="54"/>
      <c r="Y236"/>
    </row>
    <row r="237" spans="1:25" s="15" customFormat="1" x14ac:dyDescent="0.3">
      <c r="A237" s="17"/>
      <c r="B237"/>
      <c r="C237"/>
      <c r="D237"/>
      <c r="E237"/>
      <c r="F237" s="121">
        <v>43781</v>
      </c>
      <c r="G237" s="53">
        <v>293.12506100000002</v>
      </c>
      <c r="H237" s="53">
        <v>89.774269000000004</v>
      </c>
      <c r="I237" s="122">
        <f t="shared" si="3"/>
        <v>2.1080006190454803E-3</v>
      </c>
      <c r="J237" s="122">
        <f t="shared" si="3"/>
        <v>1.0913003410606414E-4</v>
      </c>
      <c r="K237"/>
      <c r="L237"/>
      <c r="M237" s="54"/>
      <c r="N237" s="54"/>
      <c r="O237" s="54"/>
      <c r="Y237"/>
    </row>
    <row r="238" spans="1:25" s="15" customFormat="1" x14ac:dyDescent="0.3">
      <c r="A238" s="17"/>
      <c r="B238"/>
      <c r="C238"/>
      <c r="D238"/>
      <c r="E238"/>
      <c r="F238" s="121">
        <v>43782</v>
      </c>
      <c r="G238" s="53">
        <v>293.21994000000001</v>
      </c>
      <c r="H238" s="53">
        <v>89.774269000000004</v>
      </c>
      <c r="I238" s="122">
        <f t="shared" si="3"/>
        <v>3.236809560953624E-4</v>
      </c>
      <c r="J238" s="122">
        <f t="shared" si="3"/>
        <v>0</v>
      </c>
      <c r="K238"/>
      <c r="L238"/>
      <c r="M238" s="54"/>
      <c r="N238" s="54"/>
      <c r="O238" s="54"/>
      <c r="Y238"/>
    </row>
    <row r="239" spans="1:25" s="15" customFormat="1" x14ac:dyDescent="0.3">
      <c r="A239" s="17"/>
      <c r="B239"/>
      <c r="C239"/>
      <c r="D239"/>
      <c r="E239"/>
      <c r="F239" s="121">
        <v>43783</v>
      </c>
      <c r="G239" s="53">
        <v>293.64681999999999</v>
      </c>
      <c r="H239" s="53">
        <v>89.784087999999997</v>
      </c>
      <c r="I239" s="122">
        <f t="shared" si="3"/>
        <v>1.4558355069576034E-3</v>
      </c>
      <c r="J239" s="122">
        <f t="shared" si="3"/>
        <v>1.0937432417290616E-4</v>
      </c>
      <c r="K239"/>
      <c r="L239"/>
      <c r="M239" s="54"/>
      <c r="N239" s="54"/>
      <c r="O239" s="54"/>
      <c r="Y239"/>
    </row>
    <row r="240" spans="1:25" s="15" customFormat="1" x14ac:dyDescent="0.3">
      <c r="A240" s="17"/>
      <c r="B240"/>
      <c r="C240"/>
      <c r="D240"/>
      <c r="E240"/>
      <c r="F240" s="121">
        <v>43784</v>
      </c>
      <c r="G240" s="53">
        <v>295.77172899999999</v>
      </c>
      <c r="H240" s="53">
        <v>89.774269000000004</v>
      </c>
      <c r="I240" s="122">
        <f t="shared" si="3"/>
        <v>7.236274515079133E-3</v>
      </c>
      <c r="J240" s="122">
        <f t="shared" si="3"/>
        <v>-1.0936236273839661E-4</v>
      </c>
      <c r="K240"/>
      <c r="L240"/>
      <c r="M240" s="54"/>
      <c r="N240" s="54"/>
      <c r="O240" s="54"/>
      <c r="Y240"/>
    </row>
    <row r="241" spans="1:25" s="15" customFormat="1" x14ac:dyDescent="0.3">
      <c r="A241" s="17"/>
      <c r="B241"/>
      <c r="C241"/>
      <c r="D241"/>
      <c r="E241"/>
      <c r="F241" s="121">
        <v>43787</v>
      </c>
      <c r="G241" s="53">
        <v>295.989868</v>
      </c>
      <c r="H241" s="53">
        <v>89.793869000000001</v>
      </c>
      <c r="I241" s="122">
        <f t="shared" si="3"/>
        <v>7.3752484978029109E-4</v>
      </c>
      <c r="J241" s="122">
        <f t="shared" si="3"/>
        <v>2.1832536447607964E-4</v>
      </c>
      <c r="K241"/>
      <c r="L241"/>
      <c r="M241" s="54"/>
      <c r="N241" s="54"/>
      <c r="O241" s="54"/>
      <c r="Y241"/>
    </row>
    <row r="242" spans="1:25" s="15" customFormat="1" x14ac:dyDescent="0.3">
      <c r="A242" s="17"/>
      <c r="B242"/>
      <c r="C242"/>
      <c r="D242"/>
      <c r="E242"/>
      <c r="F242" s="121">
        <v>43788</v>
      </c>
      <c r="G242" s="53">
        <v>295.90447999999998</v>
      </c>
      <c r="H242" s="53">
        <v>89.784087999999997</v>
      </c>
      <c r="I242" s="122">
        <f t="shared" si="3"/>
        <v>-2.8848284766291865E-4</v>
      </c>
      <c r="J242" s="122">
        <f t="shared" si="3"/>
        <v>-1.0892725871969322E-4</v>
      </c>
      <c r="K242"/>
      <c r="L242"/>
      <c r="M242" s="54"/>
      <c r="N242" s="54"/>
      <c r="O242" s="54"/>
      <c r="Y242"/>
    </row>
    <row r="243" spans="1:25" s="15" customFormat="1" x14ac:dyDescent="0.3">
      <c r="A243" s="17"/>
      <c r="B243"/>
      <c r="C243"/>
      <c r="D243"/>
      <c r="E243"/>
      <c r="F243" s="121">
        <v>43789</v>
      </c>
      <c r="G243" s="53">
        <v>294.80413800000002</v>
      </c>
      <c r="H243" s="53">
        <v>89.793869000000001</v>
      </c>
      <c r="I243" s="122">
        <f t="shared" si="3"/>
        <v>-3.7185716147317693E-3</v>
      </c>
      <c r="J243" s="122">
        <f t="shared" si="3"/>
        <v>1.0893912515985704E-4</v>
      </c>
      <c r="K243"/>
      <c r="L243"/>
      <c r="M243" s="54"/>
      <c r="N243" s="54"/>
      <c r="O243" s="54"/>
      <c r="Y243"/>
    </row>
    <row r="244" spans="1:25" s="15" customFormat="1" x14ac:dyDescent="0.3">
      <c r="A244" s="17"/>
      <c r="B244"/>
      <c r="C244"/>
      <c r="D244"/>
      <c r="E244"/>
      <c r="F244" s="121">
        <v>43790</v>
      </c>
      <c r="G244" s="53">
        <v>294.32986499999998</v>
      </c>
      <c r="H244" s="53">
        <v>89.793869000000001</v>
      </c>
      <c r="I244" s="122">
        <f t="shared" si="3"/>
        <v>-1.6087732119962617E-3</v>
      </c>
      <c r="J244" s="122">
        <f t="shared" si="3"/>
        <v>0</v>
      </c>
      <c r="K244"/>
      <c r="L244"/>
      <c r="M244" s="54"/>
      <c r="N244" s="54"/>
      <c r="O244" s="54"/>
      <c r="Y244"/>
    </row>
    <row r="245" spans="1:25" s="15" customFormat="1" x14ac:dyDescent="0.3">
      <c r="A245" s="17"/>
      <c r="B245"/>
      <c r="C245"/>
      <c r="D245"/>
      <c r="E245"/>
      <c r="F245" s="121">
        <v>43791</v>
      </c>
      <c r="G245" s="53">
        <v>294.984375</v>
      </c>
      <c r="H245" s="53">
        <v>89.803711000000007</v>
      </c>
      <c r="I245" s="122">
        <f t="shared" si="3"/>
        <v>2.2237294880016467E-3</v>
      </c>
      <c r="J245" s="122">
        <f t="shared" si="3"/>
        <v>1.0960659240555337E-4</v>
      </c>
      <c r="K245"/>
      <c r="L245"/>
      <c r="M245" s="54"/>
      <c r="N245" s="54"/>
      <c r="O245" s="54"/>
      <c r="Y245"/>
    </row>
    <row r="246" spans="1:25" s="15" customFormat="1" x14ac:dyDescent="0.3">
      <c r="A246" s="17"/>
      <c r="B246"/>
      <c r="C246"/>
      <c r="D246"/>
      <c r="E246"/>
      <c r="F246" s="121">
        <v>43794</v>
      </c>
      <c r="G246" s="53">
        <v>297.27050800000001</v>
      </c>
      <c r="H246" s="53">
        <v>89.803711000000007</v>
      </c>
      <c r="I246" s="122">
        <f t="shared" si="3"/>
        <v>7.7500138778536787E-3</v>
      </c>
      <c r="J246" s="122">
        <f t="shared" si="3"/>
        <v>0</v>
      </c>
      <c r="K246"/>
      <c r="L246"/>
      <c r="M246" s="54"/>
      <c r="N246" s="54"/>
      <c r="O246" s="54"/>
      <c r="Y246"/>
    </row>
    <row r="247" spans="1:25" s="15" customFormat="1" x14ac:dyDescent="0.3">
      <c r="A247" s="17"/>
      <c r="B247"/>
      <c r="C247"/>
      <c r="D247"/>
      <c r="E247"/>
      <c r="F247" s="121">
        <v>43795</v>
      </c>
      <c r="G247" s="53">
        <v>297.94406099999998</v>
      </c>
      <c r="H247" s="53">
        <v>89.813522000000006</v>
      </c>
      <c r="I247" s="122">
        <f t="shared" si="3"/>
        <v>2.2657915328754274E-3</v>
      </c>
      <c r="J247" s="122">
        <f t="shared" si="3"/>
        <v>1.092493828012131E-4</v>
      </c>
      <c r="K247"/>
      <c r="L247"/>
      <c r="M247" s="54"/>
      <c r="N247" s="54"/>
      <c r="O247" s="54"/>
      <c r="Y247"/>
    </row>
    <row r="248" spans="1:25" s="15" customFormat="1" x14ac:dyDescent="0.3">
      <c r="A248" s="17"/>
      <c r="B248"/>
      <c r="C248"/>
      <c r="D248"/>
      <c r="E248"/>
      <c r="F248" s="121">
        <v>43796</v>
      </c>
      <c r="G248" s="53">
        <v>299.272156</v>
      </c>
      <c r="H248" s="53">
        <v>89.833145000000002</v>
      </c>
      <c r="I248" s="122">
        <f t="shared" si="3"/>
        <v>4.4575313753276724E-3</v>
      </c>
      <c r="J248" s="122">
        <f t="shared" si="3"/>
        <v>2.1848603153529211E-4</v>
      </c>
      <c r="K248"/>
      <c r="L248"/>
      <c r="M248" s="54"/>
      <c r="N248" s="54"/>
      <c r="O248" s="54"/>
      <c r="Y248"/>
    </row>
    <row r="249" spans="1:25" s="15" customFormat="1" x14ac:dyDescent="0.3">
      <c r="A249" s="17"/>
      <c r="B249"/>
      <c r="C249"/>
      <c r="D249"/>
      <c r="E249"/>
      <c r="F249" s="121">
        <v>43798</v>
      </c>
      <c r="G249" s="53">
        <v>298.16229199999998</v>
      </c>
      <c r="H249" s="53">
        <v>89.833145000000002</v>
      </c>
      <c r="I249" s="122">
        <f t="shared" si="3"/>
        <v>-3.7085441386669471E-3</v>
      </c>
      <c r="J249" s="122">
        <f t="shared" si="3"/>
        <v>0</v>
      </c>
      <c r="K249"/>
      <c r="L249"/>
      <c r="M249" s="54"/>
      <c r="N249" s="54"/>
      <c r="O249" s="54"/>
      <c r="Y249"/>
    </row>
    <row r="250" spans="1:25" s="15" customFormat="1" x14ac:dyDescent="0.3">
      <c r="A250" s="17"/>
      <c r="B250"/>
      <c r="C250"/>
      <c r="D250"/>
      <c r="E250"/>
      <c r="F250" s="121">
        <v>43801</v>
      </c>
      <c r="G250" s="53">
        <v>295.62942500000003</v>
      </c>
      <c r="H250" s="53">
        <v>89.840012000000002</v>
      </c>
      <c r="I250" s="122">
        <f t="shared" si="3"/>
        <v>-8.4949273196489594E-3</v>
      </c>
      <c r="J250" s="122">
        <f t="shared" si="3"/>
        <v>7.6441718699804539E-5</v>
      </c>
      <c r="K250"/>
      <c r="L250"/>
      <c r="M250" s="54"/>
      <c r="N250" s="54"/>
      <c r="O250" s="54"/>
      <c r="Y250"/>
    </row>
    <row r="251" spans="1:25" s="15" customFormat="1" x14ac:dyDescent="0.3">
      <c r="A251" s="17"/>
      <c r="B251"/>
      <c r="C251"/>
      <c r="D251"/>
      <c r="E251"/>
      <c r="F251" s="121">
        <v>43802</v>
      </c>
      <c r="G251" s="53">
        <v>293.64681999999999</v>
      </c>
      <c r="H251" s="53">
        <v>89.830214999999995</v>
      </c>
      <c r="I251" s="122">
        <f t="shared" si="3"/>
        <v>-6.7063858748162009E-3</v>
      </c>
      <c r="J251" s="122">
        <f t="shared" si="3"/>
        <v>-1.0904940662748164E-4</v>
      </c>
      <c r="K251"/>
      <c r="L251"/>
      <c r="M251" s="54"/>
      <c r="N251" s="54"/>
      <c r="O251" s="54"/>
      <c r="Y251"/>
    </row>
    <row r="252" spans="1:25" s="15" customFormat="1" x14ac:dyDescent="0.3">
      <c r="A252" s="17"/>
      <c r="B252"/>
      <c r="C252"/>
      <c r="D252"/>
      <c r="E252"/>
      <c r="F252" s="121">
        <v>43803</v>
      </c>
      <c r="G252" s="53">
        <v>295.45867900000002</v>
      </c>
      <c r="H252" s="53">
        <v>89.840012000000002</v>
      </c>
      <c r="I252" s="122">
        <f t="shared" si="3"/>
        <v>6.1701979268837803E-3</v>
      </c>
      <c r="J252" s="122">
        <f t="shared" si="3"/>
        <v>1.0906129969745493E-4</v>
      </c>
      <c r="K252"/>
      <c r="L252"/>
      <c r="M252" s="54"/>
      <c r="N252" s="54"/>
      <c r="O252" s="54"/>
      <c r="Y252"/>
    </row>
    <row r="253" spans="1:25" s="15" customFormat="1" x14ac:dyDescent="0.3">
      <c r="A253" s="17"/>
      <c r="B253"/>
      <c r="C253"/>
      <c r="D253"/>
      <c r="E253"/>
      <c r="F253" s="121">
        <v>43804</v>
      </c>
      <c r="G253" s="53">
        <v>295.989868</v>
      </c>
      <c r="H253" s="53">
        <v>89.859673000000001</v>
      </c>
      <c r="I253" s="122">
        <f t="shared" si="3"/>
        <v>1.7978453088527413E-3</v>
      </c>
      <c r="J253" s="122">
        <f t="shared" si="3"/>
        <v>2.1884458341348001E-4</v>
      </c>
      <c r="K253"/>
      <c r="L253"/>
      <c r="M253" s="54"/>
      <c r="N253" s="54"/>
      <c r="O253" s="54"/>
      <c r="Y253"/>
    </row>
    <row r="254" spans="1:25" s="15" customFormat="1" x14ac:dyDescent="0.3">
      <c r="A254" s="17"/>
      <c r="B254"/>
      <c r="C254"/>
      <c r="D254"/>
      <c r="E254"/>
      <c r="F254" s="121">
        <v>43805</v>
      </c>
      <c r="G254" s="53">
        <v>298.69348100000002</v>
      </c>
      <c r="H254" s="53">
        <v>89.859673000000001</v>
      </c>
      <c r="I254" s="122">
        <f t="shared" si="3"/>
        <v>9.1341403618585559E-3</v>
      </c>
      <c r="J254" s="122">
        <f t="shared" si="3"/>
        <v>0</v>
      </c>
      <c r="K254"/>
      <c r="L254"/>
      <c r="M254" s="54"/>
      <c r="N254" s="54"/>
      <c r="O254" s="54"/>
      <c r="Y254"/>
    </row>
    <row r="255" spans="1:25" s="15" customFormat="1" x14ac:dyDescent="0.3">
      <c r="A255" s="17"/>
      <c r="B255"/>
      <c r="C255"/>
      <c r="D255"/>
      <c r="E255"/>
      <c r="F255" s="121">
        <v>43808</v>
      </c>
      <c r="G255" s="53">
        <v>297.75433299999997</v>
      </c>
      <c r="H255" s="53">
        <v>89.869506999999999</v>
      </c>
      <c r="I255" s="122">
        <f t="shared" si="3"/>
        <v>-3.144186464518306E-3</v>
      </c>
      <c r="J255" s="122">
        <f t="shared" si="3"/>
        <v>1.094373000889437E-4</v>
      </c>
      <c r="K255"/>
      <c r="L255"/>
      <c r="M255" s="54"/>
      <c r="N255" s="54"/>
      <c r="O255" s="54"/>
      <c r="Y255"/>
    </row>
    <row r="256" spans="1:25" s="15" customFormat="1" x14ac:dyDescent="0.3">
      <c r="A256" s="17"/>
      <c r="B256"/>
      <c r="C256"/>
      <c r="D256"/>
      <c r="E256"/>
      <c r="F256" s="121">
        <v>43809</v>
      </c>
      <c r="G256" s="53">
        <v>297.422302</v>
      </c>
      <c r="H256" s="53">
        <v>89.869506999999999</v>
      </c>
      <c r="I256" s="122">
        <f t="shared" si="3"/>
        <v>-1.1151172735409665E-3</v>
      </c>
      <c r="J256" s="122">
        <f t="shared" si="3"/>
        <v>0</v>
      </c>
      <c r="K256"/>
      <c r="L256"/>
      <c r="M256" s="54"/>
      <c r="N256" s="54"/>
      <c r="O256" s="54"/>
      <c r="Y256"/>
    </row>
    <row r="257" spans="1:25" s="15" customFormat="1" x14ac:dyDescent="0.3">
      <c r="A257" s="17"/>
      <c r="B257"/>
      <c r="C257"/>
      <c r="D257"/>
      <c r="E257"/>
      <c r="F257" s="121">
        <v>43810</v>
      </c>
      <c r="G257" s="53">
        <v>298.26669299999998</v>
      </c>
      <c r="H257" s="53">
        <v>89.869506999999999</v>
      </c>
      <c r="I257" s="122">
        <f t="shared" si="3"/>
        <v>2.8390305445218367E-3</v>
      </c>
      <c r="J257" s="122">
        <f t="shared" si="3"/>
        <v>0</v>
      </c>
      <c r="K257"/>
      <c r="L257"/>
      <c r="M257" s="54"/>
      <c r="N257" s="54"/>
      <c r="O257" s="54"/>
      <c r="Y257"/>
    </row>
    <row r="258" spans="1:25" s="15" customFormat="1" x14ac:dyDescent="0.3">
      <c r="A258" s="17"/>
      <c r="B258"/>
      <c r="C258"/>
      <c r="D258"/>
      <c r="E258"/>
      <c r="F258" s="121">
        <v>43811</v>
      </c>
      <c r="G258" s="53">
        <v>300.83737200000002</v>
      </c>
      <c r="H258" s="53">
        <v>89.889122</v>
      </c>
      <c r="I258" s="122">
        <f t="shared" si="3"/>
        <v>8.618726328923465E-3</v>
      </c>
      <c r="J258" s="122">
        <f t="shared" si="3"/>
        <v>2.1826090578191959E-4</v>
      </c>
      <c r="K258"/>
      <c r="L258"/>
      <c r="M258" s="27"/>
      <c r="N258" s="27"/>
      <c r="O258" s="27"/>
      <c r="Y258"/>
    </row>
    <row r="259" spans="1:25" s="15" customFormat="1" x14ac:dyDescent="0.3">
      <c r="A259" s="17"/>
      <c r="B259"/>
      <c r="C259"/>
      <c r="D259"/>
      <c r="E259"/>
      <c r="F259" s="121">
        <v>43812</v>
      </c>
      <c r="G259" s="53">
        <v>301.01767000000001</v>
      </c>
      <c r="H259" s="53">
        <v>89.869506999999999</v>
      </c>
      <c r="I259" s="122">
        <f t="shared" si="3"/>
        <v>5.993204860199608E-4</v>
      </c>
      <c r="J259" s="122">
        <f t="shared" si="3"/>
        <v>-2.1821327835425119E-4</v>
      </c>
      <c r="K259"/>
      <c r="L259"/>
      <c r="M259" s="27"/>
      <c r="N259" s="27"/>
      <c r="O259" s="27"/>
      <c r="Y259"/>
    </row>
    <row r="260" spans="1:25" s="15" customFormat="1" x14ac:dyDescent="0.3">
      <c r="A260" s="17"/>
      <c r="B260"/>
      <c r="C260"/>
      <c r="D260"/>
      <c r="E260"/>
      <c r="F260" s="121">
        <v>43815</v>
      </c>
      <c r="G260" s="53">
        <v>303.08563199999998</v>
      </c>
      <c r="H260" s="53">
        <v>89.889122</v>
      </c>
      <c r="I260" s="122">
        <f t="shared" si="3"/>
        <v>6.8699023549014804E-3</v>
      </c>
      <c r="J260" s="122">
        <f t="shared" si="3"/>
        <v>2.1826090578191959E-4</v>
      </c>
      <c r="K260"/>
      <c r="L260"/>
      <c r="M260" s="27"/>
      <c r="N260" s="27"/>
      <c r="O260" s="27"/>
      <c r="Y260"/>
    </row>
    <row r="261" spans="1:25" s="15" customFormat="1" x14ac:dyDescent="0.3">
      <c r="A261" s="17"/>
      <c r="B261"/>
      <c r="C261"/>
      <c r="D261"/>
      <c r="E261"/>
      <c r="F261" s="121">
        <v>43816</v>
      </c>
      <c r="G261" s="53">
        <v>303.15200800000002</v>
      </c>
      <c r="H261" s="53">
        <v>89.879340999999997</v>
      </c>
      <c r="I261" s="122">
        <f t="shared" si="3"/>
        <v>2.1900081360515244E-4</v>
      </c>
      <c r="J261" s="122">
        <f t="shared" si="3"/>
        <v>-1.0881183153621521E-4</v>
      </c>
      <c r="K261"/>
      <c r="L261"/>
      <c r="M261" s="27"/>
      <c r="N261" s="27"/>
      <c r="O261" s="27"/>
      <c r="Y261"/>
    </row>
    <row r="262" spans="1:25" s="15" customFormat="1" x14ac:dyDescent="0.3">
      <c r="A262" s="17"/>
      <c r="B262"/>
      <c r="C262"/>
      <c r="D262"/>
      <c r="E262"/>
      <c r="F262" s="121">
        <v>43817</v>
      </c>
      <c r="G262" s="53">
        <v>303.17095899999998</v>
      </c>
      <c r="H262" s="53">
        <v>89.898964000000007</v>
      </c>
      <c r="I262" s="122">
        <f t="shared" si="3"/>
        <v>6.2513193051172422E-5</v>
      </c>
      <c r="J262" s="122">
        <f t="shared" si="3"/>
        <v>2.1832603334304146E-4</v>
      </c>
      <c r="K262"/>
      <c r="L262"/>
      <c r="M262" s="27"/>
      <c r="N262" s="27"/>
      <c r="O262" s="27"/>
      <c r="Y262"/>
    </row>
    <row r="263" spans="1:25" s="15" customFormat="1" x14ac:dyDescent="0.3">
      <c r="A263" s="17"/>
      <c r="B263"/>
      <c r="C263"/>
      <c r="D263"/>
      <c r="E263"/>
      <c r="F263" s="121">
        <v>43818</v>
      </c>
      <c r="G263" s="53">
        <v>304.41366599999998</v>
      </c>
      <c r="H263" s="53">
        <v>89.908783</v>
      </c>
      <c r="I263" s="122">
        <f t="shared" si="3"/>
        <v>4.0990304747494655E-3</v>
      </c>
      <c r="J263" s="122">
        <f t="shared" si="3"/>
        <v>1.0922261573553804E-4</v>
      </c>
      <c r="K263"/>
      <c r="L263"/>
      <c r="M263" s="27"/>
      <c r="N263" s="27"/>
      <c r="O263" s="27"/>
      <c r="Y263"/>
    </row>
    <row r="264" spans="1:25" s="15" customFormat="1" x14ac:dyDescent="0.3">
      <c r="A264" s="17"/>
      <c r="B264"/>
      <c r="C264"/>
      <c r="D264"/>
      <c r="E264"/>
      <c r="F264" s="121">
        <v>43819</v>
      </c>
      <c r="G264" s="53">
        <v>305.74826000000002</v>
      </c>
      <c r="H264" s="53">
        <v>89.913703999999996</v>
      </c>
      <c r="I264" s="122">
        <f t="shared" si="3"/>
        <v>4.384146144083001E-3</v>
      </c>
      <c r="J264" s="122">
        <f t="shared" si="3"/>
        <v>5.4733251144023498E-5</v>
      </c>
      <c r="K264"/>
      <c r="L264"/>
      <c r="M264" s="27"/>
      <c r="N264" s="27"/>
      <c r="O264" s="27"/>
      <c r="Y264"/>
    </row>
    <row r="265" spans="1:25" s="15" customFormat="1" x14ac:dyDescent="0.3">
      <c r="A265" s="17"/>
      <c r="B265"/>
      <c r="C265"/>
      <c r="D265"/>
      <c r="E265"/>
      <c r="F265" s="121">
        <v>43822</v>
      </c>
      <c r="G265" s="53">
        <v>306.21542399999998</v>
      </c>
      <c r="H265" s="53">
        <v>89.913703999999996</v>
      </c>
      <c r="I265" s="122">
        <f t="shared" si="3"/>
        <v>1.5279367411606959E-3</v>
      </c>
      <c r="J265" s="122">
        <f t="shared" si="3"/>
        <v>0</v>
      </c>
      <c r="K265"/>
      <c r="L265"/>
      <c r="M265" s="27"/>
      <c r="N265" s="27"/>
      <c r="O265" s="27"/>
      <c r="Y265"/>
    </row>
    <row r="266" spans="1:25" s="15" customFormat="1" x14ac:dyDescent="0.3">
      <c r="A266" s="17"/>
      <c r="B266"/>
      <c r="C266"/>
      <c r="D266"/>
      <c r="E266"/>
      <c r="F266" s="121">
        <v>43823</v>
      </c>
      <c r="G266" s="53">
        <v>306.22500600000001</v>
      </c>
      <c r="H266" s="53">
        <v>89.923546000000002</v>
      </c>
      <c r="I266" s="122">
        <f t="shared" si="3"/>
        <v>3.1291696136248603E-5</v>
      </c>
      <c r="J266" s="122">
        <f t="shared" si="3"/>
        <v>1.0946051115867661E-4</v>
      </c>
      <c r="K266"/>
      <c r="L266"/>
      <c r="M266" s="27"/>
      <c r="N266" s="27"/>
      <c r="O266" s="27"/>
      <c r="Y266"/>
    </row>
    <row r="267" spans="1:25" s="15" customFormat="1" x14ac:dyDescent="0.3">
      <c r="A267" s="17"/>
      <c r="B267"/>
      <c r="C267"/>
      <c r="D267"/>
      <c r="E267"/>
      <c r="F267" s="121">
        <v>43825</v>
      </c>
      <c r="G267" s="53">
        <v>307.85504200000003</v>
      </c>
      <c r="H267" s="53">
        <v>89.93338</v>
      </c>
      <c r="I267" s="122">
        <f t="shared" si="3"/>
        <v>5.3230009570153225E-3</v>
      </c>
      <c r="J267" s="122">
        <f t="shared" si="3"/>
        <v>1.0935956640323319E-4</v>
      </c>
      <c r="K267"/>
      <c r="L267"/>
      <c r="M267" s="27"/>
      <c r="N267" s="27"/>
      <c r="O267" s="27"/>
      <c r="Y267"/>
    </row>
    <row r="268" spans="1:25" s="15" customFormat="1" x14ac:dyDescent="0.3">
      <c r="A268" s="17"/>
      <c r="B268"/>
      <c r="C268"/>
      <c r="D268"/>
      <c r="E268"/>
      <c r="F268" s="121">
        <v>43826</v>
      </c>
      <c r="G268" s="53">
        <v>307.77877799999999</v>
      </c>
      <c r="H268" s="53">
        <v>89.923546000000002</v>
      </c>
      <c r="I268" s="122">
        <f t="shared" si="3"/>
        <v>-2.477269805444271E-4</v>
      </c>
      <c r="J268" s="122">
        <f t="shared" si="3"/>
        <v>-1.0934760819614198E-4</v>
      </c>
      <c r="K268"/>
      <c r="L268"/>
      <c r="M268" s="27"/>
      <c r="N268" s="27"/>
      <c r="O268" s="27"/>
      <c r="Y268"/>
    </row>
    <row r="269" spans="1:25" s="15" customFormat="1" x14ac:dyDescent="0.3">
      <c r="A269" s="17"/>
      <c r="B269"/>
      <c r="C269"/>
      <c r="D269"/>
      <c r="E269"/>
      <c r="F269" s="121">
        <v>43829</v>
      </c>
      <c r="G269" s="53">
        <v>306.08193999999997</v>
      </c>
      <c r="H269" s="53">
        <v>89.93338</v>
      </c>
      <c r="I269" s="122">
        <f t="shared" si="3"/>
        <v>-5.5131741409409907E-3</v>
      </c>
      <c r="J269" s="122">
        <f t="shared" si="3"/>
        <v>1.0935956640323319E-4</v>
      </c>
      <c r="K269"/>
      <c r="L269"/>
      <c r="M269" s="27"/>
      <c r="N269" s="27"/>
      <c r="O269" s="27"/>
      <c r="Y269"/>
    </row>
    <row r="270" spans="1:25" s="15" customFormat="1" x14ac:dyDescent="0.3">
      <c r="A270" s="17"/>
      <c r="B270"/>
      <c r="C270"/>
      <c r="D270"/>
      <c r="E270"/>
      <c r="F270" s="121">
        <v>43830</v>
      </c>
      <c r="G270" s="53">
        <v>306.82549999999998</v>
      </c>
      <c r="H270" s="53">
        <v>89.93338</v>
      </c>
      <c r="I270" s="122">
        <f t="shared" si="3"/>
        <v>2.429284132216436E-3</v>
      </c>
      <c r="J270" s="122">
        <f t="shared" si="3"/>
        <v>0</v>
      </c>
      <c r="K270"/>
      <c r="L270"/>
      <c r="M270" s="27"/>
      <c r="N270" s="27"/>
      <c r="O270" s="27"/>
      <c r="Y270"/>
    </row>
    <row r="271" spans="1:25" s="15" customFormat="1" x14ac:dyDescent="0.3">
      <c r="A271" s="17"/>
      <c r="B271"/>
      <c r="C271"/>
      <c r="D271"/>
      <c r="E271"/>
      <c r="F271" s="121">
        <v>43832</v>
      </c>
      <c r="G271" s="53">
        <v>309.69491599999998</v>
      </c>
      <c r="H271" s="53">
        <v>89.962897999999996</v>
      </c>
      <c r="I271" s="122">
        <f t="shared" si="3"/>
        <v>9.3519476053978146E-3</v>
      </c>
      <c r="J271" s="122">
        <f t="shared" si="3"/>
        <v>3.2822073405891494E-4</v>
      </c>
      <c r="K271"/>
      <c r="L271"/>
      <c r="M271" s="27"/>
      <c r="N271" s="27"/>
      <c r="O271" s="27"/>
      <c r="Y271"/>
    </row>
    <row r="272" spans="1:25" s="15" customFormat="1" x14ac:dyDescent="0.3">
      <c r="A272" s="17"/>
      <c r="B272"/>
      <c r="C272"/>
      <c r="D272"/>
      <c r="E272"/>
      <c r="F272" s="121">
        <v>43833</v>
      </c>
      <c r="G272" s="53">
        <v>307.34979199999998</v>
      </c>
      <c r="H272" s="53">
        <v>89.962897999999996</v>
      </c>
      <c r="I272" s="122">
        <f t="shared" si="3"/>
        <v>-7.5723684143397252E-3</v>
      </c>
      <c r="J272" s="122">
        <f t="shared" si="3"/>
        <v>0</v>
      </c>
      <c r="K272"/>
      <c r="L272"/>
      <c r="M272" s="27"/>
      <c r="N272" s="27"/>
      <c r="O272" s="27"/>
      <c r="Y272"/>
    </row>
    <row r="273" spans="1:25" s="15" customFormat="1" x14ac:dyDescent="0.3">
      <c r="A273" s="17"/>
      <c r="B273"/>
      <c r="C273"/>
      <c r="D273"/>
      <c r="E273"/>
      <c r="F273" s="121">
        <v>43836</v>
      </c>
      <c r="G273" s="53">
        <v>308.52236900000003</v>
      </c>
      <c r="H273" s="53">
        <v>89.953040999999999</v>
      </c>
      <c r="I273" s="122">
        <f t="shared" si="3"/>
        <v>3.8151221524171941E-3</v>
      </c>
      <c r="J273" s="122">
        <f t="shared" si="3"/>
        <v>-1.095673907702821E-4</v>
      </c>
      <c r="K273"/>
      <c r="L273"/>
      <c r="M273" s="27"/>
      <c r="N273" s="27"/>
      <c r="O273" s="27"/>
      <c r="Y273"/>
    </row>
    <row r="274" spans="1:25" s="15" customFormat="1" x14ac:dyDescent="0.3">
      <c r="A274" s="17"/>
      <c r="B274"/>
      <c r="C274"/>
      <c r="D274"/>
      <c r="E274"/>
      <c r="F274" s="121">
        <v>43837</v>
      </c>
      <c r="G274" s="53">
        <v>307.65490699999998</v>
      </c>
      <c r="H274" s="53">
        <v>89.953040999999999</v>
      </c>
      <c r="I274" s="122">
        <f t="shared" si="3"/>
        <v>-2.8116664694741722E-3</v>
      </c>
      <c r="J274" s="122">
        <f t="shared" si="3"/>
        <v>0</v>
      </c>
      <c r="K274"/>
      <c r="L274"/>
      <c r="M274" s="27"/>
      <c r="N274" s="27"/>
      <c r="O274" s="27"/>
      <c r="Y274"/>
    </row>
    <row r="275" spans="1:25" s="15" customFormat="1" x14ac:dyDescent="0.3">
      <c r="A275" s="17"/>
      <c r="B275"/>
      <c r="C275"/>
      <c r="D275"/>
      <c r="E275"/>
      <c r="F275" s="121">
        <v>43838</v>
      </c>
      <c r="G275" s="53">
        <v>309.29452500000002</v>
      </c>
      <c r="H275" s="53">
        <v>89.972740000000002</v>
      </c>
      <c r="I275" s="122">
        <f t="shared" si="3"/>
        <v>5.3294063013271664E-3</v>
      </c>
      <c r="J275" s="122">
        <f t="shared" si="3"/>
        <v>2.1899204052489019E-4</v>
      </c>
      <c r="K275"/>
      <c r="L275"/>
      <c r="M275" s="27"/>
      <c r="N275" s="27"/>
      <c r="O275" s="27"/>
      <c r="Y275"/>
    </row>
    <row r="276" spans="1:25" s="15" customFormat="1" x14ac:dyDescent="0.3">
      <c r="A276" s="17"/>
      <c r="B276"/>
      <c r="C276"/>
      <c r="D276"/>
      <c r="E276"/>
      <c r="F276" s="121">
        <v>43839</v>
      </c>
      <c r="G276" s="53">
        <v>311.39172400000001</v>
      </c>
      <c r="H276" s="53">
        <v>89.982567000000003</v>
      </c>
      <c r="I276" s="122">
        <f t="shared" ref="I276:J341" si="4">G276/G275-1</f>
        <v>6.7805888254892643E-3</v>
      </c>
      <c r="J276" s="122">
        <f t="shared" si="4"/>
        <v>1.092219710103759E-4</v>
      </c>
      <c r="K276"/>
      <c r="L276"/>
      <c r="M276" s="27"/>
      <c r="N276" s="27"/>
      <c r="O276" s="27"/>
      <c r="Y276"/>
    </row>
    <row r="277" spans="1:25" s="15" customFormat="1" x14ac:dyDescent="0.3">
      <c r="A277" s="17"/>
      <c r="B277"/>
      <c r="C277"/>
      <c r="D277"/>
      <c r="E277"/>
      <c r="F277" s="121">
        <v>43840</v>
      </c>
      <c r="G277" s="53">
        <v>310.49566700000003</v>
      </c>
      <c r="H277" s="53">
        <v>89.982567000000003</v>
      </c>
      <c r="I277" s="122">
        <f t="shared" si="4"/>
        <v>-2.8775877164930463E-3</v>
      </c>
      <c r="J277" s="122">
        <f t="shared" si="4"/>
        <v>0</v>
      </c>
      <c r="K277"/>
      <c r="L277"/>
      <c r="M277" s="27"/>
      <c r="N277" s="27"/>
      <c r="O277" s="27"/>
      <c r="Y277"/>
    </row>
    <row r="278" spans="1:25" s="15" customFormat="1" x14ac:dyDescent="0.3">
      <c r="A278" s="17"/>
      <c r="B278"/>
      <c r="C278"/>
      <c r="D278"/>
      <c r="E278"/>
      <c r="F278" s="121">
        <v>43843</v>
      </c>
      <c r="G278" s="53">
        <v>312.63104199999998</v>
      </c>
      <c r="H278" s="53">
        <v>89.982567000000003</v>
      </c>
      <c r="I278" s="122">
        <f t="shared" si="4"/>
        <v>6.8773101429462358E-3</v>
      </c>
      <c r="J278" s="122">
        <f t="shared" si="4"/>
        <v>0</v>
      </c>
      <c r="K278"/>
      <c r="L278"/>
      <c r="M278" s="27"/>
      <c r="N278" s="27"/>
      <c r="O278" s="27"/>
      <c r="Y278"/>
    </row>
    <row r="279" spans="1:25" s="15" customFormat="1" x14ac:dyDescent="0.3">
      <c r="A279" s="17"/>
      <c r="B279"/>
      <c r="C279"/>
      <c r="D279"/>
      <c r="E279"/>
      <c r="F279" s="121">
        <v>43844</v>
      </c>
      <c r="G279" s="53">
        <v>312.15441900000002</v>
      </c>
      <c r="H279" s="53">
        <v>89.982567000000003</v>
      </c>
      <c r="I279" s="122">
        <f t="shared" si="4"/>
        <v>-1.5245543019364316E-3</v>
      </c>
      <c r="J279" s="122">
        <f t="shared" si="4"/>
        <v>0</v>
      </c>
      <c r="K279"/>
      <c r="L279"/>
      <c r="M279" s="27"/>
      <c r="N279" s="27"/>
      <c r="O279" s="27"/>
      <c r="Y279"/>
    </row>
    <row r="280" spans="1:25" s="15" customFormat="1" x14ac:dyDescent="0.3">
      <c r="A280" s="17"/>
      <c r="B280"/>
      <c r="C280"/>
      <c r="D280"/>
      <c r="E280"/>
      <c r="F280" s="121">
        <v>43845</v>
      </c>
      <c r="G280" s="53">
        <v>312.85983299999998</v>
      </c>
      <c r="H280" s="53">
        <v>89.992401000000001</v>
      </c>
      <c r="I280" s="122">
        <f t="shared" si="4"/>
        <v>2.2598238469915266E-3</v>
      </c>
      <c r="J280" s="122">
        <f t="shared" si="4"/>
        <v>1.0928783572050627E-4</v>
      </c>
      <c r="K280"/>
      <c r="L280"/>
      <c r="M280" s="27"/>
      <c r="N280" s="27"/>
      <c r="O280" s="27"/>
      <c r="Y280"/>
    </row>
    <row r="281" spans="1:25" s="15" customFormat="1" x14ac:dyDescent="0.3">
      <c r="A281" s="17"/>
      <c r="B281"/>
      <c r="C281"/>
      <c r="D281"/>
      <c r="E281"/>
      <c r="F281" s="121">
        <v>43846</v>
      </c>
      <c r="G281" s="53">
        <v>315.462311</v>
      </c>
      <c r="H281" s="53">
        <v>90.012084999999999</v>
      </c>
      <c r="I281" s="122">
        <f t="shared" si="4"/>
        <v>8.3183513046241053E-3</v>
      </c>
      <c r="J281" s="122">
        <f t="shared" si="4"/>
        <v>2.1872957917845604E-4</v>
      </c>
      <c r="K281"/>
      <c r="L281"/>
      <c r="M281" s="27"/>
      <c r="N281" s="27"/>
      <c r="O281" s="27"/>
      <c r="Y281"/>
    </row>
    <row r="282" spans="1:25" s="15" customFormat="1" x14ac:dyDescent="0.3">
      <c r="A282" s="17"/>
      <c r="B282"/>
      <c r="C282"/>
      <c r="D282"/>
      <c r="E282"/>
      <c r="F282" s="121">
        <v>43847</v>
      </c>
      <c r="G282" s="53">
        <v>316.44421399999999</v>
      </c>
      <c r="H282" s="53">
        <v>90.002228000000002</v>
      </c>
      <c r="I282" s="122">
        <f t="shared" si="4"/>
        <v>3.1125841844226176E-3</v>
      </c>
      <c r="J282" s="122">
        <f t="shared" si="4"/>
        <v>-1.0950751779603696E-4</v>
      </c>
      <c r="K282"/>
      <c r="L282"/>
      <c r="M282" s="27"/>
      <c r="N282" s="27"/>
      <c r="O282" s="27"/>
      <c r="Y282"/>
    </row>
    <row r="283" spans="1:25" s="15" customFormat="1" x14ac:dyDescent="0.3">
      <c r="A283" s="17"/>
      <c r="B283"/>
      <c r="C283"/>
      <c r="D283"/>
      <c r="E283"/>
      <c r="F283" s="121">
        <v>43851</v>
      </c>
      <c r="G283" s="53">
        <v>315.824524</v>
      </c>
      <c r="H283" s="53">
        <v>90.012084999999999</v>
      </c>
      <c r="I283" s="122">
        <f t="shared" si="4"/>
        <v>-1.9582914541771412E-3</v>
      </c>
      <c r="J283" s="122">
        <f t="shared" si="4"/>
        <v>1.0951951100590662E-4</v>
      </c>
      <c r="K283"/>
      <c r="L283"/>
      <c r="M283" s="27"/>
      <c r="N283" s="27"/>
      <c r="O283" s="27"/>
      <c r="Y283"/>
    </row>
    <row r="284" spans="1:25" s="15" customFormat="1" x14ac:dyDescent="0.3">
      <c r="A284" s="17"/>
      <c r="B284"/>
      <c r="C284"/>
      <c r="D284"/>
      <c r="E284"/>
      <c r="F284" s="121">
        <v>43852</v>
      </c>
      <c r="G284" s="53">
        <v>315.86270100000002</v>
      </c>
      <c r="H284" s="53">
        <v>90.012084999999999</v>
      </c>
      <c r="I284" s="122">
        <f t="shared" si="4"/>
        <v>1.2088041649360726E-4</v>
      </c>
      <c r="J284" s="122">
        <f t="shared" si="4"/>
        <v>0</v>
      </c>
      <c r="K284"/>
      <c r="L284"/>
      <c r="M284" s="27"/>
      <c r="N284" s="27"/>
      <c r="O284" s="27"/>
      <c r="Y284"/>
    </row>
    <row r="285" spans="1:25" s="15" customFormat="1" x14ac:dyDescent="0.3">
      <c r="A285" s="17"/>
      <c r="B285"/>
      <c r="C285"/>
      <c r="D285"/>
      <c r="E285"/>
      <c r="F285" s="121">
        <v>43853</v>
      </c>
      <c r="G285" s="53">
        <v>316.22494499999999</v>
      </c>
      <c r="H285" s="53">
        <v>90.021904000000006</v>
      </c>
      <c r="I285" s="122">
        <f t="shared" si="4"/>
        <v>1.1468400632714815E-3</v>
      </c>
      <c r="J285" s="122">
        <f t="shared" si="4"/>
        <v>1.0908535226139549E-4</v>
      </c>
      <c r="K285"/>
      <c r="L285"/>
      <c r="M285" s="27"/>
      <c r="N285" s="27"/>
      <c r="O285" s="27"/>
      <c r="Y285"/>
    </row>
    <row r="286" spans="1:25" s="15" customFormat="1" x14ac:dyDescent="0.3">
      <c r="A286" s="17"/>
      <c r="B286"/>
      <c r="C286"/>
      <c r="D286"/>
      <c r="E286"/>
      <c r="F286" s="121">
        <v>43854</v>
      </c>
      <c r="G286" s="53">
        <v>313.41275000000002</v>
      </c>
      <c r="H286" s="53">
        <v>90.021904000000006</v>
      </c>
      <c r="I286" s="122">
        <f t="shared" si="4"/>
        <v>-8.893020757739345E-3</v>
      </c>
      <c r="J286" s="122">
        <f t="shared" si="4"/>
        <v>0</v>
      </c>
      <c r="K286"/>
      <c r="L286"/>
      <c r="M286" s="27"/>
      <c r="N286" s="27"/>
      <c r="O286" s="27"/>
      <c r="Y286"/>
    </row>
    <row r="287" spans="1:25" s="15" customFormat="1" x14ac:dyDescent="0.3">
      <c r="A287" s="17"/>
      <c r="B287"/>
      <c r="C287"/>
      <c r="D287"/>
      <c r="E287"/>
      <c r="F287" s="121">
        <v>43857</v>
      </c>
      <c r="G287" s="53">
        <v>308.38891599999999</v>
      </c>
      <c r="H287" s="53">
        <v>90.031745999999998</v>
      </c>
      <c r="I287" s="122">
        <f t="shared" si="4"/>
        <v>-1.6029449982491228E-2</v>
      </c>
      <c r="J287" s="122">
        <f t="shared" si="4"/>
        <v>1.0932894731929821E-4</v>
      </c>
      <c r="K287"/>
      <c r="L287"/>
      <c r="M287" s="27"/>
      <c r="N287" s="27"/>
      <c r="O287" s="27"/>
      <c r="Y287"/>
    </row>
    <row r="288" spans="1:25" s="15" customFormat="1" x14ac:dyDescent="0.3">
      <c r="A288" s="17"/>
      <c r="B288"/>
      <c r="C288"/>
      <c r="D288"/>
      <c r="E288"/>
      <c r="F288" s="121">
        <v>43858</v>
      </c>
      <c r="G288" s="53">
        <v>311.62057499999997</v>
      </c>
      <c r="H288" s="53">
        <v>90.031745999999998</v>
      </c>
      <c r="I288" s="122">
        <f t="shared" si="4"/>
        <v>1.0479167156578262E-2</v>
      </c>
      <c r="J288" s="122">
        <f t="shared" si="4"/>
        <v>0</v>
      </c>
      <c r="K288"/>
      <c r="L288"/>
      <c r="M288" s="27"/>
      <c r="N288" s="27"/>
      <c r="O288" s="27"/>
      <c r="Y288"/>
    </row>
    <row r="289" spans="1:25" s="15" customFormat="1" x14ac:dyDescent="0.3">
      <c r="A289" s="17"/>
      <c r="B289"/>
      <c r="C289"/>
      <c r="D289"/>
      <c r="E289"/>
      <c r="F289" s="121">
        <v>43859</v>
      </c>
      <c r="G289" s="53">
        <v>311.363159</v>
      </c>
      <c r="H289" s="53">
        <v>90.041579999999996</v>
      </c>
      <c r="I289" s="122">
        <f t="shared" si="4"/>
        <v>-8.2605585334016851E-4</v>
      </c>
      <c r="J289" s="122">
        <f t="shared" si="4"/>
        <v>1.0922813826130806E-4</v>
      </c>
      <c r="K289"/>
      <c r="L289"/>
      <c r="M289" s="27"/>
      <c r="N289" s="27"/>
      <c r="O289" s="27"/>
      <c r="Y289"/>
    </row>
    <row r="290" spans="1:25" s="15" customFormat="1" x14ac:dyDescent="0.3">
      <c r="A290" s="17"/>
      <c r="B290"/>
      <c r="C290"/>
      <c r="D290"/>
      <c r="E290"/>
      <c r="F290" s="121">
        <v>43860</v>
      </c>
      <c r="G290" s="53">
        <v>312.373627</v>
      </c>
      <c r="H290" s="53">
        <v>90.041579999999996</v>
      </c>
      <c r="I290" s="122">
        <f t="shared" si="4"/>
        <v>3.2453036616320041E-3</v>
      </c>
      <c r="J290" s="122">
        <f t="shared" si="4"/>
        <v>0</v>
      </c>
      <c r="K290"/>
      <c r="L290"/>
      <c r="M290" s="27"/>
      <c r="N290" s="27"/>
      <c r="O290" s="27"/>
      <c r="Y290"/>
    </row>
    <row r="291" spans="1:25" s="15" customFormat="1" x14ac:dyDescent="0.3">
      <c r="A291" s="17"/>
      <c r="B291"/>
      <c r="C291"/>
      <c r="D291"/>
      <c r="E291"/>
      <c r="F291" s="121">
        <v>43861</v>
      </c>
      <c r="G291" s="53">
        <v>306.70163000000002</v>
      </c>
      <c r="H291" s="53">
        <v>90.041579999999996</v>
      </c>
      <c r="I291" s="122">
        <f t="shared" si="4"/>
        <v>-1.8157733271125243E-2</v>
      </c>
      <c r="J291" s="122">
        <f t="shared" si="4"/>
        <v>0</v>
      </c>
      <c r="K291"/>
      <c r="L291"/>
      <c r="M291" s="27"/>
      <c r="N291" s="27"/>
      <c r="O291" s="27"/>
      <c r="Y291"/>
    </row>
    <row r="292" spans="1:25" s="15" customFormat="1" x14ac:dyDescent="0.3">
      <c r="A292" s="17"/>
      <c r="B292"/>
      <c r="C292"/>
      <c r="D292"/>
      <c r="E292"/>
      <c r="F292" s="121">
        <v>43864</v>
      </c>
      <c r="G292" s="53">
        <v>308.979919</v>
      </c>
      <c r="H292" s="53">
        <v>90.049476999999996</v>
      </c>
      <c r="I292" s="122">
        <f t="shared" si="4"/>
        <v>7.4283563475028291E-3</v>
      </c>
      <c r="J292" s="122">
        <f t="shared" si="4"/>
        <v>8.7703925230941948E-5</v>
      </c>
      <c r="K292"/>
      <c r="L292"/>
      <c r="M292" s="27"/>
      <c r="N292" s="27"/>
      <c r="O292" s="27"/>
      <c r="Y292"/>
    </row>
    <row r="293" spans="1:25" s="15" customFormat="1" x14ac:dyDescent="0.3">
      <c r="A293" s="17"/>
      <c r="B293"/>
      <c r="C293"/>
      <c r="D293"/>
      <c r="E293"/>
      <c r="F293" s="121">
        <v>43865</v>
      </c>
      <c r="G293" s="53">
        <v>313.68920900000001</v>
      </c>
      <c r="H293" s="53">
        <v>90.049476999999996</v>
      </c>
      <c r="I293" s="122">
        <f t="shared" si="4"/>
        <v>1.5241411206402766E-2</v>
      </c>
      <c r="J293" s="122">
        <f t="shared" si="4"/>
        <v>0</v>
      </c>
      <c r="K293"/>
      <c r="L293"/>
      <c r="M293" s="27"/>
      <c r="N293" s="27"/>
      <c r="O293" s="27"/>
      <c r="Y293"/>
    </row>
    <row r="294" spans="1:25" s="15" customFormat="1" x14ac:dyDescent="0.3">
      <c r="A294" s="17"/>
      <c r="B294"/>
      <c r="C294"/>
      <c r="D294"/>
      <c r="E294"/>
      <c r="F294" s="121">
        <v>43866</v>
      </c>
      <c r="G294" s="53">
        <v>317.31167599999998</v>
      </c>
      <c r="H294" s="53">
        <v>90.069159999999997</v>
      </c>
      <c r="I294" s="122">
        <f t="shared" si="4"/>
        <v>1.1547949040223271E-2</v>
      </c>
      <c r="J294" s="122">
        <f t="shared" si="4"/>
        <v>2.1857983694895111E-4</v>
      </c>
      <c r="K294"/>
      <c r="L294"/>
      <c r="M294" s="27"/>
      <c r="N294" s="27"/>
      <c r="O294" s="27"/>
      <c r="Y294"/>
    </row>
    <row r="295" spans="1:25" s="15" customFormat="1" x14ac:dyDescent="0.3">
      <c r="A295" s="17"/>
      <c r="B295"/>
      <c r="C295"/>
      <c r="D295"/>
      <c r="E295"/>
      <c r="F295" s="121">
        <v>43867</v>
      </c>
      <c r="G295" s="53">
        <v>318.37933299999997</v>
      </c>
      <c r="H295" s="53">
        <v>90.079018000000005</v>
      </c>
      <c r="I295" s="122">
        <f t="shared" si="4"/>
        <v>3.3646949694974282E-3</v>
      </c>
      <c r="J295" s="122">
        <f t="shared" si="4"/>
        <v>1.0944922768252319E-4</v>
      </c>
      <c r="K295"/>
      <c r="L295"/>
      <c r="M295" s="27"/>
      <c r="N295" s="27"/>
      <c r="O295" s="27"/>
      <c r="Y295"/>
    </row>
    <row r="296" spans="1:25" s="15" customFormat="1" x14ac:dyDescent="0.3">
      <c r="A296" s="17"/>
      <c r="B296"/>
      <c r="C296"/>
      <c r="D296"/>
      <c r="E296"/>
      <c r="F296" s="121">
        <v>43868</v>
      </c>
      <c r="G296" s="53">
        <v>316.68255599999998</v>
      </c>
      <c r="H296" s="53">
        <v>90.079018000000005</v>
      </c>
      <c r="I296" s="122">
        <f t="shared" si="4"/>
        <v>-5.3294194193188593E-3</v>
      </c>
      <c r="J296" s="122">
        <f t="shared" si="4"/>
        <v>0</v>
      </c>
      <c r="K296"/>
      <c r="L296"/>
      <c r="M296" s="27"/>
      <c r="N296" s="27"/>
      <c r="O296" s="27"/>
      <c r="Y296"/>
    </row>
    <row r="297" spans="1:25" s="15" customFormat="1" x14ac:dyDescent="0.3">
      <c r="A297" s="17"/>
      <c r="B297"/>
      <c r="C297"/>
      <c r="D297"/>
      <c r="E297"/>
      <c r="F297" s="121">
        <v>43871</v>
      </c>
      <c r="G297" s="53">
        <v>319.04669200000001</v>
      </c>
      <c r="H297" s="53">
        <v>90.069159999999997</v>
      </c>
      <c r="I297" s="122">
        <f t="shared" si="4"/>
        <v>7.4653180454942181E-3</v>
      </c>
      <c r="J297" s="122">
        <f t="shared" si="4"/>
        <v>-1.0943724986001158E-4</v>
      </c>
      <c r="K297"/>
      <c r="L297"/>
      <c r="M297" s="27"/>
      <c r="N297" s="27"/>
      <c r="O297" s="27"/>
      <c r="Y297"/>
    </row>
    <row r="298" spans="1:25" s="15" customFormat="1" x14ac:dyDescent="0.3">
      <c r="A298" s="17"/>
      <c r="B298"/>
      <c r="C298"/>
      <c r="D298"/>
      <c r="E298"/>
      <c r="F298" s="121">
        <v>43872</v>
      </c>
      <c r="G298" s="53">
        <v>319.59957900000001</v>
      </c>
      <c r="H298" s="53">
        <v>90.079018000000005</v>
      </c>
      <c r="I298" s="122">
        <f t="shared" si="4"/>
        <v>1.7329344383234524E-3</v>
      </c>
      <c r="J298" s="122">
        <f t="shared" si="4"/>
        <v>1.0944922768252319E-4</v>
      </c>
      <c r="K298"/>
      <c r="L298"/>
      <c r="M298" s="27"/>
      <c r="N298" s="27"/>
      <c r="O298" s="27"/>
      <c r="Y298"/>
    </row>
    <row r="299" spans="1:25" s="15" customFormat="1" x14ac:dyDescent="0.3">
      <c r="A299" s="17"/>
      <c r="B299"/>
      <c r="C299"/>
      <c r="D299"/>
      <c r="E299"/>
      <c r="F299" s="121">
        <v>43873</v>
      </c>
      <c r="G299" s="53">
        <v>321.65872200000001</v>
      </c>
      <c r="H299" s="53">
        <v>90.088866999999993</v>
      </c>
      <c r="I299" s="122">
        <f t="shared" si="4"/>
        <v>6.442883956364609E-3</v>
      </c>
      <c r="J299" s="122">
        <f t="shared" si="4"/>
        <v>1.0933733758045072E-4</v>
      </c>
      <c r="K299"/>
      <c r="L299"/>
      <c r="M299" s="27"/>
      <c r="N299" s="27"/>
      <c r="O299" s="27"/>
      <c r="Y299"/>
    </row>
    <row r="300" spans="1:25" s="15" customFormat="1" x14ac:dyDescent="0.3">
      <c r="A300" s="17"/>
      <c r="B300"/>
      <c r="C300"/>
      <c r="D300"/>
      <c r="E300"/>
      <c r="F300" s="121">
        <v>43874</v>
      </c>
      <c r="G300" s="53">
        <v>321.31549100000001</v>
      </c>
      <c r="H300" s="53">
        <v>90.098708999999999</v>
      </c>
      <c r="I300" s="122">
        <f t="shared" si="4"/>
        <v>-1.067065733103334E-3</v>
      </c>
      <c r="J300" s="122">
        <f t="shared" si="4"/>
        <v>1.0924768317943645E-4</v>
      </c>
      <c r="K300"/>
      <c r="L300"/>
      <c r="M300" s="27"/>
      <c r="N300" s="27"/>
      <c r="O300" s="27"/>
      <c r="Y300"/>
    </row>
    <row r="301" spans="1:25" s="15" customFormat="1" x14ac:dyDescent="0.3">
      <c r="A301" s="17"/>
      <c r="B301"/>
      <c r="C301"/>
      <c r="D301"/>
      <c r="E301"/>
      <c r="F301" s="121">
        <v>43875</v>
      </c>
      <c r="G301" s="53">
        <v>321.83023100000003</v>
      </c>
      <c r="H301" s="53">
        <v>90.098708999999999</v>
      </c>
      <c r="I301" s="122">
        <f t="shared" si="4"/>
        <v>1.6019769180690702E-3</v>
      </c>
      <c r="J301" s="122">
        <f t="shared" si="4"/>
        <v>0</v>
      </c>
      <c r="K301"/>
      <c r="L301"/>
      <c r="M301" s="27"/>
      <c r="N301" s="27"/>
      <c r="O301" s="27"/>
      <c r="Y301"/>
    </row>
    <row r="302" spans="1:25" s="15" customFormat="1" x14ac:dyDescent="0.3">
      <c r="A302" s="17"/>
      <c r="B302"/>
      <c r="C302"/>
      <c r="D302"/>
      <c r="E302"/>
      <c r="F302" s="121">
        <v>43879</v>
      </c>
      <c r="G302" s="53">
        <v>321.00088499999998</v>
      </c>
      <c r="H302" s="53">
        <v>90.108542999999997</v>
      </c>
      <c r="I302" s="122">
        <f t="shared" si="4"/>
        <v>-2.5769673576750973E-3</v>
      </c>
      <c r="J302" s="122">
        <f t="shared" si="4"/>
        <v>1.0914695792152429E-4</v>
      </c>
      <c r="K302"/>
      <c r="L302"/>
      <c r="M302" s="27"/>
      <c r="N302" s="27"/>
      <c r="O302" s="27"/>
      <c r="Y302"/>
    </row>
    <row r="303" spans="1:25" s="15" customFormat="1" x14ac:dyDescent="0.3">
      <c r="A303" s="17"/>
      <c r="B303"/>
      <c r="C303"/>
      <c r="D303"/>
      <c r="E303"/>
      <c r="F303" s="121">
        <v>43880</v>
      </c>
      <c r="G303" s="53">
        <v>322.535706</v>
      </c>
      <c r="H303" s="53">
        <v>90.108542999999997</v>
      </c>
      <c r="I303" s="122">
        <f t="shared" si="4"/>
        <v>4.7813606495197281E-3</v>
      </c>
      <c r="J303" s="122">
        <f t="shared" si="4"/>
        <v>0</v>
      </c>
      <c r="K303"/>
      <c r="L303"/>
      <c r="M303" s="27"/>
      <c r="N303" s="27"/>
      <c r="O303" s="27"/>
      <c r="Y303"/>
    </row>
    <row r="304" spans="1:25" s="15" customFormat="1" x14ac:dyDescent="0.3">
      <c r="A304" s="17"/>
      <c r="B304"/>
      <c r="C304"/>
      <c r="D304"/>
      <c r="E304"/>
      <c r="F304" s="121">
        <v>43881</v>
      </c>
      <c r="G304" s="53">
        <v>321.21066300000001</v>
      </c>
      <c r="H304" s="53">
        <v>90.108542999999997</v>
      </c>
      <c r="I304" s="122">
        <f t="shared" si="4"/>
        <v>-4.1082056198763484E-3</v>
      </c>
      <c r="J304" s="122">
        <f t="shared" si="4"/>
        <v>0</v>
      </c>
      <c r="K304"/>
      <c r="L304"/>
      <c r="M304" s="27"/>
      <c r="N304" s="27"/>
      <c r="O304" s="27"/>
      <c r="Y304"/>
    </row>
    <row r="305" spans="1:25" s="15" customFormat="1" x14ac:dyDescent="0.3">
      <c r="A305" s="17"/>
      <c r="B305"/>
      <c r="C305"/>
      <c r="D305"/>
      <c r="E305"/>
      <c r="F305" s="121">
        <v>43882</v>
      </c>
      <c r="G305" s="53">
        <v>317.90267899999998</v>
      </c>
      <c r="H305" s="53">
        <v>90.128249999999994</v>
      </c>
      <c r="I305" s="122">
        <f t="shared" si="4"/>
        <v>-1.0298487506935738E-2</v>
      </c>
      <c r="J305" s="122">
        <f t="shared" si="4"/>
        <v>2.1870290367465017E-4</v>
      </c>
      <c r="K305"/>
      <c r="L305"/>
      <c r="M305" s="27"/>
      <c r="N305" s="27"/>
      <c r="O305" s="27"/>
      <c r="Y305"/>
    </row>
    <row r="306" spans="1:25" s="15" customFormat="1" x14ac:dyDescent="0.3">
      <c r="A306" s="17"/>
      <c r="B306"/>
      <c r="C306"/>
      <c r="D306"/>
      <c r="E306"/>
      <c r="F306" s="121">
        <v>43885</v>
      </c>
      <c r="G306" s="53">
        <v>307.35934400000002</v>
      </c>
      <c r="H306" s="53">
        <v>90.118401000000006</v>
      </c>
      <c r="I306" s="122">
        <f t="shared" si="4"/>
        <v>-3.316529144442959E-2</v>
      </c>
      <c r="J306" s="122">
        <f t="shared" si="4"/>
        <v>-1.092776127350481E-4</v>
      </c>
      <c r="K306"/>
      <c r="L306"/>
      <c r="M306" s="27"/>
      <c r="N306" s="27"/>
      <c r="O306" s="27"/>
      <c r="Y306"/>
    </row>
    <row r="307" spans="1:25" s="15" customFormat="1" x14ac:dyDescent="0.3">
      <c r="A307" s="17"/>
      <c r="B307"/>
      <c r="C307"/>
      <c r="D307"/>
      <c r="E307"/>
      <c r="F307" s="121">
        <v>43886</v>
      </c>
      <c r="G307" s="53">
        <v>298.04568499999999</v>
      </c>
      <c r="H307" s="53">
        <v>90.118401000000006</v>
      </c>
      <c r="I307" s="122">
        <f t="shared" si="4"/>
        <v>-3.0302182711582137E-2</v>
      </c>
      <c r="J307" s="122">
        <f t="shared" si="4"/>
        <v>0</v>
      </c>
      <c r="K307"/>
      <c r="L307"/>
      <c r="M307" s="27"/>
      <c r="N307" s="27"/>
      <c r="O307" s="27"/>
      <c r="Y307"/>
    </row>
    <row r="308" spans="1:25" x14ac:dyDescent="0.3">
      <c r="F308" s="121">
        <v>43887</v>
      </c>
      <c r="G308" s="53">
        <v>296.94946299999998</v>
      </c>
      <c r="H308" s="53">
        <v>90.138084000000006</v>
      </c>
      <c r="I308" s="122">
        <f t="shared" si="4"/>
        <v>-3.67803345316009E-3</v>
      </c>
      <c r="J308" s="122">
        <f t="shared" si="4"/>
        <v>2.1841266358024747E-4</v>
      </c>
    </row>
    <row r="309" spans="1:25" x14ac:dyDescent="0.3">
      <c r="F309" s="121">
        <v>43888</v>
      </c>
      <c r="G309" s="53">
        <v>283.61294600000002</v>
      </c>
      <c r="H309" s="53">
        <v>90.157791000000003</v>
      </c>
      <c r="I309" s="122">
        <f t="shared" si="4"/>
        <v>-4.49117397460993E-2</v>
      </c>
      <c r="J309" s="122">
        <f t="shared" si="4"/>
        <v>2.1863122806120572E-4</v>
      </c>
    </row>
    <row r="310" spans="1:25" x14ac:dyDescent="0.3">
      <c r="F310" s="121">
        <v>43889</v>
      </c>
      <c r="G310" s="53">
        <v>282.421356</v>
      </c>
      <c r="H310" s="53">
        <v>90.147942</v>
      </c>
      <c r="I310" s="122">
        <f t="shared" si="4"/>
        <v>-4.2014654718900424E-3</v>
      </c>
      <c r="J310" s="122">
        <f t="shared" si="4"/>
        <v>-1.0924180695603969E-4</v>
      </c>
    </row>
    <row r="311" spans="1:25" x14ac:dyDescent="0.3">
      <c r="F311" s="121">
        <v>43892</v>
      </c>
      <c r="G311" s="53">
        <v>294.652039</v>
      </c>
      <c r="H311" s="53">
        <v>90.174567999999994</v>
      </c>
      <c r="I311" s="122">
        <f t="shared" si="4"/>
        <v>4.3306509016265649E-2</v>
      </c>
      <c r="J311" s="122">
        <f t="shared" si="4"/>
        <v>2.953589334295792E-4</v>
      </c>
    </row>
    <row r="312" spans="1:25" x14ac:dyDescent="0.3">
      <c r="F312" s="121">
        <v>43893</v>
      </c>
      <c r="G312" s="53">
        <v>286.21539300000001</v>
      </c>
      <c r="H312" s="53">
        <v>90.194282999999999</v>
      </c>
      <c r="I312" s="122">
        <f t="shared" si="4"/>
        <v>-2.863257294479471E-2</v>
      </c>
      <c r="J312" s="122">
        <f t="shared" si="4"/>
        <v>2.1863148820422396E-4</v>
      </c>
    </row>
    <row r="313" spans="1:25" x14ac:dyDescent="0.3">
      <c r="F313" s="121">
        <v>43894</v>
      </c>
      <c r="G313" s="53">
        <v>298.24594100000002</v>
      </c>
      <c r="H313" s="53">
        <v>90.233704000000003</v>
      </c>
      <c r="I313" s="122">
        <f t="shared" si="4"/>
        <v>4.2033197005585166E-2</v>
      </c>
      <c r="J313" s="122">
        <f t="shared" si="4"/>
        <v>4.370676132543494E-4</v>
      </c>
    </row>
    <row r="314" spans="1:25" x14ac:dyDescent="0.3">
      <c r="F314" s="121">
        <v>43895</v>
      </c>
      <c r="G314" s="53">
        <v>288.33175699999998</v>
      </c>
      <c r="H314" s="53">
        <v>90.253433000000001</v>
      </c>
      <c r="I314" s="122">
        <f t="shared" si="4"/>
        <v>-3.3241639322092342E-2</v>
      </c>
      <c r="J314" s="122">
        <f t="shared" si="4"/>
        <v>2.1864335747534547E-4</v>
      </c>
    </row>
    <row r="315" spans="1:25" x14ac:dyDescent="0.3">
      <c r="F315" s="121">
        <v>43896</v>
      </c>
      <c r="G315" s="53">
        <v>283.56527699999998</v>
      </c>
      <c r="H315" s="53">
        <v>90.253433000000001</v>
      </c>
      <c r="I315" s="122">
        <f t="shared" si="4"/>
        <v>-1.6531234885791668E-2</v>
      </c>
      <c r="J315" s="122">
        <f t="shared" si="4"/>
        <v>0</v>
      </c>
    </row>
    <row r="316" spans="1:25" x14ac:dyDescent="0.3">
      <c r="F316" s="121">
        <v>43899</v>
      </c>
      <c r="G316" s="53">
        <v>261.42044099999998</v>
      </c>
      <c r="H316" s="53">
        <v>90.292846999999995</v>
      </c>
      <c r="I316" s="122">
        <f t="shared" si="4"/>
        <v>-7.809431477042228E-2</v>
      </c>
      <c r="J316" s="122">
        <f t="shared" si="4"/>
        <v>4.3670360993353086E-4</v>
      </c>
    </row>
    <row r="317" spans="1:25" x14ac:dyDescent="0.3">
      <c r="F317" s="121">
        <v>43900</v>
      </c>
      <c r="G317" s="53">
        <v>274.94754</v>
      </c>
      <c r="H317" s="53">
        <v>90.273148000000006</v>
      </c>
      <c r="I317" s="122">
        <f t="shared" si="4"/>
        <v>5.1744610896743204E-2</v>
      </c>
      <c r="J317" s="122">
        <f t="shared" si="4"/>
        <v>-2.1816789097350853E-4</v>
      </c>
    </row>
    <row r="319" spans="1:25" x14ac:dyDescent="0.3">
      <c r="G319" s="1" t="s">
        <v>642</v>
      </c>
      <c r="H319" s="1" t="s">
        <v>643</v>
      </c>
      <c r="I319" s="13" t="s">
        <v>653</v>
      </c>
      <c r="J319" s="13" t="s">
        <v>654</v>
      </c>
    </row>
    <row r="320" spans="1:25" x14ac:dyDescent="0.3">
      <c r="F320" s="121">
        <v>43901</v>
      </c>
      <c r="G320" s="53">
        <v>261.54422</v>
      </c>
      <c r="H320" s="53">
        <v>90.292846999999995</v>
      </c>
      <c r="I320" s="122">
        <f>G320/G317-1</f>
        <v>-4.8748644923318873E-2</v>
      </c>
      <c r="J320" s="122">
        <f>H320/H317-1</f>
        <v>2.1821549858858091E-4</v>
      </c>
    </row>
    <row r="321" spans="6:10" x14ac:dyDescent="0.3">
      <c r="F321" s="121">
        <v>43902</v>
      </c>
      <c r="G321" s="53">
        <v>236.52046200000001</v>
      </c>
      <c r="H321" s="53">
        <v>90.302704000000006</v>
      </c>
      <c r="I321" s="122">
        <f t="shared" si="4"/>
        <v>-9.5676968124166484E-2</v>
      </c>
      <c r="J321" s="122">
        <f t="shared" si="4"/>
        <v>1.0916700854513017E-4</v>
      </c>
    </row>
    <row r="322" spans="6:10" x14ac:dyDescent="0.3">
      <c r="F322" s="121">
        <v>43903</v>
      </c>
      <c r="G322" s="53">
        <v>256.73971599999999</v>
      </c>
      <c r="H322" s="53">
        <v>90.322449000000006</v>
      </c>
      <c r="I322" s="122">
        <f t="shared" si="4"/>
        <v>8.5486278138590777E-2</v>
      </c>
      <c r="J322" s="122">
        <f t="shared" si="4"/>
        <v>2.1865347465110929E-4</v>
      </c>
    </row>
    <row r="323" spans="6:10" x14ac:dyDescent="0.3">
      <c r="F323" s="121">
        <v>43906</v>
      </c>
      <c r="G323" s="53">
        <v>228.64630099999999</v>
      </c>
      <c r="H323" s="53">
        <v>90.332283000000004</v>
      </c>
      <c r="I323" s="122">
        <f t="shared" si="4"/>
        <v>-0.10942372079277363</v>
      </c>
      <c r="J323" s="122">
        <f t="shared" si="4"/>
        <v>1.0887658725899918E-4</v>
      </c>
    </row>
    <row r="324" spans="6:10" x14ac:dyDescent="0.3">
      <c r="F324" s="121">
        <v>43907</v>
      </c>
      <c r="G324" s="53">
        <v>240.99142499999999</v>
      </c>
      <c r="H324" s="53">
        <v>90.332283000000004</v>
      </c>
      <c r="I324" s="122">
        <f t="shared" si="4"/>
        <v>5.3992231433475091E-2</v>
      </c>
      <c r="J324" s="122">
        <f t="shared" si="4"/>
        <v>0</v>
      </c>
    </row>
    <row r="325" spans="6:10" x14ac:dyDescent="0.3">
      <c r="F325" s="121">
        <v>43908</v>
      </c>
      <c r="G325" s="53">
        <v>228.789322</v>
      </c>
      <c r="H325" s="53">
        <v>90.352019999999996</v>
      </c>
      <c r="I325" s="122">
        <f t="shared" si="4"/>
        <v>-5.0632934346107938E-2</v>
      </c>
      <c r="J325" s="122">
        <f t="shared" si="4"/>
        <v>2.1849331539636196E-4</v>
      </c>
    </row>
    <row r="326" spans="6:10" x14ac:dyDescent="0.3">
      <c r="F326" s="121">
        <v>43909</v>
      </c>
      <c r="G326" s="53">
        <v>229.27546699999999</v>
      </c>
      <c r="H326" s="53">
        <v>90.332283000000004</v>
      </c>
      <c r="I326" s="122">
        <f t="shared" si="4"/>
        <v>2.1248587816524722E-3</v>
      </c>
      <c r="J326" s="122">
        <f t="shared" si="4"/>
        <v>-2.1844558649597445E-4</v>
      </c>
    </row>
    <row r="327" spans="6:10" x14ac:dyDescent="0.3">
      <c r="F327" s="121">
        <v>43910</v>
      </c>
      <c r="G327" s="53">
        <v>219.39503500000001</v>
      </c>
      <c r="H327" s="53">
        <v>90.361862000000002</v>
      </c>
      <c r="I327" s="122">
        <f t="shared" si="4"/>
        <v>-4.3094152764281524E-2</v>
      </c>
      <c r="J327" s="122">
        <f t="shared" si="4"/>
        <v>3.2744661174999301E-4</v>
      </c>
    </row>
    <row r="328" spans="6:10" x14ac:dyDescent="0.3">
      <c r="F328" s="121">
        <v>43913</v>
      </c>
      <c r="G328" s="53">
        <v>213.785492</v>
      </c>
      <c r="H328" s="53">
        <v>90.342147999999995</v>
      </c>
      <c r="I328" s="122">
        <f t="shared" si="4"/>
        <v>-2.5568231295662658E-2</v>
      </c>
      <c r="J328" s="122">
        <f t="shared" si="4"/>
        <v>-2.1816726175927226E-4</v>
      </c>
    </row>
    <row r="329" spans="6:10" x14ac:dyDescent="0.3">
      <c r="F329" s="121">
        <v>43914</v>
      </c>
      <c r="G329" s="53">
        <v>233.155136</v>
      </c>
      <c r="H329" s="53">
        <v>90.342147999999995</v>
      </c>
      <c r="I329" s="122">
        <f t="shared" si="4"/>
        <v>9.0603173390269021E-2</v>
      </c>
      <c r="J329" s="122">
        <f t="shared" si="4"/>
        <v>0</v>
      </c>
    </row>
    <row r="330" spans="6:10" x14ac:dyDescent="0.3">
      <c r="F330" s="121">
        <v>43915</v>
      </c>
      <c r="G330" s="53">
        <v>236.645554</v>
      </c>
      <c r="H330" s="53">
        <v>90.342147999999995</v>
      </c>
      <c r="I330" s="122">
        <f t="shared" si="4"/>
        <v>1.4970367197915779E-2</v>
      </c>
      <c r="J330" s="122">
        <f t="shared" si="4"/>
        <v>0</v>
      </c>
    </row>
    <row r="331" spans="6:10" x14ac:dyDescent="0.3">
      <c r="F331" s="121">
        <v>43916</v>
      </c>
      <c r="G331" s="53">
        <v>250.463211</v>
      </c>
      <c r="H331" s="53">
        <v>90.342147999999995</v>
      </c>
      <c r="I331" s="122">
        <f t="shared" si="4"/>
        <v>5.8389675049631329E-2</v>
      </c>
      <c r="J331" s="122">
        <f t="shared" si="4"/>
        <v>0</v>
      </c>
    </row>
    <row r="332" spans="6:10" x14ac:dyDescent="0.3">
      <c r="F332" s="121">
        <v>43917</v>
      </c>
      <c r="G332" s="53">
        <v>243.003006</v>
      </c>
      <c r="H332" s="53">
        <v>90.322449000000006</v>
      </c>
      <c r="I332" s="122">
        <f t="shared" si="4"/>
        <v>-2.9785631870702156E-2</v>
      </c>
      <c r="J332" s="122">
        <f t="shared" si="4"/>
        <v>-2.1804883364062722E-4</v>
      </c>
    </row>
    <row r="333" spans="6:10" x14ac:dyDescent="0.3">
      <c r="F333" s="121">
        <v>43920</v>
      </c>
      <c r="G333" s="53">
        <v>250.894699</v>
      </c>
      <c r="H333" s="53">
        <v>90.322449000000006</v>
      </c>
      <c r="I333" s="122">
        <f t="shared" si="4"/>
        <v>3.247570114420717E-2</v>
      </c>
      <c r="J333" s="122">
        <f t="shared" si="4"/>
        <v>0</v>
      </c>
    </row>
    <row r="334" spans="6:10" x14ac:dyDescent="0.3">
      <c r="F334" s="121">
        <v>43921</v>
      </c>
      <c r="G334" s="53">
        <v>247.15501399999999</v>
      </c>
      <c r="H334" s="53">
        <v>90.332283000000004</v>
      </c>
      <c r="I334" s="122">
        <f t="shared" si="4"/>
        <v>-1.4905396626175849E-2</v>
      </c>
      <c r="J334" s="122">
        <f t="shared" si="4"/>
        <v>1.0887658725899918E-4</v>
      </c>
    </row>
    <row r="335" spans="6:10" x14ac:dyDescent="0.3">
      <c r="F335" s="121">
        <v>43922</v>
      </c>
      <c r="G335" s="53">
        <v>236.03183000000001</v>
      </c>
      <c r="H335" s="53">
        <v>90.324402000000006</v>
      </c>
      <c r="I335" s="122">
        <f t="shared" si="4"/>
        <v>-4.5004889117887692E-2</v>
      </c>
      <c r="J335" s="122">
        <f t="shared" si="4"/>
        <v>-8.7244556854604305E-5</v>
      </c>
    </row>
    <row r="336" spans="6:10" x14ac:dyDescent="0.3">
      <c r="F336" s="121">
        <v>43923</v>
      </c>
      <c r="G336" s="53">
        <v>241.478363</v>
      </c>
      <c r="H336" s="53">
        <v>90.334266999999997</v>
      </c>
      <c r="I336" s="122">
        <f t="shared" si="4"/>
        <v>2.3075417412981913E-2</v>
      </c>
      <c r="J336" s="122">
        <f t="shared" si="4"/>
        <v>1.0921744048730808E-4</v>
      </c>
    </row>
    <row r="337" spans="6:10" x14ac:dyDescent="0.3">
      <c r="F337" s="121">
        <v>43924</v>
      </c>
      <c r="G337" s="53">
        <v>237.98799099999999</v>
      </c>
      <c r="H337" s="53">
        <v>90.304671999999997</v>
      </c>
      <c r="I337" s="122">
        <f t="shared" si="4"/>
        <v>-1.445418113920216E-2</v>
      </c>
      <c r="J337" s="122">
        <f t="shared" si="4"/>
        <v>-3.2761654002244622E-4</v>
      </c>
    </row>
    <row r="338" spans="6:10" x14ac:dyDescent="0.3">
      <c r="F338" s="121">
        <v>43927</v>
      </c>
      <c r="G338" s="53">
        <v>253.97271699999999</v>
      </c>
      <c r="H338" s="53">
        <v>90.314537000000001</v>
      </c>
      <c r="I338" s="122">
        <f t="shared" si="4"/>
        <v>6.7166103351828266E-2</v>
      </c>
      <c r="J338" s="122">
        <f t="shared" si="4"/>
        <v>1.0924130259848397E-4</v>
      </c>
    </row>
    <row r="339" spans="6:10" x14ac:dyDescent="0.3">
      <c r="F339" s="121">
        <v>43928</v>
      </c>
      <c r="G339" s="53">
        <v>254.23165900000001</v>
      </c>
      <c r="H339" s="53">
        <v>90.294807000000006</v>
      </c>
      <c r="I339" s="122">
        <f t="shared" si="4"/>
        <v>1.0195662079719447E-3</v>
      </c>
      <c r="J339" s="122">
        <f t="shared" si="4"/>
        <v>-2.1845874047932146E-4</v>
      </c>
    </row>
    <row r="340" spans="6:10" x14ac:dyDescent="0.3">
      <c r="F340" s="121">
        <v>43929</v>
      </c>
      <c r="G340" s="53">
        <v>262.76577800000001</v>
      </c>
      <c r="H340" s="53">
        <v>90.304671999999997</v>
      </c>
      <c r="I340" s="122">
        <f t="shared" si="4"/>
        <v>3.3568277977527483E-2</v>
      </c>
      <c r="J340" s="122">
        <f t="shared" si="4"/>
        <v>1.0925323756416638E-4</v>
      </c>
    </row>
    <row r="341" spans="6:10" x14ac:dyDescent="0.3">
      <c r="F341" s="121">
        <v>43930</v>
      </c>
      <c r="G341" s="53">
        <v>266.76443499999999</v>
      </c>
      <c r="H341" s="53">
        <v>90.284935000000004</v>
      </c>
      <c r="I341" s="122">
        <f t="shared" si="4"/>
        <v>1.521757144493896E-2</v>
      </c>
      <c r="J341" s="122">
        <f t="shared" si="4"/>
        <v>-2.185601205659804E-4</v>
      </c>
    </row>
    <row r="342" spans="6:10" x14ac:dyDescent="0.3">
      <c r="F342" s="121">
        <v>43934</v>
      </c>
      <c r="G342" s="53">
        <v>264.32876599999997</v>
      </c>
      <c r="H342" s="53">
        <v>90.304671999999997</v>
      </c>
      <c r="I342" s="122">
        <f t="shared" ref="I342:J405" si="5">G342/G341-1</f>
        <v>-9.1304112559082995E-3</v>
      </c>
      <c r="J342" s="122">
        <f t="shared" si="5"/>
        <v>2.1860789953476178E-4</v>
      </c>
    </row>
    <row r="343" spans="6:10" x14ac:dyDescent="0.3">
      <c r="F343" s="121">
        <v>43935</v>
      </c>
      <c r="G343" s="53">
        <v>272.124664</v>
      </c>
      <c r="H343" s="53">
        <v>90.314537000000001</v>
      </c>
      <c r="I343" s="122">
        <f t="shared" si="5"/>
        <v>2.949318803992762E-2</v>
      </c>
      <c r="J343" s="122">
        <f t="shared" si="5"/>
        <v>1.0924130259848397E-4</v>
      </c>
    </row>
    <row r="344" spans="6:10" x14ac:dyDescent="0.3">
      <c r="F344" s="121">
        <v>43936</v>
      </c>
      <c r="G344" s="53">
        <v>266.342468</v>
      </c>
      <c r="H344" s="53">
        <v>90.304671999999997</v>
      </c>
      <c r="I344" s="122">
        <f t="shared" si="5"/>
        <v>-2.1248334917558176E-2</v>
      </c>
      <c r="J344" s="122">
        <f t="shared" si="5"/>
        <v>-1.0922937023971624E-4</v>
      </c>
    </row>
    <row r="345" spans="6:10" x14ac:dyDescent="0.3">
      <c r="F345" s="121">
        <v>43937</v>
      </c>
      <c r="G345" s="53">
        <v>267.627411</v>
      </c>
      <c r="H345" s="53">
        <v>90.294807000000006</v>
      </c>
      <c r="I345" s="122">
        <f t="shared" si="5"/>
        <v>4.8244014919918143E-3</v>
      </c>
      <c r="J345" s="122">
        <f t="shared" si="5"/>
        <v>-1.0924130259826192E-4</v>
      </c>
    </row>
    <row r="346" spans="6:10" x14ac:dyDescent="0.3">
      <c r="F346" s="121">
        <v>43938</v>
      </c>
      <c r="G346" s="53">
        <v>274.85745200000002</v>
      </c>
      <c r="H346" s="53">
        <v>90.314537000000001</v>
      </c>
      <c r="I346" s="122">
        <f t="shared" si="5"/>
        <v>2.7015323180031192E-2</v>
      </c>
      <c r="J346" s="122">
        <f t="shared" si="5"/>
        <v>2.1850647512877686E-4</v>
      </c>
    </row>
    <row r="347" spans="6:10" x14ac:dyDescent="0.3">
      <c r="F347" s="121">
        <v>43941</v>
      </c>
      <c r="G347" s="53">
        <v>270.01504499999999</v>
      </c>
      <c r="H347" s="53">
        <v>90.304671999999997</v>
      </c>
      <c r="I347" s="122">
        <f t="shared" si="5"/>
        <v>-1.7617885070112749E-2</v>
      </c>
      <c r="J347" s="122">
        <f t="shared" si="5"/>
        <v>-1.0922937023971624E-4</v>
      </c>
    </row>
    <row r="348" spans="6:10" x14ac:dyDescent="0.3">
      <c r="F348" s="121">
        <v>43942</v>
      </c>
      <c r="G348" s="53">
        <v>261.81652800000001</v>
      </c>
      <c r="H348" s="53">
        <v>90.304671999999997</v>
      </c>
      <c r="I348" s="122">
        <f t="shared" si="5"/>
        <v>-3.0363185873587106E-2</v>
      </c>
      <c r="J348" s="122">
        <f t="shared" si="5"/>
        <v>0</v>
      </c>
    </row>
    <row r="349" spans="6:10" x14ac:dyDescent="0.3">
      <c r="F349" s="121">
        <v>43943</v>
      </c>
      <c r="G349" s="53">
        <v>267.627411</v>
      </c>
      <c r="H349" s="53">
        <v>90.304671999999997</v>
      </c>
      <c r="I349" s="122">
        <f t="shared" si="5"/>
        <v>2.2194484986830076E-2</v>
      </c>
      <c r="J349" s="122">
        <f t="shared" si="5"/>
        <v>0</v>
      </c>
    </row>
    <row r="350" spans="6:10" x14ac:dyDescent="0.3">
      <c r="F350" s="121">
        <v>43944</v>
      </c>
      <c r="G350" s="53">
        <v>267.60824600000001</v>
      </c>
      <c r="H350" s="53">
        <v>90.314537000000001</v>
      </c>
      <c r="I350" s="122">
        <f t="shared" si="5"/>
        <v>-7.1610751411377294E-5</v>
      </c>
      <c r="J350" s="122">
        <f t="shared" si="5"/>
        <v>1.0924130259848397E-4</v>
      </c>
    </row>
    <row r="351" spans="6:10" x14ac:dyDescent="0.3">
      <c r="F351" s="121">
        <v>43945</v>
      </c>
      <c r="G351" s="53">
        <v>271.338348</v>
      </c>
      <c r="H351" s="53">
        <v>90.304671999999997</v>
      </c>
      <c r="I351" s="122">
        <f t="shared" si="5"/>
        <v>1.3938666150070667E-2</v>
      </c>
      <c r="J351" s="122">
        <f t="shared" si="5"/>
        <v>-1.0922937023971624E-4</v>
      </c>
    </row>
    <row r="352" spans="6:10" x14ac:dyDescent="0.3">
      <c r="F352" s="121">
        <v>43948</v>
      </c>
      <c r="G352" s="53">
        <v>275.25064099999997</v>
      </c>
      <c r="H352" s="53">
        <v>90.304671999999997</v>
      </c>
      <c r="I352" s="122">
        <f t="shared" si="5"/>
        <v>1.4418503793647286E-2</v>
      </c>
      <c r="J352" s="122">
        <f t="shared" si="5"/>
        <v>0</v>
      </c>
    </row>
    <row r="353" spans="6:10" x14ac:dyDescent="0.3">
      <c r="F353" s="121">
        <v>43949</v>
      </c>
      <c r="G353" s="53">
        <v>273.98492399999998</v>
      </c>
      <c r="H353" s="53">
        <v>90.304671999999997</v>
      </c>
      <c r="I353" s="122">
        <f t="shared" si="5"/>
        <v>-4.5984161758955144E-3</v>
      </c>
      <c r="J353" s="122">
        <f t="shared" si="5"/>
        <v>0</v>
      </c>
    </row>
    <row r="354" spans="6:10" x14ac:dyDescent="0.3">
      <c r="F354" s="121">
        <v>43950</v>
      </c>
      <c r="G354" s="53">
        <v>281.15741000000003</v>
      </c>
      <c r="H354" s="53">
        <v>90.294807000000006</v>
      </c>
      <c r="I354" s="122">
        <f t="shared" si="5"/>
        <v>2.6178396589441766E-2</v>
      </c>
      <c r="J354" s="122">
        <f t="shared" si="5"/>
        <v>-1.0924130259826192E-4</v>
      </c>
    </row>
    <row r="355" spans="6:10" x14ac:dyDescent="0.3">
      <c r="F355" s="121">
        <v>43951</v>
      </c>
      <c r="G355" s="53">
        <v>278.53964200000001</v>
      </c>
      <c r="H355" s="53">
        <v>90.314537000000001</v>
      </c>
      <c r="I355" s="122">
        <f t="shared" si="5"/>
        <v>-9.3106847157256034E-3</v>
      </c>
      <c r="J355" s="122">
        <f t="shared" si="5"/>
        <v>2.1850647512877686E-4</v>
      </c>
    </row>
    <row r="356" spans="6:10" x14ac:dyDescent="0.3">
      <c r="F356" s="121">
        <v>43952</v>
      </c>
      <c r="G356" s="53">
        <v>271.16574100000003</v>
      </c>
      <c r="H356" s="53">
        <v>90.298743999999999</v>
      </c>
      <c r="I356" s="122">
        <f t="shared" si="5"/>
        <v>-2.6473434614380675E-2</v>
      </c>
      <c r="J356" s="122">
        <f t="shared" si="5"/>
        <v>-1.7486664411514585E-4</v>
      </c>
    </row>
    <row r="357" spans="6:10" x14ac:dyDescent="0.3">
      <c r="F357" s="121">
        <v>43955</v>
      </c>
      <c r="G357" s="53">
        <v>271.91366599999998</v>
      </c>
      <c r="H357" s="53">
        <v>90.298743999999999</v>
      </c>
      <c r="I357" s="122">
        <f t="shared" si="5"/>
        <v>2.7581839698547217E-3</v>
      </c>
      <c r="J357" s="122">
        <f t="shared" si="5"/>
        <v>0</v>
      </c>
    </row>
    <row r="358" spans="6:10" x14ac:dyDescent="0.3">
      <c r="F358" s="121">
        <v>43956</v>
      </c>
      <c r="G358" s="53">
        <v>274.42596400000002</v>
      </c>
      <c r="H358" s="53">
        <v>90.298743999999999</v>
      </c>
      <c r="I358" s="122">
        <f t="shared" si="5"/>
        <v>9.2393223075446507E-3</v>
      </c>
      <c r="J358" s="122">
        <f t="shared" si="5"/>
        <v>0</v>
      </c>
    </row>
    <row r="359" spans="6:10" x14ac:dyDescent="0.3">
      <c r="F359" s="121">
        <v>43957</v>
      </c>
      <c r="G359" s="53">
        <v>272.56573500000002</v>
      </c>
      <c r="H359" s="53">
        <v>90.308616999999998</v>
      </c>
      <c r="I359" s="122">
        <f t="shared" si="5"/>
        <v>-6.7786188044510753E-3</v>
      </c>
      <c r="J359" s="122">
        <f t="shared" si="5"/>
        <v>1.0933706896287809E-4</v>
      </c>
    </row>
    <row r="360" spans="6:10" x14ac:dyDescent="0.3">
      <c r="F360" s="121">
        <v>43958</v>
      </c>
      <c r="G360" s="53">
        <v>275.85470600000002</v>
      </c>
      <c r="H360" s="53">
        <v>90.298743999999999</v>
      </c>
      <c r="I360" s="122">
        <f t="shared" si="5"/>
        <v>1.2066707504521768E-2</v>
      </c>
      <c r="J360" s="122">
        <f t="shared" si="5"/>
        <v>-1.0932511567529613E-4</v>
      </c>
    </row>
    <row r="361" spans="6:10" x14ac:dyDescent="0.3">
      <c r="F361" s="121">
        <v>43959</v>
      </c>
      <c r="G361" s="53">
        <v>280.41906699999998</v>
      </c>
      <c r="H361" s="53">
        <v>90.298743999999999</v>
      </c>
      <c r="I361" s="122">
        <f t="shared" si="5"/>
        <v>1.6546250256828987E-2</v>
      </c>
      <c r="J361" s="122">
        <f t="shared" si="5"/>
        <v>0</v>
      </c>
    </row>
    <row r="362" spans="6:10" x14ac:dyDescent="0.3">
      <c r="F362" s="121">
        <v>43962</v>
      </c>
      <c r="G362" s="53">
        <v>280.47662400000002</v>
      </c>
      <c r="H362" s="53">
        <v>90.308616999999998</v>
      </c>
      <c r="I362" s="122">
        <f t="shared" si="5"/>
        <v>2.0525351794287161E-4</v>
      </c>
      <c r="J362" s="122">
        <f t="shared" si="5"/>
        <v>1.0933706896287809E-4</v>
      </c>
    </row>
    <row r="363" spans="6:10" x14ac:dyDescent="0.3">
      <c r="F363" s="121">
        <v>43963</v>
      </c>
      <c r="G363" s="53">
        <v>274.88623000000001</v>
      </c>
      <c r="H363" s="53">
        <v>90.308616999999998</v>
      </c>
      <c r="I363" s="122">
        <f t="shared" si="5"/>
        <v>-1.9931764438237076E-2</v>
      </c>
      <c r="J363" s="122">
        <f t="shared" si="5"/>
        <v>0</v>
      </c>
    </row>
    <row r="364" spans="6:10" x14ac:dyDescent="0.3">
      <c r="F364" s="121">
        <v>43964</v>
      </c>
      <c r="G364" s="53">
        <v>270.02462800000001</v>
      </c>
      <c r="H364" s="53">
        <v>90.308616999999998</v>
      </c>
      <c r="I364" s="122">
        <f t="shared" si="5"/>
        <v>-1.7685869532278908E-2</v>
      </c>
      <c r="J364" s="122">
        <f t="shared" si="5"/>
        <v>0</v>
      </c>
    </row>
    <row r="365" spans="6:10" x14ac:dyDescent="0.3">
      <c r="F365" s="121">
        <v>43965</v>
      </c>
      <c r="G365" s="53">
        <v>273.25613399999997</v>
      </c>
      <c r="H365" s="53">
        <v>90.318481000000006</v>
      </c>
      <c r="I365" s="122">
        <f t="shared" si="5"/>
        <v>1.1967449132084251E-2</v>
      </c>
      <c r="J365" s="122">
        <f t="shared" si="5"/>
        <v>1.0922545741132161E-4</v>
      </c>
    </row>
    <row r="366" spans="6:10" x14ac:dyDescent="0.3">
      <c r="F366" s="121">
        <v>43966</v>
      </c>
      <c r="G366" s="53">
        <v>274.51226800000001</v>
      </c>
      <c r="H366" s="53">
        <v>90.298743999999999</v>
      </c>
      <c r="I366" s="122">
        <f t="shared" si="5"/>
        <v>4.5969105308356628E-3</v>
      </c>
      <c r="J366" s="122">
        <f t="shared" si="5"/>
        <v>-2.1852670440736244E-4</v>
      </c>
    </row>
    <row r="367" spans="6:10" x14ac:dyDescent="0.3">
      <c r="F367" s="121">
        <v>43969</v>
      </c>
      <c r="G367" s="53">
        <v>282.87383999999997</v>
      </c>
      <c r="H367" s="53">
        <v>90.298743999999999</v>
      </c>
      <c r="I367" s="122">
        <f t="shared" si="5"/>
        <v>3.0459738870395325E-2</v>
      </c>
      <c r="J367" s="122">
        <f t="shared" si="5"/>
        <v>0</v>
      </c>
    </row>
    <row r="368" spans="6:10" x14ac:dyDescent="0.3">
      <c r="F368" s="121">
        <v>43970</v>
      </c>
      <c r="G368" s="53">
        <v>279.968323</v>
      </c>
      <c r="H368" s="53">
        <v>90.298743999999999</v>
      </c>
      <c r="I368" s="122">
        <f t="shared" si="5"/>
        <v>-1.0271423472739571E-2</v>
      </c>
      <c r="J368" s="122">
        <f t="shared" si="5"/>
        <v>0</v>
      </c>
    </row>
    <row r="369" spans="6:10" x14ac:dyDescent="0.3">
      <c r="F369" s="121">
        <v>43971</v>
      </c>
      <c r="G369" s="53">
        <v>284.72451799999999</v>
      </c>
      <c r="H369" s="53">
        <v>90.298743999999999</v>
      </c>
      <c r="I369" s="122">
        <f t="shared" si="5"/>
        <v>1.6988332640760939E-2</v>
      </c>
      <c r="J369" s="122">
        <f t="shared" si="5"/>
        <v>0</v>
      </c>
    </row>
    <row r="370" spans="6:10" x14ac:dyDescent="0.3">
      <c r="F370" s="121">
        <v>43972</v>
      </c>
      <c r="G370" s="53">
        <v>282.75878899999998</v>
      </c>
      <c r="H370" s="53">
        <v>90.308616999999998</v>
      </c>
      <c r="I370" s="122">
        <f t="shared" si="5"/>
        <v>-6.9039681366674932E-3</v>
      </c>
      <c r="J370" s="122">
        <f t="shared" si="5"/>
        <v>1.0933706896287809E-4</v>
      </c>
    </row>
    <row r="371" spans="6:10" x14ac:dyDescent="0.3">
      <c r="F371" s="121">
        <v>43973</v>
      </c>
      <c r="G371" s="53">
        <v>283.29580700000002</v>
      </c>
      <c r="H371" s="53">
        <v>90.298743999999999</v>
      </c>
      <c r="I371" s="122">
        <f t="shared" si="5"/>
        <v>1.8992088695075626E-3</v>
      </c>
      <c r="J371" s="122">
        <f t="shared" si="5"/>
        <v>-1.0932511567529613E-4</v>
      </c>
    </row>
    <row r="372" spans="6:10" x14ac:dyDescent="0.3">
      <c r="F372" s="121">
        <v>43977</v>
      </c>
      <c r="G372" s="53">
        <v>286.78610200000003</v>
      </c>
      <c r="H372" s="53">
        <v>90.308616999999998</v>
      </c>
      <c r="I372" s="122">
        <f t="shared" si="5"/>
        <v>1.232032001094896E-2</v>
      </c>
      <c r="J372" s="122">
        <f t="shared" si="5"/>
        <v>1.0933706896287809E-4</v>
      </c>
    </row>
    <row r="373" spans="6:10" x14ac:dyDescent="0.3">
      <c r="F373" s="121">
        <v>43978</v>
      </c>
      <c r="G373" s="53">
        <v>291.05319200000002</v>
      </c>
      <c r="H373" s="53">
        <v>90.298743999999999</v>
      </c>
      <c r="I373" s="122">
        <f t="shared" si="5"/>
        <v>1.4878998564581858E-2</v>
      </c>
      <c r="J373" s="122">
        <f t="shared" si="5"/>
        <v>-1.0932511567529613E-4</v>
      </c>
    </row>
    <row r="374" spans="6:10" x14ac:dyDescent="0.3">
      <c r="F374" s="121">
        <v>43979</v>
      </c>
      <c r="G374" s="53">
        <v>290.51623499999999</v>
      </c>
      <c r="H374" s="53">
        <v>90.298743999999999</v>
      </c>
      <c r="I374" s="122">
        <f t="shared" si="5"/>
        <v>-1.84487583286852E-3</v>
      </c>
      <c r="J374" s="122">
        <f t="shared" si="5"/>
        <v>0</v>
      </c>
    </row>
    <row r="375" spans="6:10" x14ac:dyDescent="0.3">
      <c r="F375" s="121">
        <v>43980</v>
      </c>
      <c r="G375" s="53">
        <v>291.810699</v>
      </c>
      <c r="H375" s="53">
        <v>90.298743999999999</v>
      </c>
      <c r="I375" s="122">
        <f t="shared" si="5"/>
        <v>4.4557372155122899E-3</v>
      </c>
      <c r="J375" s="122">
        <f t="shared" si="5"/>
        <v>0</v>
      </c>
    </row>
    <row r="376" spans="6:10" x14ac:dyDescent="0.3">
      <c r="F376" s="121">
        <v>43983</v>
      </c>
      <c r="G376" s="53">
        <v>292.99017300000003</v>
      </c>
      <c r="H376" s="53">
        <v>90.308616999999998</v>
      </c>
      <c r="I376" s="122">
        <f t="shared" si="5"/>
        <v>4.0419148579609043E-3</v>
      </c>
      <c r="J376" s="122">
        <f t="shared" si="5"/>
        <v>1.0933706896287809E-4</v>
      </c>
    </row>
    <row r="377" spans="6:10" x14ac:dyDescent="0.3">
      <c r="F377" s="121">
        <v>43984</v>
      </c>
      <c r="G377" s="53">
        <v>295.41610700000001</v>
      </c>
      <c r="H377" s="53">
        <v>90.308616999999998</v>
      </c>
      <c r="I377" s="122">
        <f t="shared" si="5"/>
        <v>8.279915927419168E-3</v>
      </c>
      <c r="J377" s="122">
        <f t="shared" si="5"/>
        <v>0</v>
      </c>
    </row>
    <row r="378" spans="6:10" x14ac:dyDescent="0.3">
      <c r="F378" s="121">
        <v>43985</v>
      </c>
      <c r="G378" s="53">
        <v>299.34765599999997</v>
      </c>
      <c r="H378" s="53">
        <v>90.308616999999998</v>
      </c>
      <c r="I378" s="122">
        <f t="shared" si="5"/>
        <v>1.3308512660076266E-2</v>
      </c>
      <c r="J378" s="122">
        <f t="shared" si="5"/>
        <v>0</v>
      </c>
    </row>
    <row r="379" spans="6:10" x14ac:dyDescent="0.3">
      <c r="F379" s="121">
        <v>43986</v>
      </c>
      <c r="G379" s="53">
        <v>298.56133999999997</v>
      </c>
      <c r="H379" s="53">
        <v>90.308616999999998</v>
      </c>
      <c r="I379" s="122">
        <f t="shared" si="5"/>
        <v>-2.6267651816855864E-3</v>
      </c>
      <c r="J379" s="122">
        <f t="shared" si="5"/>
        <v>0</v>
      </c>
    </row>
    <row r="380" spans="6:10" x14ac:dyDescent="0.3">
      <c r="F380" s="121">
        <v>43987</v>
      </c>
      <c r="G380" s="53">
        <v>306.213348</v>
      </c>
      <c r="H380" s="53">
        <v>90.288887000000003</v>
      </c>
      <c r="I380" s="122">
        <f t="shared" si="5"/>
        <v>2.5629600938956276E-2</v>
      </c>
      <c r="J380" s="122">
        <f t="shared" si="5"/>
        <v>-2.1847306110334141E-4</v>
      </c>
    </row>
    <row r="381" spans="6:10" x14ac:dyDescent="0.3">
      <c r="F381" s="121">
        <v>43990</v>
      </c>
      <c r="G381" s="53">
        <v>309.91467299999999</v>
      </c>
      <c r="H381" s="53">
        <v>90.298743999999999</v>
      </c>
      <c r="I381" s="122">
        <f t="shared" si="5"/>
        <v>1.2087405804400042E-2</v>
      </c>
      <c r="J381" s="122">
        <f t="shared" si="5"/>
        <v>1.0917179652469855E-4</v>
      </c>
    </row>
    <row r="382" spans="6:10" x14ac:dyDescent="0.3">
      <c r="F382" s="121">
        <v>43991</v>
      </c>
      <c r="G382" s="53">
        <v>307.60376000000002</v>
      </c>
      <c r="H382" s="53">
        <v>90.298743999999999</v>
      </c>
      <c r="I382" s="122">
        <f t="shared" si="5"/>
        <v>-7.4566104845250614E-3</v>
      </c>
      <c r="J382" s="122">
        <f t="shared" si="5"/>
        <v>0</v>
      </c>
    </row>
    <row r="383" spans="6:10" x14ac:dyDescent="0.3">
      <c r="F383" s="121">
        <v>43992</v>
      </c>
      <c r="G383" s="53">
        <v>305.88732900000002</v>
      </c>
      <c r="H383" s="53">
        <v>90.308616999999998</v>
      </c>
      <c r="I383" s="122">
        <f t="shared" si="5"/>
        <v>-5.5800065642890306E-3</v>
      </c>
      <c r="J383" s="122">
        <f t="shared" si="5"/>
        <v>1.0933706896287809E-4</v>
      </c>
    </row>
    <row r="384" spans="6:10" x14ac:dyDescent="0.3">
      <c r="F384" s="121">
        <v>43993</v>
      </c>
      <c r="G384" s="53">
        <v>288.25320399999998</v>
      </c>
      <c r="H384" s="53">
        <v>90.288887000000003</v>
      </c>
      <c r="I384" s="122">
        <f t="shared" si="5"/>
        <v>-5.7649086209779044E-2</v>
      </c>
      <c r="J384" s="122">
        <f t="shared" si="5"/>
        <v>-2.1847306110334141E-4</v>
      </c>
    </row>
    <row r="385" spans="6:10" x14ac:dyDescent="0.3">
      <c r="F385" s="121">
        <v>43994</v>
      </c>
      <c r="G385" s="53">
        <v>291.70526100000001</v>
      </c>
      <c r="H385" s="53">
        <v>90.308616999999998</v>
      </c>
      <c r="I385" s="122">
        <f t="shared" si="5"/>
        <v>1.1975780154728222E-2</v>
      </c>
      <c r="J385" s="122">
        <f t="shared" si="5"/>
        <v>2.1852080201179014E-4</v>
      </c>
    </row>
    <row r="386" spans="6:10" x14ac:dyDescent="0.3">
      <c r="F386" s="121">
        <v>43997</v>
      </c>
      <c r="G386" s="53">
        <v>294.42852800000003</v>
      </c>
      <c r="H386" s="53">
        <v>90.308616999999998</v>
      </c>
      <c r="I386" s="122">
        <f t="shared" si="5"/>
        <v>9.3356800993726896E-3</v>
      </c>
      <c r="J386" s="122">
        <f t="shared" si="5"/>
        <v>0</v>
      </c>
    </row>
    <row r="387" spans="6:10" x14ac:dyDescent="0.3">
      <c r="F387" s="121">
        <v>43998</v>
      </c>
      <c r="G387" s="53">
        <v>300.09558099999998</v>
      </c>
      <c r="H387" s="53">
        <v>90.308616999999998</v>
      </c>
      <c r="I387" s="122">
        <f t="shared" si="5"/>
        <v>1.92476355416209E-2</v>
      </c>
      <c r="J387" s="122">
        <f t="shared" si="5"/>
        <v>0</v>
      </c>
    </row>
    <row r="388" spans="6:10" x14ac:dyDescent="0.3">
      <c r="F388" s="121">
        <v>43999</v>
      </c>
      <c r="G388" s="53">
        <v>298.84903000000003</v>
      </c>
      <c r="H388" s="53">
        <v>90.308616999999998</v>
      </c>
      <c r="I388" s="122">
        <f t="shared" si="5"/>
        <v>-4.1538465706363326E-3</v>
      </c>
      <c r="J388" s="122">
        <f t="shared" si="5"/>
        <v>0</v>
      </c>
    </row>
    <row r="389" spans="6:10" x14ac:dyDescent="0.3">
      <c r="F389" s="121">
        <v>44000</v>
      </c>
      <c r="G389" s="53">
        <v>298.96404999999999</v>
      </c>
      <c r="H389" s="53">
        <v>90.298743999999999</v>
      </c>
      <c r="I389" s="122">
        <f t="shared" si="5"/>
        <v>3.8487660475250429E-4</v>
      </c>
      <c r="J389" s="122">
        <f t="shared" si="5"/>
        <v>-1.0932511567529613E-4</v>
      </c>
    </row>
    <row r="390" spans="6:10" x14ac:dyDescent="0.3">
      <c r="F390" s="121">
        <v>44001</v>
      </c>
      <c r="G390" s="53">
        <v>297.25552399999998</v>
      </c>
      <c r="H390" s="53">
        <v>90.298743999999999</v>
      </c>
      <c r="I390" s="122">
        <f t="shared" si="5"/>
        <v>-5.7148208956896429E-3</v>
      </c>
      <c r="J390" s="122">
        <f t="shared" si="5"/>
        <v>0</v>
      </c>
    </row>
    <row r="391" spans="6:10" x14ac:dyDescent="0.3">
      <c r="F391" s="121">
        <v>44004</v>
      </c>
      <c r="G391" s="53">
        <v>299.16253699999999</v>
      </c>
      <c r="H391" s="53">
        <v>90.298743999999999</v>
      </c>
      <c r="I391" s="122">
        <f t="shared" si="5"/>
        <v>6.4153997017057929E-3</v>
      </c>
      <c r="J391" s="122">
        <f t="shared" si="5"/>
        <v>0</v>
      </c>
    </row>
    <row r="392" spans="6:10" x14ac:dyDescent="0.3">
      <c r="F392" s="121">
        <v>44005</v>
      </c>
      <c r="G392" s="53">
        <v>300.53970299999997</v>
      </c>
      <c r="H392" s="53">
        <v>90.298743999999999</v>
      </c>
      <c r="I392" s="122">
        <f t="shared" si="5"/>
        <v>4.6034039348983313E-3</v>
      </c>
      <c r="J392" s="122">
        <f t="shared" si="5"/>
        <v>0</v>
      </c>
    </row>
    <row r="393" spans="6:10" x14ac:dyDescent="0.3">
      <c r="F393" s="121">
        <v>44006</v>
      </c>
      <c r="G393" s="53">
        <v>292.87329099999999</v>
      </c>
      <c r="H393" s="53">
        <v>90.298743999999999</v>
      </c>
      <c r="I393" s="122">
        <f t="shared" si="5"/>
        <v>-2.5508816051501793E-2</v>
      </c>
      <c r="J393" s="122">
        <f t="shared" si="5"/>
        <v>0</v>
      </c>
    </row>
    <row r="394" spans="6:10" x14ac:dyDescent="0.3">
      <c r="F394" s="121">
        <v>44007</v>
      </c>
      <c r="G394" s="53">
        <v>296.01306199999999</v>
      </c>
      <c r="H394" s="53">
        <v>90.308616999999998</v>
      </c>
      <c r="I394" s="122">
        <f t="shared" si="5"/>
        <v>1.0720578135614334E-2</v>
      </c>
      <c r="J394" s="122">
        <f t="shared" si="5"/>
        <v>1.0933706896287809E-4</v>
      </c>
    </row>
    <row r="395" spans="6:10" x14ac:dyDescent="0.3">
      <c r="F395" s="121">
        <v>44008</v>
      </c>
      <c r="G395" s="53">
        <v>288.98236100000003</v>
      </c>
      <c r="H395" s="53">
        <v>90.298743999999999</v>
      </c>
      <c r="I395" s="122">
        <f t="shared" si="5"/>
        <v>-2.375132013600123E-2</v>
      </c>
      <c r="J395" s="122">
        <f t="shared" si="5"/>
        <v>-1.0932511567529613E-4</v>
      </c>
    </row>
    <row r="396" spans="6:10" x14ac:dyDescent="0.3">
      <c r="F396" s="121">
        <v>44011</v>
      </c>
      <c r="G396" s="53">
        <v>293.22967499999999</v>
      </c>
      <c r="H396" s="53">
        <v>90.298743999999999</v>
      </c>
      <c r="I396" s="122">
        <f t="shared" si="5"/>
        <v>1.4697485290460222E-2</v>
      </c>
      <c r="J396" s="122">
        <f t="shared" si="5"/>
        <v>0</v>
      </c>
    </row>
    <row r="397" spans="6:10" x14ac:dyDescent="0.3">
      <c r="F397" s="121">
        <v>44012</v>
      </c>
      <c r="G397" s="53">
        <v>296.98577899999998</v>
      </c>
      <c r="H397" s="53">
        <v>90.298743999999999</v>
      </c>
      <c r="I397" s="122">
        <f t="shared" si="5"/>
        <v>1.2809426603906937E-2</v>
      </c>
      <c r="J397" s="122">
        <f t="shared" si="5"/>
        <v>0</v>
      </c>
    </row>
    <row r="398" spans="6:10" x14ac:dyDescent="0.3">
      <c r="F398" s="121">
        <v>44013</v>
      </c>
      <c r="G398" s="53">
        <v>299.06616200000002</v>
      </c>
      <c r="H398" s="53">
        <v>90.298743999999999</v>
      </c>
      <c r="I398" s="122">
        <f t="shared" si="5"/>
        <v>7.0049919797676719E-3</v>
      </c>
      <c r="J398" s="122">
        <f t="shared" si="5"/>
        <v>0</v>
      </c>
    </row>
    <row r="399" spans="6:10" x14ac:dyDescent="0.3">
      <c r="F399" s="121">
        <v>44014</v>
      </c>
      <c r="G399" s="53">
        <v>300.71310399999999</v>
      </c>
      <c r="H399" s="53">
        <v>90.308616999999998</v>
      </c>
      <c r="I399" s="122">
        <f t="shared" si="5"/>
        <v>5.5069486597416617E-3</v>
      </c>
      <c r="J399" s="122">
        <f t="shared" si="5"/>
        <v>1.0933706896287809E-4</v>
      </c>
    </row>
    <row r="400" spans="6:10" x14ac:dyDescent="0.3">
      <c r="F400" s="121">
        <v>44018</v>
      </c>
      <c r="G400" s="53">
        <v>305.35528599999998</v>
      </c>
      <c r="H400" s="53">
        <v>90.298743999999999</v>
      </c>
      <c r="I400" s="122">
        <f t="shared" si="5"/>
        <v>1.5437245461707549E-2</v>
      </c>
      <c r="J400" s="122">
        <f t="shared" si="5"/>
        <v>-1.0932511567529613E-4</v>
      </c>
    </row>
    <row r="401" spans="6:10" x14ac:dyDescent="0.3">
      <c r="F401" s="121">
        <v>44019</v>
      </c>
      <c r="G401" s="53">
        <v>302.20593300000002</v>
      </c>
      <c r="H401" s="53">
        <v>90.298743999999999</v>
      </c>
      <c r="I401" s="122">
        <f t="shared" si="5"/>
        <v>-1.0313733360423849E-2</v>
      </c>
      <c r="J401" s="122">
        <f t="shared" si="5"/>
        <v>0</v>
      </c>
    </row>
    <row r="402" spans="6:10" x14ac:dyDescent="0.3">
      <c r="F402" s="121">
        <v>44020</v>
      </c>
      <c r="G402" s="53">
        <v>304.517426</v>
      </c>
      <c r="H402" s="53">
        <v>90.298743999999999</v>
      </c>
      <c r="I402" s="122">
        <f t="shared" si="5"/>
        <v>7.6487346792095678E-3</v>
      </c>
      <c r="J402" s="122">
        <f t="shared" si="5"/>
        <v>0</v>
      </c>
    </row>
    <row r="403" spans="6:10" x14ac:dyDescent="0.3">
      <c r="F403" s="121">
        <v>44021</v>
      </c>
      <c r="G403" s="53">
        <v>302.78381300000001</v>
      </c>
      <c r="H403" s="53">
        <v>90.298743999999999</v>
      </c>
      <c r="I403" s="122">
        <f t="shared" si="5"/>
        <v>-5.6929845453245198E-3</v>
      </c>
      <c r="J403" s="122">
        <f t="shared" si="5"/>
        <v>0</v>
      </c>
    </row>
    <row r="404" spans="6:10" x14ac:dyDescent="0.3">
      <c r="F404" s="121">
        <v>44022</v>
      </c>
      <c r="G404" s="53">
        <v>305.87536599999999</v>
      </c>
      <c r="H404" s="53">
        <v>90.308616999999998</v>
      </c>
      <c r="I404" s="122">
        <f t="shared" si="5"/>
        <v>1.0210430238554391E-2</v>
      </c>
      <c r="J404" s="122">
        <f t="shared" si="5"/>
        <v>1.0933706896287809E-4</v>
      </c>
    </row>
    <row r="405" spans="6:10" x14ac:dyDescent="0.3">
      <c r="F405" s="121">
        <v>44025</v>
      </c>
      <c r="G405" s="53">
        <v>303.22680700000001</v>
      </c>
      <c r="H405" s="53">
        <v>90.308616999999998</v>
      </c>
      <c r="I405" s="122">
        <f t="shared" si="5"/>
        <v>-8.658948363955421E-3</v>
      </c>
      <c r="J405" s="122">
        <f t="shared" si="5"/>
        <v>0</v>
      </c>
    </row>
    <row r="406" spans="6:10" x14ac:dyDescent="0.3">
      <c r="F406" s="121">
        <v>44026</v>
      </c>
      <c r="G406" s="53">
        <v>307.156342</v>
      </c>
      <c r="H406" s="53">
        <v>90.308616999999998</v>
      </c>
      <c r="I406" s="122">
        <f t="shared" ref="I406:J469" si="6">G406/G405-1</f>
        <v>1.295906202646524E-2</v>
      </c>
      <c r="J406" s="122">
        <f t="shared" si="6"/>
        <v>0</v>
      </c>
    </row>
    <row r="407" spans="6:10" x14ac:dyDescent="0.3">
      <c r="F407" s="121">
        <v>44027</v>
      </c>
      <c r="G407" s="53">
        <v>309.97827100000001</v>
      </c>
      <c r="H407" s="53">
        <v>90.308616999999998</v>
      </c>
      <c r="I407" s="122">
        <f t="shared" si="6"/>
        <v>9.1872724542343409E-3</v>
      </c>
      <c r="J407" s="122">
        <f t="shared" si="6"/>
        <v>0</v>
      </c>
    </row>
    <row r="408" spans="6:10" x14ac:dyDescent="0.3">
      <c r="F408" s="121">
        <v>44028</v>
      </c>
      <c r="G408" s="53">
        <v>308.95739700000001</v>
      </c>
      <c r="H408" s="53">
        <v>90.298743999999999</v>
      </c>
      <c r="I408" s="122">
        <f t="shared" si="6"/>
        <v>-3.2933727796681245E-3</v>
      </c>
      <c r="J408" s="122">
        <f t="shared" si="6"/>
        <v>-1.0932511567529613E-4</v>
      </c>
    </row>
    <row r="409" spans="6:10" x14ac:dyDescent="0.3">
      <c r="F409" s="121">
        <v>44029</v>
      </c>
      <c r="G409" s="53">
        <v>309.853027</v>
      </c>
      <c r="H409" s="53">
        <v>90.308616999999998</v>
      </c>
      <c r="I409" s="122">
        <f t="shared" si="6"/>
        <v>2.8988786437762482E-3</v>
      </c>
      <c r="J409" s="122">
        <f t="shared" si="6"/>
        <v>1.0933706896287809E-4</v>
      </c>
    </row>
    <row r="410" spans="6:10" x14ac:dyDescent="0.3">
      <c r="F410" s="121">
        <v>44032</v>
      </c>
      <c r="G410" s="53">
        <v>312.35711700000002</v>
      </c>
      <c r="H410" s="53">
        <v>90.308616999999998</v>
      </c>
      <c r="I410" s="122">
        <f t="shared" si="6"/>
        <v>8.0815411882357857E-3</v>
      </c>
      <c r="J410" s="122">
        <f t="shared" si="6"/>
        <v>0</v>
      </c>
    </row>
    <row r="411" spans="6:10" x14ac:dyDescent="0.3">
      <c r="F411" s="121">
        <v>44033</v>
      </c>
      <c r="G411" s="53">
        <v>313.02175899999997</v>
      </c>
      <c r="H411" s="53">
        <v>90.308616999999998</v>
      </c>
      <c r="I411" s="122">
        <f t="shared" si="6"/>
        <v>2.1278272971125833E-3</v>
      </c>
      <c r="J411" s="122">
        <f t="shared" si="6"/>
        <v>0</v>
      </c>
    </row>
    <row r="412" spans="6:10" x14ac:dyDescent="0.3">
      <c r="F412" s="121">
        <v>44034</v>
      </c>
      <c r="G412" s="53">
        <v>314.80343599999998</v>
      </c>
      <c r="H412" s="53">
        <v>90.298743999999999</v>
      </c>
      <c r="I412" s="122">
        <f t="shared" si="6"/>
        <v>5.6918631014402088E-3</v>
      </c>
      <c r="J412" s="122">
        <f t="shared" si="6"/>
        <v>-1.0932511567529613E-4</v>
      </c>
    </row>
    <row r="413" spans="6:10" x14ac:dyDescent="0.3">
      <c r="F413" s="121">
        <v>44035</v>
      </c>
      <c r="G413" s="53">
        <v>311.047302</v>
      </c>
      <c r="H413" s="53">
        <v>90.308616999999998</v>
      </c>
      <c r="I413" s="122">
        <f t="shared" si="6"/>
        <v>-1.193168044074322E-2</v>
      </c>
      <c r="J413" s="122">
        <f t="shared" si="6"/>
        <v>1.0933706896287809E-4</v>
      </c>
    </row>
    <row r="414" spans="6:10" x14ac:dyDescent="0.3">
      <c r="F414" s="121">
        <v>44036</v>
      </c>
      <c r="G414" s="53">
        <v>309.04406699999998</v>
      </c>
      <c r="H414" s="53">
        <v>90.298743999999999</v>
      </c>
      <c r="I414" s="122">
        <f t="shared" si="6"/>
        <v>-6.4402905510494435E-3</v>
      </c>
      <c r="J414" s="122">
        <f t="shared" si="6"/>
        <v>-1.0932511567529613E-4</v>
      </c>
    </row>
    <row r="415" spans="6:10" x14ac:dyDescent="0.3">
      <c r="F415" s="121">
        <v>44039</v>
      </c>
      <c r="G415" s="53">
        <v>311.297729</v>
      </c>
      <c r="H415" s="53">
        <v>90.298743999999999</v>
      </c>
      <c r="I415" s="122">
        <f t="shared" si="6"/>
        <v>7.292364554599251E-3</v>
      </c>
      <c r="J415" s="122">
        <f t="shared" si="6"/>
        <v>0</v>
      </c>
    </row>
    <row r="416" spans="6:10" x14ac:dyDescent="0.3">
      <c r="F416" s="121">
        <v>44040</v>
      </c>
      <c r="G416" s="53">
        <v>309.32330300000001</v>
      </c>
      <c r="H416" s="53">
        <v>90.308616999999998</v>
      </c>
      <c r="I416" s="122">
        <f t="shared" si="6"/>
        <v>-6.3425647412930219E-3</v>
      </c>
      <c r="J416" s="122">
        <f t="shared" si="6"/>
        <v>1.0933706896287809E-4</v>
      </c>
    </row>
    <row r="417" spans="6:10" x14ac:dyDescent="0.3">
      <c r="F417" s="121">
        <v>44041</v>
      </c>
      <c r="G417" s="53">
        <v>313.12759399999999</v>
      </c>
      <c r="H417" s="53">
        <v>90.308616999999998</v>
      </c>
      <c r="I417" s="122">
        <f t="shared" si="6"/>
        <v>1.2298753320890254E-2</v>
      </c>
      <c r="J417" s="122">
        <f t="shared" si="6"/>
        <v>0</v>
      </c>
    </row>
    <row r="418" spans="6:10" x14ac:dyDescent="0.3">
      <c r="F418" s="121">
        <v>44042</v>
      </c>
      <c r="G418" s="53">
        <v>312.01043700000002</v>
      </c>
      <c r="H418" s="53">
        <v>90.298743999999999</v>
      </c>
      <c r="I418" s="122">
        <f t="shared" si="6"/>
        <v>-3.5677373103053522E-3</v>
      </c>
      <c r="J418" s="122">
        <f t="shared" si="6"/>
        <v>-1.0932511567529613E-4</v>
      </c>
    </row>
    <row r="419" spans="6:10" x14ac:dyDescent="0.3">
      <c r="F419" s="121">
        <v>44043</v>
      </c>
      <c r="G419" s="53">
        <v>314.47592200000003</v>
      </c>
      <c r="H419" s="53">
        <v>90.308616999999998</v>
      </c>
      <c r="I419" s="122">
        <f t="shared" si="6"/>
        <v>7.9019311780266221E-3</v>
      </c>
      <c r="J419" s="122">
        <f t="shared" si="6"/>
        <v>1.0933706896287809E-4</v>
      </c>
    </row>
    <row r="420" spans="6:10" x14ac:dyDescent="0.3">
      <c r="F420" s="121">
        <v>44046</v>
      </c>
      <c r="G420" s="53">
        <v>316.66229199999998</v>
      </c>
      <c r="H420" s="53">
        <v>90.298743999999999</v>
      </c>
      <c r="I420" s="122">
        <f t="shared" si="6"/>
        <v>6.952424166833282E-3</v>
      </c>
      <c r="J420" s="122">
        <f t="shared" si="6"/>
        <v>-1.0932511567529613E-4</v>
      </c>
    </row>
    <row r="421" spans="6:10" x14ac:dyDescent="0.3">
      <c r="F421" s="121">
        <v>44047</v>
      </c>
      <c r="G421" s="53">
        <v>317.88537600000001</v>
      </c>
      <c r="H421" s="53">
        <v>90.308616999999998</v>
      </c>
      <c r="I421" s="122">
        <f t="shared" si="6"/>
        <v>3.8624238846853842E-3</v>
      </c>
      <c r="J421" s="122">
        <f t="shared" si="6"/>
        <v>1.0933706896287809E-4</v>
      </c>
    </row>
    <row r="422" spans="6:10" x14ac:dyDescent="0.3">
      <c r="F422" s="121">
        <v>44048</v>
      </c>
      <c r="G422" s="53">
        <v>319.85983299999998</v>
      </c>
      <c r="H422" s="53">
        <v>90.298743999999999</v>
      </c>
      <c r="I422" s="122">
        <f t="shared" si="6"/>
        <v>6.2112231296855835E-3</v>
      </c>
      <c r="J422" s="122">
        <f t="shared" si="6"/>
        <v>-1.0932511567529613E-4</v>
      </c>
    </row>
    <row r="423" spans="6:10" x14ac:dyDescent="0.3">
      <c r="F423" s="121">
        <v>44049</v>
      </c>
      <c r="G423" s="53">
        <v>321.99789399999997</v>
      </c>
      <c r="H423" s="53">
        <v>90.298743999999999</v>
      </c>
      <c r="I423" s="122">
        <f t="shared" si="6"/>
        <v>6.6843685246342766E-3</v>
      </c>
      <c r="J423" s="122">
        <f t="shared" si="6"/>
        <v>0</v>
      </c>
    </row>
    <row r="424" spans="6:10" x14ac:dyDescent="0.3">
      <c r="F424" s="121">
        <v>44050</v>
      </c>
      <c r="G424" s="53">
        <v>322.22903400000001</v>
      </c>
      <c r="H424" s="53">
        <v>90.308616999999998</v>
      </c>
      <c r="I424" s="122">
        <f t="shared" si="6"/>
        <v>7.1783078183740301E-4</v>
      </c>
      <c r="J424" s="122">
        <f t="shared" si="6"/>
        <v>1.0933706896287809E-4</v>
      </c>
    </row>
    <row r="425" spans="6:10" x14ac:dyDescent="0.3">
      <c r="F425" s="121">
        <v>44053</v>
      </c>
      <c r="G425" s="53">
        <v>323.19216899999998</v>
      </c>
      <c r="H425" s="53">
        <v>90.308616999999998</v>
      </c>
      <c r="I425" s="122">
        <f t="shared" si="6"/>
        <v>2.9889764682098363E-3</v>
      </c>
      <c r="J425" s="122">
        <f t="shared" si="6"/>
        <v>0</v>
      </c>
    </row>
    <row r="426" spans="6:10" x14ac:dyDescent="0.3">
      <c r="F426" s="121">
        <v>44054</v>
      </c>
      <c r="G426" s="53">
        <v>320.52435300000002</v>
      </c>
      <c r="H426" s="53">
        <v>90.298743999999999</v>
      </c>
      <c r="I426" s="122">
        <f t="shared" si="6"/>
        <v>-8.2545811931474811E-3</v>
      </c>
      <c r="J426" s="122">
        <f t="shared" si="6"/>
        <v>-1.0932511567529613E-4</v>
      </c>
    </row>
    <row r="427" spans="6:10" x14ac:dyDescent="0.3">
      <c r="F427" s="121">
        <v>44055</v>
      </c>
      <c r="G427" s="53">
        <v>324.99316399999998</v>
      </c>
      <c r="H427" s="53">
        <v>90.298743999999999</v>
      </c>
      <c r="I427" s="122">
        <f t="shared" si="6"/>
        <v>1.3942188661090427E-2</v>
      </c>
      <c r="J427" s="122">
        <f t="shared" si="6"/>
        <v>0</v>
      </c>
    </row>
    <row r="428" spans="6:10" x14ac:dyDescent="0.3">
      <c r="F428" s="121">
        <v>44056</v>
      </c>
      <c r="G428" s="53">
        <v>324.40566999999999</v>
      </c>
      <c r="H428" s="53">
        <v>90.308616999999998</v>
      </c>
      <c r="I428" s="122">
        <f t="shared" si="6"/>
        <v>-1.8077118692871874E-3</v>
      </c>
      <c r="J428" s="122">
        <f t="shared" si="6"/>
        <v>1.0933706896287809E-4</v>
      </c>
    </row>
    <row r="429" spans="6:10" x14ac:dyDescent="0.3">
      <c r="F429" s="121">
        <v>44057</v>
      </c>
      <c r="G429" s="53">
        <v>324.41531400000002</v>
      </c>
      <c r="H429" s="53">
        <v>90.298743999999999</v>
      </c>
      <c r="I429" s="122">
        <f t="shared" si="6"/>
        <v>2.9728210360957519E-5</v>
      </c>
      <c r="J429" s="122">
        <f t="shared" si="6"/>
        <v>-1.0932511567529613E-4</v>
      </c>
    </row>
    <row r="430" spans="6:10" x14ac:dyDescent="0.3">
      <c r="F430" s="121">
        <v>44060</v>
      </c>
      <c r="G430" s="53">
        <v>325.44589200000001</v>
      </c>
      <c r="H430" s="53">
        <v>90.298743999999999</v>
      </c>
      <c r="I430" s="122">
        <f t="shared" si="6"/>
        <v>3.1767242652422922E-3</v>
      </c>
      <c r="J430" s="122">
        <f t="shared" si="6"/>
        <v>0</v>
      </c>
    </row>
    <row r="431" spans="6:10" x14ac:dyDescent="0.3">
      <c r="F431" s="121">
        <v>44061</v>
      </c>
      <c r="G431" s="53">
        <v>326.14898699999998</v>
      </c>
      <c r="H431" s="53">
        <v>90.308616999999998</v>
      </c>
      <c r="I431" s="122">
        <f t="shared" si="6"/>
        <v>2.1604052080028691E-3</v>
      </c>
      <c r="J431" s="122">
        <f t="shared" si="6"/>
        <v>1.0933706896287809E-4</v>
      </c>
    </row>
    <row r="432" spans="6:10" x14ac:dyDescent="0.3">
      <c r="F432" s="121">
        <v>44062</v>
      </c>
      <c r="G432" s="53">
        <v>324.790955</v>
      </c>
      <c r="H432" s="53">
        <v>90.308616999999998</v>
      </c>
      <c r="I432" s="122">
        <f t="shared" si="6"/>
        <v>-4.1638393928231654E-3</v>
      </c>
      <c r="J432" s="122">
        <f t="shared" si="6"/>
        <v>0</v>
      </c>
    </row>
    <row r="433" spans="6:10" x14ac:dyDescent="0.3">
      <c r="F433" s="121">
        <v>44063</v>
      </c>
      <c r="G433" s="53">
        <v>325.80221599999999</v>
      </c>
      <c r="H433" s="53">
        <v>90.308616999999998</v>
      </c>
      <c r="I433" s="122">
        <f t="shared" si="6"/>
        <v>3.1135750070379054E-3</v>
      </c>
      <c r="J433" s="122">
        <f t="shared" si="6"/>
        <v>0</v>
      </c>
    </row>
    <row r="434" spans="6:10" x14ac:dyDescent="0.3">
      <c r="F434" s="121">
        <v>44064</v>
      </c>
      <c r="G434" s="53">
        <v>326.95794699999999</v>
      </c>
      <c r="H434" s="53">
        <v>90.308616999999998</v>
      </c>
      <c r="I434" s="122">
        <f t="shared" si="6"/>
        <v>3.5473392851324004E-3</v>
      </c>
      <c r="J434" s="122">
        <f t="shared" si="6"/>
        <v>0</v>
      </c>
    </row>
    <row r="435" spans="6:10" x14ac:dyDescent="0.3">
      <c r="F435" s="121">
        <v>44067</v>
      </c>
      <c r="G435" s="53">
        <v>330.271118</v>
      </c>
      <c r="H435" s="53">
        <v>90.308616999999998</v>
      </c>
      <c r="I435" s="122">
        <f t="shared" si="6"/>
        <v>1.0133324577059399E-2</v>
      </c>
      <c r="J435" s="122">
        <f t="shared" si="6"/>
        <v>0</v>
      </c>
    </row>
    <row r="436" spans="6:10" x14ac:dyDescent="0.3">
      <c r="F436" s="121">
        <v>44068</v>
      </c>
      <c r="G436" s="53">
        <v>331.42681900000002</v>
      </c>
      <c r="H436" s="53">
        <v>90.298743999999999</v>
      </c>
      <c r="I436" s="122">
        <f t="shared" si="6"/>
        <v>3.4992493651837542E-3</v>
      </c>
      <c r="J436" s="122">
        <f t="shared" si="6"/>
        <v>-1.0932511567529613E-4</v>
      </c>
    </row>
    <row r="437" spans="6:10" x14ac:dyDescent="0.3">
      <c r="F437" s="121">
        <v>44069</v>
      </c>
      <c r="G437" s="53">
        <v>334.749573</v>
      </c>
      <c r="H437" s="53">
        <v>90.298743999999999</v>
      </c>
      <c r="I437" s="122">
        <f t="shared" si="6"/>
        <v>1.0025603872449329E-2</v>
      </c>
      <c r="J437" s="122">
        <f t="shared" si="6"/>
        <v>0</v>
      </c>
    </row>
    <row r="438" spans="6:10" x14ac:dyDescent="0.3">
      <c r="F438" s="121">
        <v>44070</v>
      </c>
      <c r="G438" s="53">
        <v>335.48150600000002</v>
      </c>
      <c r="H438" s="53">
        <v>90.298743999999999</v>
      </c>
      <c r="I438" s="122">
        <f t="shared" si="6"/>
        <v>2.1865091370856238E-3</v>
      </c>
      <c r="J438" s="122">
        <f t="shared" si="6"/>
        <v>0</v>
      </c>
    </row>
    <row r="439" spans="6:10" x14ac:dyDescent="0.3">
      <c r="F439" s="121">
        <v>44071</v>
      </c>
      <c r="G439" s="53">
        <v>337.64849900000002</v>
      </c>
      <c r="H439" s="53">
        <v>90.308616999999998</v>
      </c>
      <c r="I439" s="122">
        <f t="shared" si="6"/>
        <v>6.4593515923945244E-3</v>
      </c>
      <c r="J439" s="122">
        <f t="shared" si="6"/>
        <v>1.0933706896287809E-4</v>
      </c>
    </row>
    <row r="440" spans="6:10" x14ac:dyDescent="0.3">
      <c r="F440" s="121">
        <v>44074</v>
      </c>
      <c r="G440" s="53">
        <v>336.42535400000003</v>
      </c>
      <c r="H440" s="53">
        <v>90.308616999999998</v>
      </c>
      <c r="I440" s="122">
        <f t="shared" si="6"/>
        <v>-3.6225394267189737E-3</v>
      </c>
      <c r="J440" s="122">
        <f t="shared" si="6"/>
        <v>0</v>
      </c>
    </row>
    <row r="441" spans="6:10" x14ac:dyDescent="0.3">
      <c r="F441" s="121">
        <v>44075</v>
      </c>
      <c r="G441" s="53">
        <v>339.59396400000003</v>
      </c>
      <c r="H441" s="53">
        <v>90.308616999999998</v>
      </c>
      <c r="I441" s="122">
        <f t="shared" si="6"/>
        <v>9.4184637463441412E-3</v>
      </c>
      <c r="J441" s="122">
        <f t="shared" si="6"/>
        <v>0</v>
      </c>
    </row>
    <row r="442" spans="6:10" x14ac:dyDescent="0.3">
      <c r="F442" s="121">
        <v>44076</v>
      </c>
      <c r="G442" s="53">
        <v>344.50589000000002</v>
      </c>
      <c r="H442" s="53">
        <v>90.308616999999998</v>
      </c>
      <c r="I442" s="122">
        <f t="shared" si="6"/>
        <v>1.4464114562413144E-2</v>
      </c>
      <c r="J442" s="122">
        <f t="shared" si="6"/>
        <v>0</v>
      </c>
    </row>
    <row r="443" spans="6:10" x14ac:dyDescent="0.3">
      <c r="F443" s="121">
        <v>44077</v>
      </c>
      <c r="G443" s="53">
        <v>332.64996300000001</v>
      </c>
      <c r="H443" s="53">
        <v>90.298743999999999</v>
      </c>
      <c r="I443" s="122">
        <f t="shared" si="6"/>
        <v>-3.4414294048789706E-2</v>
      </c>
      <c r="J443" s="122">
        <f t="shared" si="6"/>
        <v>-1.0932511567529613E-4</v>
      </c>
    </row>
    <row r="444" spans="6:10" x14ac:dyDescent="0.3">
      <c r="F444" s="121">
        <v>44078</v>
      </c>
      <c r="G444" s="53">
        <v>329.93396000000001</v>
      </c>
      <c r="H444" s="53">
        <v>90.308616999999998</v>
      </c>
      <c r="I444" s="122">
        <f t="shared" si="6"/>
        <v>-8.1647476389468121E-3</v>
      </c>
      <c r="J444" s="122">
        <f t="shared" si="6"/>
        <v>1.0933706896287809E-4</v>
      </c>
    </row>
    <row r="445" spans="6:10" x14ac:dyDescent="0.3">
      <c r="F445" s="121">
        <v>44082</v>
      </c>
      <c r="G445" s="53">
        <v>320.91924999999998</v>
      </c>
      <c r="H445" s="53">
        <v>90.308616999999998</v>
      </c>
      <c r="I445" s="122">
        <f t="shared" si="6"/>
        <v>-2.7322770896333393E-2</v>
      </c>
      <c r="J445" s="122">
        <f t="shared" si="6"/>
        <v>0</v>
      </c>
    </row>
    <row r="446" spans="6:10" x14ac:dyDescent="0.3">
      <c r="F446" s="121">
        <v>44083</v>
      </c>
      <c r="G446" s="53">
        <v>327.25650000000002</v>
      </c>
      <c r="H446" s="53">
        <v>90.298743999999999</v>
      </c>
      <c r="I446" s="122">
        <f t="shared" si="6"/>
        <v>1.9747179391700787E-2</v>
      </c>
      <c r="J446" s="122">
        <f t="shared" si="6"/>
        <v>-1.0932511567529613E-4</v>
      </c>
    </row>
    <row r="447" spans="6:10" x14ac:dyDescent="0.3">
      <c r="F447" s="121">
        <v>44084</v>
      </c>
      <c r="G447" s="53">
        <v>321.57415800000001</v>
      </c>
      <c r="H447" s="53">
        <v>90.298743999999999</v>
      </c>
      <c r="I447" s="122">
        <f t="shared" si="6"/>
        <v>-1.7363572610475275E-2</v>
      </c>
      <c r="J447" s="122">
        <f t="shared" si="6"/>
        <v>0</v>
      </c>
    </row>
    <row r="448" spans="6:10" x14ac:dyDescent="0.3">
      <c r="F448" s="121">
        <v>44085</v>
      </c>
      <c r="G448" s="53">
        <v>321.73791499999999</v>
      </c>
      <c r="H448" s="53">
        <v>90.288887000000003</v>
      </c>
      <c r="I448" s="122">
        <f t="shared" si="6"/>
        <v>5.0923557109960882E-4</v>
      </c>
      <c r="J448" s="122">
        <f t="shared" si="6"/>
        <v>-1.0915987934445592E-4</v>
      </c>
    </row>
    <row r="449" spans="6:10" x14ac:dyDescent="0.3">
      <c r="F449" s="121">
        <v>44088</v>
      </c>
      <c r="G449" s="53">
        <v>325.97558600000002</v>
      </c>
      <c r="H449" s="53">
        <v>90.308616999999998</v>
      </c>
      <c r="I449" s="122">
        <f t="shared" si="6"/>
        <v>1.3171189351432355E-2</v>
      </c>
      <c r="J449" s="122">
        <f t="shared" si="6"/>
        <v>2.1852080201179014E-4</v>
      </c>
    </row>
    <row r="450" spans="6:10" x14ac:dyDescent="0.3">
      <c r="F450" s="121">
        <v>44089</v>
      </c>
      <c r="G450" s="53">
        <v>327.622589</v>
      </c>
      <c r="H450" s="53">
        <v>90.288887000000003</v>
      </c>
      <c r="I450" s="122">
        <f t="shared" si="6"/>
        <v>5.0525348238807943E-3</v>
      </c>
      <c r="J450" s="122">
        <f t="shared" si="6"/>
        <v>-2.1847306110334141E-4</v>
      </c>
    </row>
    <row r="451" spans="6:10" x14ac:dyDescent="0.3">
      <c r="F451" s="121">
        <v>44090</v>
      </c>
      <c r="G451" s="53">
        <v>326.32229599999999</v>
      </c>
      <c r="H451" s="53">
        <v>90.308616999999998</v>
      </c>
      <c r="I451" s="122">
        <f t="shared" si="6"/>
        <v>-3.9688746858660418E-3</v>
      </c>
      <c r="J451" s="122">
        <f t="shared" si="6"/>
        <v>2.1852080201179014E-4</v>
      </c>
    </row>
    <row r="452" spans="6:10" x14ac:dyDescent="0.3">
      <c r="F452" s="121">
        <v>44091</v>
      </c>
      <c r="G452" s="53">
        <v>323.452179</v>
      </c>
      <c r="H452" s="53">
        <v>90.308616999999998</v>
      </c>
      <c r="I452" s="122">
        <f t="shared" si="6"/>
        <v>-8.79534446521546E-3</v>
      </c>
      <c r="J452" s="122">
        <f t="shared" si="6"/>
        <v>0</v>
      </c>
    </row>
    <row r="453" spans="6:10" x14ac:dyDescent="0.3">
      <c r="F453" s="121">
        <v>44092</v>
      </c>
      <c r="G453" s="53">
        <v>319.72839399999998</v>
      </c>
      <c r="H453" s="53">
        <v>90.288887000000003</v>
      </c>
      <c r="I453" s="122">
        <f t="shared" si="6"/>
        <v>-1.151262919765339E-2</v>
      </c>
      <c r="J453" s="122">
        <f t="shared" si="6"/>
        <v>-2.1847306110334141E-4</v>
      </c>
    </row>
    <row r="454" spans="6:10" x14ac:dyDescent="0.3">
      <c r="F454" s="121">
        <v>44095</v>
      </c>
      <c r="G454" s="53">
        <v>316.17001299999998</v>
      </c>
      <c r="H454" s="53">
        <v>90.288887000000003</v>
      </c>
      <c r="I454" s="122">
        <f t="shared" si="6"/>
        <v>-1.1129386900808003E-2</v>
      </c>
      <c r="J454" s="122">
        <f t="shared" si="6"/>
        <v>0</v>
      </c>
    </row>
    <row r="455" spans="6:10" x14ac:dyDescent="0.3">
      <c r="F455" s="121">
        <v>44096</v>
      </c>
      <c r="G455" s="53">
        <v>319.38998400000003</v>
      </c>
      <c r="H455" s="53">
        <v>90.288887000000003</v>
      </c>
      <c r="I455" s="122">
        <f t="shared" si="6"/>
        <v>1.0184302329772299E-2</v>
      </c>
      <c r="J455" s="122">
        <f t="shared" si="6"/>
        <v>0</v>
      </c>
    </row>
    <row r="456" spans="6:10" x14ac:dyDescent="0.3">
      <c r="F456" s="121">
        <v>44097</v>
      </c>
      <c r="G456" s="53">
        <v>311.98303199999998</v>
      </c>
      <c r="H456" s="53">
        <v>90.288887000000003</v>
      </c>
      <c r="I456" s="122">
        <f t="shared" si="6"/>
        <v>-2.3190933877250353E-2</v>
      </c>
      <c r="J456" s="122">
        <f t="shared" si="6"/>
        <v>0</v>
      </c>
    </row>
    <row r="457" spans="6:10" x14ac:dyDescent="0.3">
      <c r="F457" s="121">
        <v>44098</v>
      </c>
      <c r="G457" s="53">
        <v>312.81454500000001</v>
      </c>
      <c r="H457" s="53">
        <v>90.298743999999999</v>
      </c>
      <c r="I457" s="122">
        <f t="shared" si="6"/>
        <v>2.6652507178661633E-3</v>
      </c>
      <c r="J457" s="122">
        <f t="shared" si="6"/>
        <v>1.0917179652469855E-4</v>
      </c>
    </row>
    <row r="458" spans="6:10" x14ac:dyDescent="0.3">
      <c r="F458" s="121">
        <v>44099</v>
      </c>
      <c r="G458" s="53">
        <v>317.871826</v>
      </c>
      <c r="H458" s="53">
        <v>90.288887000000003</v>
      </c>
      <c r="I458" s="122">
        <f t="shared" si="6"/>
        <v>1.6167026376602722E-2</v>
      </c>
      <c r="J458" s="122">
        <f t="shared" si="6"/>
        <v>-1.0915987934445592E-4</v>
      </c>
    </row>
    <row r="459" spans="6:10" x14ac:dyDescent="0.3">
      <c r="F459" s="121">
        <v>44102</v>
      </c>
      <c r="G459" s="53">
        <v>323.15145899999999</v>
      </c>
      <c r="H459" s="53">
        <v>90.298743999999999</v>
      </c>
      <c r="I459" s="122">
        <f t="shared" si="6"/>
        <v>1.6609314095046512E-2</v>
      </c>
      <c r="J459" s="122">
        <f t="shared" si="6"/>
        <v>1.0917179652469855E-4</v>
      </c>
    </row>
    <row r="460" spans="6:10" x14ac:dyDescent="0.3">
      <c r="F460" s="121">
        <v>44103</v>
      </c>
      <c r="G460" s="53">
        <v>321.391571</v>
      </c>
      <c r="H460" s="53">
        <v>90.298743999999999</v>
      </c>
      <c r="I460" s="122">
        <f t="shared" si="6"/>
        <v>-5.4460159500625549E-3</v>
      </c>
      <c r="J460" s="122">
        <f t="shared" si="6"/>
        <v>0</v>
      </c>
    </row>
    <row r="461" spans="6:10" x14ac:dyDescent="0.3">
      <c r="F461" s="121">
        <v>44104</v>
      </c>
      <c r="G461" s="53">
        <v>323.82833900000003</v>
      </c>
      <c r="H461" s="53">
        <v>90.288887000000003</v>
      </c>
      <c r="I461" s="122">
        <f t="shared" si="6"/>
        <v>7.581928774354818E-3</v>
      </c>
      <c r="J461" s="122">
        <f t="shared" si="6"/>
        <v>-1.0915987934445592E-4</v>
      </c>
    </row>
    <row r="462" spans="6:10" x14ac:dyDescent="0.3">
      <c r="F462" s="121">
        <v>44105</v>
      </c>
      <c r="G462" s="53">
        <v>325.90731799999998</v>
      </c>
      <c r="H462" s="53">
        <v>90.288887000000003</v>
      </c>
      <c r="I462" s="122">
        <f t="shared" si="6"/>
        <v>6.4200032845178612E-3</v>
      </c>
      <c r="J462" s="122">
        <f t="shared" si="6"/>
        <v>0</v>
      </c>
    </row>
    <row r="463" spans="6:10" x14ac:dyDescent="0.3">
      <c r="F463" s="121">
        <v>44106</v>
      </c>
      <c r="G463" s="53">
        <v>322.813019</v>
      </c>
      <c r="H463" s="53">
        <v>90.288887000000003</v>
      </c>
      <c r="I463" s="122">
        <f t="shared" si="6"/>
        <v>-9.4944139916489645E-3</v>
      </c>
      <c r="J463" s="122">
        <f t="shared" si="6"/>
        <v>0</v>
      </c>
    </row>
    <row r="464" spans="6:10" x14ac:dyDescent="0.3">
      <c r="F464" s="121">
        <v>44109</v>
      </c>
      <c r="G464" s="53">
        <v>328.53750600000001</v>
      </c>
      <c r="H464" s="53">
        <v>90.288887000000003</v>
      </c>
      <c r="I464" s="122">
        <f t="shared" si="6"/>
        <v>1.7733135478033457E-2</v>
      </c>
      <c r="J464" s="122">
        <f t="shared" si="6"/>
        <v>0</v>
      </c>
    </row>
    <row r="465" spans="6:10" x14ac:dyDescent="0.3">
      <c r="F465" s="121">
        <v>44110</v>
      </c>
      <c r="G465" s="53">
        <v>323.86706500000003</v>
      </c>
      <c r="H465" s="53">
        <v>90.298743999999999</v>
      </c>
      <c r="I465" s="122">
        <f t="shared" si="6"/>
        <v>-1.4215853333956918E-2</v>
      </c>
      <c r="J465" s="122">
        <f t="shared" si="6"/>
        <v>1.0917179652469855E-4</v>
      </c>
    </row>
    <row r="466" spans="6:10" x14ac:dyDescent="0.3">
      <c r="F466" s="121">
        <v>44111</v>
      </c>
      <c r="G466" s="53">
        <v>329.504456</v>
      </c>
      <c r="H466" s="53">
        <v>90.288887000000003</v>
      </c>
      <c r="I466" s="122">
        <f t="shared" si="6"/>
        <v>1.740649670567751E-2</v>
      </c>
      <c r="J466" s="122">
        <f t="shared" si="6"/>
        <v>-1.0915987934445592E-4</v>
      </c>
    </row>
    <row r="467" spans="6:10" x14ac:dyDescent="0.3">
      <c r="F467" s="121">
        <v>44112</v>
      </c>
      <c r="G467" s="53">
        <v>332.42477400000001</v>
      </c>
      <c r="H467" s="53">
        <v>90.288887000000003</v>
      </c>
      <c r="I467" s="122">
        <f t="shared" si="6"/>
        <v>8.8627572308157543E-3</v>
      </c>
      <c r="J467" s="122">
        <f t="shared" si="6"/>
        <v>0</v>
      </c>
    </row>
    <row r="468" spans="6:10" x14ac:dyDescent="0.3">
      <c r="F468" s="121">
        <v>44113</v>
      </c>
      <c r="G468" s="53">
        <v>335.39328</v>
      </c>
      <c r="H468" s="53">
        <v>90.288887000000003</v>
      </c>
      <c r="I468" s="122">
        <f t="shared" si="6"/>
        <v>8.9298579172683024E-3</v>
      </c>
      <c r="J468" s="122">
        <f t="shared" si="6"/>
        <v>0</v>
      </c>
    </row>
    <row r="469" spans="6:10" x14ac:dyDescent="0.3">
      <c r="F469" s="121">
        <v>44116</v>
      </c>
      <c r="G469" s="53">
        <v>340.788971</v>
      </c>
      <c r="H469" s="53">
        <v>90.298743999999999</v>
      </c>
      <c r="I469" s="122">
        <f t="shared" si="6"/>
        <v>1.608765387308897E-2</v>
      </c>
      <c r="J469" s="122">
        <f t="shared" si="6"/>
        <v>1.0917179652469855E-4</v>
      </c>
    </row>
    <row r="470" spans="6:10" x14ac:dyDescent="0.3">
      <c r="F470" s="121">
        <v>44117</v>
      </c>
      <c r="G470" s="53">
        <v>338.56500199999999</v>
      </c>
      <c r="H470" s="53">
        <v>90.288887000000003</v>
      </c>
      <c r="I470" s="122">
        <f t="shared" ref="I470:J525" si="7">G470/G469-1</f>
        <v>-6.5259418269143499E-3</v>
      </c>
      <c r="J470" s="122">
        <f t="shared" si="7"/>
        <v>-1.0915987934445592E-4</v>
      </c>
    </row>
    <row r="471" spans="6:10" x14ac:dyDescent="0.3">
      <c r="F471" s="121">
        <v>44118</v>
      </c>
      <c r="G471" s="53">
        <v>336.43765300000001</v>
      </c>
      <c r="H471" s="53">
        <v>90.288887000000003</v>
      </c>
      <c r="I471" s="122">
        <f t="shared" si="7"/>
        <v>-6.2834285511884636E-3</v>
      </c>
      <c r="J471" s="122">
        <f t="shared" si="7"/>
        <v>0</v>
      </c>
    </row>
    <row r="472" spans="6:10" x14ac:dyDescent="0.3">
      <c r="F472" s="121">
        <v>44119</v>
      </c>
      <c r="G472" s="53">
        <v>336.02181999999999</v>
      </c>
      <c r="H472" s="53">
        <v>90.288887000000003</v>
      </c>
      <c r="I472" s="122">
        <f t="shared" si="7"/>
        <v>-1.2359882917148957E-3</v>
      </c>
      <c r="J472" s="122">
        <f t="shared" si="7"/>
        <v>0</v>
      </c>
    </row>
    <row r="473" spans="6:10" x14ac:dyDescent="0.3">
      <c r="F473" s="121">
        <v>44120</v>
      </c>
      <c r="G473" s="53">
        <v>335.81875600000001</v>
      </c>
      <c r="H473" s="53">
        <v>90.298743999999999</v>
      </c>
      <c r="I473" s="122">
        <f t="shared" si="7"/>
        <v>-6.0431789816506321E-4</v>
      </c>
      <c r="J473" s="122">
        <f t="shared" si="7"/>
        <v>1.0917179652469855E-4</v>
      </c>
    </row>
    <row r="474" spans="6:10" x14ac:dyDescent="0.3">
      <c r="F474" s="121">
        <v>44123</v>
      </c>
      <c r="G474" s="53">
        <v>330.71319599999998</v>
      </c>
      <c r="H474" s="53">
        <v>90.298743999999999</v>
      </c>
      <c r="I474" s="122">
        <f t="shared" si="7"/>
        <v>-1.5203319971800577E-2</v>
      </c>
      <c r="J474" s="122">
        <f t="shared" si="7"/>
        <v>0</v>
      </c>
    </row>
    <row r="475" spans="6:10" x14ac:dyDescent="0.3">
      <c r="F475" s="121">
        <v>44124</v>
      </c>
      <c r="G475" s="53">
        <v>332.03793300000001</v>
      </c>
      <c r="H475" s="53">
        <v>90.288887000000003</v>
      </c>
      <c r="I475" s="122">
        <f t="shared" si="7"/>
        <v>4.0056974321642791E-3</v>
      </c>
      <c r="J475" s="122">
        <f t="shared" si="7"/>
        <v>-1.0915987934445592E-4</v>
      </c>
    </row>
    <row r="476" spans="6:10" x14ac:dyDescent="0.3">
      <c r="F476" s="121">
        <v>44125</v>
      </c>
      <c r="G476" s="53">
        <v>331.40936299999998</v>
      </c>
      <c r="H476" s="53">
        <v>90.288887000000003</v>
      </c>
      <c r="I476" s="122">
        <f t="shared" si="7"/>
        <v>-1.8930668382398652E-3</v>
      </c>
      <c r="J476" s="122">
        <f t="shared" si="7"/>
        <v>0</v>
      </c>
    </row>
    <row r="477" spans="6:10" x14ac:dyDescent="0.3">
      <c r="F477" s="121">
        <v>44126</v>
      </c>
      <c r="G477" s="53">
        <v>333.22726399999999</v>
      </c>
      <c r="H477" s="53">
        <v>90.298743999999999</v>
      </c>
      <c r="I477" s="122">
        <f t="shared" si="7"/>
        <v>5.4853640330010389E-3</v>
      </c>
      <c r="J477" s="122">
        <f t="shared" si="7"/>
        <v>1.0917179652469855E-4</v>
      </c>
    </row>
    <row r="478" spans="6:10" x14ac:dyDescent="0.3">
      <c r="F478" s="121">
        <v>44127</v>
      </c>
      <c r="G478" s="53">
        <v>334.35870399999999</v>
      </c>
      <c r="H478" s="53">
        <v>90.298743999999999</v>
      </c>
      <c r="I478" s="122">
        <f t="shared" si="7"/>
        <v>3.3954004435843288E-3</v>
      </c>
      <c r="J478" s="122">
        <f t="shared" si="7"/>
        <v>0</v>
      </c>
    </row>
    <row r="479" spans="6:10" x14ac:dyDescent="0.3">
      <c r="F479" s="121">
        <v>44130</v>
      </c>
      <c r="G479" s="53">
        <v>328.17974900000002</v>
      </c>
      <c r="H479" s="53">
        <v>90.298743999999999</v>
      </c>
      <c r="I479" s="122">
        <f t="shared" si="7"/>
        <v>-1.8480018393658981E-2</v>
      </c>
      <c r="J479" s="122">
        <f t="shared" si="7"/>
        <v>0</v>
      </c>
    </row>
    <row r="480" spans="6:10" x14ac:dyDescent="0.3">
      <c r="F480" s="121">
        <v>44131</v>
      </c>
      <c r="G480" s="53">
        <v>327.04840100000001</v>
      </c>
      <c r="H480" s="53">
        <v>90.288887000000003</v>
      </c>
      <c r="I480" s="122">
        <f t="shared" si="7"/>
        <v>-3.4473425110700395E-3</v>
      </c>
      <c r="J480" s="122">
        <f t="shared" si="7"/>
        <v>-1.0915987934445592E-4</v>
      </c>
    </row>
    <row r="481" spans="6:10" x14ac:dyDescent="0.3">
      <c r="F481" s="121">
        <v>44132</v>
      </c>
      <c r="G481" s="53">
        <v>315.87023900000003</v>
      </c>
      <c r="H481" s="53">
        <v>90.288887000000003</v>
      </c>
      <c r="I481" s="122">
        <f t="shared" si="7"/>
        <v>-3.4178922648210652E-2</v>
      </c>
      <c r="J481" s="122">
        <f t="shared" si="7"/>
        <v>0</v>
      </c>
    </row>
    <row r="482" spans="6:10" x14ac:dyDescent="0.3">
      <c r="F482" s="121">
        <v>44133</v>
      </c>
      <c r="G482" s="53">
        <v>319.08056599999998</v>
      </c>
      <c r="H482" s="53">
        <v>90.298743999999999</v>
      </c>
      <c r="I482" s="122">
        <f t="shared" si="7"/>
        <v>1.0163436131759074E-2</v>
      </c>
      <c r="J482" s="122">
        <f t="shared" si="7"/>
        <v>1.0917179652469855E-4</v>
      </c>
    </row>
    <row r="483" spans="6:10" x14ac:dyDescent="0.3">
      <c r="F483" s="121">
        <v>44134</v>
      </c>
      <c r="G483" s="53">
        <v>315.75418100000002</v>
      </c>
      <c r="H483" s="53">
        <v>90.298743999999999</v>
      </c>
      <c r="I483" s="122">
        <f t="shared" si="7"/>
        <v>-1.042490629153503E-2</v>
      </c>
      <c r="J483" s="122">
        <f t="shared" si="7"/>
        <v>0</v>
      </c>
    </row>
    <row r="484" spans="6:10" x14ac:dyDescent="0.3">
      <c r="F484" s="121">
        <v>44137</v>
      </c>
      <c r="G484" s="53">
        <v>319.29330399999998</v>
      </c>
      <c r="H484" s="53">
        <v>90.298743999999999</v>
      </c>
      <c r="I484" s="122">
        <f t="shared" si="7"/>
        <v>1.1208475494422609E-2</v>
      </c>
      <c r="J484" s="122">
        <f t="shared" si="7"/>
        <v>0</v>
      </c>
    </row>
    <row r="485" spans="6:10" x14ac:dyDescent="0.3">
      <c r="F485" s="121">
        <v>44138</v>
      </c>
      <c r="G485" s="53">
        <v>324.930725</v>
      </c>
      <c r="H485" s="53">
        <v>90.298743999999999</v>
      </c>
      <c r="I485" s="122">
        <f t="shared" si="7"/>
        <v>1.7655932427571353E-2</v>
      </c>
      <c r="J485" s="122">
        <f t="shared" si="7"/>
        <v>0</v>
      </c>
    </row>
    <row r="486" spans="6:10" x14ac:dyDescent="0.3">
      <c r="F486" s="121">
        <v>44139</v>
      </c>
      <c r="G486" s="53">
        <v>332.192657</v>
      </c>
      <c r="H486" s="53">
        <v>90.288887000000003</v>
      </c>
      <c r="I486" s="122">
        <f t="shared" si="7"/>
        <v>2.2349169965382609E-2</v>
      </c>
      <c r="J486" s="122">
        <f t="shared" si="7"/>
        <v>-1.0915987934445592E-4</v>
      </c>
    </row>
    <row r="487" spans="6:10" x14ac:dyDescent="0.3">
      <c r="F487" s="121">
        <v>44140</v>
      </c>
      <c r="G487" s="53">
        <v>338.67138699999998</v>
      </c>
      <c r="H487" s="53">
        <v>90.298743999999999</v>
      </c>
      <c r="I487" s="122">
        <f t="shared" si="7"/>
        <v>1.9502929590644147E-2</v>
      </c>
      <c r="J487" s="122">
        <f t="shared" si="7"/>
        <v>1.0917179652469855E-4</v>
      </c>
    </row>
    <row r="488" spans="6:10" x14ac:dyDescent="0.3">
      <c r="F488" s="121">
        <v>44141</v>
      </c>
      <c r="G488" s="53">
        <v>338.59399400000001</v>
      </c>
      <c r="H488" s="53">
        <v>90.288887000000003</v>
      </c>
      <c r="I488" s="122">
        <f t="shared" si="7"/>
        <v>-2.2851945269286578E-4</v>
      </c>
      <c r="J488" s="122">
        <f t="shared" si="7"/>
        <v>-1.0915987934445592E-4</v>
      </c>
    </row>
    <row r="489" spans="6:10" x14ac:dyDescent="0.3">
      <c r="F489" s="121">
        <v>44144</v>
      </c>
      <c r="G489" s="53">
        <v>342.84863300000001</v>
      </c>
      <c r="H489" s="53">
        <v>90.298743999999999</v>
      </c>
      <c r="I489" s="122">
        <f t="shared" si="7"/>
        <v>1.2565606819357811E-2</v>
      </c>
      <c r="J489" s="122">
        <f t="shared" si="7"/>
        <v>1.0917179652469855E-4</v>
      </c>
    </row>
    <row r="490" spans="6:10" x14ac:dyDescent="0.3">
      <c r="F490" s="121">
        <v>44145</v>
      </c>
      <c r="G490" s="53">
        <v>342.34582499999999</v>
      </c>
      <c r="H490" s="53">
        <v>90.288887000000003</v>
      </c>
      <c r="I490" s="122">
        <f t="shared" si="7"/>
        <v>-1.4665597339570402E-3</v>
      </c>
      <c r="J490" s="122">
        <f t="shared" si="7"/>
        <v>-1.0915987934445592E-4</v>
      </c>
    </row>
    <row r="491" spans="6:10" x14ac:dyDescent="0.3">
      <c r="F491" s="121">
        <v>44146</v>
      </c>
      <c r="G491" s="53">
        <v>344.88897700000001</v>
      </c>
      <c r="H491" s="53">
        <v>90.288887000000003</v>
      </c>
      <c r="I491" s="122">
        <f t="shared" si="7"/>
        <v>7.4286052707084327E-3</v>
      </c>
      <c r="J491" s="122">
        <f t="shared" si="7"/>
        <v>0</v>
      </c>
    </row>
    <row r="492" spans="6:10" x14ac:dyDescent="0.3">
      <c r="F492" s="121">
        <v>44147</v>
      </c>
      <c r="G492" s="53">
        <v>341.54321299999998</v>
      </c>
      <c r="H492" s="53">
        <v>90.288887000000003</v>
      </c>
      <c r="I492" s="122">
        <f t="shared" si="7"/>
        <v>-9.700988501003982E-3</v>
      </c>
      <c r="J492" s="122">
        <f t="shared" si="7"/>
        <v>0</v>
      </c>
    </row>
    <row r="493" spans="6:10" x14ac:dyDescent="0.3">
      <c r="F493" s="121">
        <v>44148</v>
      </c>
      <c r="G493" s="53">
        <v>346.27172899999999</v>
      </c>
      <c r="H493" s="53">
        <v>90.298743999999999</v>
      </c>
      <c r="I493" s="122">
        <f t="shared" si="7"/>
        <v>1.3844561449388282E-2</v>
      </c>
      <c r="J493" s="122">
        <f t="shared" si="7"/>
        <v>1.0917179652469855E-4</v>
      </c>
    </row>
    <row r="494" spans="6:10" x14ac:dyDescent="0.3">
      <c r="F494" s="121">
        <v>44151</v>
      </c>
      <c r="G494" s="53">
        <v>350.594086</v>
      </c>
      <c r="H494" s="53">
        <v>90.298743999999999</v>
      </c>
      <c r="I494" s="122">
        <f t="shared" si="7"/>
        <v>1.2482558170378466E-2</v>
      </c>
      <c r="J494" s="122">
        <f t="shared" si="7"/>
        <v>0</v>
      </c>
    </row>
    <row r="495" spans="6:10" x14ac:dyDescent="0.3">
      <c r="F495" s="121">
        <v>44152</v>
      </c>
      <c r="G495" s="53">
        <v>348.70843500000001</v>
      </c>
      <c r="H495" s="53">
        <v>90.298743999999999</v>
      </c>
      <c r="I495" s="122">
        <f t="shared" si="7"/>
        <v>-5.3784449746822061E-3</v>
      </c>
      <c r="J495" s="122">
        <f t="shared" si="7"/>
        <v>0</v>
      </c>
    </row>
    <row r="496" spans="6:10" x14ac:dyDescent="0.3">
      <c r="F496" s="121">
        <v>44153</v>
      </c>
      <c r="G496" s="53">
        <v>344.511841</v>
      </c>
      <c r="H496" s="53">
        <v>90.298743999999999</v>
      </c>
      <c r="I496" s="122">
        <f t="shared" si="7"/>
        <v>-1.2034678771105756E-2</v>
      </c>
      <c r="J496" s="122">
        <f t="shared" si="7"/>
        <v>0</v>
      </c>
    </row>
    <row r="497" spans="6:10" x14ac:dyDescent="0.3">
      <c r="F497" s="121">
        <v>44154</v>
      </c>
      <c r="G497" s="53">
        <v>345.962311</v>
      </c>
      <c r="H497" s="53">
        <v>90.298743999999999</v>
      </c>
      <c r="I497" s="122">
        <f t="shared" si="7"/>
        <v>4.2102181329668475E-3</v>
      </c>
      <c r="J497" s="122">
        <f t="shared" si="7"/>
        <v>0</v>
      </c>
    </row>
    <row r="498" spans="6:10" x14ac:dyDescent="0.3">
      <c r="F498" s="121">
        <v>44155</v>
      </c>
      <c r="G498" s="53">
        <v>343.59320100000002</v>
      </c>
      <c r="H498" s="53">
        <v>90.298743999999999</v>
      </c>
      <c r="I498" s="122">
        <f t="shared" si="7"/>
        <v>-6.847884652961489E-3</v>
      </c>
      <c r="J498" s="122">
        <f t="shared" si="7"/>
        <v>0</v>
      </c>
    </row>
    <row r="499" spans="6:10" x14ac:dyDescent="0.3">
      <c r="F499" s="121">
        <v>44158</v>
      </c>
      <c r="G499" s="53">
        <v>345.65289300000001</v>
      </c>
      <c r="H499" s="53">
        <v>90.298743999999999</v>
      </c>
      <c r="I499" s="122">
        <f t="shared" si="7"/>
        <v>5.994565649161343E-3</v>
      </c>
      <c r="J499" s="122">
        <f t="shared" si="7"/>
        <v>0</v>
      </c>
    </row>
    <row r="500" spans="6:10" x14ac:dyDescent="0.3">
      <c r="F500" s="121">
        <v>44159</v>
      </c>
      <c r="G500" s="53">
        <v>351.22262599999999</v>
      </c>
      <c r="H500" s="53">
        <v>90.298743999999999</v>
      </c>
      <c r="I500" s="122">
        <f t="shared" si="7"/>
        <v>1.611365943348253E-2</v>
      </c>
      <c r="J500" s="122">
        <f t="shared" si="7"/>
        <v>0</v>
      </c>
    </row>
    <row r="501" spans="6:10" x14ac:dyDescent="0.3">
      <c r="F501" s="121">
        <v>44160</v>
      </c>
      <c r="G501" s="53">
        <v>350.68112200000002</v>
      </c>
      <c r="H501" s="53">
        <v>90.288887000000003</v>
      </c>
      <c r="I501" s="122">
        <f t="shared" si="7"/>
        <v>-1.5417685533732906E-3</v>
      </c>
      <c r="J501" s="122">
        <f t="shared" si="7"/>
        <v>-1.0915987934445592E-4</v>
      </c>
    </row>
    <row r="502" spans="6:10" x14ac:dyDescent="0.3">
      <c r="F502" s="121">
        <v>44162</v>
      </c>
      <c r="G502" s="53">
        <v>351.65780599999999</v>
      </c>
      <c r="H502" s="53">
        <v>90.298743999999999</v>
      </c>
      <c r="I502" s="122">
        <f t="shared" si="7"/>
        <v>2.7851057234840049E-3</v>
      </c>
      <c r="J502" s="122">
        <f t="shared" si="7"/>
        <v>1.0917179652469855E-4</v>
      </c>
    </row>
    <row r="503" spans="6:10" x14ac:dyDescent="0.3">
      <c r="F503" s="121">
        <v>44165</v>
      </c>
      <c r="G503" s="53">
        <v>350.10095200000001</v>
      </c>
      <c r="H503" s="53">
        <v>90.288887000000003</v>
      </c>
      <c r="I503" s="122">
        <f t="shared" si="7"/>
        <v>-4.4271845340466687E-3</v>
      </c>
      <c r="J503" s="122">
        <f t="shared" si="7"/>
        <v>-1.0915987934445592E-4</v>
      </c>
    </row>
    <row r="504" spans="6:10" x14ac:dyDescent="0.3">
      <c r="F504" s="121">
        <v>44166</v>
      </c>
      <c r="G504" s="53">
        <v>353.93008400000002</v>
      </c>
      <c r="H504" s="53">
        <v>90.281981999999999</v>
      </c>
      <c r="I504" s="122">
        <f t="shared" si="7"/>
        <v>1.0937222472905406E-2</v>
      </c>
      <c r="J504" s="122">
        <f t="shared" si="7"/>
        <v>-7.6476742924103114E-5</v>
      </c>
    </row>
    <row r="505" spans="6:10" x14ac:dyDescent="0.3">
      <c r="F505" s="121">
        <v>44167</v>
      </c>
      <c r="G505" s="53">
        <v>354.67468300000002</v>
      </c>
      <c r="H505" s="53">
        <v>90.291847000000004</v>
      </c>
      <c r="I505" s="122">
        <f t="shared" si="7"/>
        <v>2.1038025125887927E-3</v>
      </c>
      <c r="J505" s="122">
        <f t="shared" si="7"/>
        <v>1.0926875752459431E-4</v>
      </c>
    </row>
    <row r="506" spans="6:10" x14ac:dyDescent="0.3">
      <c r="F506" s="121">
        <v>44168</v>
      </c>
      <c r="G506" s="53">
        <v>354.57797199999999</v>
      </c>
      <c r="H506" s="53">
        <v>90.291847000000004</v>
      </c>
      <c r="I506" s="122">
        <f t="shared" si="7"/>
        <v>-2.7267522785101583E-4</v>
      </c>
      <c r="J506" s="122">
        <f t="shared" si="7"/>
        <v>0</v>
      </c>
    </row>
    <row r="507" spans="6:10" x14ac:dyDescent="0.3">
      <c r="F507" s="121">
        <v>44169</v>
      </c>
      <c r="G507" s="53">
        <v>357.633667</v>
      </c>
      <c r="H507" s="53">
        <v>90.301711999999995</v>
      </c>
      <c r="I507" s="122">
        <f t="shared" si="7"/>
        <v>8.6178365304656612E-3</v>
      </c>
      <c r="J507" s="122">
        <f t="shared" si="7"/>
        <v>1.0925681916762464E-4</v>
      </c>
    </row>
    <row r="508" spans="6:10" x14ac:dyDescent="0.3">
      <c r="F508" s="121">
        <v>44172</v>
      </c>
      <c r="G508" s="53">
        <v>356.89871199999999</v>
      </c>
      <c r="H508" s="53">
        <v>90.281981999999999</v>
      </c>
      <c r="I508" s="122">
        <f t="shared" si="7"/>
        <v>-2.0550498116275184E-3</v>
      </c>
      <c r="J508" s="122">
        <f t="shared" si="7"/>
        <v>-2.1848976683846999E-4</v>
      </c>
    </row>
    <row r="509" spans="6:10" x14ac:dyDescent="0.3">
      <c r="F509" s="121">
        <v>44173</v>
      </c>
      <c r="G509" s="53">
        <v>357.94305400000002</v>
      </c>
      <c r="H509" s="53">
        <v>90.281981999999999</v>
      </c>
      <c r="I509" s="122">
        <f t="shared" si="7"/>
        <v>2.9261579402954929E-3</v>
      </c>
      <c r="J509" s="122">
        <f t="shared" si="7"/>
        <v>0</v>
      </c>
    </row>
    <row r="510" spans="6:10" x14ac:dyDescent="0.3">
      <c r="F510" s="121">
        <v>44174</v>
      </c>
      <c r="G510" s="53">
        <v>354.73272700000001</v>
      </c>
      <c r="H510" s="53">
        <v>90.281981999999999</v>
      </c>
      <c r="I510" s="122">
        <f t="shared" si="7"/>
        <v>-8.9688204984695874E-3</v>
      </c>
      <c r="J510" s="122">
        <f t="shared" si="7"/>
        <v>0</v>
      </c>
    </row>
    <row r="511" spans="6:10" x14ac:dyDescent="0.3">
      <c r="F511" s="121">
        <v>44175</v>
      </c>
      <c r="G511" s="53">
        <v>354.61663800000002</v>
      </c>
      <c r="H511" s="53">
        <v>90.281981999999999</v>
      </c>
      <c r="I511" s="122">
        <f t="shared" si="7"/>
        <v>-3.2725765390118067E-4</v>
      </c>
      <c r="J511" s="122">
        <f t="shared" si="7"/>
        <v>0</v>
      </c>
    </row>
    <row r="512" spans="6:10" x14ac:dyDescent="0.3">
      <c r="F512" s="121">
        <v>44176</v>
      </c>
      <c r="G512" s="53">
        <v>354.200897</v>
      </c>
      <c r="H512" s="53">
        <v>90.291847000000004</v>
      </c>
      <c r="I512" s="122">
        <f t="shared" si="7"/>
        <v>-1.1723674397928763E-3</v>
      </c>
      <c r="J512" s="122">
        <f t="shared" si="7"/>
        <v>1.0926875752459431E-4</v>
      </c>
    </row>
    <row r="513" spans="6:10" x14ac:dyDescent="0.3">
      <c r="F513" s="121">
        <v>44179</v>
      </c>
      <c r="G513" s="53">
        <v>352.61508199999997</v>
      </c>
      <c r="H513" s="53">
        <v>90.281981999999999</v>
      </c>
      <c r="I513" s="122">
        <f t="shared" si="7"/>
        <v>-4.4771625747747068E-3</v>
      </c>
      <c r="J513" s="122">
        <f t="shared" si="7"/>
        <v>-1.0925681916784669E-4</v>
      </c>
    </row>
    <row r="514" spans="6:10" x14ac:dyDescent="0.3">
      <c r="F514" s="121">
        <v>44180</v>
      </c>
      <c r="G514" s="53">
        <v>357.38220200000001</v>
      </c>
      <c r="H514" s="53">
        <v>90.281981999999999</v>
      </c>
      <c r="I514" s="122">
        <f t="shared" si="7"/>
        <v>1.351933097405067E-2</v>
      </c>
      <c r="J514" s="122">
        <f t="shared" si="7"/>
        <v>0</v>
      </c>
    </row>
    <row r="515" spans="6:10" x14ac:dyDescent="0.3">
      <c r="F515" s="121">
        <v>44181</v>
      </c>
      <c r="G515" s="53">
        <v>357.94305400000002</v>
      </c>
      <c r="H515" s="53">
        <v>90.291847000000004</v>
      </c>
      <c r="I515" s="122">
        <f t="shared" si="7"/>
        <v>1.5693338864144479E-3</v>
      </c>
      <c r="J515" s="122">
        <f t="shared" si="7"/>
        <v>1.0926875752459431E-4</v>
      </c>
    </row>
    <row r="516" spans="6:10" x14ac:dyDescent="0.3">
      <c r="F516" s="121">
        <v>44182</v>
      </c>
      <c r="G516" s="53">
        <v>359.94464099999999</v>
      </c>
      <c r="H516" s="53">
        <v>90.291847000000004</v>
      </c>
      <c r="I516" s="122">
        <f t="shared" si="7"/>
        <v>5.5919146289677979E-3</v>
      </c>
      <c r="J516" s="122">
        <f t="shared" si="7"/>
        <v>0</v>
      </c>
    </row>
    <row r="517" spans="6:10" x14ac:dyDescent="0.3">
      <c r="F517" s="121">
        <v>44183</v>
      </c>
      <c r="G517" s="53">
        <v>358.50741599999998</v>
      </c>
      <c r="H517" s="53">
        <v>90.291847000000004</v>
      </c>
      <c r="I517" s="122">
        <f t="shared" si="7"/>
        <v>-3.9929056757369574E-3</v>
      </c>
      <c r="J517" s="122">
        <f t="shared" si="7"/>
        <v>0</v>
      </c>
    </row>
    <row r="518" spans="6:10" x14ac:dyDescent="0.3">
      <c r="F518" s="121">
        <v>44186</v>
      </c>
      <c r="G518" s="53">
        <v>357.22555499999999</v>
      </c>
      <c r="H518" s="53">
        <v>90.291847000000004</v>
      </c>
      <c r="I518" s="122">
        <f t="shared" si="7"/>
        <v>-3.5755494664578835E-3</v>
      </c>
      <c r="J518" s="122">
        <f t="shared" si="7"/>
        <v>0</v>
      </c>
    </row>
    <row r="519" spans="6:10" x14ac:dyDescent="0.3">
      <c r="F519" s="121">
        <v>44187</v>
      </c>
      <c r="G519" s="53">
        <v>356.62350500000002</v>
      </c>
      <c r="H519" s="53">
        <v>90.291847000000004</v>
      </c>
      <c r="I519" s="122">
        <f t="shared" si="7"/>
        <v>-1.6853497505238124E-3</v>
      </c>
      <c r="J519" s="122">
        <f t="shared" si="7"/>
        <v>0</v>
      </c>
    </row>
    <row r="520" spans="6:10" x14ac:dyDescent="0.3">
      <c r="F520" s="121">
        <v>44188</v>
      </c>
      <c r="G520" s="53">
        <v>356.94400000000002</v>
      </c>
      <c r="H520" s="53">
        <v>90.281981999999999</v>
      </c>
      <c r="I520" s="122">
        <f t="shared" si="7"/>
        <v>8.9869286658483816E-4</v>
      </c>
      <c r="J520" s="122">
        <f t="shared" si="7"/>
        <v>-1.0925681916784669E-4</v>
      </c>
    </row>
    <row r="521" spans="6:10" x14ac:dyDescent="0.3">
      <c r="F521" s="121">
        <v>44189</v>
      </c>
      <c r="G521" s="53">
        <v>358.33264200000002</v>
      </c>
      <c r="H521" s="53">
        <v>90.291847000000004</v>
      </c>
      <c r="I521" s="122">
        <f t="shared" si="7"/>
        <v>3.8903637545384395E-3</v>
      </c>
      <c r="J521" s="122">
        <f t="shared" si="7"/>
        <v>1.0926875752459431E-4</v>
      </c>
    </row>
    <row r="522" spans="6:10" x14ac:dyDescent="0.3">
      <c r="F522" s="121">
        <v>44193</v>
      </c>
      <c r="G522" s="53">
        <v>361.41101099999997</v>
      </c>
      <c r="H522" s="53">
        <v>90.291847000000004</v>
      </c>
      <c r="I522" s="122">
        <f t="shared" si="7"/>
        <v>8.5908137835792875E-3</v>
      </c>
      <c r="J522" s="122">
        <f t="shared" si="7"/>
        <v>0</v>
      </c>
    </row>
    <row r="523" spans="6:10" x14ac:dyDescent="0.3">
      <c r="F523" s="121">
        <v>44194</v>
      </c>
      <c r="G523" s="53">
        <v>360.72155800000002</v>
      </c>
      <c r="H523" s="53">
        <v>90.291847000000004</v>
      </c>
      <c r="I523" s="122">
        <f t="shared" si="7"/>
        <v>-1.9076701567345422E-3</v>
      </c>
      <c r="J523" s="122">
        <f t="shared" si="7"/>
        <v>0</v>
      </c>
    </row>
    <row r="524" spans="6:10" x14ac:dyDescent="0.3">
      <c r="F524" s="121">
        <v>44195</v>
      </c>
      <c r="G524" s="53">
        <v>361.236176</v>
      </c>
      <c r="H524" s="53">
        <v>90.281981999999999</v>
      </c>
      <c r="I524" s="122">
        <f t="shared" si="7"/>
        <v>1.4266350002845041E-3</v>
      </c>
      <c r="J524" s="122">
        <f t="shared" si="7"/>
        <v>-1.0925681916784669E-4</v>
      </c>
    </row>
    <row r="525" spans="6:10" x14ac:dyDescent="0.3">
      <c r="F525" s="121">
        <v>44196</v>
      </c>
      <c r="G525" s="53">
        <v>363.07156400000002</v>
      </c>
      <c r="H525" s="53">
        <v>90.291847000000004</v>
      </c>
      <c r="I525" s="122">
        <f t="shared" si="7"/>
        <v>5.0808532531914086E-3</v>
      </c>
      <c r="J525" s="122">
        <f t="shared" si="7"/>
        <v>1.0926875752459431E-4</v>
      </c>
    </row>
  </sheetData>
  <mergeCells count="1">
    <mergeCell ref="D21:D22"/>
  </mergeCells>
  <pageMargins left="0.511811024" right="0.511811024" top="0.78740157499999996" bottom="0.78740157499999996" header="0.31496062000000002" footer="0.31496062000000002"/>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C64A4-B972-4B99-A2F0-DD4901F16BFA}">
  <sheetPr codeName="Planilha65">
    <tabColor theme="9" tint="0.59999389629810485"/>
  </sheetPr>
  <dimension ref="A1:Y525"/>
  <sheetViews>
    <sheetView showGridLines="0" topLeftCell="A2" zoomScale="85" zoomScaleNormal="85" workbookViewId="0">
      <selection activeCell="B14" sqref="B14"/>
    </sheetView>
  </sheetViews>
  <sheetFormatPr defaultColWidth="8.85546875" defaultRowHeight="18.75" x14ac:dyDescent="0.3"/>
  <cols>
    <col min="1" max="1" width="18.5703125" style="17" customWidth="1"/>
    <col min="2" max="2" width="49" customWidth="1"/>
    <col min="4" max="4" width="8.5703125" bestFit="1" customWidth="1"/>
    <col min="5" max="5" width="4.5703125" customWidth="1"/>
    <col min="6" max="6" width="8.7109375" bestFit="1" customWidth="1"/>
    <col min="7" max="10" width="17" bestFit="1" customWidth="1"/>
    <col min="11" max="11" width="12.85546875" bestFit="1" customWidth="1"/>
    <col min="13" max="15" width="9" style="15" customWidth="1"/>
    <col min="16" max="24" width="8.85546875" style="15"/>
  </cols>
  <sheetData>
    <row r="1" spans="1:24" x14ac:dyDescent="0.3">
      <c r="A1" s="16" t="s">
        <v>659</v>
      </c>
      <c r="M1" s="14"/>
      <c r="N1" s="14"/>
      <c r="O1" s="14"/>
      <c r="P1" s="14"/>
      <c r="Q1" s="14"/>
      <c r="R1" s="14"/>
      <c r="S1" s="14"/>
      <c r="T1" s="14"/>
      <c r="U1" s="14"/>
      <c r="V1" s="14"/>
      <c r="W1" s="14"/>
      <c r="X1" s="14"/>
    </row>
    <row r="2" spans="1:24" x14ac:dyDescent="0.3">
      <c r="A2" s="17" t="s">
        <v>676</v>
      </c>
      <c r="M2" s="14"/>
      <c r="N2" s="14"/>
      <c r="O2" s="14"/>
      <c r="P2" s="14"/>
      <c r="Q2" s="14"/>
      <c r="R2" s="14"/>
      <c r="S2" s="14"/>
      <c r="T2" s="14"/>
      <c r="U2" s="14"/>
      <c r="V2" s="14"/>
      <c r="W2" s="14"/>
      <c r="X2" s="14"/>
    </row>
    <row r="3" spans="1:24" ht="15" x14ac:dyDescent="0.25">
      <c r="A3" s="120" t="s">
        <v>646</v>
      </c>
      <c r="M3" s="14"/>
      <c r="N3" s="14"/>
      <c r="O3" s="14"/>
      <c r="P3" s="14"/>
      <c r="Q3" s="14"/>
      <c r="R3" s="14"/>
      <c r="S3" s="14"/>
      <c r="T3" s="14"/>
      <c r="U3" s="14"/>
      <c r="V3" s="14"/>
      <c r="W3" s="14"/>
      <c r="X3" s="14"/>
    </row>
    <row r="4" spans="1:24" ht="15" x14ac:dyDescent="0.25">
      <c r="A4" s="120" t="s">
        <v>647</v>
      </c>
      <c r="M4" s="14"/>
      <c r="N4" s="14"/>
      <c r="O4" s="14"/>
      <c r="P4" s="14"/>
      <c r="Q4" s="14"/>
      <c r="R4" s="14"/>
      <c r="S4" s="14"/>
      <c r="T4" s="14"/>
      <c r="U4" s="14"/>
      <c r="V4" s="14"/>
      <c r="W4" s="14"/>
      <c r="X4" s="14"/>
    </row>
    <row r="5" spans="1:24" ht="15" x14ac:dyDescent="0.25">
      <c r="A5" s="120" t="s">
        <v>648</v>
      </c>
      <c r="M5" s="14"/>
      <c r="N5" s="14"/>
      <c r="O5" s="14"/>
      <c r="P5" s="14"/>
      <c r="Q5" s="14"/>
      <c r="R5" s="14"/>
      <c r="S5" s="14"/>
      <c r="T5" s="14"/>
      <c r="U5" s="14"/>
      <c r="V5" s="14"/>
      <c r="W5" s="14"/>
      <c r="X5" s="14"/>
    </row>
    <row r="6" spans="1:24" ht="15" x14ac:dyDescent="0.25">
      <c r="A6" s="120" t="s">
        <v>663</v>
      </c>
      <c r="M6" s="14"/>
      <c r="N6" s="14"/>
      <c r="O6" s="14"/>
      <c r="P6" s="14"/>
      <c r="Q6" s="14"/>
      <c r="R6" s="14"/>
      <c r="S6" s="14"/>
      <c r="T6" s="14"/>
      <c r="U6" s="14"/>
      <c r="V6" s="14"/>
      <c r="W6" s="14"/>
      <c r="X6" s="14"/>
    </row>
    <row r="7" spans="1:24" ht="15" x14ac:dyDescent="0.25">
      <c r="A7" s="120"/>
      <c r="M7" s="14"/>
      <c r="N7" s="14"/>
      <c r="O7" s="14"/>
      <c r="P7" s="14"/>
      <c r="Q7" s="14"/>
      <c r="R7" s="14"/>
      <c r="S7" s="14"/>
      <c r="T7" s="14"/>
      <c r="U7" s="14"/>
      <c r="V7" s="14"/>
      <c r="W7" s="14"/>
      <c r="X7" s="14"/>
    </row>
    <row r="8" spans="1:24" x14ac:dyDescent="0.3">
      <c r="A8" s="17" t="s">
        <v>660</v>
      </c>
      <c r="M8" s="14"/>
      <c r="N8" s="14"/>
      <c r="O8" s="14"/>
      <c r="P8" s="14"/>
      <c r="Q8" s="14"/>
      <c r="R8" s="14"/>
      <c r="S8" s="14"/>
      <c r="T8" s="14"/>
      <c r="U8" s="14"/>
      <c r="V8" s="14"/>
      <c r="W8" s="14"/>
      <c r="X8" s="14"/>
    </row>
    <row r="10" spans="1:24" ht="15.75" x14ac:dyDescent="0.25">
      <c r="A10" s="2" t="s">
        <v>15</v>
      </c>
      <c r="B10" s="2" t="s">
        <v>16</v>
      </c>
    </row>
    <row r="11" spans="1:24" ht="15.75" x14ac:dyDescent="0.25">
      <c r="A11" s="23" t="s">
        <v>651</v>
      </c>
      <c r="B11" s="24" t="s">
        <v>655</v>
      </c>
    </row>
    <row r="12" spans="1:24" ht="15.75" x14ac:dyDescent="0.25">
      <c r="A12" s="23" t="s">
        <v>652</v>
      </c>
      <c r="B12" s="24" t="s">
        <v>656</v>
      </c>
    </row>
    <row r="13" spans="1:24" ht="15.75" x14ac:dyDescent="0.25">
      <c r="A13" s="23" t="s">
        <v>653</v>
      </c>
      <c r="B13" s="24" t="s">
        <v>657</v>
      </c>
    </row>
    <row r="14" spans="1:24" ht="15.75" x14ac:dyDescent="0.25">
      <c r="A14" s="23" t="s">
        <v>654</v>
      </c>
      <c r="B14" s="24" t="s">
        <v>658</v>
      </c>
    </row>
    <row r="15" spans="1:24" ht="31.5" x14ac:dyDescent="0.25">
      <c r="A15" s="23" t="s">
        <v>246</v>
      </c>
      <c r="B15" s="24" t="s">
        <v>824</v>
      </c>
    </row>
    <row r="16" spans="1:24" ht="15.75" x14ac:dyDescent="0.25">
      <c r="A16" s="23"/>
      <c r="B16" s="24"/>
      <c r="I16" t="s">
        <v>644</v>
      </c>
      <c r="J16" t="s">
        <v>645</v>
      </c>
    </row>
    <row r="17" spans="1:25" x14ac:dyDescent="0.3">
      <c r="D17" s="1" t="s">
        <v>17</v>
      </c>
      <c r="G17" s="1" t="s">
        <v>642</v>
      </c>
      <c r="H17" s="1" t="s">
        <v>643</v>
      </c>
      <c r="I17" s="13" t="s">
        <v>651</v>
      </c>
      <c r="J17" s="13" t="s">
        <v>652</v>
      </c>
      <c r="K17" s="13" t="s">
        <v>246</v>
      </c>
      <c r="M17" s="15" t="s">
        <v>661</v>
      </c>
      <c r="O17" s="15" t="s">
        <v>662</v>
      </c>
    </row>
    <row r="18" spans="1:25" x14ac:dyDescent="0.3">
      <c r="F18" s="121">
        <v>43465</v>
      </c>
      <c r="G18" s="53">
        <v>233.81840500000001</v>
      </c>
      <c r="H18" s="53">
        <v>88.142380000000003</v>
      </c>
      <c r="I18" s="102"/>
      <c r="J18" s="102"/>
      <c r="K18" s="55" t="b">
        <v>0</v>
      </c>
      <c r="M18" s="123" cm="1">
        <f t="array" ref="M18">_xlfn.LAMBDA(_xlpm.sampleNonCrisis_1,_xlpm.sampleNonCrisis_2,_xlpm.sampleCrisis_1,_xlpm.sampleCrisis_2,_xlop.returnPValue,_xlfn.LET(_xlpm.volNonCrisis_1,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_xlpm.coVolNonCrisis, AVERAGE((_xlpm.sampleNonCrisis_1 - _xlpm.meanNonCrisis_1) ^ 2 / _xlpm.volNonCrisis_1 ^ 2 * (_xlpm.sampleNonCrisis_2 - _xlpm.meanNonCrisis_2) ^ 2 / _xlpm.volNonCrisis_2 ^ 2) - (1 + 2 * _xlpm.corrNonCrisis) ^ 2, _xlpm.coVolCrisis, AVERAGE((_xlpm.sampleCrisis_1 - _xlpm.meanCrisis_1) ^ 2 / _xlpm.volCrisis_1 ^ 2 * (_xlpm.sampleCrisis_2 - _xlpm.meanCrisis_2) ^ 2 / _xlpm.volCrisis_2 ^ 2) - (1 + 2 * _xlpm.corrCrisisAdj) ^ 2, _xlpm.chiSquared, ((_xlpm.coVolCrisis - _xlpm.coVolNonCrisis) / SQRT((4 * _xlpm.corrCrisisAdj ^ 4 + 16 * _xlpm.corrCrisisAdj ^ 2 + 4) / _xlpm.nCrisis_1 + (4 * _xlpm.corrNonCrisis ^ 4 + 16 * _xlpm.corrNonCrisis ^ 2 + 4) / _xlpm.nNonCrisis_1)) ^ 2, _xlpm.pTest, _xlfn.CHISQ.DIST.RT(_xlpm.chiSquared, 1), IF(_xlpm.returnPValue, _xlpm.pTest, _xlpm.chiSquared)))(I19:I317,J19:J317,I320:I525,J320:J525,K18)</f>
        <v>75.342358950760882</v>
      </c>
      <c r="N18" s="54"/>
      <c r="O18" s="27" cm="1">
        <f t="array" ref="O18">CONTAGION_COVOLATILITY(I19:I317,J19:J317,I320:I525,J320:J525,K18)</f>
        <v>75.342358950760882</v>
      </c>
    </row>
    <row r="19" spans="1:25" x14ac:dyDescent="0.3">
      <c r="F19" s="121">
        <v>43467</v>
      </c>
      <c r="G19" s="53">
        <v>234.0616</v>
      </c>
      <c r="H19" s="53">
        <v>88.132744000000002</v>
      </c>
      <c r="I19" s="122">
        <f>G19/G18-1</f>
        <v>1.0401020398713712E-3</v>
      </c>
      <c r="J19" s="122">
        <f>H19/H18-1</f>
        <v>-1.0932312016076473E-4</v>
      </c>
      <c r="M19" s="54"/>
      <c r="N19" s="54"/>
      <c r="O19" s="54"/>
    </row>
    <row r="20" spans="1:25" x14ac:dyDescent="0.3">
      <c r="F20" s="121">
        <v>43468</v>
      </c>
      <c r="G20" s="53">
        <v>228.476257</v>
      </c>
      <c r="H20" s="53">
        <v>88.161666999999994</v>
      </c>
      <c r="I20" s="122">
        <f t="shared" ref="I20:I83" si="0">G20/G19-1</f>
        <v>-2.3862705373286275E-2</v>
      </c>
      <c r="J20" s="122">
        <f t="shared" ref="J20:J83" si="1">H20/H19-1</f>
        <v>3.2817541684604379E-4</v>
      </c>
      <c r="M20" s="54"/>
      <c r="N20" s="54"/>
      <c r="O20" s="54"/>
    </row>
    <row r="21" spans="1:25" ht="18.75" customHeight="1" x14ac:dyDescent="0.3">
      <c r="D21" s="134"/>
      <c r="F21" s="121">
        <v>43469</v>
      </c>
      <c r="G21" s="53">
        <v>236.129257</v>
      </c>
      <c r="H21" s="53">
        <v>88.171302999999995</v>
      </c>
      <c r="I21" s="122">
        <f t="shared" si="0"/>
        <v>3.3495821843755103E-2</v>
      </c>
      <c r="J21" s="122">
        <f t="shared" si="1"/>
        <v>1.0929920370039703E-4</v>
      </c>
      <c r="M21" s="54"/>
      <c r="N21" s="54"/>
      <c r="O21" s="54"/>
    </row>
    <row r="22" spans="1:25" x14ac:dyDescent="0.3">
      <c r="D22" s="134"/>
      <c r="F22" s="121">
        <v>43472</v>
      </c>
      <c r="G22" s="53">
        <v>237.991028</v>
      </c>
      <c r="H22" s="53">
        <v>88.171302999999995</v>
      </c>
      <c r="I22" s="122">
        <f t="shared" si="0"/>
        <v>7.8845418126225475E-3</v>
      </c>
      <c r="J22" s="122">
        <f t="shared" si="1"/>
        <v>0</v>
      </c>
      <c r="M22" s="54"/>
      <c r="N22" s="54"/>
      <c r="O22" s="54"/>
    </row>
    <row r="23" spans="1:25" x14ac:dyDescent="0.3">
      <c r="D23" s="47"/>
      <c r="F23" s="121">
        <v>43473</v>
      </c>
      <c r="G23" s="53">
        <v>240.22705099999999</v>
      </c>
      <c r="H23" s="53">
        <v>88.171302999999995</v>
      </c>
      <c r="I23" s="122">
        <f t="shared" si="0"/>
        <v>9.3954088050747231E-3</v>
      </c>
      <c r="J23" s="122">
        <f t="shared" si="1"/>
        <v>0</v>
      </c>
      <c r="M23" s="54"/>
      <c r="N23" s="54"/>
      <c r="O23" s="54"/>
    </row>
    <row r="24" spans="1:25" x14ac:dyDescent="0.3">
      <c r="F24" s="121">
        <v>43474</v>
      </c>
      <c r="G24" s="53">
        <v>241.349762</v>
      </c>
      <c r="H24" s="53">
        <v>88.171302999999995</v>
      </c>
      <c r="I24" s="122">
        <f t="shared" si="0"/>
        <v>4.6735411159004592E-3</v>
      </c>
      <c r="J24" s="122">
        <f t="shared" si="1"/>
        <v>0</v>
      </c>
      <c r="M24" s="54"/>
      <c r="N24" s="54"/>
      <c r="O24" s="54"/>
    </row>
    <row r="25" spans="1:25" x14ac:dyDescent="0.3">
      <c r="F25" s="121">
        <v>43475</v>
      </c>
      <c r="G25" s="53">
        <v>242.20112599999999</v>
      </c>
      <c r="H25" s="53">
        <v>88.180938999999995</v>
      </c>
      <c r="I25" s="122">
        <f t="shared" si="0"/>
        <v>3.5275112473489578E-3</v>
      </c>
      <c r="J25" s="122">
        <f t="shared" si="1"/>
        <v>1.0928725869008282E-4</v>
      </c>
      <c r="M25" s="54"/>
      <c r="N25" s="54"/>
      <c r="O25" s="54"/>
    </row>
    <row r="26" spans="1:25" x14ac:dyDescent="0.3">
      <c r="F26" s="121">
        <v>43476</v>
      </c>
      <c r="G26" s="53">
        <v>242.294647</v>
      </c>
      <c r="H26" s="53">
        <v>88.200203000000002</v>
      </c>
      <c r="I26" s="122">
        <f t="shared" si="0"/>
        <v>3.8612950131367008E-4</v>
      </c>
      <c r="J26" s="122">
        <f t="shared" si="1"/>
        <v>2.1845991002655829E-4</v>
      </c>
      <c r="M26" s="54"/>
      <c r="N26" s="54"/>
      <c r="O26" s="54"/>
    </row>
    <row r="27" spans="1:25" s="15" customFormat="1" x14ac:dyDescent="0.3">
      <c r="A27" s="17"/>
      <c r="B27"/>
      <c r="C27"/>
      <c r="D27"/>
      <c r="E27"/>
      <c r="F27" s="121">
        <v>43479</v>
      </c>
      <c r="G27" s="53">
        <v>240.816452</v>
      </c>
      <c r="H27" s="53">
        <v>88.190574999999995</v>
      </c>
      <c r="I27" s="122">
        <f t="shared" si="0"/>
        <v>-6.1008157559502285E-3</v>
      </c>
      <c r="J27" s="122">
        <f t="shared" si="1"/>
        <v>-1.0916074648947838E-4</v>
      </c>
      <c r="K27"/>
      <c r="L27"/>
      <c r="M27" s="54"/>
      <c r="N27" s="54"/>
      <c r="O27" s="54"/>
      <c r="Y27"/>
    </row>
    <row r="28" spans="1:25" s="15" customFormat="1" x14ac:dyDescent="0.3">
      <c r="A28" s="17"/>
      <c r="B28"/>
      <c r="C28"/>
      <c r="D28"/>
      <c r="E28"/>
      <c r="F28" s="121">
        <v>43480</v>
      </c>
      <c r="G28" s="53">
        <v>243.57638499999999</v>
      </c>
      <c r="H28" s="53">
        <v>88.209868999999998</v>
      </c>
      <c r="I28" s="122">
        <f t="shared" si="0"/>
        <v>1.146073275757753E-2</v>
      </c>
      <c r="J28" s="122">
        <f t="shared" si="1"/>
        <v>2.1877621276433779E-4</v>
      </c>
      <c r="K28"/>
      <c r="L28"/>
      <c r="M28" s="54"/>
      <c r="N28" s="54"/>
      <c r="O28" s="54"/>
      <c r="Y28"/>
    </row>
    <row r="29" spans="1:25" s="15" customFormat="1" x14ac:dyDescent="0.3">
      <c r="A29" s="17"/>
      <c r="B29"/>
      <c r="C29"/>
      <c r="D29"/>
      <c r="E29"/>
      <c r="F29" s="121">
        <v>43481</v>
      </c>
      <c r="G29" s="53">
        <v>244.16583299999999</v>
      </c>
      <c r="H29" s="53">
        <v>88.219466999999995</v>
      </c>
      <c r="I29" s="122">
        <f t="shared" si="0"/>
        <v>2.4199718704258633E-3</v>
      </c>
      <c r="J29" s="122">
        <f t="shared" si="1"/>
        <v>1.0880868670137822E-4</v>
      </c>
      <c r="K29"/>
      <c r="L29"/>
      <c r="M29" s="54"/>
      <c r="N29" s="54"/>
      <c r="O29" s="54"/>
      <c r="Y29"/>
    </row>
    <row r="30" spans="1:25" s="15" customFormat="1" x14ac:dyDescent="0.3">
      <c r="A30" s="17"/>
      <c r="B30"/>
      <c r="C30"/>
      <c r="D30"/>
      <c r="E30"/>
      <c r="F30" s="121">
        <v>43482</v>
      </c>
      <c r="G30" s="53">
        <v>246.01823400000001</v>
      </c>
      <c r="H30" s="53">
        <v>88.238761999999994</v>
      </c>
      <c r="I30" s="122">
        <f t="shared" si="0"/>
        <v>7.5866511593374319E-3</v>
      </c>
      <c r="J30" s="122">
        <f t="shared" si="1"/>
        <v>2.1871589861222063E-4</v>
      </c>
      <c r="K30"/>
      <c r="L30"/>
      <c r="M30" s="54"/>
      <c r="N30" s="54"/>
      <c r="O30" s="54"/>
      <c r="Y30"/>
    </row>
    <row r="31" spans="1:25" s="15" customFormat="1" x14ac:dyDescent="0.3">
      <c r="A31" s="17"/>
      <c r="B31"/>
      <c r="C31"/>
      <c r="D31"/>
      <c r="E31"/>
      <c r="F31" s="121">
        <v>43483</v>
      </c>
      <c r="G31" s="53">
        <v>249.29276999999999</v>
      </c>
      <c r="H31" s="53">
        <v>88.238761999999994</v>
      </c>
      <c r="I31" s="122">
        <f t="shared" si="0"/>
        <v>1.3310135378014287E-2</v>
      </c>
      <c r="J31" s="122">
        <f t="shared" si="1"/>
        <v>0</v>
      </c>
      <c r="K31"/>
      <c r="L31"/>
      <c r="M31" s="54"/>
      <c r="N31" s="54"/>
      <c r="O31" s="54"/>
      <c r="Y31"/>
    </row>
    <row r="32" spans="1:25" s="15" customFormat="1" x14ac:dyDescent="0.3">
      <c r="A32" s="17"/>
      <c r="B32"/>
      <c r="C32"/>
      <c r="D32"/>
      <c r="E32"/>
      <c r="F32" s="121">
        <v>43487</v>
      </c>
      <c r="G32" s="53">
        <v>245.92463699999999</v>
      </c>
      <c r="H32" s="53">
        <v>88.248405000000005</v>
      </c>
      <c r="I32" s="122">
        <f t="shared" si="0"/>
        <v>-1.3510752838921114E-2</v>
      </c>
      <c r="J32" s="122">
        <f t="shared" si="1"/>
        <v>1.0928303821855501E-4</v>
      </c>
      <c r="K32"/>
      <c r="L32"/>
      <c r="M32" s="54"/>
      <c r="N32" s="54"/>
      <c r="O32" s="54"/>
      <c r="Y32"/>
    </row>
    <row r="33" spans="1:25" s="15" customFormat="1" x14ac:dyDescent="0.3">
      <c r="A33" s="17"/>
      <c r="B33"/>
      <c r="C33"/>
      <c r="D33"/>
      <c r="E33"/>
      <c r="F33" s="121">
        <v>43488</v>
      </c>
      <c r="G33" s="53">
        <v>246.439255</v>
      </c>
      <c r="H33" s="53">
        <v>88.248405000000005</v>
      </c>
      <c r="I33" s="122">
        <f t="shared" si="0"/>
        <v>2.0925841602441597E-3</v>
      </c>
      <c r="J33" s="122">
        <f t="shared" si="1"/>
        <v>0</v>
      </c>
      <c r="K33"/>
      <c r="L33"/>
      <c r="M33" s="54"/>
      <c r="N33" s="54"/>
      <c r="O33" s="54"/>
      <c r="Y33"/>
    </row>
    <row r="34" spans="1:25" s="15" customFormat="1" x14ac:dyDescent="0.3">
      <c r="A34" s="17"/>
      <c r="B34"/>
      <c r="C34"/>
      <c r="D34"/>
      <c r="E34"/>
      <c r="F34" s="121">
        <v>43489</v>
      </c>
      <c r="G34" s="53">
        <v>246.57023599999999</v>
      </c>
      <c r="H34" s="53">
        <v>88.277289999999994</v>
      </c>
      <c r="I34" s="122">
        <f t="shared" si="0"/>
        <v>5.3149405925601023E-4</v>
      </c>
      <c r="J34" s="122">
        <f t="shared" si="1"/>
        <v>3.2731469764235577E-4</v>
      </c>
      <c r="K34"/>
      <c r="L34"/>
      <c r="M34" s="54"/>
      <c r="N34" s="54"/>
      <c r="O34" s="54"/>
      <c r="Y34"/>
    </row>
    <row r="35" spans="1:25" s="15" customFormat="1" x14ac:dyDescent="0.3">
      <c r="A35" s="17"/>
      <c r="B35"/>
      <c r="C35"/>
      <c r="D35"/>
      <c r="E35"/>
      <c r="F35" s="121">
        <v>43490</v>
      </c>
      <c r="G35" s="53">
        <v>248.65656999999999</v>
      </c>
      <c r="H35" s="53">
        <v>88.267669999999995</v>
      </c>
      <c r="I35" s="122">
        <f t="shared" si="0"/>
        <v>8.4614186766645005E-3</v>
      </c>
      <c r="J35" s="122">
        <f t="shared" si="1"/>
        <v>-1.0897479974747437E-4</v>
      </c>
      <c r="K35"/>
      <c r="L35"/>
      <c r="M35" s="54"/>
      <c r="N35" s="54"/>
      <c r="O35" s="54"/>
      <c r="Y35"/>
    </row>
    <row r="36" spans="1:25" s="15" customFormat="1" x14ac:dyDescent="0.3">
      <c r="A36" s="17"/>
      <c r="B36"/>
      <c r="C36"/>
      <c r="D36"/>
      <c r="E36"/>
      <c r="F36" s="121">
        <v>43493</v>
      </c>
      <c r="G36" s="53">
        <v>246.76676900000001</v>
      </c>
      <c r="H36" s="53">
        <v>88.277289999999994</v>
      </c>
      <c r="I36" s="122">
        <f t="shared" si="0"/>
        <v>-7.6000445111905623E-3</v>
      </c>
      <c r="J36" s="122">
        <f t="shared" si="1"/>
        <v>1.0898667654868355E-4</v>
      </c>
      <c r="K36"/>
      <c r="L36"/>
      <c r="M36" s="54"/>
      <c r="N36" s="54"/>
      <c r="O36" s="54"/>
      <c r="Y36"/>
    </row>
    <row r="37" spans="1:25" s="15" customFormat="1" x14ac:dyDescent="0.3">
      <c r="A37" s="17"/>
      <c r="B37"/>
      <c r="C37"/>
      <c r="D37"/>
      <c r="E37"/>
      <c r="F37" s="121">
        <v>43494</v>
      </c>
      <c r="G37" s="53">
        <v>246.439255</v>
      </c>
      <c r="H37" s="53">
        <v>88.277289999999994</v>
      </c>
      <c r="I37" s="122">
        <f t="shared" si="0"/>
        <v>-1.3272208463369628E-3</v>
      </c>
      <c r="J37" s="122">
        <f t="shared" si="1"/>
        <v>0</v>
      </c>
      <c r="K37"/>
      <c r="L37"/>
      <c r="M37" s="54"/>
      <c r="N37" s="54"/>
      <c r="O37" s="54"/>
      <c r="Y37"/>
    </row>
    <row r="38" spans="1:25" s="15" customFormat="1" x14ac:dyDescent="0.3">
      <c r="A38" s="17"/>
      <c r="B38"/>
      <c r="C38"/>
      <c r="D38"/>
      <c r="E38"/>
      <c r="F38" s="121">
        <v>43495</v>
      </c>
      <c r="G38" s="53">
        <v>250.34056100000001</v>
      </c>
      <c r="H38" s="53">
        <v>88.296570000000003</v>
      </c>
      <c r="I38" s="122">
        <f t="shared" si="0"/>
        <v>1.5830700348449023E-2</v>
      </c>
      <c r="J38" s="122">
        <f t="shared" si="1"/>
        <v>2.1840271716544457E-4</v>
      </c>
      <c r="K38"/>
      <c r="L38"/>
      <c r="M38" s="54"/>
      <c r="N38" s="54"/>
      <c r="O38" s="54"/>
      <c r="Y38"/>
    </row>
    <row r="39" spans="1:25" s="15" customFormat="1" x14ac:dyDescent="0.3">
      <c r="A39" s="17"/>
      <c r="B39"/>
      <c r="C39"/>
      <c r="D39"/>
      <c r="E39"/>
      <c r="F39" s="121">
        <v>43496</v>
      </c>
      <c r="G39" s="53">
        <v>252.539185</v>
      </c>
      <c r="H39" s="53">
        <v>88.296570000000003</v>
      </c>
      <c r="I39" s="122">
        <f t="shared" si="0"/>
        <v>8.7825320484122837E-3</v>
      </c>
      <c r="J39" s="122">
        <f t="shared" si="1"/>
        <v>0</v>
      </c>
      <c r="K39"/>
      <c r="L39"/>
      <c r="M39" s="54"/>
      <c r="N39" s="54"/>
      <c r="O39" s="54"/>
      <c r="Y39"/>
    </row>
    <row r="40" spans="1:25" s="15" customFormat="1" x14ac:dyDescent="0.3">
      <c r="A40" s="17"/>
      <c r="B40"/>
      <c r="C40"/>
      <c r="D40"/>
      <c r="E40"/>
      <c r="F40" s="121">
        <v>43497</v>
      </c>
      <c r="G40" s="53">
        <v>252.660751</v>
      </c>
      <c r="H40" s="53">
        <v>88.305267000000001</v>
      </c>
      <c r="I40" s="122">
        <f t="shared" si="0"/>
        <v>4.8137480130061583E-4</v>
      </c>
      <c r="J40" s="122">
        <f t="shared" si="1"/>
        <v>9.8497597358582212E-5</v>
      </c>
      <c r="K40"/>
      <c r="L40"/>
      <c r="M40" s="54"/>
      <c r="N40" s="54"/>
      <c r="O40" s="54"/>
      <c r="Y40"/>
    </row>
    <row r="41" spans="1:25" s="15" customFormat="1" x14ac:dyDescent="0.3">
      <c r="A41" s="17"/>
      <c r="B41"/>
      <c r="C41"/>
      <c r="D41"/>
      <c r="E41"/>
      <c r="F41" s="121">
        <v>43500</v>
      </c>
      <c r="G41" s="53">
        <v>254.43838500000001</v>
      </c>
      <c r="H41" s="53">
        <v>88.314933999999994</v>
      </c>
      <c r="I41" s="122">
        <f t="shared" si="0"/>
        <v>7.0356554904722479E-3</v>
      </c>
      <c r="J41" s="122">
        <f t="shared" si="1"/>
        <v>1.094725187795742E-4</v>
      </c>
      <c r="K41"/>
      <c r="L41"/>
      <c r="M41" s="54"/>
      <c r="N41" s="54"/>
      <c r="O41" s="54"/>
      <c r="Y41"/>
    </row>
    <row r="42" spans="1:25" s="15" customFormat="1" x14ac:dyDescent="0.3">
      <c r="A42" s="17"/>
      <c r="B42"/>
      <c r="C42"/>
      <c r="D42"/>
      <c r="E42"/>
      <c r="F42" s="121">
        <v>43501</v>
      </c>
      <c r="G42" s="53">
        <v>255.504974</v>
      </c>
      <c r="H42" s="53">
        <v>88.314933999999994</v>
      </c>
      <c r="I42" s="122">
        <f t="shared" si="0"/>
        <v>4.191934326261304E-3</v>
      </c>
      <c r="J42" s="122">
        <f t="shared" si="1"/>
        <v>0</v>
      </c>
      <c r="K42"/>
      <c r="L42"/>
      <c r="M42" s="54"/>
      <c r="N42" s="54"/>
      <c r="O42" s="54"/>
      <c r="Y42"/>
    </row>
    <row r="43" spans="1:25" s="15" customFormat="1" x14ac:dyDescent="0.3">
      <c r="A43" s="17"/>
      <c r="B43"/>
      <c r="C43"/>
      <c r="D43"/>
      <c r="E43"/>
      <c r="F43" s="121">
        <v>43502</v>
      </c>
      <c r="G43" s="53">
        <v>255.16816700000001</v>
      </c>
      <c r="H43" s="53">
        <v>88.334259000000003</v>
      </c>
      <c r="I43" s="122">
        <f t="shared" si="0"/>
        <v>-1.3182013435087958E-3</v>
      </c>
      <c r="J43" s="122">
        <f t="shared" si="1"/>
        <v>2.1881916369892451E-4</v>
      </c>
      <c r="K43"/>
      <c r="L43"/>
      <c r="M43" s="54"/>
      <c r="N43" s="54"/>
      <c r="O43" s="54"/>
      <c r="Y43"/>
    </row>
    <row r="44" spans="1:25" s="15" customFormat="1" x14ac:dyDescent="0.3">
      <c r="A44" s="17"/>
      <c r="B44"/>
      <c r="C44"/>
      <c r="D44"/>
      <c r="E44"/>
      <c r="F44" s="121">
        <v>43503</v>
      </c>
      <c r="G44" s="53">
        <v>252.735657</v>
      </c>
      <c r="H44" s="53">
        <v>88.334259000000003</v>
      </c>
      <c r="I44" s="122">
        <f t="shared" si="0"/>
        <v>-9.5329681151019585E-3</v>
      </c>
      <c r="J44" s="122">
        <f t="shared" si="1"/>
        <v>0</v>
      </c>
      <c r="K44"/>
      <c r="L44"/>
      <c r="M44" s="54"/>
      <c r="N44" s="54"/>
      <c r="O44" s="54"/>
      <c r="Y44"/>
    </row>
    <row r="45" spans="1:25" s="15" customFormat="1" x14ac:dyDescent="0.3">
      <c r="A45" s="17"/>
      <c r="B45"/>
      <c r="C45"/>
      <c r="D45"/>
      <c r="E45"/>
      <c r="F45" s="121">
        <v>43504</v>
      </c>
      <c r="G45" s="53">
        <v>253.04437300000001</v>
      </c>
      <c r="H45" s="53">
        <v>88.353545999999994</v>
      </c>
      <c r="I45" s="122">
        <f t="shared" si="0"/>
        <v>1.22149760609358E-3</v>
      </c>
      <c r="J45" s="122">
        <f t="shared" si="1"/>
        <v>2.18341108176201E-4</v>
      </c>
      <c r="K45"/>
      <c r="L45"/>
      <c r="M45" s="54"/>
      <c r="N45" s="54"/>
      <c r="O45" s="54"/>
      <c r="Y45"/>
    </row>
    <row r="46" spans="1:25" s="15" customFormat="1" x14ac:dyDescent="0.3">
      <c r="A46" s="17"/>
      <c r="B46"/>
      <c r="C46"/>
      <c r="D46"/>
      <c r="E46"/>
      <c r="F46" s="121">
        <v>43507</v>
      </c>
      <c r="G46" s="53">
        <v>253.184753</v>
      </c>
      <c r="H46" s="53">
        <v>88.343886999999995</v>
      </c>
      <c r="I46" s="122">
        <f t="shared" si="0"/>
        <v>5.5476436142676278E-4</v>
      </c>
      <c r="J46" s="122">
        <f t="shared" si="1"/>
        <v>-1.0932215442716053E-4</v>
      </c>
      <c r="K46"/>
      <c r="L46"/>
      <c r="M46" s="54"/>
      <c r="N46" s="54"/>
      <c r="O46" s="54"/>
      <c r="Y46"/>
    </row>
    <row r="47" spans="1:25" s="15" customFormat="1" x14ac:dyDescent="0.3">
      <c r="A47" s="17"/>
      <c r="B47"/>
      <c r="C47"/>
      <c r="D47"/>
      <c r="E47"/>
      <c r="F47" s="121">
        <v>43508</v>
      </c>
      <c r="G47" s="53">
        <v>256.44058200000001</v>
      </c>
      <c r="H47" s="53">
        <v>88.363213000000002</v>
      </c>
      <c r="I47" s="122">
        <f t="shared" si="0"/>
        <v>1.2859498691850657E-2</v>
      </c>
      <c r="J47" s="122">
        <f t="shared" si="1"/>
        <v>2.1875876935339988E-4</v>
      </c>
      <c r="K47"/>
      <c r="L47"/>
      <c r="M47" s="54"/>
      <c r="N47" s="54"/>
      <c r="O47" s="54"/>
      <c r="Y47"/>
    </row>
    <row r="48" spans="1:25" s="15" customFormat="1" x14ac:dyDescent="0.3">
      <c r="A48" s="17"/>
      <c r="B48"/>
      <c r="C48"/>
      <c r="D48"/>
      <c r="E48"/>
      <c r="F48" s="121">
        <v>43509</v>
      </c>
      <c r="G48" s="53">
        <v>257.27319299999999</v>
      </c>
      <c r="H48" s="53">
        <v>88.363213000000002</v>
      </c>
      <c r="I48" s="122">
        <f t="shared" si="0"/>
        <v>3.2467989017432863E-3</v>
      </c>
      <c r="J48" s="122">
        <f t="shared" si="1"/>
        <v>0</v>
      </c>
      <c r="K48"/>
      <c r="L48"/>
      <c r="M48" s="54"/>
      <c r="N48" s="54"/>
      <c r="O48" s="54"/>
      <c r="Y48"/>
    </row>
    <row r="49" spans="1:25" s="15" customFormat="1" x14ac:dyDescent="0.3">
      <c r="A49" s="17"/>
      <c r="B49"/>
      <c r="C49"/>
      <c r="D49"/>
      <c r="E49"/>
      <c r="F49" s="121">
        <v>43510</v>
      </c>
      <c r="G49" s="53">
        <v>256.70248400000003</v>
      </c>
      <c r="H49" s="53">
        <v>88.382544999999993</v>
      </c>
      <c r="I49" s="122">
        <f t="shared" si="0"/>
        <v>-2.2182995178979814E-3</v>
      </c>
      <c r="J49" s="122">
        <f t="shared" si="1"/>
        <v>2.1877882598042575E-4</v>
      </c>
      <c r="K49"/>
      <c r="L49"/>
      <c r="M49" s="54"/>
      <c r="N49" s="54"/>
      <c r="O49" s="54"/>
      <c r="Y49"/>
    </row>
    <row r="50" spans="1:25" s="15" customFormat="1" x14ac:dyDescent="0.3">
      <c r="A50" s="17"/>
      <c r="B50"/>
      <c r="C50"/>
      <c r="D50"/>
      <c r="E50"/>
      <c r="F50" s="121">
        <v>43511</v>
      </c>
      <c r="G50" s="53">
        <v>259.49987800000002</v>
      </c>
      <c r="H50" s="53">
        <v>88.382544999999993</v>
      </c>
      <c r="I50" s="122">
        <f t="shared" si="0"/>
        <v>1.0897416949031236E-2</v>
      </c>
      <c r="J50" s="122">
        <f t="shared" si="1"/>
        <v>0</v>
      </c>
      <c r="K50"/>
      <c r="L50"/>
      <c r="M50" s="54"/>
      <c r="N50" s="54"/>
      <c r="O50" s="54"/>
      <c r="Y50"/>
    </row>
    <row r="51" spans="1:25" s="15" customFormat="1" x14ac:dyDescent="0.3">
      <c r="A51" s="17"/>
      <c r="B51"/>
      <c r="C51"/>
      <c r="D51"/>
      <c r="E51"/>
      <c r="F51" s="121">
        <v>43515</v>
      </c>
      <c r="G51" s="53">
        <v>259.94894399999998</v>
      </c>
      <c r="H51" s="53">
        <v>88.401840000000007</v>
      </c>
      <c r="I51" s="122">
        <f t="shared" si="0"/>
        <v>1.7305056305265687E-3</v>
      </c>
      <c r="J51" s="122">
        <f t="shared" si="1"/>
        <v>2.183123375776308E-4</v>
      </c>
      <c r="K51"/>
      <c r="L51"/>
      <c r="M51" s="54"/>
      <c r="N51" s="54"/>
      <c r="O51" s="54"/>
      <c r="Y51"/>
    </row>
    <row r="52" spans="1:25" s="15" customFormat="1" x14ac:dyDescent="0.3">
      <c r="A52" s="17"/>
      <c r="B52"/>
      <c r="C52"/>
      <c r="D52"/>
      <c r="E52"/>
      <c r="F52" s="121">
        <v>43516</v>
      </c>
      <c r="G52" s="53">
        <v>260.47283900000002</v>
      </c>
      <c r="H52" s="53">
        <v>88.401840000000007</v>
      </c>
      <c r="I52" s="122">
        <f t="shared" si="0"/>
        <v>2.0153765271693214E-3</v>
      </c>
      <c r="J52" s="122">
        <f t="shared" si="1"/>
        <v>0</v>
      </c>
      <c r="K52"/>
      <c r="L52"/>
      <c r="M52" s="54"/>
      <c r="N52" s="54"/>
      <c r="O52" s="54"/>
      <c r="Y52"/>
    </row>
    <row r="53" spans="1:25" s="15" customFormat="1" x14ac:dyDescent="0.3">
      <c r="A53" s="17"/>
      <c r="B53"/>
      <c r="C53"/>
      <c r="D53"/>
      <c r="E53"/>
      <c r="F53" s="121">
        <v>43517</v>
      </c>
      <c r="G53" s="53">
        <v>259.54660000000001</v>
      </c>
      <c r="H53" s="53">
        <v>88.411484000000002</v>
      </c>
      <c r="I53" s="122">
        <f t="shared" si="0"/>
        <v>-3.5559907265417801E-3</v>
      </c>
      <c r="J53" s="122">
        <f t="shared" si="1"/>
        <v>1.0909275191561818E-4</v>
      </c>
      <c r="K53"/>
      <c r="L53"/>
      <c r="M53" s="54"/>
      <c r="N53" s="54"/>
      <c r="O53" s="54"/>
      <c r="Y53"/>
    </row>
    <row r="54" spans="1:25" s="15" customFormat="1" x14ac:dyDescent="0.3">
      <c r="A54" s="17"/>
      <c r="B54"/>
      <c r="C54"/>
      <c r="D54"/>
      <c r="E54"/>
      <c r="F54" s="121">
        <v>43518</v>
      </c>
      <c r="G54" s="53">
        <v>261.155823</v>
      </c>
      <c r="H54" s="53">
        <v>88.430817000000005</v>
      </c>
      <c r="I54" s="122">
        <f t="shared" si="0"/>
        <v>6.2001313059003582E-3</v>
      </c>
      <c r="J54" s="122">
        <f t="shared" si="1"/>
        <v>2.1867068762237984E-4</v>
      </c>
      <c r="K54"/>
      <c r="L54"/>
      <c r="M54" s="54"/>
      <c r="N54" s="54"/>
      <c r="O54" s="54"/>
      <c r="Y54"/>
    </row>
    <row r="55" spans="1:25" s="15" customFormat="1" x14ac:dyDescent="0.3">
      <c r="A55" s="17"/>
      <c r="B55"/>
      <c r="C55"/>
      <c r="D55"/>
      <c r="E55"/>
      <c r="F55" s="121">
        <v>43521</v>
      </c>
      <c r="G55" s="53">
        <v>261.51129200000003</v>
      </c>
      <c r="H55" s="53">
        <v>88.421149999999997</v>
      </c>
      <c r="I55" s="122">
        <f t="shared" si="0"/>
        <v>1.3611375611564114E-3</v>
      </c>
      <c r="J55" s="122">
        <f t="shared" si="1"/>
        <v>-1.0931709474093498E-4</v>
      </c>
      <c r="K55"/>
      <c r="L55"/>
      <c r="M55" s="54"/>
      <c r="N55" s="54"/>
      <c r="O55" s="54"/>
      <c r="Y55"/>
    </row>
    <row r="56" spans="1:25" s="15" customFormat="1" x14ac:dyDescent="0.3">
      <c r="A56" s="17"/>
      <c r="B56"/>
      <c r="C56"/>
      <c r="D56"/>
      <c r="E56"/>
      <c r="F56" s="121">
        <v>43522</v>
      </c>
      <c r="G56" s="53">
        <v>261.32421900000003</v>
      </c>
      <c r="H56" s="53">
        <v>88.430817000000005</v>
      </c>
      <c r="I56" s="122">
        <f t="shared" si="0"/>
        <v>-7.1535343108619642E-4</v>
      </c>
      <c r="J56" s="122">
        <f t="shared" si="1"/>
        <v>1.0932904627458662E-4</v>
      </c>
      <c r="K56"/>
      <c r="L56"/>
      <c r="M56" s="54"/>
      <c r="N56" s="54"/>
      <c r="O56" s="54"/>
      <c r="Y56"/>
    </row>
    <row r="57" spans="1:25" s="15" customFormat="1" x14ac:dyDescent="0.3">
      <c r="A57" s="17"/>
      <c r="B57"/>
      <c r="C57"/>
      <c r="D57"/>
      <c r="E57"/>
      <c r="F57" s="121">
        <v>43523</v>
      </c>
      <c r="G57" s="53">
        <v>261.21200599999997</v>
      </c>
      <c r="H57" s="53">
        <v>88.440453000000005</v>
      </c>
      <c r="I57" s="122">
        <f t="shared" si="0"/>
        <v>-4.2940145551551012E-4</v>
      </c>
      <c r="J57" s="122">
        <f t="shared" si="1"/>
        <v>1.0896653821479418E-4</v>
      </c>
      <c r="K57"/>
      <c r="L57"/>
      <c r="M57" s="54"/>
      <c r="N57" s="54"/>
      <c r="O57" s="54"/>
      <c r="Y57"/>
    </row>
    <row r="58" spans="1:25" s="15" customFormat="1" x14ac:dyDescent="0.3">
      <c r="A58" s="17"/>
      <c r="B58"/>
      <c r="C58"/>
      <c r="D58"/>
      <c r="E58"/>
      <c r="F58" s="121">
        <v>43524</v>
      </c>
      <c r="G58" s="53">
        <v>260.72543300000001</v>
      </c>
      <c r="H58" s="53">
        <v>88.459770000000006</v>
      </c>
      <c r="I58" s="122">
        <f t="shared" si="0"/>
        <v>-1.8627512856356221E-3</v>
      </c>
      <c r="J58" s="122">
        <f t="shared" si="1"/>
        <v>2.1841814853673647E-4</v>
      </c>
      <c r="K58"/>
      <c r="L58"/>
      <c r="M58" s="54"/>
      <c r="N58" s="54"/>
      <c r="O58" s="54"/>
      <c r="Y58"/>
    </row>
    <row r="59" spans="1:25" s="15" customFormat="1" x14ac:dyDescent="0.3">
      <c r="A59" s="17"/>
      <c r="B59"/>
      <c r="C59"/>
      <c r="D59"/>
      <c r="E59"/>
      <c r="F59" s="121">
        <v>43525</v>
      </c>
      <c r="G59" s="53">
        <v>262.35327100000001</v>
      </c>
      <c r="H59" s="53">
        <v>88.469436999999999</v>
      </c>
      <c r="I59" s="122">
        <f t="shared" si="0"/>
        <v>6.2434952404508692E-3</v>
      </c>
      <c r="J59" s="122">
        <f t="shared" si="1"/>
        <v>1.092813151106764E-4</v>
      </c>
      <c r="K59"/>
      <c r="L59"/>
      <c r="M59" s="54"/>
      <c r="N59" s="54"/>
      <c r="O59" s="54"/>
      <c r="Y59"/>
    </row>
    <row r="60" spans="1:25" s="15" customFormat="1" x14ac:dyDescent="0.3">
      <c r="A60" s="17"/>
      <c r="B60"/>
      <c r="C60"/>
      <c r="D60"/>
      <c r="E60"/>
      <c r="F60" s="121">
        <v>43528</v>
      </c>
      <c r="G60" s="53">
        <v>261.39904799999999</v>
      </c>
      <c r="H60" s="53">
        <v>88.459762999999995</v>
      </c>
      <c r="I60" s="122">
        <f t="shared" si="0"/>
        <v>-3.6371682973985742E-3</v>
      </c>
      <c r="J60" s="122">
        <f t="shared" si="1"/>
        <v>-1.0934849737997965E-4</v>
      </c>
      <c r="K60"/>
      <c r="L60"/>
      <c r="M60" s="54"/>
      <c r="N60" s="54"/>
      <c r="O60" s="54"/>
      <c r="Y60"/>
    </row>
    <row r="61" spans="1:25" s="15" customFormat="1" x14ac:dyDescent="0.3">
      <c r="A61" s="17"/>
      <c r="B61"/>
      <c r="C61"/>
      <c r="D61"/>
      <c r="E61"/>
      <c r="F61" s="121">
        <v>43529</v>
      </c>
      <c r="G61" s="53">
        <v>261.04351800000001</v>
      </c>
      <c r="H61" s="53">
        <v>88.469436999999999</v>
      </c>
      <c r="I61" s="122">
        <f t="shared" si="0"/>
        <v>-1.3601044178247479E-3</v>
      </c>
      <c r="J61" s="122">
        <f t="shared" si="1"/>
        <v>1.0936045578158193E-4</v>
      </c>
      <c r="K61"/>
      <c r="L61"/>
      <c r="M61" s="54"/>
      <c r="N61" s="54"/>
      <c r="O61" s="54"/>
      <c r="Y61"/>
    </row>
    <row r="62" spans="1:25" s="15" customFormat="1" x14ac:dyDescent="0.3">
      <c r="A62" s="17"/>
      <c r="B62"/>
      <c r="C62"/>
      <c r="D62"/>
      <c r="E62"/>
      <c r="F62" s="121">
        <v>43530</v>
      </c>
      <c r="G62" s="53">
        <v>259.46246300000001</v>
      </c>
      <c r="H62" s="53">
        <v>88.479111000000003</v>
      </c>
      <c r="I62" s="122">
        <f t="shared" si="0"/>
        <v>-6.0566721292807379E-3</v>
      </c>
      <c r="J62" s="122">
        <f t="shared" si="1"/>
        <v>1.0934849737997965E-4</v>
      </c>
      <c r="K62"/>
      <c r="L62"/>
      <c r="M62" s="54"/>
      <c r="N62" s="54"/>
      <c r="O62" s="54"/>
      <c r="Y62"/>
    </row>
    <row r="63" spans="1:25" s="15" customFormat="1" x14ac:dyDescent="0.3">
      <c r="A63" s="17"/>
      <c r="B63"/>
      <c r="C63"/>
      <c r="D63"/>
      <c r="E63"/>
      <c r="F63" s="121">
        <v>43531</v>
      </c>
      <c r="G63" s="53">
        <v>257.29187000000002</v>
      </c>
      <c r="H63" s="53">
        <v>88.498474000000002</v>
      </c>
      <c r="I63" s="122">
        <f t="shared" si="0"/>
        <v>-8.3657303445855424E-3</v>
      </c>
      <c r="J63" s="122">
        <f t="shared" si="1"/>
        <v>2.1884261472737698E-4</v>
      </c>
      <c r="K63"/>
      <c r="L63"/>
      <c r="M63" s="54"/>
      <c r="N63" s="54"/>
      <c r="O63" s="54"/>
      <c r="Y63"/>
    </row>
    <row r="64" spans="1:25" s="15" customFormat="1" x14ac:dyDescent="0.3">
      <c r="A64" s="17"/>
      <c r="B64"/>
      <c r="C64"/>
      <c r="D64"/>
      <c r="E64"/>
      <c r="F64" s="121">
        <v>43532</v>
      </c>
      <c r="G64" s="53">
        <v>256.77737400000001</v>
      </c>
      <c r="H64" s="53">
        <v>88.508156</v>
      </c>
      <c r="I64" s="122">
        <f t="shared" si="0"/>
        <v>-1.9996589865043379E-3</v>
      </c>
      <c r="J64" s="122">
        <f t="shared" si="1"/>
        <v>1.0940301637285543E-4</v>
      </c>
      <c r="K64"/>
      <c r="L64"/>
      <c r="M64" s="54"/>
      <c r="N64" s="54"/>
      <c r="O64" s="54"/>
      <c r="Y64"/>
    </row>
    <row r="65" spans="1:25" s="15" customFormat="1" x14ac:dyDescent="0.3">
      <c r="A65" s="17"/>
      <c r="B65"/>
      <c r="C65"/>
      <c r="D65"/>
      <c r="E65"/>
      <c r="F65" s="121">
        <v>43535</v>
      </c>
      <c r="G65" s="53">
        <v>260.50091600000002</v>
      </c>
      <c r="H65" s="53">
        <v>88.508156</v>
      </c>
      <c r="I65" s="122">
        <f t="shared" si="0"/>
        <v>1.4501051794384434E-2</v>
      </c>
      <c r="J65" s="122">
        <f t="shared" si="1"/>
        <v>0</v>
      </c>
      <c r="K65"/>
      <c r="L65"/>
      <c r="M65" s="54"/>
      <c r="N65" s="54"/>
      <c r="O65" s="54"/>
      <c r="Y65"/>
    </row>
    <row r="66" spans="1:25" s="15" customFormat="1" x14ac:dyDescent="0.3">
      <c r="A66" s="17"/>
      <c r="B66"/>
      <c r="C66"/>
      <c r="D66"/>
      <c r="E66"/>
      <c r="F66" s="121">
        <v>43536</v>
      </c>
      <c r="G66" s="53">
        <v>261.48327599999999</v>
      </c>
      <c r="H66" s="53">
        <v>88.517821999999995</v>
      </c>
      <c r="I66" s="122">
        <f t="shared" si="0"/>
        <v>3.7710424020158673E-3</v>
      </c>
      <c r="J66" s="122">
        <f t="shared" si="1"/>
        <v>1.0921027436161523E-4</v>
      </c>
      <c r="K66"/>
      <c r="L66"/>
      <c r="M66" s="54"/>
      <c r="N66" s="54"/>
      <c r="O66" s="54"/>
      <c r="Y66"/>
    </row>
    <row r="67" spans="1:25" s="15" customFormat="1" x14ac:dyDescent="0.3">
      <c r="A67" s="17"/>
      <c r="B67"/>
      <c r="C67"/>
      <c r="D67"/>
      <c r="E67"/>
      <c r="F67" s="121">
        <v>43537</v>
      </c>
      <c r="G67" s="53">
        <v>263.214111</v>
      </c>
      <c r="H67" s="53">
        <v>88.527495999999999</v>
      </c>
      <c r="I67" s="122">
        <f t="shared" si="0"/>
        <v>6.6192952240662351E-3</v>
      </c>
      <c r="J67" s="122">
        <f t="shared" si="1"/>
        <v>1.0928872606030815E-4</v>
      </c>
      <c r="K67"/>
      <c r="L67"/>
      <c r="M67" s="54"/>
      <c r="N67" s="54"/>
      <c r="O67" s="54"/>
      <c r="Y67"/>
    </row>
    <row r="68" spans="1:25" s="15" customFormat="1" x14ac:dyDescent="0.3">
      <c r="A68" s="17"/>
      <c r="B68"/>
      <c r="C68"/>
      <c r="D68"/>
      <c r="E68"/>
      <c r="F68" s="121">
        <v>43538</v>
      </c>
      <c r="G68" s="53">
        <v>263.04562399999998</v>
      </c>
      <c r="H68" s="53">
        <v>88.527495999999999</v>
      </c>
      <c r="I68" s="122">
        <f t="shared" si="0"/>
        <v>-6.4011385772566598E-4</v>
      </c>
      <c r="J68" s="122">
        <f t="shared" si="1"/>
        <v>0</v>
      </c>
      <c r="K68"/>
      <c r="L68"/>
      <c r="M68" s="54"/>
      <c r="N68" s="54"/>
      <c r="O68" s="54"/>
      <c r="Y68"/>
    </row>
    <row r="69" spans="1:25" s="15" customFormat="1" x14ac:dyDescent="0.3">
      <c r="A69" s="17"/>
      <c r="B69"/>
      <c r="C69"/>
      <c r="D69"/>
      <c r="E69"/>
      <c r="F69" s="121">
        <v>43539</v>
      </c>
      <c r="G69" s="53">
        <v>264.34527600000001</v>
      </c>
      <c r="H69" s="53">
        <v>88.537139999999994</v>
      </c>
      <c r="I69" s="122">
        <f t="shared" si="0"/>
        <v>4.9407854813812158E-3</v>
      </c>
      <c r="J69" s="122">
        <f t="shared" si="1"/>
        <v>1.0893790557453542E-4</v>
      </c>
      <c r="K69"/>
      <c r="L69"/>
      <c r="M69" s="54"/>
      <c r="N69" s="54"/>
      <c r="O69" s="54"/>
      <c r="Y69"/>
    </row>
    <row r="70" spans="1:25" s="15" customFormat="1" x14ac:dyDescent="0.3">
      <c r="A70" s="17"/>
      <c r="B70"/>
      <c r="C70"/>
      <c r="D70"/>
      <c r="E70"/>
      <c r="F70" s="121">
        <v>43542</v>
      </c>
      <c r="G70" s="53">
        <v>265.30377199999998</v>
      </c>
      <c r="H70" s="53">
        <v>88.546852000000001</v>
      </c>
      <c r="I70" s="122">
        <f t="shared" si="0"/>
        <v>3.6259244519276645E-3</v>
      </c>
      <c r="J70" s="122">
        <f t="shared" si="1"/>
        <v>1.0969407866578962E-4</v>
      </c>
      <c r="K70"/>
      <c r="L70"/>
      <c r="M70" s="54"/>
      <c r="N70" s="54"/>
      <c r="O70" s="54"/>
      <c r="Y70"/>
    </row>
    <row r="71" spans="1:25" s="15" customFormat="1" x14ac:dyDescent="0.3">
      <c r="A71" s="17"/>
      <c r="B71"/>
      <c r="C71"/>
      <c r="D71"/>
      <c r="E71"/>
      <c r="F71" s="121">
        <v>43543</v>
      </c>
      <c r="G71" s="53">
        <v>265.369507</v>
      </c>
      <c r="H71" s="53">
        <v>88.546852000000001</v>
      </c>
      <c r="I71" s="122">
        <f t="shared" si="0"/>
        <v>2.4777257972807831E-4</v>
      </c>
      <c r="J71" s="122">
        <f t="shared" si="1"/>
        <v>0</v>
      </c>
      <c r="K71"/>
      <c r="L71"/>
      <c r="M71" s="54"/>
      <c r="N71" s="54"/>
      <c r="O71" s="54"/>
      <c r="Y71"/>
    </row>
    <row r="72" spans="1:25" s="15" customFormat="1" x14ac:dyDescent="0.3">
      <c r="A72" s="17"/>
      <c r="B72"/>
      <c r="C72"/>
      <c r="D72"/>
      <c r="E72"/>
      <c r="F72" s="121">
        <v>43544</v>
      </c>
      <c r="G72" s="53">
        <v>264.57080100000002</v>
      </c>
      <c r="H72" s="53">
        <v>88.546852000000001</v>
      </c>
      <c r="I72" s="122">
        <f t="shared" si="0"/>
        <v>-3.0097881592702214E-3</v>
      </c>
      <c r="J72" s="122">
        <f t="shared" si="1"/>
        <v>0</v>
      </c>
      <c r="K72"/>
      <c r="L72"/>
      <c r="M72" s="54"/>
      <c r="N72" s="54"/>
      <c r="O72" s="54"/>
      <c r="Y72"/>
    </row>
    <row r="73" spans="1:25" s="15" customFormat="1" x14ac:dyDescent="0.3">
      <c r="A73" s="17"/>
      <c r="B73"/>
      <c r="C73"/>
      <c r="D73"/>
      <c r="E73"/>
      <c r="F73" s="121">
        <v>43545</v>
      </c>
      <c r="G73" s="53">
        <v>267.55898999999999</v>
      </c>
      <c r="H73" s="53">
        <v>88.575858999999994</v>
      </c>
      <c r="I73" s="122">
        <f t="shared" si="0"/>
        <v>1.1294477654773205E-2</v>
      </c>
      <c r="J73" s="122">
        <f t="shared" si="1"/>
        <v>3.27589285726404E-4</v>
      </c>
      <c r="K73"/>
      <c r="L73"/>
      <c r="M73" s="54"/>
      <c r="N73" s="54"/>
      <c r="O73" s="54"/>
      <c r="Y73"/>
    </row>
    <row r="74" spans="1:25" s="15" customFormat="1" x14ac:dyDescent="0.3">
      <c r="A74" s="17"/>
      <c r="B74"/>
      <c r="C74"/>
      <c r="D74"/>
      <c r="E74"/>
      <c r="F74" s="121">
        <v>43546</v>
      </c>
      <c r="G74" s="53">
        <v>262.40948500000002</v>
      </c>
      <c r="H74" s="53">
        <v>88.575858999999994</v>
      </c>
      <c r="I74" s="122">
        <f t="shared" si="0"/>
        <v>-1.9246241735327185E-2</v>
      </c>
      <c r="J74" s="122">
        <f t="shared" si="1"/>
        <v>0</v>
      </c>
      <c r="K74"/>
      <c r="L74"/>
      <c r="M74" s="54"/>
      <c r="N74" s="54"/>
      <c r="O74" s="54"/>
      <c r="Y74"/>
    </row>
    <row r="75" spans="1:25" s="15" customFormat="1" x14ac:dyDescent="0.3">
      <c r="A75" s="17"/>
      <c r="B75"/>
      <c r="C75"/>
      <c r="D75"/>
      <c r="E75"/>
      <c r="F75" s="121">
        <v>43549</v>
      </c>
      <c r="G75" s="53">
        <v>262.21212800000001</v>
      </c>
      <c r="H75" s="53">
        <v>88.575858999999994</v>
      </c>
      <c r="I75" s="122">
        <f t="shared" si="0"/>
        <v>-7.520955273396801E-4</v>
      </c>
      <c r="J75" s="122">
        <f t="shared" si="1"/>
        <v>0</v>
      </c>
      <c r="K75"/>
      <c r="L75"/>
      <c r="M75" s="54"/>
      <c r="N75" s="54"/>
      <c r="O75" s="54"/>
      <c r="Y75"/>
    </row>
    <row r="76" spans="1:25" s="15" customFormat="1" x14ac:dyDescent="0.3">
      <c r="A76" s="17"/>
      <c r="B76"/>
      <c r="C76"/>
      <c r="D76"/>
      <c r="E76"/>
      <c r="F76" s="121">
        <v>43550</v>
      </c>
      <c r="G76" s="53">
        <v>264.16674799999998</v>
      </c>
      <c r="H76" s="53">
        <v>88.585548000000003</v>
      </c>
      <c r="I76" s="122">
        <f t="shared" si="0"/>
        <v>7.4543462764620205E-3</v>
      </c>
      <c r="J76" s="122">
        <f t="shared" si="1"/>
        <v>1.0938646386726703E-4</v>
      </c>
      <c r="K76"/>
      <c r="L76"/>
      <c r="M76" s="54"/>
      <c r="N76" s="54"/>
      <c r="O76" s="54"/>
      <c r="Y76"/>
    </row>
    <row r="77" spans="1:25" s="15" customFormat="1" x14ac:dyDescent="0.3">
      <c r="A77" s="17"/>
      <c r="B77"/>
      <c r="C77"/>
      <c r="D77"/>
      <c r="E77"/>
      <c r="F77" s="121">
        <v>43551</v>
      </c>
      <c r="G77" s="53">
        <v>262.78539999999998</v>
      </c>
      <c r="H77" s="53">
        <v>88.595191999999997</v>
      </c>
      <c r="I77" s="122">
        <f t="shared" si="0"/>
        <v>-5.22907599256206E-3</v>
      </c>
      <c r="J77" s="122">
        <f t="shared" si="1"/>
        <v>1.0886651624031352E-4</v>
      </c>
      <c r="K77"/>
      <c r="L77"/>
      <c r="M77" s="54"/>
      <c r="N77" s="54"/>
      <c r="O77" s="54"/>
      <c r="Y77"/>
    </row>
    <row r="78" spans="1:25" s="15" customFormat="1" x14ac:dyDescent="0.3">
      <c r="A78" s="17"/>
      <c r="B78"/>
      <c r="C78"/>
      <c r="D78"/>
      <c r="E78"/>
      <c r="F78" s="121">
        <v>43552</v>
      </c>
      <c r="G78" s="53">
        <v>263.78146400000003</v>
      </c>
      <c r="H78" s="53">
        <v>88.614554999999996</v>
      </c>
      <c r="I78" s="122">
        <f t="shared" si="0"/>
        <v>3.7904084473492361E-3</v>
      </c>
      <c r="J78" s="122">
        <f t="shared" si="1"/>
        <v>2.1855587829189282E-4</v>
      </c>
      <c r="K78"/>
      <c r="L78"/>
      <c r="M78" s="54"/>
      <c r="N78" s="54"/>
      <c r="O78" s="54"/>
      <c r="Y78"/>
    </row>
    <row r="79" spans="1:25" s="15" customFormat="1" x14ac:dyDescent="0.3">
      <c r="A79" s="17"/>
      <c r="B79"/>
      <c r="C79"/>
      <c r="D79"/>
      <c r="E79"/>
      <c r="F79" s="121">
        <v>43553</v>
      </c>
      <c r="G79" s="53">
        <v>265.44473299999999</v>
      </c>
      <c r="H79" s="53">
        <v>88.614554999999996</v>
      </c>
      <c r="I79" s="122">
        <f t="shared" si="0"/>
        <v>6.3054809643483534E-3</v>
      </c>
      <c r="J79" s="122">
        <f t="shared" si="1"/>
        <v>0</v>
      </c>
      <c r="K79"/>
      <c r="L79"/>
      <c r="M79" s="54"/>
      <c r="N79" s="54"/>
      <c r="O79" s="54"/>
      <c r="Y79"/>
    </row>
    <row r="80" spans="1:25" s="15" customFormat="1" x14ac:dyDescent="0.3">
      <c r="A80" s="17"/>
      <c r="B80"/>
      <c r="C80"/>
      <c r="D80"/>
      <c r="E80"/>
      <c r="F80" s="121">
        <v>43556</v>
      </c>
      <c r="G80" s="53">
        <v>268.59265099999999</v>
      </c>
      <c r="H80" s="53">
        <v>88.630081000000004</v>
      </c>
      <c r="I80" s="122">
        <f t="shared" si="0"/>
        <v>1.1859033571406385E-2</v>
      </c>
      <c r="J80" s="122">
        <f t="shared" si="1"/>
        <v>1.7520823751815406E-4</v>
      </c>
      <c r="K80"/>
      <c r="L80"/>
      <c r="M80" s="54"/>
      <c r="N80" s="54"/>
      <c r="O80" s="54"/>
      <c r="Y80"/>
    </row>
    <row r="81" spans="1:25" s="15" customFormat="1" x14ac:dyDescent="0.3">
      <c r="A81" s="17"/>
      <c r="B81"/>
      <c r="C81"/>
      <c r="D81"/>
      <c r="E81"/>
      <c r="F81" s="121">
        <v>43557</v>
      </c>
      <c r="G81" s="53">
        <v>268.724243</v>
      </c>
      <c r="H81" s="53">
        <v>88.620377000000005</v>
      </c>
      <c r="I81" s="122">
        <f t="shared" si="0"/>
        <v>4.8993149853537865E-4</v>
      </c>
      <c r="J81" s="122">
        <f t="shared" si="1"/>
        <v>-1.0948878631844572E-4</v>
      </c>
      <c r="K81"/>
      <c r="L81"/>
      <c r="M81" s="54"/>
      <c r="N81" s="54"/>
      <c r="O81" s="54"/>
      <c r="Y81"/>
    </row>
    <row r="82" spans="1:25" s="15" customFormat="1" x14ac:dyDescent="0.3">
      <c r="A82" s="17"/>
      <c r="B82"/>
      <c r="C82"/>
      <c r="D82"/>
      <c r="E82"/>
      <c r="F82" s="121">
        <v>43558</v>
      </c>
      <c r="G82" s="53">
        <v>269.14718599999998</v>
      </c>
      <c r="H82" s="53">
        <v>88.630081000000004</v>
      </c>
      <c r="I82" s="122">
        <f t="shared" si="0"/>
        <v>1.5738922371808517E-3</v>
      </c>
      <c r="J82" s="122">
        <f t="shared" si="1"/>
        <v>1.095007754254862E-4</v>
      </c>
      <c r="K82"/>
      <c r="L82"/>
      <c r="M82" s="54"/>
      <c r="N82" s="54"/>
      <c r="O82" s="54"/>
      <c r="Y82"/>
    </row>
    <row r="83" spans="1:25" s="15" customFormat="1" x14ac:dyDescent="0.3">
      <c r="A83" s="17"/>
      <c r="B83"/>
      <c r="C83"/>
      <c r="D83"/>
      <c r="E83"/>
      <c r="F83" s="121">
        <v>43559</v>
      </c>
      <c r="G83" s="53">
        <v>269.861267</v>
      </c>
      <c r="H83" s="53">
        <v>88.659142000000003</v>
      </c>
      <c r="I83" s="122">
        <f t="shared" si="0"/>
        <v>2.6531245249579172E-3</v>
      </c>
      <c r="J83" s="122">
        <f t="shared" si="1"/>
        <v>3.2789093355334309E-4</v>
      </c>
      <c r="K83"/>
      <c r="L83"/>
      <c r="M83" s="54"/>
      <c r="N83" s="54"/>
      <c r="O83" s="54"/>
      <c r="Y83"/>
    </row>
    <row r="84" spans="1:25" s="15" customFormat="1" x14ac:dyDescent="0.3">
      <c r="A84" s="17"/>
      <c r="B84"/>
      <c r="C84"/>
      <c r="D84"/>
      <c r="E84"/>
      <c r="F84" s="121">
        <v>43560</v>
      </c>
      <c r="G84" s="53">
        <v>271.16744999999997</v>
      </c>
      <c r="H84" s="53">
        <v>88.659142000000003</v>
      </c>
      <c r="I84" s="122">
        <f t="shared" ref="I84:I147" si="2">G84/G83-1</f>
        <v>4.8402018360047538E-3</v>
      </c>
      <c r="J84" s="122">
        <f t="shared" ref="J84:J147" si="3">H84/H83-1</f>
        <v>0</v>
      </c>
      <c r="K84"/>
      <c r="L84"/>
      <c r="M84" s="54"/>
      <c r="N84" s="54"/>
      <c r="O84" s="54"/>
      <c r="Y84"/>
    </row>
    <row r="85" spans="1:25" s="15" customFormat="1" x14ac:dyDescent="0.3">
      <c r="A85" s="17"/>
      <c r="B85"/>
      <c r="C85"/>
      <c r="D85"/>
      <c r="E85"/>
      <c r="F85" s="121">
        <v>43563</v>
      </c>
      <c r="G85" s="53">
        <v>271.374146</v>
      </c>
      <c r="H85" s="53">
        <v>88.659142000000003</v>
      </c>
      <c r="I85" s="122">
        <f t="shared" si="2"/>
        <v>7.6224487857978751E-4</v>
      </c>
      <c r="J85" s="122">
        <f t="shared" si="3"/>
        <v>0</v>
      </c>
      <c r="K85"/>
      <c r="L85"/>
      <c r="M85" s="54"/>
      <c r="N85" s="54"/>
      <c r="O85" s="54"/>
      <c r="Y85"/>
    </row>
    <row r="86" spans="1:25" s="15" customFormat="1" x14ac:dyDescent="0.3">
      <c r="A86" s="17"/>
      <c r="B86"/>
      <c r="C86"/>
      <c r="D86"/>
      <c r="E86"/>
      <c r="F86" s="121">
        <v>43564</v>
      </c>
      <c r="G86" s="53">
        <v>269.98345899999998</v>
      </c>
      <c r="H86" s="53">
        <v>88.668846000000002</v>
      </c>
      <c r="I86" s="122">
        <f t="shared" si="2"/>
        <v>-5.1246112442856484E-3</v>
      </c>
      <c r="J86" s="122">
        <f t="shared" si="3"/>
        <v>1.0945289770569744E-4</v>
      </c>
      <c r="K86"/>
      <c r="L86"/>
      <c r="M86" s="54"/>
      <c r="N86" s="54"/>
      <c r="O86" s="54"/>
      <c r="Y86"/>
    </row>
    <row r="87" spans="1:25" s="15" customFormat="1" x14ac:dyDescent="0.3">
      <c r="A87" s="17"/>
      <c r="B87"/>
      <c r="C87"/>
      <c r="D87"/>
      <c r="E87"/>
      <c r="F87" s="121">
        <v>43565</v>
      </c>
      <c r="G87" s="53">
        <v>270.904358</v>
      </c>
      <c r="H87" s="53">
        <v>88.668846000000002</v>
      </c>
      <c r="I87" s="122">
        <f t="shared" si="2"/>
        <v>3.4109460016957804E-3</v>
      </c>
      <c r="J87" s="122">
        <f t="shared" si="3"/>
        <v>0</v>
      </c>
      <c r="K87"/>
      <c r="L87"/>
      <c r="M87" s="54"/>
      <c r="N87" s="54"/>
      <c r="O87" s="54"/>
      <c r="Y87"/>
    </row>
    <row r="88" spans="1:25" s="15" customFormat="1" x14ac:dyDescent="0.3">
      <c r="A88" s="17"/>
      <c r="B88"/>
      <c r="C88"/>
      <c r="D88"/>
      <c r="E88"/>
      <c r="F88" s="121">
        <v>43566</v>
      </c>
      <c r="G88" s="53">
        <v>270.82913200000002</v>
      </c>
      <c r="H88" s="53">
        <v>88.697906000000003</v>
      </c>
      <c r="I88" s="122">
        <f t="shared" si="2"/>
        <v>-2.7768471705424957E-4</v>
      </c>
      <c r="J88" s="122">
        <f t="shared" si="3"/>
        <v>3.2773630548876831E-4</v>
      </c>
      <c r="K88"/>
      <c r="L88"/>
      <c r="M88" s="54"/>
      <c r="N88" s="54"/>
      <c r="O88" s="54"/>
      <c r="Y88"/>
    </row>
    <row r="89" spans="1:25" s="15" customFormat="1" x14ac:dyDescent="0.3">
      <c r="A89" s="17"/>
      <c r="B89"/>
      <c r="C89"/>
      <c r="D89"/>
      <c r="E89"/>
      <c r="F89" s="121">
        <v>43567</v>
      </c>
      <c r="G89" s="53">
        <v>272.66162100000003</v>
      </c>
      <c r="H89" s="53">
        <v>88.697906000000003</v>
      </c>
      <c r="I89" s="122">
        <f t="shared" si="2"/>
        <v>6.7662181925096654E-3</v>
      </c>
      <c r="J89" s="122">
        <f t="shared" si="3"/>
        <v>0</v>
      </c>
      <c r="K89"/>
      <c r="L89"/>
      <c r="M89" s="54"/>
      <c r="N89" s="54"/>
      <c r="O89" s="54"/>
      <c r="Y89"/>
    </row>
    <row r="90" spans="1:25" s="15" customFormat="1" x14ac:dyDescent="0.3">
      <c r="A90" s="17"/>
      <c r="B90"/>
      <c r="C90"/>
      <c r="D90"/>
      <c r="E90"/>
      <c r="F90" s="121">
        <v>43570</v>
      </c>
      <c r="G90" s="53">
        <v>272.48303199999998</v>
      </c>
      <c r="H90" s="53">
        <v>88.707611</v>
      </c>
      <c r="I90" s="122">
        <f t="shared" si="2"/>
        <v>-6.5498400304764282E-4</v>
      </c>
      <c r="J90" s="122">
        <f t="shared" si="3"/>
        <v>1.0941633729211198E-4</v>
      </c>
      <c r="K90"/>
      <c r="L90"/>
      <c r="M90" s="54"/>
      <c r="N90" s="54"/>
      <c r="O90" s="54"/>
      <c r="Y90"/>
    </row>
    <row r="91" spans="1:25" s="15" customFormat="1" x14ac:dyDescent="0.3">
      <c r="A91" s="17"/>
      <c r="B91"/>
      <c r="C91"/>
      <c r="D91"/>
      <c r="E91"/>
      <c r="F91" s="121">
        <v>43571</v>
      </c>
      <c r="G91" s="53">
        <v>272.66162100000003</v>
      </c>
      <c r="H91" s="53">
        <v>88.707611</v>
      </c>
      <c r="I91" s="122">
        <f t="shared" si="2"/>
        <v>6.554132882667929E-4</v>
      </c>
      <c r="J91" s="122">
        <f t="shared" si="3"/>
        <v>0</v>
      </c>
      <c r="K91"/>
      <c r="L91"/>
      <c r="M91" s="54"/>
      <c r="N91" s="54"/>
      <c r="O91" s="54"/>
      <c r="Y91"/>
    </row>
    <row r="92" spans="1:25" s="15" customFormat="1" x14ac:dyDescent="0.3">
      <c r="A92" s="17"/>
      <c r="B92"/>
      <c r="C92"/>
      <c r="D92"/>
      <c r="E92"/>
      <c r="F92" s="121">
        <v>43572</v>
      </c>
      <c r="G92" s="53">
        <v>271.99438500000002</v>
      </c>
      <c r="H92" s="53">
        <v>88.726982000000007</v>
      </c>
      <c r="I92" s="122">
        <f t="shared" si="2"/>
        <v>-2.4471210783273412E-3</v>
      </c>
      <c r="J92" s="122">
        <f t="shared" si="3"/>
        <v>2.1836908672923094E-4</v>
      </c>
      <c r="K92"/>
      <c r="L92"/>
      <c r="M92" s="54"/>
      <c r="N92" s="54"/>
      <c r="O92" s="54"/>
      <c r="Y92"/>
    </row>
    <row r="93" spans="1:25" s="15" customFormat="1" x14ac:dyDescent="0.3">
      <c r="A93" s="17"/>
      <c r="B93"/>
      <c r="C93"/>
      <c r="D93"/>
      <c r="E93"/>
      <c r="F93" s="121">
        <v>43573</v>
      </c>
      <c r="G93" s="53">
        <v>272.529968</v>
      </c>
      <c r="H93" s="53">
        <v>88.736716999999999</v>
      </c>
      <c r="I93" s="122">
        <f t="shared" si="2"/>
        <v>1.969095795856024E-3</v>
      </c>
      <c r="J93" s="122">
        <f t="shared" si="3"/>
        <v>1.0971859721320421E-4</v>
      </c>
      <c r="K93"/>
      <c r="L93"/>
      <c r="M93" s="54"/>
      <c r="N93" s="54"/>
      <c r="O93" s="54"/>
      <c r="Y93"/>
    </row>
    <row r="94" spans="1:25" s="15" customFormat="1" x14ac:dyDescent="0.3">
      <c r="A94" s="17"/>
      <c r="B94"/>
      <c r="C94"/>
      <c r="D94"/>
      <c r="E94"/>
      <c r="F94" s="121">
        <v>43577</v>
      </c>
      <c r="G94" s="53">
        <v>272.76492300000001</v>
      </c>
      <c r="H94" s="53">
        <v>88.736716999999999</v>
      </c>
      <c r="I94" s="122">
        <f t="shared" si="2"/>
        <v>8.6212537184171545E-4</v>
      </c>
      <c r="J94" s="122">
        <f t="shared" si="3"/>
        <v>0</v>
      </c>
      <c r="K94"/>
      <c r="L94"/>
      <c r="M94" s="54"/>
      <c r="N94" s="54"/>
      <c r="O94" s="54"/>
      <c r="Y94"/>
    </row>
    <row r="95" spans="1:25" s="15" customFormat="1" x14ac:dyDescent="0.3">
      <c r="A95" s="17"/>
      <c r="B95"/>
      <c r="C95"/>
      <c r="D95"/>
      <c r="E95"/>
      <c r="F95" s="121">
        <v>43578</v>
      </c>
      <c r="G95" s="53">
        <v>275.21755999999999</v>
      </c>
      <c r="H95" s="53">
        <v>88.736716999999999</v>
      </c>
      <c r="I95" s="122">
        <f t="shared" si="2"/>
        <v>8.9917610117338231E-3</v>
      </c>
      <c r="J95" s="122">
        <f t="shared" si="3"/>
        <v>0</v>
      </c>
      <c r="K95"/>
      <c r="L95"/>
      <c r="M95" s="54"/>
      <c r="N95" s="54"/>
      <c r="O95" s="54"/>
      <c r="Y95"/>
    </row>
    <row r="96" spans="1:25" s="15" customFormat="1" x14ac:dyDescent="0.3">
      <c r="A96" s="17"/>
      <c r="B96"/>
      <c r="C96"/>
      <c r="D96"/>
      <c r="E96"/>
      <c r="F96" s="121">
        <v>43579</v>
      </c>
      <c r="G96" s="53">
        <v>274.60674999999998</v>
      </c>
      <c r="H96" s="53">
        <v>88.756073000000001</v>
      </c>
      <c r="I96" s="122">
        <f t="shared" si="2"/>
        <v>-2.2193714674311193E-3</v>
      </c>
      <c r="J96" s="122">
        <f t="shared" si="3"/>
        <v>2.1812842140644939E-4</v>
      </c>
      <c r="K96"/>
      <c r="L96"/>
      <c r="M96" s="54"/>
      <c r="N96" s="54"/>
      <c r="O96" s="54"/>
      <c r="Y96"/>
    </row>
    <row r="97" spans="1:25" s="15" customFormat="1" x14ac:dyDescent="0.3">
      <c r="A97" s="17"/>
      <c r="B97"/>
      <c r="C97"/>
      <c r="D97"/>
      <c r="E97"/>
      <c r="F97" s="121">
        <v>43580</v>
      </c>
      <c r="G97" s="53">
        <v>274.43753099999998</v>
      </c>
      <c r="H97" s="53">
        <v>88.775435999999999</v>
      </c>
      <c r="I97" s="122">
        <f t="shared" si="2"/>
        <v>-6.1622301709629568E-4</v>
      </c>
      <c r="J97" s="122">
        <f t="shared" si="3"/>
        <v>2.181597196171392E-4</v>
      </c>
      <c r="K97"/>
      <c r="L97"/>
      <c r="M97" s="54"/>
      <c r="N97" s="54"/>
      <c r="O97" s="54"/>
      <c r="Y97"/>
    </row>
    <row r="98" spans="1:25" s="15" customFormat="1" x14ac:dyDescent="0.3">
      <c r="A98" s="17"/>
      <c r="B98"/>
      <c r="C98"/>
      <c r="D98"/>
      <c r="E98"/>
      <c r="F98" s="121">
        <v>43581</v>
      </c>
      <c r="G98" s="53">
        <v>275.71554600000002</v>
      </c>
      <c r="H98" s="53">
        <v>88.765761999999995</v>
      </c>
      <c r="I98" s="122">
        <f t="shared" si="2"/>
        <v>4.6568521271241892E-3</v>
      </c>
      <c r="J98" s="122">
        <f t="shared" si="3"/>
        <v>-1.0897158533818008E-4</v>
      </c>
      <c r="K98"/>
      <c r="L98"/>
      <c r="M98" s="54"/>
      <c r="N98" s="54"/>
      <c r="O98" s="54"/>
      <c r="Y98"/>
    </row>
    <row r="99" spans="1:25" s="15" customFormat="1" x14ac:dyDescent="0.3">
      <c r="A99" s="17"/>
      <c r="B99"/>
      <c r="C99"/>
      <c r="D99"/>
      <c r="E99"/>
      <c r="F99" s="121">
        <v>43584</v>
      </c>
      <c r="G99" s="53">
        <v>276.14782700000001</v>
      </c>
      <c r="H99" s="53">
        <v>88.775435999999999</v>
      </c>
      <c r="I99" s="122">
        <f t="shared" si="2"/>
        <v>1.5678513825985174E-3</v>
      </c>
      <c r="J99" s="122">
        <f t="shared" si="3"/>
        <v>1.089834614387275E-4</v>
      </c>
      <c r="K99"/>
      <c r="L99"/>
      <c r="M99" s="54"/>
      <c r="N99" s="54"/>
      <c r="O99" s="54"/>
      <c r="Y99"/>
    </row>
    <row r="100" spans="1:25" s="15" customFormat="1" x14ac:dyDescent="0.3">
      <c r="A100" s="17"/>
      <c r="B100"/>
      <c r="C100"/>
      <c r="D100"/>
      <c r="E100"/>
      <c r="F100" s="121">
        <v>43585</v>
      </c>
      <c r="G100" s="53">
        <v>276.28872699999999</v>
      </c>
      <c r="H100" s="53">
        <v>88.785149000000004</v>
      </c>
      <c r="I100" s="122">
        <f t="shared" si="2"/>
        <v>5.1023396247829034E-4</v>
      </c>
      <c r="J100" s="122">
        <f t="shared" si="3"/>
        <v>1.0941089605021048E-4</v>
      </c>
      <c r="K100"/>
      <c r="L100"/>
      <c r="M100" s="54"/>
      <c r="N100" s="54"/>
      <c r="O100" s="54"/>
      <c r="Y100"/>
    </row>
    <row r="101" spans="1:25" s="15" customFormat="1" x14ac:dyDescent="0.3">
      <c r="A101" s="17"/>
      <c r="B101"/>
      <c r="C101"/>
      <c r="D101"/>
      <c r="E101"/>
      <c r="F101" s="121">
        <v>43586</v>
      </c>
      <c r="G101" s="53">
        <v>274.21206699999999</v>
      </c>
      <c r="H101" s="53">
        <v>88.789023999999998</v>
      </c>
      <c r="I101" s="122">
        <f t="shared" si="2"/>
        <v>-7.5162675746810459E-3</v>
      </c>
      <c r="J101" s="122">
        <f t="shared" si="3"/>
        <v>4.3644686567922975E-5</v>
      </c>
      <c r="K101"/>
      <c r="L101"/>
      <c r="M101" s="54"/>
      <c r="N101" s="54"/>
      <c r="O101" s="54"/>
      <c r="Y101"/>
    </row>
    <row r="102" spans="1:25" s="15" customFormat="1" x14ac:dyDescent="0.3">
      <c r="A102" s="17"/>
      <c r="B102"/>
      <c r="C102"/>
      <c r="D102"/>
      <c r="E102"/>
      <c r="F102" s="121">
        <v>43587</v>
      </c>
      <c r="G102" s="53">
        <v>273.620026</v>
      </c>
      <c r="H102" s="53">
        <v>88.798766999999998</v>
      </c>
      <c r="I102" s="122">
        <f t="shared" si="2"/>
        <v>-2.1590625331597835E-3</v>
      </c>
      <c r="J102" s="122">
        <f t="shared" si="3"/>
        <v>1.0973203174291513E-4</v>
      </c>
      <c r="K102"/>
      <c r="L102"/>
      <c r="M102" s="54"/>
      <c r="N102" s="54"/>
      <c r="O102" s="54"/>
      <c r="Y102"/>
    </row>
    <row r="103" spans="1:25" s="15" customFormat="1" x14ac:dyDescent="0.3">
      <c r="A103" s="17"/>
      <c r="B103"/>
      <c r="C103"/>
      <c r="D103"/>
      <c r="E103"/>
      <c r="F103" s="121">
        <v>43588</v>
      </c>
      <c r="G103" s="53">
        <v>276.29818699999998</v>
      </c>
      <c r="H103" s="53">
        <v>88.808456000000007</v>
      </c>
      <c r="I103" s="122">
        <f t="shared" si="2"/>
        <v>9.7878837274871788E-3</v>
      </c>
      <c r="J103" s="122">
        <f t="shared" si="3"/>
        <v>1.0911187539353051E-4</v>
      </c>
      <c r="K103"/>
      <c r="L103"/>
      <c r="M103" s="54"/>
      <c r="N103" s="54"/>
      <c r="O103" s="54"/>
      <c r="Y103"/>
    </row>
    <row r="104" spans="1:25" s="15" customFormat="1" x14ac:dyDescent="0.3">
      <c r="A104" s="17"/>
      <c r="B104"/>
      <c r="C104"/>
      <c r="D104"/>
      <c r="E104"/>
      <c r="F104" s="121">
        <v>43591</v>
      </c>
      <c r="G104" s="53">
        <v>275.16110200000003</v>
      </c>
      <c r="H104" s="53">
        <v>88.818152999999995</v>
      </c>
      <c r="I104" s="122">
        <f t="shared" si="2"/>
        <v>-4.1154269318457448E-3</v>
      </c>
      <c r="J104" s="122">
        <f t="shared" si="3"/>
        <v>1.0919005280296545E-4</v>
      </c>
      <c r="K104"/>
      <c r="L104"/>
      <c r="M104" s="54"/>
      <c r="N104" s="54"/>
      <c r="O104" s="54"/>
      <c r="Y104"/>
    </row>
    <row r="105" spans="1:25" s="15" customFormat="1" x14ac:dyDescent="0.3">
      <c r="A105" s="17"/>
      <c r="B105"/>
      <c r="C105"/>
      <c r="D105"/>
      <c r="E105"/>
      <c r="F105" s="121">
        <v>43592</v>
      </c>
      <c r="G105" s="53">
        <v>270.56607100000002</v>
      </c>
      <c r="H105" s="53">
        <v>88.827866</v>
      </c>
      <c r="I105" s="122">
        <f t="shared" si="2"/>
        <v>-1.6699420690646893E-2</v>
      </c>
      <c r="J105" s="122">
        <f t="shared" si="3"/>
        <v>1.0935827499136686E-4</v>
      </c>
      <c r="K105"/>
      <c r="L105"/>
      <c r="M105" s="54"/>
      <c r="N105" s="54"/>
      <c r="O105" s="54"/>
      <c r="Y105"/>
    </row>
    <row r="106" spans="1:25" s="15" customFormat="1" x14ac:dyDescent="0.3">
      <c r="A106" s="17"/>
      <c r="B106"/>
      <c r="C106"/>
      <c r="D106"/>
      <c r="E106"/>
      <c r="F106" s="121">
        <v>43593</v>
      </c>
      <c r="G106" s="53">
        <v>270.190155</v>
      </c>
      <c r="H106" s="53">
        <v>88.827866</v>
      </c>
      <c r="I106" s="122">
        <f t="shared" si="2"/>
        <v>-1.3893685879040607E-3</v>
      </c>
      <c r="J106" s="122">
        <f t="shared" si="3"/>
        <v>0</v>
      </c>
      <c r="K106"/>
      <c r="L106"/>
      <c r="M106" s="54"/>
      <c r="N106" s="54"/>
      <c r="O106" s="54"/>
      <c r="Y106"/>
    </row>
    <row r="107" spans="1:25" s="15" customFormat="1" x14ac:dyDescent="0.3">
      <c r="A107" s="17"/>
      <c r="B107"/>
      <c r="C107"/>
      <c r="D107"/>
      <c r="E107"/>
      <c r="F107" s="121">
        <v>43594</v>
      </c>
      <c r="G107" s="53">
        <v>269.372589</v>
      </c>
      <c r="H107" s="53">
        <v>88.837585000000004</v>
      </c>
      <c r="I107" s="122">
        <f t="shared" si="2"/>
        <v>-3.0258911543242784E-3</v>
      </c>
      <c r="J107" s="122">
        <f t="shared" si="3"/>
        <v>1.094138634378794E-4</v>
      </c>
      <c r="K107"/>
      <c r="L107"/>
      <c r="M107" s="54"/>
      <c r="N107" s="54"/>
      <c r="O107" s="54"/>
      <c r="Y107"/>
    </row>
    <row r="108" spans="1:25" s="15" customFormat="1" x14ac:dyDescent="0.3">
      <c r="A108" s="17"/>
      <c r="B108"/>
      <c r="C108"/>
      <c r="D108"/>
      <c r="E108"/>
      <c r="F108" s="121">
        <v>43595</v>
      </c>
      <c r="G108" s="53">
        <v>270.72582999999997</v>
      </c>
      <c r="H108" s="53">
        <v>88.857017999999997</v>
      </c>
      <c r="I108" s="122">
        <f t="shared" si="2"/>
        <v>5.0236774462599776E-3</v>
      </c>
      <c r="J108" s="122">
        <f t="shared" si="3"/>
        <v>2.187475042234599E-4</v>
      </c>
      <c r="K108"/>
      <c r="L108"/>
      <c r="M108" s="54"/>
      <c r="N108" s="54"/>
      <c r="O108" s="54"/>
      <c r="Y108"/>
    </row>
    <row r="109" spans="1:25" s="15" customFormat="1" x14ac:dyDescent="0.3">
      <c r="A109" s="17"/>
      <c r="B109"/>
      <c r="C109"/>
      <c r="D109"/>
      <c r="E109"/>
      <c r="F109" s="121">
        <v>43598</v>
      </c>
      <c r="G109" s="53">
        <v>263.92233299999998</v>
      </c>
      <c r="H109" s="53">
        <v>88.847282000000007</v>
      </c>
      <c r="I109" s="122">
        <f t="shared" si="2"/>
        <v>-2.5130579523941265E-2</v>
      </c>
      <c r="J109" s="122">
        <f t="shared" si="3"/>
        <v>-1.0956928579342051E-4</v>
      </c>
      <c r="K109"/>
      <c r="L109"/>
      <c r="M109" s="54"/>
      <c r="N109" s="54"/>
      <c r="O109" s="54"/>
      <c r="Y109"/>
    </row>
    <row r="110" spans="1:25" s="15" customFormat="1" x14ac:dyDescent="0.3">
      <c r="A110" s="17"/>
      <c r="B110"/>
      <c r="C110"/>
      <c r="D110"/>
      <c r="E110"/>
      <c r="F110" s="121">
        <v>43599</v>
      </c>
      <c r="G110" s="53">
        <v>266.309235</v>
      </c>
      <c r="H110" s="53">
        <v>88.857017999999997</v>
      </c>
      <c r="I110" s="122">
        <f t="shared" si="2"/>
        <v>9.0439561247741551E-3</v>
      </c>
      <c r="J110" s="122">
        <f t="shared" si="3"/>
        <v>1.0958129253735294E-4</v>
      </c>
      <c r="K110"/>
      <c r="L110"/>
      <c r="M110" s="54"/>
      <c r="N110" s="54"/>
      <c r="O110" s="54"/>
      <c r="Y110"/>
    </row>
    <row r="111" spans="1:25" s="15" customFormat="1" x14ac:dyDescent="0.3">
      <c r="A111" s="17"/>
      <c r="B111"/>
      <c r="C111"/>
      <c r="D111"/>
      <c r="E111"/>
      <c r="F111" s="121">
        <v>43600</v>
      </c>
      <c r="G111" s="53">
        <v>267.86910999999998</v>
      </c>
      <c r="H111" s="53">
        <v>88.866721999999996</v>
      </c>
      <c r="I111" s="122">
        <f t="shared" si="2"/>
        <v>5.8573823021945692E-3</v>
      </c>
      <c r="J111" s="122">
        <f t="shared" si="3"/>
        <v>1.0920915667012032E-4</v>
      </c>
      <c r="K111"/>
      <c r="L111"/>
      <c r="M111" s="54"/>
      <c r="N111" s="54"/>
      <c r="O111" s="54"/>
      <c r="Y111"/>
    </row>
    <row r="112" spans="1:25" s="15" customFormat="1" x14ac:dyDescent="0.3">
      <c r="A112" s="17"/>
      <c r="B112"/>
      <c r="C112"/>
      <c r="D112"/>
      <c r="E112"/>
      <c r="F112" s="121">
        <v>43601</v>
      </c>
      <c r="G112" s="53">
        <v>270.34988399999997</v>
      </c>
      <c r="H112" s="53">
        <v>88.876434000000003</v>
      </c>
      <c r="I112" s="122">
        <f t="shared" si="2"/>
        <v>9.2611425035160622E-3</v>
      </c>
      <c r="J112" s="122">
        <f t="shared" si="3"/>
        <v>1.0928725378223092E-4</v>
      </c>
      <c r="K112"/>
      <c r="L112"/>
      <c r="M112" s="54"/>
      <c r="N112" s="54"/>
      <c r="O112" s="54"/>
      <c r="Y112"/>
    </row>
    <row r="113" spans="1:25" s="15" customFormat="1" x14ac:dyDescent="0.3">
      <c r="A113" s="17"/>
      <c r="B113"/>
      <c r="C113"/>
      <c r="D113"/>
      <c r="E113"/>
      <c r="F113" s="121">
        <v>43602</v>
      </c>
      <c r="G113" s="53">
        <v>268.602081</v>
      </c>
      <c r="H113" s="53">
        <v>88.886168999999995</v>
      </c>
      <c r="I113" s="122">
        <f t="shared" si="2"/>
        <v>-6.4649667095842966E-3</v>
      </c>
      <c r="J113" s="122">
        <f t="shared" si="3"/>
        <v>1.0953409764380417E-4</v>
      </c>
      <c r="K113"/>
      <c r="L113"/>
      <c r="M113" s="54"/>
      <c r="N113" s="54"/>
      <c r="O113" s="54"/>
      <c r="Y113"/>
    </row>
    <row r="114" spans="1:25" s="15" customFormat="1" x14ac:dyDescent="0.3">
      <c r="A114" s="17"/>
      <c r="B114"/>
      <c r="C114"/>
      <c r="D114"/>
      <c r="E114"/>
      <c r="F114" s="121">
        <v>43605</v>
      </c>
      <c r="G114" s="53">
        <v>266.82607999999999</v>
      </c>
      <c r="H114" s="53">
        <v>88.895843999999997</v>
      </c>
      <c r="I114" s="122">
        <f t="shared" si="2"/>
        <v>-6.6120150424300306E-3</v>
      </c>
      <c r="J114" s="122">
        <f t="shared" si="3"/>
        <v>1.0884708058456205E-4</v>
      </c>
      <c r="K114"/>
      <c r="L114"/>
      <c r="M114" s="54"/>
      <c r="N114" s="54"/>
      <c r="O114" s="54"/>
      <c r="Y114"/>
    </row>
    <row r="115" spans="1:25" s="15" customFormat="1" x14ac:dyDescent="0.3">
      <c r="A115" s="17"/>
      <c r="B115"/>
      <c r="C115"/>
      <c r="D115"/>
      <c r="E115"/>
      <c r="F115" s="121">
        <v>43606</v>
      </c>
      <c r="G115" s="53">
        <v>269.23172</v>
      </c>
      <c r="H115" s="53">
        <v>88.895843999999997</v>
      </c>
      <c r="I115" s="122">
        <f t="shared" si="2"/>
        <v>9.0157603784457585E-3</v>
      </c>
      <c r="J115" s="122">
        <f t="shared" si="3"/>
        <v>0</v>
      </c>
      <c r="K115"/>
      <c r="L115"/>
      <c r="M115" s="54"/>
      <c r="N115" s="54"/>
      <c r="O115" s="54"/>
      <c r="Y115"/>
    </row>
    <row r="116" spans="1:25" s="15" customFormat="1" x14ac:dyDescent="0.3">
      <c r="A116" s="17"/>
      <c r="B116"/>
      <c r="C116"/>
      <c r="D116"/>
      <c r="E116"/>
      <c r="F116" s="121">
        <v>43607</v>
      </c>
      <c r="G116" s="53">
        <v>268.404785</v>
      </c>
      <c r="H116" s="53">
        <v>88.915276000000006</v>
      </c>
      <c r="I116" s="122">
        <f t="shared" si="2"/>
        <v>-3.0714620104941304E-3</v>
      </c>
      <c r="J116" s="122">
        <f t="shared" si="3"/>
        <v>2.185928961988548E-4</v>
      </c>
      <c r="K116"/>
      <c r="L116"/>
      <c r="M116" s="54"/>
      <c r="N116" s="54"/>
      <c r="O116" s="54"/>
      <c r="Y116"/>
    </row>
    <row r="117" spans="1:25" s="15" customFormat="1" x14ac:dyDescent="0.3">
      <c r="A117" s="17"/>
      <c r="B117"/>
      <c r="C117"/>
      <c r="D117"/>
      <c r="E117"/>
      <c r="F117" s="121">
        <v>43608</v>
      </c>
      <c r="G117" s="53">
        <v>265.12527499999999</v>
      </c>
      <c r="H117" s="53">
        <v>88.934700000000007</v>
      </c>
      <c r="I117" s="122">
        <f t="shared" si="2"/>
        <v>-1.221852285532099E-2</v>
      </c>
      <c r="J117" s="122">
        <f t="shared" si="3"/>
        <v>2.1845515049623287E-4</v>
      </c>
      <c r="K117"/>
      <c r="L117"/>
      <c r="M117" s="54"/>
      <c r="N117" s="54"/>
      <c r="O117" s="54"/>
      <c r="Y117"/>
    </row>
    <row r="118" spans="1:25" s="15" customFormat="1" x14ac:dyDescent="0.3">
      <c r="A118" s="17"/>
      <c r="B118"/>
      <c r="C118"/>
      <c r="D118"/>
      <c r="E118"/>
      <c r="F118" s="121">
        <v>43609</v>
      </c>
      <c r="G118" s="53">
        <v>265.726563</v>
      </c>
      <c r="H118" s="53">
        <v>88.934700000000007</v>
      </c>
      <c r="I118" s="122">
        <f t="shared" si="2"/>
        <v>2.2679391845987773E-3</v>
      </c>
      <c r="J118" s="122">
        <f t="shared" si="3"/>
        <v>0</v>
      </c>
      <c r="K118"/>
      <c r="L118"/>
      <c r="M118" s="54"/>
      <c r="N118" s="54"/>
      <c r="O118" s="54"/>
      <c r="Y118"/>
    </row>
    <row r="119" spans="1:25" s="15" customFormat="1" x14ac:dyDescent="0.3">
      <c r="A119" s="17"/>
      <c r="B119"/>
      <c r="C119"/>
      <c r="D119"/>
      <c r="E119"/>
      <c r="F119" s="121">
        <v>43613</v>
      </c>
      <c r="G119" s="53">
        <v>263.25521900000001</v>
      </c>
      <c r="H119" s="53">
        <v>88.944382000000004</v>
      </c>
      <c r="I119" s="122">
        <f t="shared" si="2"/>
        <v>-9.3003272691258854E-3</v>
      </c>
      <c r="J119" s="122">
        <f t="shared" si="3"/>
        <v>1.0886639298268719E-4</v>
      </c>
      <c r="K119"/>
      <c r="L119"/>
      <c r="M119" s="54"/>
      <c r="N119" s="54"/>
      <c r="O119" s="54"/>
      <c r="Y119"/>
    </row>
    <row r="120" spans="1:25" s="15" customFormat="1" x14ac:dyDescent="0.3">
      <c r="A120" s="17"/>
      <c r="B120"/>
      <c r="C120"/>
      <c r="D120"/>
      <c r="E120"/>
      <c r="F120" s="121">
        <v>43614</v>
      </c>
      <c r="G120" s="53">
        <v>261.488586</v>
      </c>
      <c r="H120" s="53">
        <v>88.944382000000004</v>
      </c>
      <c r="I120" s="122">
        <f t="shared" si="2"/>
        <v>-6.7107235583429015E-3</v>
      </c>
      <c r="J120" s="122">
        <f t="shared" si="3"/>
        <v>0</v>
      </c>
      <c r="K120"/>
      <c r="L120"/>
      <c r="M120" s="54"/>
      <c r="N120" s="54"/>
      <c r="O120" s="54"/>
      <c r="Y120"/>
    </row>
    <row r="121" spans="1:25" s="15" customFormat="1" x14ac:dyDescent="0.3">
      <c r="A121" s="17"/>
      <c r="B121"/>
      <c r="C121"/>
      <c r="D121"/>
      <c r="E121"/>
      <c r="F121" s="121">
        <v>43615</v>
      </c>
      <c r="G121" s="53">
        <v>262.20281999999997</v>
      </c>
      <c r="H121" s="53">
        <v>88.973549000000006</v>
      </c>
      <c r="I121" s="122">
        <f t="shared" si="2"/>
        <v>2.7314155884416991E-3</v>
      </c>
      <c r="J121" s="122">
        <f t="shared" si="3"/>
        <v>3.279240278493134E-4</v>
      </c>
      <c r="K121"/>
      <c r="L121"/>
      <c r="M121" s="54"/>
      <c r="N121" s="54"/>
      <c r="O121" s="54"/>
      <c r="Y121"/>
    </row>
    <row r="122" spans="1:25" s="15" customFormat="1" x14ac:dyDescent="0.3">
      <c r="A122" s="17"/>
      <c r="B122"/>
      <c r="C122"/>
      <c r="D122"/>
      <c r="E122"/>
      <c r="F122" s="121">
        <v>43616</v>
      </c>
      <c r="G122" s="53">
        <v>258.669556</v>
      </c>
      <c r="H122" s="53">
        <v>88.973549000000006</v>
      </c>
      <c r="I122" s="122">
        <f t="shared" si="2"/>
        <v>-1.3475308923069473E-2</v>
      </c>
      <c r="J122" s="122">
        <f t="shared" si="3"/>
        <v>0</v>
      </c>
      <c r="K122"/>
      <c r="L122"/>
      <c r="M122" s="54"/>
      <c r="N122" s="54"/>
      <c r="O122" s="54"/>
      <c r="Y122"/>
    </row>
    <row r="123" spans="1:25" s="15" customFormat="1" x14ac:dyDescent="0.3">
      <c r="A123" s="17"/>
      <c r="B123"/>
      <c r="C123"/>
      <c r="D123"/>
      <c r="E123"/>
      <c r="F123" s="121">
        <v>43619</v>
      </c>
      <c r="G123" s="53">
        <v>258.01174900000001</v>
      </c>
      <c r="H123" s="53">
        <v>88.969673</v>
      </c>
      <c r="I123" s="122">
        <f t="shared" si="2"/>
        <v>-2.5430398929512377E-3</v>
      </c>
      <c r="J123" s="122">
        <f t="shared" si="3"/>
        <v>-4.3563508970612119E-5</v>
      </c>
      <c r="K123"/>
      <c r="L123"/>
      <c r="M123" s="54"/>
      <c r="N123" s="54"/>
      <c r="O123" s="54"/>
      <c r="Y123"/>
    </row>
    <row r="124" spans="1:25" s="15" customFormat="1" x14ac:dyDescent="0.3">
      <c r="A124" s="17"/>
      <c r="B124"/>
      <c r="C124"/>
      <c r="D124"/>
      <c r="E124"/>
      <c r="F124" s="121">
        <v>43620</v>
      </c>
      <c r="G124" s="53">
        <v>263.61230499999999</v>
      </c>
      <c r="H124" s="53">
        <v>88.989104999999995</v>
      </c>
      <c r="I124" s="122">
        <f t="shared" si="2"/>
        <v>2.1706592904030764E-2</v>
      </c>
      <c r="J124" s="122">
        <f t="shared" si="3"/>
        <v>2.184115029848499E-4</v>
      </c>
      <c r="K124"/>
      <c r="L124"/>
      <c r="M124" s="54"/>
      <c r="N124" s="54"/>
      <c r="O124" s="54"/>
      <c r="Y124"/>
    </row>
    <row r="125" spans="1:25" s="15" customFormat="1" x14ac:dyDescent="0.3">
      <c r="A125" s="17"/>
      <c r="B125"/>
      <c r="C125"/>
      <c r="D125"/>
      <c r="E125"/>
      <c r="F125" s="121">
        <v>43621</v>
      </c>
      <c r="G125" s="53">
        <v>265.89575200000002</v>
      </c>
      <c r="H125" s="53">
        <v>88.989104999999995</v>
      </c>
      <c r="I125" s="122">
        <f t="shared" si="2"/>
        <v>8.6621411697758166E-3</v>
      </c>
      <c r="J125" s="122">
        <f t="shared" si="3"/>
        <v>0</v>
      </c>
      <c r="K125"/>
      <c r="L125"/>
      <c r="M125" s="54"/>
      <c r="N125" s="54"/>
      <c r="O125" s="54"/>
      <c r="Y125"/>
    </row>
    <row r="126" spans="1:25" s="15" customFormat="1" x14ac:dyDescent="0.3">
      <c r="A126" s="17"/>
      <c r="B126"/>
      <c r="C126"/>
      <c r="D126"/>
      <c r="E126"/>
      <c r="F126" s="121">
        <v>43622</v>
      </c>
      <c r="G126" s="53">
        <v>267.62481700000001</v>
      </c>
      <c r="H126" s="53">
        <v>89.018294999999995</v>
      </c>
      <c r="I126" s="122">
        <f t="shared" si="2"/>
        <v>6.5027928689886938E-3</v>
      </c>
      <c r="J126" s="122">
        <f t="shared" si="3"/>
        <v>3.2801768261414566E-4</v>
      </c>
      <c r="K126"/>
      <c r="L126"/>
      <c r="M126" s="54"/>
      <c r="N126" s="54"/>
      <c r="O126" s="54"/>
      <c r="Y126"/>
    </row>
    <row r="127" spans="1:25" s="15" customFormat="1" x14ac:dyDescent="0.3">
      <c r="A127" s="17"/>
      <c r="B127"/>
      <c r="C127"/>
      <c r="D127"/>
      <c r="E127"/>
      <c r="F127" s="121">
        <v>43623</v>
      </c>
      <c r="G127" s="53">
        <v>270.30291699999998</v>
      </c>
      <c r="H127" s="53">
        <v>89.008567999999997</v>
      </c>
      <c r="I127" s="122">
        <f t="shared" si="2"/>
        <v>1.0006919500294309E-2</v>
      </c>
      <c r="J127" s="122">
        <f t="shared" si="3"/>
        <v>-1.0926967316093883E-4</v>
      </c>
      <c r="K127"/>
      <c r="L127"/>
      <c r="M127" s="54"/>
      <c r="N127" s="54"/>
      <c r="O127" s="54"/>
      <c r="Y127"/>
    </row>
    <row r="128" spans="1:25" s="15" customFormat="1" x14ac:dyDescent="0.3">
      <c r="A128" s="17"/>
      <c r="B128"/>
      <c r="C128"/>
      <c r="D128"/>
      <c r="E128"/>
      <c r="F128" s="121">
        <v>43626</v>
      </c>
      <c r="G128" s="53">
        <v>271.54330399999998</v>
      </c>
      <c r="H128" s="53">
        <v>89.028037999999995</v>
      </c>
      <c r="I128" s="122">
        <f t="shared" si="2"/>
        <v>4.5888775961673289E-3</v>
      </c>
      <c r="J128" s="122">
        <f t="shared" si="3"/>
        <v>2.1874298663027147E-4</v>
      </c>
      <c r="K128"/>
      <c r="L128"/>
      <c r="M128" s="54"/>
      <c r="N128" s="54"/>
      <c r="O128" s="54"/>
      <c r="Y128"/>
    </row>
    <row r="129" spans="1:25" s="15" customFormat="1" x14ac:dyDescent="0.3">
      <c r="A129" s="17"/>
      <c r="B129"/>
      <c r="C129"/>
      <c r="D129"/>
      <c r="E129"/>
      <c r="F129" s="121">
        <v>43627</v>
      </c>
      <c r="G129" s="53">
        <v>271.47757000000001</v>
      </c>
      <c r="H129" s="53">
        <v>89.018294999999995</v>
      </c>
      <c r="I129" s="122">
        <f t="shared" si="2"/>
        <v>-2.4207556964828125E-4</v>
      </c>
      <c r="J129" s="122">
        <f t="shared" si="3"/>
        <v>-1.0943743363189817E-4</v>
      </c>
      <c r="K129"/>
      <c r="L129"/>
      <c r="M129" s="54"/>
      <c r="N129" s="54"/>
      <c r="O129" s="54"/>
      <c r="Y129"/>
    </row>
    <row r="130" spans="1:25" s="15" customFormat="1" x14ac:dyDescent="0.3">
      <c r="A130" s="17"/>
      <c r="B130"/>
      <c r="C130"/>
      <c r="D130"/>
      <c r="E130"/>
      <c r="F130" s="121">
        <v>43628</v>
      </c>
      <c r="G130" s="53">
        <v>270.99829099999999</v>
      </c>
      <c r="H130" s="53">
        <v>89.028037999999995</v>
      </c>
      <c r="I130" s="122">
        <f t="shared" si="2"/>
        <v>-1.7654460366652858E-3</v>
      </c>
      <c r="J130" s="122">
        <f t="shared" si="3"/>
        <v>1.0944941149459986E-4</v>
      </c>
      <c r="K130"/>
      <c r="L130"/>
      <c r="M130" s="54"/>
      <c r="N130" s="54"/>
      <c r="O130" s="54"/>
      <c r="Y130"/>
    </row>
    <row r="131" spans="1:25" s="15" customFormat="1" x14ac:dyDescent="0.3">
      <c r="A131" s="17"/>
      <c r="B131"/>
      <c r="C131"/>
      <c r="D131"/>
      <c r="E131"/>
      <c r="F131" s="121">
        <v>43629</v>
      </c>
      <c r="G131" s="53">
        <v>272.11648600000001</v>
      </c>
      <c r="H131" s="53">
        <v>89.057243</v>
      </c>
      <c r="I131" s="122">
        <f t="shared" si="2"/>
        <v>4.1262068327951873E-3</v>
      </c>
      <c r="J131" s="122">
        <f t="shared" si="3"/>
        <v>3.2804272290043457E-4</v>
      </c>
      <c r="K131"/>
      <c r="L131"/>
      <c r="M131" s="54"/>
      <c r="N131" s="54"/>
      <c r="O131" s="54"/>
      <c r="Y131"/>
    </row>
    <row r="132" spans="1:25" s="15" customFormat="1" x14ac:dyDescent="0.3">
      <c r="A132" s="17"/>
      <c r="B132"/>
      <c r="C132"/>
      <c r="D132"/>
      <c r="E132"/>
      <c r="F132" s="121">
        <v>43630</v>
      </c>
      <c r="G132" s="53">
        <v>271.81585699999999</v>
      </c>
      <c r="H132" s="53">
        <v>89.066940000000002</v>
      </c>
      <c r="I132" s="122">
        <f t="shared" si="2"/>
        <v>-1.1047805460784321E-3</v>
      </c>
      <c r="J132" s="122">
        <f t="shared" si="3"/>
        <v>1.0888502353489926E-4</v>
      </c>
      <c r="K132"/>
      <c r="L132"/>
      <c r="M132" s="54"/>
      <c r="N132" s="54"/>
      <c r="O132" s="54"/>
      <c r="Y132"/>
    </row>
    <row r="133" spans="1:25" s="15" customFormat="1" x14ac:dyDescent="0.3">
      <c r="A133" s="17"/>
      <c r="B133"/>
      <c r="C133"/>
      <c r="D133"/>
      <c r="E133"/>
      <c r="F133" s="121">
        <v>43633</v>
      </c>
      <c r="G133" s="53">
        <v>271.91915899999998</v>
      </c>
      <c r="H133" s="53">
        <v>89.066940000000002</v>
      </c>
      <c r="I133" s="122">
        <f t="shared" si="2"/>
        <v>3.8004405313252221E-4</v>
      </c>
      <c r="J133" s="122">
        <f t="shared" si="3"/>
        <v>0</v>
      </c>
      <c r="K133"/>
      <c r="L133"/>
      <c r="M133" s="54"/>
      <c r="N133" s="54"/>
      <c r="O133" s="54"/>
      <c r="Y133"/>
    </row>
    <row r="134" spans="1:25" s="15" customFormat="1" x14ac:dyDescent="0.3">
      <c r="A134" s="17"/>
      <c r="B134"/>
      <c r="C134"/>
      <c r="D134"/>
      <c r="E134"/>
      <c r="F134" s="121">
        <v>43634</v>
      </c>
      <c r="G134" s="53">
        <v>274.76641799999999</v>
      </c>
      <c r="H134" s="53">
        <v>89.066940000000002</v>
      </c>
      <c r="I134" s="122">
        <f t="shared" si="2"/>
        <v>1.0470976044758995E-2</v>
      </c>
      <c r="J134" s="122">
        <f t="shared" si="3"/>
        <v>0</v>
      </c>
      <c r="K134"/>
      <c r="L134"/>
      <c r="M134" s="54"/>
      <c r="N134" s="54"/>
      <c r="O134" s="54"/>
      <c r="Y134"/>
    </row>
    <row r="135" spans="1:25" s="15" customFormat="1" x14ac:dyDescent="0.3">
      <c r="A135" s="17"/>
      <c r="B135"/>
      <c r="C135"/>
      <c r="D135"/>
      <c r="E135"/>
      <c r="F135" s="121">
        <v>43635</v>
      </c>
      <c r="G135" s="53">
        <v>275.38662699999998</v>
      </c>
      <c r="H135" s="53">
        <v>89.086417999999995</v>
      </c>
      <c r="I135" s="122">
        <f t="shared" si="2"/>
        <v>2.2572227148951463E-3</v>
      </c>
      <c r="J135" s="122">
        <f t="shared" si="3"/>
        <v>2.1868944863268069E-4</v>
      </c>
      <c r="K135"/>
      <c r="L135"/>
      <c r="M135" s="54"/>
      <c r="N135" s="54"/>
      <c r="O135" s="54"/>
      <c r="Y135"/>
    </row>
    <row r="136" spans="1:25" s="15" customFormat="1" x14ac:dyDescent="0.3">
      <c r="A136" s="17"/>
      <c r="B136"/>
      <c r="C136"/>
      <c r="D136"/>
      <c r="E136"/>
      <c r="F136" s="121">
        <v>43636</v>
      </c>
      <c r="G136" s="53">
        <v>278.01776100000001</v>
      </c>
      <c r="H136" s="53">
        <v>89.096130000000002</v>
      </c>
      <c r="I136" s="122">
        <f t="shared" si="2"/>
        <v>9.5543274147442681E-3</v>
      </c>
      <c r="J136" s="122">
        <f t="shared" si="3"/>
        <v>1.0901774050453561E-4</v>
      </c>
      <c r="K136"/>
      <c r="L136"/>
      <c r="M136" s="54"/>
      <c r="N136" s="54"/>
      <c r="O136" s="54"/>
      <c r="Y136"/>
    </row>
    <row r="137" spans="1:25" s="15" customFormat="1" x14ac:dyDescent="0.3">
      <c r="A137" s="17"/>
      <c r="B137"/>
      <c r="C137"/>
      <c r="D137"/>
      <c r="E137"/>
      <c r="F137" s="121">
        <v>43637</v>
      </c>
      <c r="G137" s="53">
        <v>277.61370799999997</v>
      </c>
      <c r="H137" s="53">
        <v>89.096130000000002</v>
      </c>
      <c r="I137" s="122">
        <f t="shared" si="2"/>
        <v>-1.4533352061634197E-3</v>
      </c>
      <c r="J137" s="122">
        <f t="shared" si="3"/>
        <v>0</v>
      </c>
      <c r="K137"/>
      <c r="L137"/>
      <c r="M137" s="54"/>
      <c r="N137" s="54"/>
      <c r="O137" s="54"/>
      <c r="Y137"/>
    </row>
    <row r="138" spans="1:25" s="15" customFormat="1" x14ac:dyDescent="0.3">
      <c r="A138" s="17"/>
      <c r="B138"/>
      <c r="C138"/>
      <c r="D138"/>
      <c r="E138"/>
      <c r="F138" s="121">
        <v>43640</v>
      </c>
      <c r="G138" s="53">
        <v>277.27377300000001</v>
      </c>
      <c r="H138" s="53">
        <v>89.105864999999994</v>
      </c>
      <c r="I138" s="122">
        <f t="shared" si="2"/>
        <v>-1.2244892460424595E-3</v>
      </c>
      <c r="J138" s="122">
        <f t="shared" si="3"/>
        <v>1.0926400506949818E-4</v>
      </c>
      <c r="K138"/>
      <c r="L138"/>
      <c r="M138" s="54"/>
      <c r="N138" s="54"/>
      <c r="O138" s="54"/>
      <c r="Y138"/>
    </row>
    <row r="139" spans="1:25" s="15" customFormat="1" x14ac:dyDescent="0.3">
      <c r="A139" s="17"/>
      <c r="B139"/>
      <c r="C139"/>
      <c r="D139"/>
      <c r="E139"/>
      <c r="F139" s="121">
        <v>43641</v>
      </c>
      <c r="G139" s="53">
        <v>274.55429099999998</v>
      </c>
      <c r="H139" s="53">
        <v>89.105864999999994</v>
      </c>
      <c r="I139" s="122">
        <f t="shared" si="2"/>
        <v>-9.8079308784824182E-3</v>
      </c>
      <c r="J139" s="122">
        <f t="shared" si="3"/>
        <v>0</v>
      </c>
      <c r="K139"/>
      <c r="L139"/>
      <c r="M139" s="54"/>
      <c r="N139" s="54"/>
      <c r="O139" s="54"/>
      <c r="Y139"/>
    </row>
    <row r="140" spans="1:25" s="15" customFormat="1" x14ac:dyDescent="0.3">
      <c r="A140" s="17"/>
      <c r="B140"/>
      <c r="C140"/>
      <c r="D140"/>
      <c r="E140"/>
      <c r="F140" s="121">
        <v>43642</v>
      </c>
      <c r="G140" s="53">
        <v>274.28042599999998</v>
      </c>
      <c r="H140" s="53">
        <v>89.125327999999996</v>
      </c>
      <c r="I140" s="122">
        <f t="shared" si="2"/>
        <v>-9.9748941822219717E-4</v>
      </c>
      <c r="J140" s="122">
        <f t="shared" si="3"/>
        <v>2.1842557726148293E-4</v>
      </c>
      <c r="K140"/>
      <c r="L140"/>
      <c r="M140" s="54"/>
      <c r="N140" s="54"/>
      <c r="O140" s="54"/>
      <c r="Y140"/>
    </row>
    <row r="141" spans="1:25" s="15" customFormat="1" x14ac:dyDescent="0.3">
      <c r="A141" s="17"/>
      <c r="B141"/>
      <c r="C141"/>
      <c r="D141"/>
      <c r="E141"/>
      <c r="F141" s="121">
        <v>43643</v>
      </c>
      <c r="G141" s="53">
        <v>275.25302099999999</v>
      </c>
      <c r="H141" s="53">
        <v>89.125327999999996</v>
      </c>
      <c r="I141" s="122">
        <f t="shared" si="2"/>
        <v>3.5459876382137878E-3</v>
      </c>
      <c r="J141" s="122">
        <f t="shared" si="3"/>
        <v>0</v>
      </c>
      <c r="K141"/>
      <c r="L141"/>
      <c r="M141" s="54"/>
      <c r="N141" s="54"/>
      <c r="O141" s="54"/>
      <c r="Y141"/>
    </row>
    <row r="142" spans="1:25" s="15" customFormat="1" x14ac:dyDescent="0.3">
      <c r="A142" s="17"/>
      <c r="B142"/>
      <c r="C142"/>
      <c r="D142"/>
      <c r="E142"/>
      <c r="F142" s="121">
        <v>43644</v>
      </c>
      <c r="G142" s="53">
        <v>276.669464</v>
      </c>
      <c r="H142" s="53">
        <v>89.135047999999998</v>
      </c>
      <c r="I142" s="122">
        <f t="shared" si="2"/>
        <v>5.1459671354525671E-3</v>
      </c>
      <c r="J142" s="122">
        <f t="shared" si="3"/>
        <v>1.0905990719045633E-4</v>
      </c>
      <c r="K142"/>
      <c r="L142"/>
      <c r="M142" s="54"/>
      <c r="N142" s="54"/>
      <c r="O142" s="54"/>
      <c r="Y142"/>
    </row>
    <row r="143" spans="1:25" s="15" customFormat="1" x14ac:dyDescent="0.3">
      <c r="A143" s="17"/>
      <c r="B143"/>
      <c r="C143"/>
      <c r="D143"/>
      <c r="E143"/>
      <c r="F143" s="121">
        <v>43647</v>
      </c>
      <c r="G143" s="53">
        <v>279.181152</v>
      </c>
      <c r="H143" s="53">
        <v>89.130211000000003</v>
      </c>
      <c r="I143" s="122">
        <f t="shared" si="2"/>
        <v>9.0782985721908904E-3</v>
      </c>
      <c r="J143" s="122">
        <f t="shared" si="3"/>
        <v>-5.4265971786926492E-5</v>
      </c>
      <c r="K143"/>
      <c r="L143"/>
      <c r="M143" s="54"/>
      <c r="N143" s="54"/>
      <c r="O143" s="54"/>
      <c r="Y143"/>
    </row>
    <row r="144" spans="1:25" s="15" customFormat="1" x14ac:dyDescent="0.3">
      <c r="A144" s="17"/>
      <c r="B144"/>
      <c r="C144"/>
      <c r="D144"/>
      <c r="E144"/>
      <c r="F144" s="121">
        <v>43648</v>
      </c>
      <c r="G144" s="53">
        <v>279.90823399999999</v>
      </c>
      <c r="H144" s="53">
        <v>89.139938000000001</v>
      </c>
      <c r="I144" s="122">
        <f t="shared" si="2"/>
        <v>2.6043377025681824E-3</v>
      </c>
      <c r="J144" s="122">
        <f t="shared" si="3"/>
        <v>1.0913246912425123E-4</v>
      </c>
      <c r="K144"/>
      <c r="L144"/>
      <c r="M144" s="54"/>
      <c r="N144" s="54"/>
      <c r="O144" s="54"/>
      <c r="Y144"/>
    </row>
    <row r="145" spans="1:25" s="15" customFormat="1" x14ac:dyDescent="0.3">
      <c r="A145" s="17"/>
      <c r="B145"/>
      <c r="C145"/>
      <c r="D145"/>
      <c r="E145"/>
      <c r="F145" s="121">
        <v>43649</v>
      </c>
      <c r="G145" s="53">
        <v>282.14605699999998</v>
      </c>
      <c r="H145" s="53">
        <v>89.169182000000006</v>
      </c>
      <c r="I145" s="122">
        <f t="shared" si="2"/>
        <v>7.9948451963010037E-3</v>
      </c>
      <c r="J145" s="122">
        <f t="shared" si="3"/>
        <v>3.2806843549759712E-4</v>
      </c>
      <c r="K145"/>
      <c r="L145"/>
      <c r="M145" s="54"/>
      <c r="N145" s="54"/>
      <c r="O145" s="54"/>
      <c r="Y145"/>
    </row>
    <row r="146" spans="1:25" s="15" customFormat="1" x14ac:dyDescent="0.3">
      <c r="A146" s="17"/>
      <c r="B146"/>
      <c r="C146"/>
      <c r="D146"/>
      <c r="E146"/>
      <c r="F146" s="121">
        <v>43651</v>
      </c>
      <c r="G146" s="53">
        <v>281.82510400000001</v>
      </c>
      <c r="H146" s="53">
        <v>89.159415999999993</v>
      </c>
      <c r="I146" s="122">
        <f t="shared" si="2"/>
        <v>-1.1375420355421717E-3</v>
      </c>
      <c r="J146" s="122">
        <f t="shared" si="3"/>
        <v>-1.0952214409698513E-4</v>
      </c>
      <c r="K146"/>
      <c r="L146"/>
      <c r="M146" s="54"/>
      <c r="N146" s="54"/>
      <c r="O146" s="54"/>
      <c r="Y146"/>
    </row>
    <row r="147" spans="1:25" s="15" customFormat="1" x14ac:dyDescent="0.3">
      <c r="A147" s="17"/>
      <c r="B147"/>
      <c r="C147"/>
      <c r="D147"/>
      <c r="E147"/>
      <c r="F147" s="121">
        <v>43654</v>
      </c>
      <c r="G147" s="53">
        <v>280.27648900000003</v>
      </c>
      <c r="H147" s="53">
        <v>89.159415999999993</v>
      </c>
      <c r="I147" s="122">
        <f t="shared" si="2"/>
        <v>-5.4949505137057431E-3</v>
      </c>
      <c r="J147" s="122">
        <f t="shared" si="3"/>
        <v>0</v>
      </c>
      <c r="K147"/>
      <c r="L147"/>
      <c r="M147" s="54"/>
      <c r="N147" s="54"/>
      <c r="O147" s="54"/>
      <c r="Y147"/>
    </row>
    <row r="148" spans="1:25" s="15" customFormat="1" x14ac:dyDescent="0.3">
      <c r="A148" s="17"/>
      <c r="B148"/>
      <c r="C148"/>
      <c r="D148"/>
      <c r="E148"/>
      <c r="F148" s="121">
        <v>43655</v>
      </c>
      <c r="G148" s="53">
        <v>280.625854</v>
      </c>
      <c r="H148" s="53">
        <v>89.169182000000006</v>
      </c>
      <c r="I148" s="122">
        <f t="shared" ref="I148:I211" si="4">G148/G147-1</f>
        <v>1.2465012718207991E-3</v>
      </c>
      <c r="J148" s="122">
        <f t="shared" ref="J148:J211" si="5">H148/H147-1</f>
        <v>1.0953414051084742E-4</v>
      </c>
      <c r="K148"/>
      <c r="L148"/>
      <c r="M148" s="54"/>
      <c r="N148" s="54"/>
      <c r="O148" s="54"/>
      <c r="Y148"/>
    </row>
    <row r="149" spans="1:25" s="15" customFormat="1" x14ac:dyDescent="0.3">
      <c r="A149" s="17"/>
      <c r="B149"/>
      <c r="C149"/>
      <c r="D149"/>
      <c r="E149"/>
      <c r="F149" s="121">
        <v>43656</v>
      </c>
      <c r="G149" s="53">
        <v>281.96673600000003</v>
      </c>
      <c r="H149" s="53">
        <v>89.178932000000003</v>
      </c>
      <c r="I149" s="122">
        <f t="shared" si="4"/>
        <v>4.7781841226932631E-3</v>
      </c>
      <c r="J149" s="122">
        <f t="shared" si="5"/>
        <v>1.0934270990614614E-4</v>
      </c>
      <c r="K149"/>
      <c r="L149"/>
      <c r="M149" s="54"/>
      <c r="N149" s="54"/>
      <c r="O149" s="54"/>
      <c r="Y149"/>
    </row>
    <row r="150" spans="1:25" s="15" customFormat="1" x14ac:dyDescent="0.3">
      <c r="A150" s="17"/>
      <c r="B150"/>
      <c r="C150"/>
      <c r="D150"/>
      <c r="E150"/>
      <c r="F150" s="121">
        <v>43657</v>
      </c>
      <c r="G150" s="53">
        <v>282.627655</v>
      </c>
      <c r="H150" s="53">
        <v>89.198409999999996</v>
      </c>
      <c r="I150" s="122">
        <f t="shared" si="4"/>
        <v>2.3439608848043747E-3</v>
      </c>
      <c r="J150" s="122">
        <f t="shared" si="5"/>
        <v>2.1841481573248167E-4</v>
      </c>
      <c r="K150"/>
      <c r="L150"/>
      <c r="M150" s="54"/>
      <c r="N150" s="54"/>
      <c r="O150" s="54"/>
      <c r="Y150"/>
    </row>
    <row r="151" spans="1:25" s="15" customFormat="1" x14ac:dyDescent="0.3">
      <c r="A151" s="17"/>
      <c r="B151"/>
      <c r="C151"/>
      <c r="D151"/>
      <c r="E151"/>
      <c r="F151" s="121">
        <v>43658</v>
      </c>
      <c r="G151" s="53">
        <v>283.89306599999998</v>
      </c>
      <c r="H151" s="53">
        <v>89.208175999999995</v>
      </c>
      <c r="I151" s="122">
        <f t="shared" si="4"/>
        <v>4.477307785043072E-3</v>
      </c>
      <c r="J151" s="122">
        <f t="shared" si="5"/>
        <v>1.0948625653761646E-4</v>
      </c>
      <c r="K151"/>
      <c r="L151"/>
      <c r="M151" s="54"/>
      <c r="N151" s="54"/>
      <c r="O151" s="54"/>
      <c r="Y151"/>
    </row>
    <row r="152" spans="1:25" s="15" customFormat="1" x14ac:dyDescent="0.3">
      <c r="A152" s="17"/>
      <c r="B152"/>
      <c r="C152"/>
      <c r="D152"/>
      <c r="E152"/>
      <c r="F152" s="121">
        <v>43661</v>
      </c>
      <c r="G152" s="53">
        <v>283.98748799999998</v>
      </c>
      <c r="H152" s="53">
        <v>89.208175999999995</v>
      </c>
      <c r="I152" s="122">
        <f t="shared" si="4"/>
        <v>3.3259706314914261E-4</v>
      </c>
      <c r="J152" s="122">
        <f t="shared" si="5"/>
        <v>0</v>
      </c>
      <c r="K152"/>
      <c r="L152"/>
      <c r="M152" s="54"/>
      <c r="N152" s="54"/>
      <c r="O152" s="54"/>
      <c r="Y152"/>
    </row>
    <row r="153" spans="1:25" s="15" customFormat="1" x14ac:dyDescent="0.3">
      <c r="A153" s="17"/>
      <c r="B153"/>
      <c r="C153"/>
      <c r="D153"/>
      <c r="E153"/>
      <c r="F153" s="121">
        <v>43662</v>
      </c>
      <c r="G153" s="53">
        <v>283.07153299999999</v>
      </c>
      <c r="H153" s="53">
        <v>89.217934</v>
      </c>
      <c r="I153" s="122">
        <f t="shared" si="4"/>
        <v>-3.2253357584542952E-3</v>
      </c>
      <c r="J153" s="122">
        <f t="shared" si="5"/>
        <v>1.0938459273068801E-4</v>
      </c>
      <c r="K153"/>
      <c r="L153"/>
      <c r="M153" s="54"/>
      <c r="N153" s="54"/>
      <c r="O153" s="54"/>
      <c r="Y153"/>
    </row>
    <row r="154" spans="1:25" s="15" customFormat="1" x14ac:dyDescent="0.3">
      <c r="A154" s="17"/>
      <c r="B154"/>
      <c r="C154"/>
      <c r="D154"/>
      <c r="E154"/>
      <c r="F154" s="121">
        <v>43663</v>
      </c>
      <c r="G154" s="53">
        <v>281.14520299999998</v>
      </c>
      <c r="H154" s="53">
        <v>89.217934</v>
      </c>
      <c r="I154" s="122">
        <f t="shared" si="4"/>
        <v>-6.8050996848206813E-3</v>
      </c>
      <c r="J154" s="122">
        <f t="shared" si="5"/>
        <v>0</v>
      </c>
      <c r="K154"/>
      <c r="L154"/>
      <c r="M154" s="54"/>
      <c r="N154" s="54"/>
      <c r="O154" s="54"/>
      <c r="Y154"/>
    </row>
    <row r="155" spans="1:25" s="15" customFormat="1" x14ac:dyDescent="0.3">
      <c r="A155" s="17"/>
      <c r="B155"/>
      <c r="C155"/>
      <c r="D155"/>
      <c r="E155"/>
      <c r="F155" s="121">
        <v>43664</v>
      </c>
      <c r="G155" s="53">
        <v>282.17446899999999</v>
      </c>
      <c r="H155" s="53">
        <v>89.247153999999995</v>
      </c>
      <c r="I155" s="122">
        <f t="shared" si="4"/>
        <v>3.6609765666177907E-3</v>
      </c>
      <c r="J155" s="122">
        <f t="shared" si="5"/>
        <v>3.2751262767405365E-4</v>
      </c>
      <c r="K155"/>
      <c r="L155"/>
      <c r="M155" s="54"/>
      <c r="N155" s="54"/>
      <c r="O155" s="54"/>
      <c r="Y155"/>
    </row>
    <row r="156" spans="1:25" s="15" customFormat="1" x14ac:dyDescent="0.3">
      <c r="A156" s="17"/>
      <c r="B156"/>
      <c r="C156"/>
      <c r="D156"/>
      <c r="E156"/>
      <c r="F156" s="121">
        <v>43665</v>
      </c>
      <c r="G156" s="53">
        <v>280.60699499999998</v>
      </c>
      <c r="H156" s="53">
        <v>89.247153999999995</v>
      </c>
      <c r="I156" s="122">
        <f t="shared" si="4"/>
        <v>-5.5549816592371792E-3</v>
      </c>
      <c r="J156" s="122">
        <f t="shared" si="5"/>
        <v>0</v>
      </c>
      <c r="K156"/>
      <c r="L156"/>
      <c r="M156" s="54"/>
      <c r="N156" s="54"/>
      <c r="O156" s="54"/>
      <c r="Y156"/>
    </row>
    <row r="157" spans="1:25" s="15" customFormat="1" x14ac:dyDescent="0.3">
      <c r="A157" s="17"/>
      <c r="B157"/>
      <c r="C157"/>
      <c r="D157"/>
      <c r="E157"/>
      <c r="F157" s="121">
        <v>43668</v>
      </c>
      <c r="G157" s="53">
        <v>281.29629499999999</v>
      </c>
      <c r="H157" s="53">
        <v>89.247153999999995</v>
      </c>
      <c r="I157" s="122">
        <f t="shared" si="4"/>
        <v>2.4564605027042052E-3</v>
      </c>
      <c r="J157" s="122">
        <f t="shared" si="5"/>
        <v>0</v>
      </c>
      <c r="K157"/>
      <c r="L157"/>
      <c r="M157" s="54"/>
      <c r="N157" s="54"/>
      <c r="O157" s="54"/>
      <c r="Y157"/>
    </row>
    <row r="158" spans="1:25" s="15" customFormat="1" x14ac:dyDescent="0.3">
      <c r="A158" s="17"/>
      <c r="B158"/>
      <c r="C158"/>
      <c r="D158"/>
      <c r="E158"/>
      <c r="F158" s="121">
        <v>43669</v>
      </c>
      <c r="G158" s="53">
        <v>283.30755599999998</v>
      </c>
      <c r="H158" s="53">
        <v>89.237426999999997</v>
      </c>
      <c r="I158" s="122">
        <f t="shared" si="4"/>
        <v>7.149973304838575E-3</v>
      </c>
      <c r="J158" s="122">
        <f t="shared" si="5"/>
        <v>-1.0898946984905233E-4</v>
      </c>
      <c r="K158"/>
      <c r="L158"/>
      <c r="M158" s="54"/>
      <c r="N158" s="54"/>
      <c r="O158" s="54"/>
      <c r="Y158"/>
    </row>
    <row r="159" spans="1:25" s="15" customFormat="1" x14ac:dyDescent="0.3">
      <c r="A159" s="17"/>
      <c r="B159"/>
      <c r="C159"/>
      <c r="D159"/>
      <c r="E159"/>
      <c r="F159" s="121">
        <v>43670</v>
      </c>
      <c r="G159" s="53">
        <v>284.63897700000001</v>
      </c>
      <c r="H159" s="53">
        <v>89.256889000000001</v>
      </c>
      <c r="I159" s="122">
        <f t="shared" si="4"/>
        <v>4.6995605016622033E-3</v>
      </c>
      <c r="J159" s="122">
        <f t="shared" si="5"/>
        <v>2.1809234818026546E-4</v>
      </c>
      <c r="K159"/>
      <c r="L159"/>
      <c r="M159" s="54"/>
      <c r="N159" s="54"/>
      <c r="O159" s="54"/>
      <c r="Y159"/>
    </row>
    <row r="160" spans="1:25" s="15" customFormat="1" x14ac:dyDescent="0.3">
      <c r="A160" s="17"/>
      <c r="B160"/>
      <c r="C160"/>
      <c r="D160"/>
      <c r="E160"/>
      <c r="F160" s="121">
        <v>43671</v>
      </c>
      <c r="G160" s="53">
        <v>283.27926600000001</v>
      </c>
      <c r="H160" s="53">
        <v>89.276381999999998</v>
      </c>
      <c r="I160" s="122">
        <f t="shared" si="4"/>
        <v>-4.7769669998497521E-3</v>
      </c>
      <c r="J160" s="122">
        <f t="shared" si="5"/>
        <v>2.1839210640650641E-4</v>
      </c>
      <c r="K160"/>
      <c r="L160"/>
      <c r="M160" s="54"/>
      <c r="N160" s="54"/>
      <c r="O160" s="54"/>
      <c r="Y160"/>
    </row>
    <row r="161" spans="1:25" s="15" customFormat="1" x14ac:dyDescent="0.3">
      <c r="A161" s="17"/>
      <c r="B161"/>
      <c r="C161"/>
      <c r="D161"/>
      <c r="E161"/>
      <c r="F161" s="121">
        <v>43672</v>
      </c>
      <c r="G161" s="53">
        <v>285.17721599999999</v>
      </c>
      <c r="H161" s="53">
        <v>89.266655</v>
      </c>
      <c r="I161" s="122">
        <f t="shared" si="4"/>
        <v>6.6999255780335609E-3</v>
      </c>
      <c r="J161" s="122">
        <f t="shared" si="5"/>
        <v>-1.0895378802422417E-4</v>
      </c>
      <c r="K161"/>
      <c r="L161"/>
      <c r="M161" s="54"/>
      <c r="N161" s="54"/>
      <c r="O161" s="54"/>
      <c r="Y161"/>
    </row>
    <row r="162" spans="1:25" s="15" customFormat="1" x14ac:dyDescent="0.3">
      <c r="A162" s="17"/>
      <c r="B162"/>
      <c r="C162"/>
      <c r="D162"/>
      <c r="E162"/>
      <c r="F162" s="121">
        <v>43675</v>
      </c>
      <c r="G162" s="53">
        <v>284.65789799999999</v>
      </c>
      <c r="H162" s="53">
        <v>89.286140000000003</v>
      </c>
      <c r="I162" s="122">
        <f t="shared" si="4"/>
        <v>-1.8210360816482973E-3</v>
      </c>
      <c r="J162" s="122">
        <f t="shared" si="5"/>
        <v>2.1827859462186794E-4</v>
      </c>
      <c r="K162"/>
      <c r="L162"/>
      <c r="M162" s="54"/>
      <c r="N162" s="54"/>
      <c r="O162" s="54"/>
      <c r="Y162"/>
    </row>
    <row r="163" spans="1:25" s="15" customFormat="1" x14ac:dyDescent="0.3">
      <c r="A163" s="17"/>
      <c r="B163"/>
      <c r="C163"/>
      <c r="D163"/>
      <c r="E163"/>
      <c r="F163" s="121">
        <v>43676</v>
      </c>
      <c r="G163" s="53">
        <v>283.959137</v>
      </c>
      <c r="H163" s="53">
        <v>89.286140000000003</v>
      </c>
      <c r="I163" s="122">
        <f t="shared" si="4"/>
        <v>-2.4547395484526557E-3</v>
      </c>
      <c r="J163" s="122">
        <f t="shared" si="5"/>
        <v>0</v>
      </c>
      <c r="K163"/>
      <c r="L163"/>
      <c r="M163" s="54"/>
      <c r="N163" s="54"/>
      <c r="O163" s="54"/>
      <c r="Y163"/>
    </row>
    <row r="164" spans="1:25" s="15" customFormat="1" x14ac:dyDescent="0.3">
      <c r="A164" s="17"/>
      <c r="B164"/>
      <c r="C164"/>
      <c r="D164"/>
      <c r="E164"/>
      <c r="F164" s="121">
        <v>43677</v>
      </c>
      <c r="G164" s="53">
        <v>280.852509</v>
      </c>
      <c r="H164" s="53">
        <v>89.295876000000007</v>
      </c>
      <c r="I164" s="122">
        <f t="shared" si="4"/>
        <v>-1.0940405133010422E-2</v>
      </c>
      <c r="J164" s="122">
        <f t="shared" si="5"/>
        <v>1.0904268008449236E-4</v>
      </c>
      <c r="K164"/>
      <c r="L164"/>
      <c r="M164" s="54"/>
      <c r="N164" s="54"/>
      <c r="O164" s="54"/>
      <c r="Y164"/>
    </row>
    <row r="165" spans="1:25" s="15" customFormat="1" x14ac:dyDescent="0.3">
      <c r="A165" s="17"/>
      <c r="B165"/>
      <c r="C165"/>
      <c r="D165"/>
      <c r="E165"/>
      <c r="F165" s="121">
        <v>43678</v>
      </c>
      <c r="G165" s="53">
        <v>278.40683000000001</v>
      </c>
      <c r="H165" s="53">
        <v>89.320312999999999</v>
      </c>
      <c r="I165" s="122">
        <f t="shared" si="4"/>
        <v>-8.7080546608183651E-3</v>
      </c>
      <c r="J165" s="122">
        <f t="shared" si="5"/>
        <v>2.7366325405653313E-4</v>
      </c>
      <c r="K165"/>
      <c r="L165"/>
      <c r="M165" s="54"/>
      <c r="N165" s="54"/>
      <c r="O165" s="54"/>
      <c r="Y165"/>
    </row>
    <row r="166" spans="1:25" s="15" customFormat="1" x14ac:dyDescent="0.3">
      <c r="A166" s="17"/>
      <c r="B166"/>
      <c r="C166"/>
      <c r="D166"/>
      <c r="E166"/>
      <c r="F166" s="121">
        <v>43679</v>
      </c>
      <c r="G166" s="53">
        <v>276.31057700000002</v>
      </c>
      <c r="H166" s="53">
        <v>89.320312999999999</v>
      </c>
      <c r="I166" s="122">
        <f t="shared" si="4"/>
        <v>-7.5294596759712951E-3</v>
      </c>
      <c r="J166" s="122">
        <f t="shared" si="5"/>
        <v>0</v>
      </c>
      <c r="K166"/>
      <c r="L166"/>
      <c r="M166" s="54"/>
      <c r="N166" s="54"/>
      <c r="O166" s="54"/>
      <c r="Y166"/>
    </row>
    <row r="167" spans="1:25" s="15" customFormat="1" x14ac:dyDescent="0.3">
      <c r="A167" s="17"/>
      <c r="B167"/>
      <c r="C167"/>
      <c r="D167"/>
      <c r="E167"/>
      <c r="F167" s="121">
        <v>43682</v>
      </c>
      <c r="G167" s="53">
        <v>268.00100700000002</v>
      </c>
      <c r="H167" s="53">
        <v>89.310531999999995</v>
      </c>
      <c r="I167" s="122">
        <f t="shared" si="4"/>
        <v>-3.0073296832209273E-2</v>
      </c>
      <c r="J167" s="122">
        <f t="shared" si="5"/>
        <v>-1.0950476628990291E-4</v>
      </c>
      <c r="K167"/>
      <c r="L167"/>
      <c r="M167" s="54"/>
      <c r="N167" s="54"/>
      <c r="O167" s="54"/>
      <c r="Y167"/>
    </row>
    <row r="168" spans="1:25" s="15" customFormat="1" x14ac:dyDescent="0.3">
      <c r="A168" s="17"/>
      <c r="B168"/>
      <c r="C168"/>
      <c r="D168"/>
      <c r="E168"/>
      <c r="F168" s="121">
        <v>43683</v>
      </c>
      <c r="G168" s="53">
        <v>271.75924700000002</v>
      </c>
      <c r="H168" s="53">
        <v>89.320312999999999</v>
      </c>
      <c r="I168" s="122">
        <f t="shared" si="4"/>
        <v>1.4023230890322758E-2</v>
      </c>
      <c r="J168" s="122">
        <f t="shared" si="5"/>
        <v>1.0951675889692147E-4</v>
      </c>
      <c r="K168"/>
      <c r="L168"/>
      <c r="M168" s="54"/>
      <c r="N168" s="54"/>
      <c r="O168" s="54"/>
      <c r="Y168"/>
    </row>
    <row r="169" spans="1:25" s="15" customFormat="1" x14ac:dyDescent="0.3">
      <c r="A169" s="17"/>
      <c r="B169"/>
      <c r="C169"/>
      <c r="D169"/>
      <c r="E169"/>
      <c r="F169" s="121">
        <v>43684</v>
      </c>
      <c r="G169" s="53">
        <v>271.91970800000001</v>
      </c>
      <c r="H169" s="53">
        <v>89.339827999999997</v>
      </c>
      <c r="I169" s="122">
        <f t="shared" si="4"/>
        <v>5.9045276939562186E-4</v>
      </c>
      <c r="J169" s="122">
        <f t="shared" si="5"/>
        <v>2.1848333648355478E-4</v>
      </c>
      <c r="K169"/>
      <c r="L169"/>
      <c r="M169" s="54"/>
      <c r="N169" s="54"/>
      <c r="O169" s="54"/>
      <c r="Y169"/>
    </row>
    <row r="170" spans="1:25" s="15" customFormat="1" x14ac:dyDescent="0.3">
      <c r="A170" s="17"/>
      <c r="B170"/>
      <c r="C170"/>
      <c r="D170"/>
      <c r="E170"/>
      <c r="F170" s="121">
        <v>43685</v>
      </c>
      <c r="G170" s="53">
        <v>277.25491299999999</v>
      </c>
      <c r="H170" s="53">
        <v>89.349586000000002</v>
      </c>
      <c r="I170" s="122">
        <f t="shared" si="4"/>
        <v>1.9620516067926808E-2</v>
      </c>
      <c r="J170" s="122">
        <f t="shared" si="5"/>
        <v>1.0922340257923935E-4</v>
      </c>
      <c r="K170"/>
      <c r="L170"/>
      <c r="M170" s="54"/>
      <c r="N170" s="54"/>
      <c r="O170" s="54"/>
      <c r="Y170"/>
    </row>
    <row r="171" spans="1:25" s="15" customFormat="1" x14ac:dyDescent="0.3">
      <c r="A171" s="17"/>
      <c r="B171"/>
      <c r="C171"/>
      <c r="D171"/>
      <c r="E171"/>
      <c r="F171" s="121">
        <v>43686</v>
      </c>
      <c r="G171" s="53">
        <v>275.366333</v>
      </c>
      <c r="H171" s="53">
        <v>89.339827999999997</v>
      </c>
      <c r="I171" s="122">
        <f t="shared" si="4"/>
        <v>-6.8117097712169228E-3</v>
      </c>
      <c r="J171" s="122">
        <f t="shared" si="5"/>
        <v>-1.0921147413045507E-4</v>
      </c>
      <c r="K171"/>
      <c r="L171"/>
      <c r="M171" s="54"/>
      <c r="N171" s="54"/>
      <c r="O171" s="54"/>
      <c r="Y171"/>
    </row>
    <row r="172" spans="1:25" s="15" customFormat="1" x14ac:dyDescent="0.3">
      <c r="A172" s="17"/>
      <c r="B172"/>
      <c r="C172"/>
      <c r="D172"/>
      <c r="E172"/>
      <c r="F172" s="121">
        <v>43689</v>
      </c>
      <c r="G172" s="53">
        <v>272.01416</v>
      </c>
      <c r="H172" s="53">
        <v>89.359367000000006</v>
      </c>
      <c r="I172" s="122">
        <f t="shared" si="4"/>
        <v>-1.2173503432607369E-2</v>
      </c>
      <c r="J172" s="122">
        <f t="shared" si="5"/>
        <v>2.1870424912839859E-4</v>
      </c>
      <c r="K172"/>
      <c r="L172"/>
      <c r="M172" s="54"/>
      <c r="N172" s="54"/>
      <c r="O172" s="54"/>
      <c r="Y172"/>
    </row>
    <row r="173" spans="1:25" s="15" customFormat="1" x14ac:dyDescent="0.3">
      <c r="A173" s="17"/>
      <c r="B173"/>
      <c r="C173"/>
      <c r="D173"/>
      <c r="E173"/>
      <c r="F173" s="121">
        <v>43690</v>
      </c>
      <c r="G173" s="53">
        <v>276.244415</v>
      </c>
      <c r="H173" s="53">
        <v>89.369140999999999</v>
      </c>
      <c r="I173" s="122">
        <f t="shared" si="4"/>
        <v>1.5551598490313845E-2</v>
      </c>
      <c r="J173" s="122">
        <f t="shared" si="5"/>
        <v>1.0937857247794724E-4</v>
      </c>
      <c r="K173"/>
      <c r="L173"/>
      <c r="M173" s="54"/>
      <c r="N173" s="54"/>
      <c r="O173" s="54"/>
      <c r="Y173"/>
    </row>
    <row r="174" spans="1:25" s="15" customFormat="1" x14ac:dyDescent="0.3">
      <c r="A174" s="17"/>
      <c r="B174"/>
      <c r="C174"/>
      <c r="D174"/>
      <c r="E174"/>
      <c r="F174" s="121">
        <v>43691</v>
      </c>
      <c r="G174" s="53">
        <v>268.07656900000001</v>
      </c>
      <c r="H174" s="53">
        <v>89.359367000000006</v>
      </c>
      <c r="I174" s="122">
        <f t="shared" si="4"/>
        <v>-2.956746111953068E-2</v>
      </c>
      <c r="J174" s="122">
        <f t="shared" si="5"/>
        <v>-1.0936661011429205E-4</v>
      </c>
      <c r="K174"/>
      <c r="L174"/>
      <c r="M174" s="54"/>
      <c r="N174" s="54"/>
      <c r="O174" s="54"/>
      <c r="Y174"/>
    </row>
    <row r="175" spans="1:25" s="15" customFormat="1" x14ac:dyDescent="0.3">
      <c r="A175" s="17"/>
      <c r="B175"/>
      <c r="C175"/>
      <c r="D175"/>
      <c r="E175"/>
      <c r="F175" s="121">
        <v>43692</v>
      </c>
      <c r="G175" s="53">
        <v>268.78478999999999</v>
      </c>
      <c r="H175" s="53">
        <v>89.398398999999998</v>
      </c>
      <c r="I175" s="122">
        <f t="shared" si="4"/>
        <v>2.6418608781879627E-3</v>
      </c>
      <c r="J175" s="122">
        <f t="shared" si="5"/>
        <v>4.3679808072050186E-4</v>
      </c>
      <c r="K175"/>
      <c r="L175"/>
      <c r="M175" s="54"/>
      <c r="N175" s="54"/>
      <c r="O175" s="54"/>
      <c r="Y175"/>
    </row>
    <row r="176" spans="1:25" s="15" customFormat="1" x14ac:dyDescent="0.3">
      <c r="A176" s="17"/>
      <c r="B176"/>
      <c r="C176"/>
      <c r="D176"/>
      <c r="E176"/>
      <c r="F176" s="121">
        <v>43693</v>
      </c>
      <c r="G176" s="53">
        <v>272.75070199999999</v>
      </c>
      <c r="H176" s="53">
        <v>89.388656999999995</v>
      </c>
      <c r="I176" s="122">
        <f t="shared" si="4"/>
        <v>1.4754971812207085E-2</v>
      </c>
      <c r="J176" s="122">
        <f t="shared" si="5"/>
        <v>-1.089728687423408E-4</v>
      </c>
      <c r="K176"/>
      <c r="L176"/>
      <c r="M176" s="54"/>
      <c r="N176" s="54"/>
      <c r="O176" s="54"/>
      <c r="Y176"/>
    </row>
    <row r="177" spans="1:25" s="15" customFormat="1" x14ac:dyDescent="0.3">
      <c r="A177" s="17"/>
      <c r="B177"/>
      <c r="C177"/>
      <c r="D177"/>
      <c r="E177"/>
      <c r="F177" s="121">
        <v>43696</v>
      </c>
      <c r="G177" s="53">
        <v>276.03668199999998</v>
      </c>
      <c r="H177" s="53">
        <v>89.388656999999995</v>
      </c>
      <c r="I177" s="122">
        <f t="shared" si="4"/>
        <v>1.2047558359721489E-2</v>
      </c>
      <c r="J177" s="122">
        <f t="shared" si="5"/>
        <v>0</v>
      </c>
      <c r="K177"/>
      <c r="L177"/>
      <c r="M177" s="54"/>
      <c r="N177" s="54"/>
      <c r="O177" s="54"/>
      <c r="Y177"/>
    </row>
    <row r="178" spans="1:25" s="15" customFormat="1" x14ac:dyDescent="0.3">
      <c r="A178" s="17"/>
      <c r="B178"/>
      <c r="C178"/>
      <c r="D178"/>
      <c r="E178"/>
      <c r="F178" s="121">
        <v>43697</v>
      </c>
      <c r="G178" s="53">
        <v>273.92156999999997</v>
      </c>
      <c r="H178" s="53">
        <v>89.398398999999998</v>
      </c>
      <c r="I178" s="122">
        <f t="shared" si="4"/>
        <v>-7.6624308938766372E-3</v>
      </c>
      <c r="J178" s="122">
        <f t="shared" si="5"/>
        <v>1.0898474512277545E-4</v>
      </c>
      <c r="K178"/>
      <c r="L178"/>
      <c r="M178" s="54"/>
      <c r="N178" s="54"/>
      <c r="O178" s="54"/>
      <c r="Y178"/>
    </row>
    <row r="179" spans="1:25" s="15" customFormat="1" x14ac:dyDescent="0.3">
      <c r="A179" s="17"/>
      <c r="B179"/>
      <c r="C179"/>
      <c r="D179"/>
      <c r="E179"/>
      <c r="F179" s="121">
        <v>43698</v>
      </c>
      <c r="G179" s="53">
        <v>276.15011600000003</v>
      </c>
      <c r="H179" s="53">
        <v>89.388656999999995</v>
      </c>
      <c r="I179" s="122">
        <f t="shared" si="4"/>
        <v>8.1357083343238656E-3</v>
      </c>
      <c r="J179" s="122">
        <f t="shared" si="5"/>
        <v>-1.089728687423408E-4</v>
      </c>
      <c r="K179"/>
      <c r="L179"/>
      <c r="M179" s="54"/>
      <c r="N179" s="54"/>
      <c r="O179" s="54"/>
      <c r="Y179"/>
    </row>
    <row r="180" spans="1:25" s="15" customFormat="1" x14ac:dyDescent="0.3">
      <c r="A180" s="17"/>
      <c r="B180"/>
      <c r="C180"/>
      <c r="D180"/>
      <c r="E180"/>
      <c r="F180" s="121">
        <v>43699</v>
      </c>
      <c r="G180" s="53">
        <v>276.06506300000001</v>
      </c>
      <c r="H180" s="53">
        <v>89.417946000000001</v>
      </c>
      <c r="I180" s="122">
        <f t="shared" si="4"/>
        <v>-3.0799552515858863E-4</v>
      </c>
      <c r="J180" s="122">
        <f t="shared" si="5"/>
        <v>3.2765902277742676E-4</v>
      </c>
      <c r="K180"/>
      <c r="L180"/>
      <c r="M180" s="54"/>
      <c r="N180" s="54"/>
      <c r="O180" s="54"/>
      <c r="Y180"/>
    </row>
    <row r="181" spans="1:25" s="15" customFormat="1" x14ac:dyDescent="0.3">
      <c r="A181" s="17"/>
      <c r="B181"/>
      <c r="C181"/>
      <c r="D181"/>
      <c r="E181"/>
      <c r="F181" s="121">
        <v>43700</v>
      </c>
      <c r="G181" s="53">
        <v>268.97363300000001</v>
      </c>
      <c r="H181" s="53">
        <v>89.408173000000005</v>
      </c>
      <c r="I181" s="122">
        <f t="shared" si="4"/>
        <v>-2.5687531493255311E-2</v>
      </c>
      <c r="J181" s="122">
        <f t="shared" si="5"/>
        <v>-1.0929573354323541E-4</v>
      </c>
      <c r="K181"/>
      <c r="L181"/>
      <c r="M181" s="54"/>
      <c r="N181" s="54"/>
      <c r="O181" s="54"/>
      <c r="Y181"/>
    </row>
    <row r="182" spans="1:25" s="15" customFormat="1" x14ac:dyDescent="0.3">
      <c r="A182" s="17"/>
      <c r="B182"/>
      <c r="C182"/>
      <c r="D182"/>
      <c r="E182"/>
      <c r="F182" s="121">
        <v>43703</v>
      </c>
      <c r="G182" s="53">
        <v>271.94802900000002</v>
      </c>
      <c r="H182" s="53">
        <v>89.417946000000001</v>
      </c>
      <c r="I182" s="122">
        <f t="shared" si="4"/>
        <v>1.1058318121464294E-2</v>
      </c>
      <c r="J182" s="122">
        <f t="shared" si="5"/>
        <v>1.0930768040640082E-4</v>
      </c>
      <c r="K182"/>
      <c r="L182"/>
      <c r="M182" s="54"/>
      <c r="N182" s="54"/>
      <c r="O182" s="54"/>
      <c r="Y182"/>
    </row>
    <row r="183" spans="1:25" s="15" customFormat="1" x14ac:dyDescent="0.3">
      <c r="A183" s="17"/>
      <c r="B183"/>
      <c r="C183"/>
      <c r="D183"/>
      <c r="E183"/>
      <c r="F183" s="121">
        <v>43704</v>
      </c>
      <c r="G183" s="53">
        <v>270.88110399999999</v>
      </c>
      <c r="H183" s="53">
        <v>89.427689000000001</v>
      </c>
      <c r="I183" s="122">
        <f t="shared" si="4"/>
        <v>-3.9232680005929499E-3</v>
      </c>
      <c r="J183" s="122">
        <f t="shared" si="5"/>
        <v>1.0896023042183955E-4</v>
      </c>
      <c r="K183"/>
      <c r="L183"/>
      <c r="M183" s="54"/>
      <c r="N183" s="54"/>
      <c r="O183" s="54"/>
      <c r="Y183"/>
    </row>
    <row r="184" spans="1:25" s="15" customFormat="1" x14ac:dyDescent="0.3">
      <c r="A184" s="17"/>
      <c r="B184"/>
      <c r="C184"/>
      <c r="D184"/>
      <c r="E184"/>
      <c r="F184" s="121">
        <v>43705</v>
      </c>
      <c r="G184" s="53">
        <v>272.78851300000002</v>
      </c>
      <c r="H184" s="53">
        <v>89.417946000000001</v>
      </c>
      <c r="I184" s="122">
        <f t="shared" si="4"/>
        <v>7.0414989153324559E-3</v>
      </c>
      <c r="J184" s="122">
        <f t="shared" si="5"/>
        <v>-1.0894835938346503E-4</v>
      </c>
      <c r="K184"/>
      <c r="L184"/>
      <c r="M184" s="54"/>
      <c r="N184" s="54"/>
      <c r="O184" s="54"/>
      <c r="Y184"/>
    </row>
    <row r="185" spans="1:25" s="15" customFormat="1" x14ac:dyDescent="0.3">
      <c r="A185" s="17"/>
      <c r="B185"/>
      <c r="C185"/>
      <c r="D185"/>
      <c r="E185"/>
      <c r="F185" s="121">
        <v>43706</v>
      </c>
      <c r="G185" s="53">
        <v>276.27279700000003</v>
      </c>
      <c r="H185" s="53">
        <v>89.437461999999996</v>
      </c>
      <c r="I185" s="122">
        <f t="shared" si="4"/>
        <v>1.2772839888606224E-2</v>
      </c>
      <c r="J185" s="122">
        <f t="shared" si="5"/>
        <v>2.1825596396496394E-4</v>
      </c>
      <c r="K185"/>
      <c r="L185"/>
      <c r="M185" s="54"/>
      <c r="N185" s="54"/>
      <c r="O185" s="54"/>
      <c r="Y185"/>
    </row>
    <row r="186" spans="1:25" s="15" customFormat="1" x14ac:dyDescent="0.3">
      <c r="A186" s="17"/>
      <c r="B186"/>
      <c r="C186"/>
      <c r="D186"/>
      <c r="E186"/>
      <c r="F186" s="121">
        <v>43707</v>
      </c>
      <c r="G186" s="53">
        <v>276.15011600000003</v>
      </c>
      <c r="H186" s="53">
        <v>89.447211999999993</v>
      </c>
      <c r="I186" s="122">
        <f t="shared" si="4"/>
        <v>-4.4405747265807705E-4</v>
      </c>
      <c r="J186" s="122">
        <f t="shared" si="5"/>
        <v>1.0901472137025969E-4</v>
      </c>
      <c r="K186"/>
      <c r="L186"/>
      <c r="M186" s="54"/>
      <c r="N186" s="54"/>
      <c r="O186" s="54"/>
      <c r="Y186"/>
    </row>
    <row r="187" spans="1:25" s="15" customFormat="1" x14ac:dyDescent="0.3">
      <c r="A187" s="17"/>
      <c r="B187"/>
      <c r="C187"/>
      <c r="D187"/>
      <c r="E187"/>
      <c r="F187" s="121">
        <v>43711</v>
      </c>
      <c r="G187" s="53">
        <v>274.53533900000002</v>
      </c>
      <c r="H187" s="53">
        <v>89.464850999999996</v>
      </c>
      <c r="I187" s="122">
        <f t="shared" si="4"/>
        <v>-5.8474608788504634E-3</v>
      </c>
      <c r="J187" s="122">
        <f t="shared" si="5"/>
        <v>1.9720010949031419E-4</v>
      </c>
      <c r="K187"/>
      <c r="L187"/>
      <c r="M187" s="54"/>
      <c r="N187" s="54"/>
      <c r="O187" s="54"/>
      <c r="Y187"/>
    </row>
    <row r="188" spans="1:25" s="15" customFormat="1" x14ac:dyDescent="0.3">
      <c r="A188" s="17"/>
      <c r="B188"/>
      <c r="C188"/>
      <c r="D188"/>
      <c r="E188"/>
      <c r="F188" s="121">
        <v>43712</v>
      </c>
      <c r="G188" s="53">
        <v>277.65145899999999</v>
      </c>
      <c r="H188" s="53">
        <v>89.455062999999996</v>
      </c>
      <c r="I188" s="122">
        <f t="shared" si="4"/>
        <v>1.1350524166945153E-2</v>
      </c>
      <c r="J188" s="122">
        <f t="shared" si="5"/>
        <v>-1.0940609513787614E-4</v>
      </c>
      <c r="K188"/>
      <c r="L188"/>
      <c r="M188" s="54"/>
      <c r="N188" s="54"/>
      <c r="O188" s="54"/>
      <c r="Y188"/>
    </row>
    <row r="189" spans="1:25" s="15" customFormat="1" x14ac:dyDescent="0.3">
      <c r="A189" s="17"/>
      <c r="B189"/>
      <c r="C189"/>
      <c r="D189"/>
      <c r="E189"/>
      <c r="F189" s="121">
        <v>43713</v>
      </c>
      <c r="G189" s="53">
        <v>281.22076399999997</v>
      </c>
      <c r="H189" s="53">
        <v>89.464850999999996</v>
      </c>
      <c r="I189" s="122">
        <f t="shared" si="4"/>
        <v>1.2855343936802432E-2</v>
      </c>
      <c r="J189" s="122">
        <f t="shared" si="5"/>
        <v>1.0941806614117588E-4</v>
      </c>
      <c r="K189"/>
      <c r="L189"/>
      <c r="M189" s="54"/>
      <c r="N189" s="54"/>
      <c r="O189" s="54"/>
      <c r="Y189"/>
    </row>
    <row r="190" spans="1:25" s="15" customFormat="1" x14ac:dyDescent="0.3">
      <c r="A190" s="17"/>
      <c r="B190"/>
      <c r="C190"/>
      <c r="D190"/>
      <c r="E190"/>
      <c r="F190" s="121">
        <v>43714</v>
      </c>
      <c r="G190" s="53">
        <v>281.43789700000002</v>
      </c>
      <c r="H190" s="53">
        <v>89.474632</v>
      </c>
      <c r="I190" s="122">
        <f t="shared" si="4"/>
        <v>7.7210870531607689E-4</v>
      </c>
      <c r="J190" s="122">
        <f t="shared" si="5"/>
        <v>1.0932785211936746E-4</v>
      </c>
      <c r="K190"/>
      <c r="L190"/>
      <c r="M190" s="54"/>
      <c r="N190" s="54"/>
      <c r="O190" s="54"/>
      <c r="Y190"/>
    </row>
    <row r="191" spans="1:25" s="15" customFormat="1" x14ac:dyDescent="0.3">
      <c r="A191" s="17"/>
      <c r="B191"/>
      <c r="C191"/>
      <c r="D191"/>
      <c r="E191"/>
      <c r="F191" s="121">
        <v>43717</v>
      </c>
      <c r="G191" s="53">
        <v>281.579498</v>
      </c>
      <c r="H191" s="53">
        <v>89.474632</v>
      </c>
      <c r="I191" s="122">
        <f t="shared" si="4"/>
        <v>5.0313408929425485E-4</v>
      </c>
      <c r="J191" s="122">
        <f t="shared" si="5"/>
        <v>0</v>
      </c>
      <c r="K191"/>
      <c r="L191"/>
      <c r="M191" s="54"/>
      <c r="N191" s="54"/>
      <c r="O191" s="54"/>
      <c r="Y191"/>
    </row>
    <row r="192" spans="1:25" s="15" customFormat="1" x14ac:dyDescent="0.3">
      <c r="A192" s="17"/>
      <c r="B192"/>
      <c r="C192"/>
      <c r="D192"/>
      <c r="E192"/>
      <c r="F192" s="121">
        <v>43718</v>
      </c>
      <c r="G192" s="53">
        <v>281.51348899999999</v>
      </c>
      <c r="H192" s="53">
        <v>89.494193999999993</v>
      </c>
      <c r="I192" s="122">
        <f t="shared" si="4"/>
        <v>-2.3442402756190805E-4</v>
      </c>
      <c r="J192" s="122">
        <f t="shared" si="5"/>
        <v>2.1863180169323648E-4</v>
      </c>
      <c r="K192"/>
      <c r="L192"/>
      <c r="M192" s="54"/>
      <c r="N192" s="54"/>
      <c r="O192" s="54"/>
      <c r="Y192"/>
    </row>
    <row r="193" spans="1:25" s="15" customFormat="1" x14ac:dyDescent="0.3">
      <c r="A193" s="17"/>
      <c r="B193"/>
      <c r="C193"/>
      <c r="D193"/>
      <c r="E193"/>
      <c r="F193" s="121">
        <v>43719</v>
      </c>
      <c r="G193" s="53">
        <v>283.51535000000001</v>
      </c>
      <c r="H193" s="53">
        <v>89.484413000000004</v>
      </c>
      <c r="I193" s="122">
        <f t="shared" si="4"/>
        <v>7.1110659993987024E-3</v>
      </c>
      <c r="J193" s="122">
        <f t="shared" si="5"/>
        <v>-1.0929200613829515E-4</v>
      </c>
      <c r="K193"/>
      <c r="L193"/>
      <c r="M193" s="54"/>
      <c r="N193" s="54"/>
      <c r="O193" s="54"/>
      <c r="Y193"/>
    </row>
    <row r="194" spans="1:25" s="15" customFormat="1" x14ac:dyDescent="0.3">
      <c r="A194" s="17"/>
      <c r="B194"/>
      <c r="C194"/>
      <c r="D194"/>
      <c r="E194"/>
      <c r="F194" s="121">
        <v>43720</v>
      </c>
      <c r="G194" s="53">
        <v>284.497345</v>
      </c>
      <c r="H194" s="53">
        <v>89.503951999999998</v>
      </c>
      <c r="I194" s="122">
        <f t="shared" si="4"/>
        <v>3.4636396230398603E-3</v>
      </c>
      <c r="J194" s="122">
        <f t="shared" si="5"/>
        <v>2.1835087636978834E-4</v>
      </c>
      <c r="K194"/>
      <c r="L194"/>
      <c r="M194" s="54"/>
      <c r="N194" s="54"/>
      <c r="O194" s="54"/>
      <c r="Y194"/>
    </row>
    <row r="195" spans="1:25" s="15" customFormat="1" x14ac:dyDescent="0.3">
      <c r="A195" s="17"/>
      <c r="B195"/>
      <c r="C195"/>
      <c r="D195"/>
      <c r="E195"/>
      <c r="F195" s="121">
        <v>43721</v>
      </c>
      <c r="G195" s="53">
        <v>284.30850199999998</v>
      </c>
      <c r="H195" s="53">
        <v>89.503951999999998</v>
      </c>
      <c r="I195" s="122">
        <f t="shared" si="4"/>
        <v>-6.6377772347936403E-4</v>
      </c>
      <c r="J195" s="122">
        <f t="shared" si="5"/>
        <v>0</v>
      </c>
      <c r="K195"/>
      <c r="L195"/>
      <c r="M195" s="54"/>
      <c r="N195" s="54"/>
      <c r="O195" s="54"/>
      <c r="Y195"/>
    </row>
    <row r="196" spans="1:25" s="15" customFormat="1" x14ac:dyDescent="0.3">
      <c r="A196" s="17"/>
      <c r="B196"/>
      <c r="C196"/>
      <c r="D196"/>
      <c r="E196"/>
      <c r="F196" s="121">
        <v>43724</v>
      </c>
      <c r="G196" s="53">
        <v>283.43032799999997</v>
      </c>
      <c r="H196" s="53">
        <v>89.503951999999998</v>
      </c>
      <c r="I196" s="122">
        <f t="shared" si="4"/>
        <v>-3.0888066794428903E-3</v>
      </c>
      <c r="J196" s="122">
        <f t="shared" si="5"/>
        <v>0</v>
      </c>
      <c r="K196"/>
      <c r="L196"/>
      <c r="M196" s="54"/>
      <c r="N196" s="54"/>
      <c r="O196" s="54"/>
      <c r="Y196"/>
    </row>
    <row r="197" spans="1:25" s="15" customFormat="1" x14ac:dyDescent="0.3">
      <c r="A197" s="17"/>
      <c r="B197"/>
      <c r="C197"/>
      <c r="D197"/>
      <c r="E197"/>
      <c r="F197" s="121">
        <v>43725</v>
      </c>
      <c r="G197" s="53">
        <v>284.14798000000002</v>
      </c>
      <c r="H197" s="53">
        <v>89.513756000000001</v>
      </c>
      <c r="I197" s="122">
        <f t="shared" si="4"/>
        <v>2.5320226140375102E-3</v>
      </c>
      <c r="J197" s="122">
        <f t="shared" si="5"/>
        <v>1.0953706267624597E-4</v>
      </c>
      <c r="K197"/>
      <c r="L197"/>
      <c r="M197" s="54"/>
      <c r="N197" s="54"/>
      <c r="O197" s="54"/>
      <c r="Y197"/>
    </row>
    <row r="198" spans="1:25" s="15" customFormat="1" x14ac:dyDescent="0.3">
      <c r="A198" s="17"/>
      <c r="B198"/>
      <c r="C198"/>
      <c r="D198"/>
      <c r="E198"/>
      <c r="F198" s="121">
        <v>43726</v>
      </c>
      <c r="G198" s="53">
        <v>284.317993</v>
      </c>
      <c r="H198" s="53">
        <v>89.53331</v>
      </c>
      <c r="I198" s="122">
        <f t="shared" si="4"/>
        <v>5.9832556261696368E-4</v>
      </c>
      <c r="J198" s="122">
        <f t="shared" si="5"/>
        <v>2.1844687200922586E-4</v>
      </c>
      <c r="K198"/>
      <c r="L198"/>
      <c r="M198" s="54"/>
      <c r="N198" s="54"/>
      <c r="O198" s="54"/>
      <c r="Y198"/>
    </row>
    <row r="199" spans="1:25" s="15" customFormat="1" x14ac:dyDescent="0.3">
      <c r="A199" s="17"/>
      <c r="B199"/>
      <c r="C199"/>
      <c r="D199"/>
      <c r="E199"/>
      <c r="F199" s="121">
        <v>43727</v>
      </c>
      <c r="G199" s="53">
        <v>284.29904199999999</v>
      </c>
      <c r="H199" s="53">
        <v>89.53331</v>
      </c>
      <c r="I199" s="122">
        <f t="shared" si="4"/>
        <v>-6.665424090834815E-5</v>
      </c>
      <c r="J199" s="122">
        <f t="shared" si="5"/>
        <v>0</v>
      </c>
      <c r="K199"/>
      <c r="L199"/>
      <c r="M199" s="54"/>
      <c r="N199" s="54"/>
      <c r="O199" s="54"/>
      <c r="Y199"/>
    </row>
    <row r="200" spans="1:25" s="15" customFormat="1" x14ac:dyDescent="0.3">
      <c r="A200" s="17"/>
      <c r="B200"/>
      <c r="C200"/>
      <c r="D200"/>
      <c r="E200"/>
      <c r="F200" s="121">
        <v>43728</v>
      </c>
      <c r="G200" s="53">
        <v>282.95584100000002</v>
      </c>
      <c r="H200" s="53">
        <v>89.543098000000001</v>
      </c>
      <c r="I200" s="122">
        <f t="shared" si="4"/>
        <v>-4.7246061420072039E-3</v>
      </c>
      <c r="J200" s="122">
        <f t="shared" si="5"/>
        <v>1.0932244099981503E-4</v>
      </c>
      <c r="K200"/>
      <c r="L200"/>
      <c r="M200" s="54"/>
      <c r="N200" s="54"/>
      <c r="O200" s="54"/>
      <c r="Y200"/>
    </row>
    <row r="201" spans="1:25" s="15" customFormat="1" x14ac:dyDescent="0.3">
      <c r="A201" s="17"/>
      <c r="B201"/>
      <c r="C201"/>
      <c r="D201"/>
      <c r="E201"/>
      <c r="F201" s="121">
        <v>43731</v>
      </c>
      <c r="G201" s="53">
        <v>282.88937399999998</v>
      </c>
      <c r="H201" s="53">
        <v>89.562652999999997</v>
      </c>
      <c r="I201" s="122">
        <f t="shared" si="4"/>
        <v>-2.3490237828327487E-4</v>
      </c>
      <c r="J201" s="122">
        <f t="shared" si="5"/>
        <v>2.1838645788196942E-4</v>
      </c>
      <c r="K201"/>
      <c r="L201"/>
      <c r="M201" s="54"/>
      <c r="N201" s="54"/>
      <c r="O201" s="54"/>
      <c r="Y201"/>
    </row>
    <row r="202" spans="1:25" s="15" customFormat="1" x14ac:dyDescent="0.3">
      <c r="A202" s="17"/>
      <c r="B202"/>
      <c r="C202"/>
      <c r="D202"/>
      <c r="E202"/>
      <c r="F202" s="121">
        <v>43732</v>
      </c>
      <c r="G202" s="53">
        <v>280.66961700000002</v>
      </c>
      <c r="H202" s="53">
        <v>89.562652999999997</v>
      </c>
      <c r="I202" s="122">
        <f t="shared" si="4"/>
        <v>-7.8467316343948657E-3</v>
      </c>
      <c r="J202" s="122">
        <f t="shared" si="5"/>
        <v>0</v>
      </c>
      <c r="K202"/>
      <c r="L202"/>
      <c r="M202" s="54"/>
      <c r="N202" s="54"/>
      <c r="O202" s="54"/>
      <c r="Y202"/>
    </row>
    <row r="203" spans="1:25" s="15" customFormat="1" x14ac:dyDescent="0.3">
      <c r="A203" s="17"/>
      <c r="B203"/>
      <c r="C203"/>
      <c r="D203"/>
      <c r="E203"/>
      <c r="F203" s="121">
        <v>43733</v>
      </c>
      <c r="G203" s="53">
        <v>282.32974200000001</v>
      </c>
      <c r="H203" s="53">
        <v>89.562652999999997</v>
      </c>
      <c r="I203" s="122">
        <f t="shared" si="4"/>
        <v>5.914872502925661E-3</v>
      </c>
      <c r="J203" s="122">
        <f t="shared" si="5"/>
        <v>0</v>
      </c>
      <c r="K203"/>
      <c r="L203"/>
      <c r="M203" s="54"/>
      <c r="N203" s="54"/>
      <c r="O203" s="54"/>
      <c r="Y203"/>
    </row>
    <row r="204" spans="1:25" s="15" customFormat="1" x14ac:dyDescent="0.3">
      <c r="A204" s="17"/>
      <c r="B204"/>
      <c r="C204"/>
      <c r="D204"/>
      <c r="E204"/>
      <c r="F204" s="121">
        <v>43734</v>
      </c>
      <c r="G204" s="53">
        <v>281.74154700000003</v>
      </c>
      <c r="H204" s="53">
        <v>89.582222000000002</v>
      </c>
      <c r="I204" s="122">
        <f t="shared" si="4"/>
        <v>-2.0833618018182287E-3</v>
      </c>
      <c r="J204" s="122">
        <f t="shared" si="5"/>
        <v>2.1849509080529295E-4</v>
      </c>
      <c r="K204"/>
      <c r="L204"/>
      <c r="M204" s="54"/>
      <c r="N204" s="54"/>
      <c r="O204" s="54"/>
      <c r="Y204"/>
    </row>
    <row r="205" spans="1:25" s="15" customFormat="1" x14ac:dyDescent="0.3">
      <c r="A205" s="17"/>
      <c r="B205"/>
      <c r="C205"/>
      <c r="D205"/>
      <c r="E205"/>
      <c r="F205" s="121">
        <v>43735</v>
      </c>
      <c r="G205" s="53">
        <v>280.223724</v>
      </c>
      <c r="H205" s="53">
        <v>89.582222000000002</v>
      </c>
      <c r="I205" s="122">
        <f t="shared" si="4"/>
        <v>-5.3872885137526971E-3</v>
      </c>
      <c r="J205" s="122">
        <f t="shared" si="5"/>
        <v>0</v>
      </c>
      <c r="K205"/>
      <c r="L205"/>
      <c r="M205" s="54"/>
      <c r="N205" s="54"/>
      <c r="O205" s="54"/>
      <c r="Y205"/>
    </row>
    <row r="206" spans="1:25" s="15" customFormat="1" x14ac:dyDescent="0.3">
      <c r="A206" s="17"/>
      <c r="B206"/>
      <c r="C206"/>
      <c r="D206"/>
      <c r="E206"/>
      <c r="F206" s="121">
        <v>43738</v>
      </c>
      <c r="G206" s="53">
        <v>281.52337599999998</v>
      </c>
      <c r="H206" s="53">
        <v>89.591994999999997</v>
      </c>
      <c r="I206" s="122">
        <f t="shared" si="4"/>
        <v>4.6379085305425782E-3</v>
      </c>
      <c r="J206" s="122">
        <f t="shared" si="5"/>
        <v>1.0909530687897018E-4</v>
      </c>
      <c r="K206"/>
      <c r="L206"/>
      <c r="M206" s="54"/>
      <c r="N206" s="54"/>
      <c r="O206" s="54"/>
      <c r="Y206"/>
    </row>
    <row r="207" spans="1:25" s="15" customFormat="1" x14ac:dyDescent="0.3">
      <c r="A207" s="17"/>
      <c r="B207"/>
      <c r="C207"/>
      <c r="D207"/>
      <c r="E207"/>
      <c r="F207" s="121">
        <v>43739</v>
      </c>
      <c r="G207" s="53">
        <v>278.17474399999998</v>
      </c>
      <c r="H207" s="53">
        <v>89.58905</v>
      </c>
      <c r="I207" s="122">
        <f t="shared" si="4"/>
        <v>-1.1894685434576502E-2</v>
      </c>
      <c r="J207" s="122">
        <f t="shared" si="5"/>
        <v>-3.2871240337906116E-5</v>
      </c>
      <c r="K207"/>
      <c r="L207"/>
      <c r="M207" s="54"/>
      <c r="N207" s="54"/>
      <c r="O207" s="54"/>
      <c r="Y207"/>
    </row>
    <row r="208" spans="1:25" s="15" customFormat="1" x14ac:dyDescent="0.3">
      <c r="A208" s="17"/>
      <c r="B208"/>
      <c r="C208"/>
      <c r="D208"/>
      <c r="E208"/>
      <c r="F208" s="121">
        <v>43740</v>
      </c>
      <c r="G208" s="53">
        <v>273.26086400000003</v>
      </c>
      <c r="H208" s="53">
        <v>89.58905</v>
      </c>
      <c r="I208" s="122">
        <f t="shared" si="4"/>
        <v>-1.7664723724882592E-2</v>
      </c>
      <c r="J208" s="122">
        <f t="shared" si="5"/>
        <v>0</v>
      </c>
      <c r="K208"/>
      <c r="L208"/>
      <c r="M208" s="54"/>
      <c r="N208" s="54"/>
      <c r="O208" s="54"/>
      <c r="Y208"/>
    </row>
    <row r="209" spans="1:25" s="15" customFormat="1" x14ac:dyDescent="0.3">
      <c r="A209" s="17"/>
      <c r="B209"/>
      <c r="C209"/>
      <c r="D209"/>
      <c r="E209"/>
      <c r="F209" s="121">
        <v>43741</v>
      </c>
      <c r="G209" s="53">
        <v>275.49960299999998</v>
      </c>
      <c r="H209" s="53">
        <v>89.618454</v>
      </c>
      <c r="I209" s="122">
        <f t="shared" si="4"/>
        <v>8.19268067600043E-3</v>
      </c>
      <c r="J209" s="122">
        <f t="shared" si="5"/>
        <v>3.2820975331238067E-4</v>
      </c>
      <c r="K209"/>
      <c r="L209"/>
      <c r="M209" s="54"/>
      <c r="N209" s="54"/>
      <c r="O209" s="54"/>
      <c r="Y209"/>
    </row>
    <row r="210" spans="1:25" s="15" customFormat="1" x14ac:dyDescent="0.3">
      <c r="A210" s="17"/>
      <c r="B210"/>
      <c r="C210"/>
      <c r="D210"/>
      <c r="E210"/>
      <c r="F210" s="121">
        <v>43742</v>
      </c>
      <c r="G210" s="53">
        <v>279.22778299999999</v>
      </c>
      <c r="H210" s="53">
        <v>89.618454</v>
      </c>
      <c r="I210" s="122">
        <f t="shared" si="4"/>
        <v>1.3532433293560908E-2</v>
      </c>
      <c r="J210" s="122">
        <f t="shared" si="5"/>
        <v>0</v>
      </c>
      <c r="K210"/>
      <c r="L210"/>
      <c r="M210" s="54"/>
      <c r="N210" s="54"/>
      <c r="O210" s="54"/>
      <c r="Y210"/>
    </row>
    <row r="211" spans="1:25" s="15" customFormat="1" x14ac:dyDescent="0.3">
      <c r="A211" s="17"/>
      <c r="B211"/>
      <c r="C211"/>
      <c r="D211"/>
      <c r="E211"/>
      <c r="F211" s="121">
        <v>43745</v>
      </c>
      <c r="G211" s="53">
        <v>278.022919</v>
      </c>
      <c r="H211" s="53">
        <v>89.628264999999999</v>
      </c>
      <c r="I211" s="122">
        <f t="shared" si="4"/>
        <v>-4.3149860914807325E-3</v>
      </c>
      <c r="J211" s="122">
        <f t="shared" si="5"/>
        <v>1.094752203603111E-4</v>
      </c>
      <c r="K211"/>
      <c r="L211"/>
      <c r="M211" s="54"/>
      <c r="N211" s="54"/>
      <c r="O211" s="54"/>
      <c r="Y211"/>
    </row>
    <row r="212" spans="1:25" s="15" customFormat="1" x14ac:dyDescent="0.3">
      <c r="A212" s="17"/>
      <c r="B212"/>
      <c r="C212"/>
      <c r="D212"/>
      <c r="E212"/>
      <c r="F212" s="121">
        <v>43746</v>
      </c>
      <c r="G212" s="53">
        <v>273.706726</v>
      </c>
      <c r="H212" s="53">
        <v>89.628264999999999</v>
      </c>
      <c r="I212" s="122">
        <f t="shared" ref="I212:I275" si="6">G212/G211-1</f>
        <v>-1.5524594215198473E-2</v>
      </c>
      <c r="J212" s="122">
        <f t="shared" ref="J212:J275" si="7">H212/H211-1</f>
        <v>0</v>
      </c>
      <c r="K212"/>
      <c r="L212"/>
      <c r="M212" s="54"/>
      <c r="N212" s="54"/>
      <c r="O212" s="54"/>
      <c r="Y212"/>
    </row>
    <row r="213" spans="1:25" s="15" customFormat="1" x14ac:dyDescent="0.3">
      <c r="A213" s="17"/>
      <c r="B213"/>
      <c r="C213"/>
      <c r="D213"/>
      <c r="E213"/>
      <c r="F213" s="121">
        <v>43747</v>
      </c>
      <c r="G213" s="53">
        <v>276.30590799999999</v>
      </c>
      <c r="H213" s="53">
        <v>89.628264999999999</v>
      </c>
      <c r="I213" s="122">
        <f t="shared" si="6"/>
        <v>9.4962299172727249E-3</v>
      </c>
      <c r="J213" s="122">
        <f t="shared" si="7"/>
        <v>0</v>
      </c>
      <c r="K213"/>
      <c r="L213"/>
      <c r="M213" s="54"/>
      <c r="N213" s="54"/>
      <c r="O213" s="54"/>
      <c r="Y213"/>
    </row>
    <row r="214" spans="1:25" s="15" customFormat="1" x14ac:dyDescent="0.3">
      <c r="A214" s="17"/>
      <c r="B214"/>
      <c r="C214"/>
      <c r="D214"/>
      <c r="E214"/>
      <c r="F214" s="121">
        <v>43748</v>
      </c>
      <c r="G214" s="53">
        <v>278.17474399999998</v>
      </c>
      <c r="H214" s="53">
        <v>89.647841999999997</v>
      </c>
      <c r="I214" s="122">
        <f t="shared" si="6"/>
        <v>6.7636483545621129E-3</v>
      </c>
      <c r="J214" s="122">
        <f t="shared" si="7"/>
        <v>2.1842439993680074E-4</v>
      </c>
      <c r="K214"/>
      <c r="L214"/>
      <c r="M214" s="54"/>
      <c r="N214" s="54"/>
      <c r="O214" s="54"/>
      <c r="Y214"/>
    </row>
    <row r="215" spans="1:25" s="15" customFormat="1" x14ac:dyDescent="0.3">
      <c r="A215" s="17"/>
      <c r="B215"/>
      <c r="C215"/>
      <c r="D215"/>
      <c r="E215"/>
      <c r="F215" s="121">
        <v>43749</v>
      </c>
      <c r="G215" s="53">
        <v>281.05856299999999</v>
      </c>
      <c r="H215" s="53">
        <v>89.657639000000003</v>
      </c>
      <c r="I215" s="122">
        <f t="shared" si="6"/>
        <v>1.0366933239633003E-2</v>
      </c>
      <c r="J215" s="122">
        <f t="shared" si="7"/>
        <v>1.0928316601321875E-4</v>
      </c>
      <c r="K215"/>
      <c r="L215"/>
      <c r="M215" s="54"/>
      <c r="N215" s="54"/>
      <c r="O215" s="54"/>
      <c r="Y215"/>
    </row>
    <row r="216" spans="1:25" s="15" customFormat="1" x14ac:dyDescent="0.3">
      <c r="A216" s="17"/>
      <c r="B216"/>
      <c r="C216"/>
      <c r="D216"/>
      <c r="E216"/>
      <c r="F216" s="121">
        <v>43752</v>
      </c>
      <c r="G216" s="53">
        <v>280.745544</v>
      </c>
      <c r="H216" s="53">
        <v>89.647841999999997</v>
      </c>
      <c r="I216" s="122">
        <f t="shared" si="6"/>
        <v>-1.1137145108082169E-3</v>
      </c>
      <c r="J216" s="122">
        <f t="shared" si="7"/>
        <v>-1.0927122450776761E-4</v>
      </c>
      <c r="K216"/>
      <c r="L216"/>
      <c r="M216" s="54"/>
      <c r="N216" s="54"/>
      <c r="O216" s="54"/>
      <c r="Y216"/>
    </row>
    <row r="217" spans="1:25" s="15" customFormat="1" x14ac:dyDescent="0.3">
      <c r="A217" s="17"/>
      <c r="B217"/>
      <c r="C217"/>
      <c r="D217"/>
      <c r="E217"/>
      <c r="F217" s="121">
        <v>43753</v>
      </c>
      <c r="G217" s="53">
        <v>283.52499399999999</v>
      </c>
      <c r="H217" s="53">
        <v>89.657639000000003</v>
      </c>
      <c r="I217" s="122">
        <f t="shared" si="6"/>
        <v>9.9002461816455334E-3</v>
      </c>
      <c r="J217" s="122">
        <f t="shared" si="7"/>
        <v>1.0928316601321875E-4</v>
      </c>
      <c r="K217"/>
      <c r="L217"/>
      <c r="M217" s="54"/>
      <c r="N217" s="54"/>
      <c r="O217" s="54"/>
      <c r="Y217"/>
    </row>
    <row r="218" spans="1:25" s="15" customFormat="1" x14ac:dyDescent="0.3">
      <c r="A218" s="17"/>
      <c r="B218"/>
      <c r="C218"/>
      <c r="D218"/>
      <c r="E218"/>
      <c r="F218" s="121">
        <v>43754</v>
      </c>
      <c r="G218" s="53">
        <v>283.06964099999999</v>
      </c>
      <c r="H218" s="53">
        <v>89.667434999999998</v>
      </c>
      <c r="I218" s="122">
        <f t="shared" si="6"/>
        <v>-1.6060418292435097E-3</v>
      </c>
      <c r="J218" s="122">
        <f t="shared" si="7"/>
        <v>1.0926007096845325E-4</v>
      </c>
      <c r="K218"/>
      <c r="L218"/>
      <c r="M218" s="54"/>
      <c r="N218" s="54"/>
      <c r="O218" s="54"/>
      <c r="Y218"/>
    </row>
    <row r="219" spans="1:25" s="15" customFormat="1" x14ac:dyDescent="0.3">
      <c r="A219" s="17"/>
      <c r="B219"/>
      <c r="C219"/>
      <c r="D219"/>
      <c r="E219"/>
      <c r="F219" s="121">
        <v>43755</v>
      </c>
      <c r="G219" s="53">
        <v>283.904449</v>
      </c>
      <c r="H219" s="53">
        <v>89.677238000000003</v>
      </c>
      <c r="I219" s="122">
        <f t="shared" si="6"/>
        <v>2.9491258654614771E-3</v>
      </c>
      <c r="J219" s="122">
        <f t="shared" si="7"/>
        <v>1.0932620075521093E-4</v>
      </c>
      <c r="K219"/>
      <c r="L219"/>
      <c r="M219" s="54"/>
      <c r="N219" s="54"/>
      <c r="O219" s="54"/>
      <c r="Y219"/>
    </row>
    <row r="220" spans="1:25" s="15" customFormat="1" x14ac:dyDescent="0.3">
      <c r="A220" s="17"/>
      <c r="B220"/>
      <c r="C220"/>
      <c r="D220"/>
      <c r="E220"/>
      <c r="F220" s="121">
        <v>43756</v>
      </c>
      <c r="G220" s="53">
        <v>282.66171300000002</v>
      </c>
      <c r="H220" s="53">
        <v>89.677238000000003</v>
      </c>
      <c r="I220" s="122">
        <f t="shared" si="6"/>
        <v>-4.377303717420733E-3</v>
      </c>
      <c r="J220" s="122">
        <f t="shared" si="7"/>
        <v>0</v>
      </c>
      <c r="K220"/>
      <c r="L220"/>
      <c r="M220" s="54"/>
      <c r="N220" s="54"/>
      <c r="O220" s="54"/>
      <c r="Y220"/>
    </row>
    <row r="221" spans="1:25" s="15" customFormat="1" x14ac:dyDescent="0.3">
      <c r="A221" s="17"/>
      <c r="B221"/>
      <c r="C221"/>
      <c r="D221"/>
      <c r="E221"/>
      <c r="F221" s="121">
        <v>43759</v>
      </c>
      <c r="G221" s="53">
        <v>284.57794200000001</v>
      </c>
      <c r="H221" s="53">
        <v>89.687034999999995</v>
      </c>
      <c r="I221" s="122">
        <f t="shared" si="6"/>
        <v>6.7792308327232487E-3</v>
      </c>
      <c r="J221" s="122">
        <f t="shared" si="7"/>
        <v>1.0924734323314311E-4</v>
      </c>
      <c r="K221"/>
      <c r="L221"/>
      <c r="M221" s="54"/>
      <c r="N221" s="54"/>
      <c r="O221" s="54"/>
      <c r="Y221"/>
    </row>
    <row r="222" spans="1:25" s="15" customFormat="1" x14ac:dyDescent="0.3">
      <c r="A222" s="17"/>
      <c r="B222"/>
      <c r="C222"/>
      <c r="D222"/>
      <c r="E222"/>
      <c r="F222" s="121">
        <v>43760</v>
      </c>
      <c r="G222" s="53">
        <v>283.64828499999999</v>
      </c>
      <c r="H222" s="53">
        <v>89.687034999999995</v>
      </c>
      <c r="I222" s="122">
        <f t="shared" si="6"/>
        <v>-3.2667921957212354E-3</v>
      </c>
      <c r="J222" s="122">
        <f t="shared" si="7"/>
        <v>0</v>
      </c>
      <c r="K222"/>
      <c r="L222"/>
      <c r="M222" s="54"/>
      <c r="N222" s="54"/>
      <c r="O222" s="54"/>
      <c r="Y222"/>
    </row>
    <row r="223" spans="1:25" s="15" customFormat="1" x14ac:dyDescent="0.3">
      <c r="A223" s="17"/>
      <c r="B223"/>
      <c r="C223"/>
      <c r="D223"/>
      <c r="E223"/>
      <c r="F223" s="121">
        <v>43761</v>
      </c>
      <c r="G223" s="53">
        <v>284.47366299999999</v>
      </c>
      <c r="H223" s="53">
        <v>89.687034999999995</v>
      </c>
      <c r="I223" s="122">
        <f t="shared" si="6"/>
        <v>2.9098642355620541E-3</v>
      </c>
      <c r="J223" s="122">
        <f t="shared" si="7"/>
        <v>0</v>
      </c>
      <c r="K223"/>
      <c r="L223"/>
      <c r="M223" s="54"/>
      <c r="N223" s="54"/>
      <c r="O223" s="54"/>
      <c r="Y223"/>
    </row>
    <row r="224" spans="1:25" s="15" customFormat="1" x14ac:dyDescent="0.3">
      <c r="A224" s="17"/>
      <c r="B224"/>
      <c r="C224"/>
      <c r="D224"/>
      <c r="E224"/>
      <c r="F224" s="121">
        <v>43762</v>
      </c>
      <c r="G224" s="53">
        <v>284.938446</v>
      </c>
      <c r="H224" s="53">
        <v>89.706619000000003</v>
      </c>
      <c r="I224" s="122">
        <f t="shared" si="6"/>
        <v>1.6338349044284772E-3</v>
      </c>
      <c r="J224" s="122">
        <f t="shared" si="7"/>
        <v>2.1835932027425287E-4</v>
      </c>
      <c r="K224"/>
      <c r="L224"/>
      <c r="M224" s="54"/>
      <c r="N224" s="54"/>
      <c r="O224" s="54"/>
      <c r="Y224"/>
    </row>
    <row r="225" spans="1:25" s="15" customFormat="1" x14ac:dyDescent="0.3">
      <c r="A225" s="17"/>
      <c r="B225"/>
      <c r="C225"/>
      <c r="D225"/>
      <c r="E225"/>
      <c r="F225" s="121">
        <v>43763</v>
      </c>
      <c r="G225" s="53">
        <v>286.10519399999998</v>
      </c>
      <c r="H225" s="53">
        <v>89.706619000000003</v>
      </c>
      <c r="I225" s="122">
        <f t="shared" si="6"/>
        <v>4.0947370085677726E-3</v>
      </c>
      <c r="J225" s="122">
        <f t="shared" si="7"/>
        <v>0</v>
      </c>
      <c r="K225"/>
      <c r="L225"/>
      <c r="M225" s="54"/>
      <c r="N225" s="54"/>
      <c r="O225" s="54"/>
      <c r="Y225"/>
    </row>
    <row r="226" spans="1:25" s="15" customFormat="1" x14ac:dyDescent="0.3">
      <c r="A226" s="17"/>
      <c r="B226"/>
      <c r="C226"/>
      <c r="D226"/>
      <c r="E226"/>
      <c r="F226" s="121">
        <v>43766</v>
      </c>
      <c r="G226" s="53">
        <v>287.71792599999998</v>
      </c>
      <c r="H226" s="53">
        <v>89.696815000000001</v>
      </c>
      <c r="I226" s="122">
        <f t="shared" si="6"/>
        <v>5.6368497805041606E-3</v>
      </c>
      <c r="J226" s="122">
        <f t="shared" si="7"/>
        <v>-1.0928959433864627E-4</v>
      </c>
      <c r="K226"/>
      <c r="L226"/>
      <c r="M226" s="54"/>
      <c r="N226" s="54"/>
      <c r="O226" s="54"/>
      <c r="Y226"/>
    </row>
    <row r="227" spans="1:25" s="15" customFormat="1" x14ac:dyDescent="0.3">
      <c r="A227" s="17"/>
      <c r="B227"/>
      <c r="C227"/>
      <c r="D227"/>
      <c r="E227"/>
      <c r="F227" s="121">
        <v>43767</v>
      </c>
      <c r="G227" s="53">
        <v>287.63247699999999</v>
      </c>
      <c r="H227" s="53">
        <v>89.716431</v>
      </c>
      <c r="I227" s="122">
        <f t="shared" si="6"/>
        <v>-2.9698879450412718E-4</v>
      </c>
      <c r="J227" s="122">
        <f t="shared" si="7"/>
        <v>2.1869226906212624E-4</v>
      </c>
      <c r="K227"/>
      <c r="L227"/>
      <c r="M227" s="54"/>
      <c r="N227" s="54"/>
      <c r="O227" s="54"/>
      <c r="Y227"/>
    </row>
    <row r="228" spans="1:25" s="15" customFormat="1" x14ac:dyDescent="0.3">
      <c r="A228" s="17"/>
      <c r="B228"/>
      <c r="C228"/>
      <c r="D228"/>
      <c r="E228"/>
      <c r="F228" s="121">
        <v>43768</v>
      </c>
      <c r="G228" s="53">
        <v>288.514771</v>
      </c>
      <c r="H228" s="53">
        <v>89.726212000000004</v>
      </c>
      <c r="I228" s="122">
        <f t="shared" si="6"/>
        <v>3.0674352534953986E-3</v>
      </c>
      <c r="J228" s="122">
        <f t="shared" si="7"/>
        <v>1.090212783876332E-4</v>
      </c>
      <c r="K228"/>
      <c r="L228"/>
      <c r="M228" s="54"/>
      <c r="N228" s="54"/>
      <c r="O228" s="54"/>
      <c r="Y228"/>
    </row>
    <row r="229" spans="1:25" s="15" customFormat="1" x14ac:dyDescent="0.3">
      <c r="A229" s="17"/>
      <c r="B229"/>
      <c r="C229"/>
      <c r="D229"/>
      <c r="E229"/>
      <c r="F229" s="121">
        <v>43769</v>
      </c>
      <c r="G229" s="53">
        <v>287.74636800000002</v>
      </c>
      <c r="H229" s="53">
        <v>89.736007999999998</v>
      </c>
      <c r="I229" s="122">
        <f t="shared" si="6"/>
        <v>-2.6633055816749351E-3</v>
      </c>
      <c r="J229" s="122">
        <f t="shared" si="7"/>
        <v>1.0917656927267316E-4</v>
      </c>
      <c r="K229"/>
      <c r="L229"/>
      <c r="M229" s="54"/>
      <c r="N229" s="54"/>
      <c r="O229" s="54"/>
      <c r="Y229"/>
    </row>
    <row r="230" spans="1:25" s="15" customFormat="1" x14ac:dyDescent="0.3">
      <c r="A230" s="17"/>
      <c r="B230"/>
      <c r="C230"/>
      <c r="D230"/>
      <c r="E230"/>
      <c r="F230" s="121">
        <v>43770</v>
      </c>
      <c r="G230" s="53">
        <v>290.41195699999997</v>
      </c>
      <c r="H230" s="53">
        <v>89.735039</v>
      </c>
      <c r="I230" s="122">
        <f t="shared" si="6"/>
        <v>9.2636755713975116E-3</v>
      </c>
      <c r="J230" s="122">
        <f t="shared" si="7"/>
        <v>-1.0798340839945908E-5</v>
      </c>
      <c r="K230"/>
      <c r="L230"/>
      <c r="M230" s="54"/>
      <c r="N230" s="54"/>
      <c r="O230" s="54"/>
      <c r="Y230"/>
    </row>
    <row r="231" spans="1:25" s="15" customFormat="1" x14ac:dyDescent="0.3">
      <c r="A231" s="17"/>
      <c r="B231"/>
      <c r="C231"/>
      <c r="D231"/>
      <c r="E231"/>
      <c r="F231" s="121">
        <v>43773</v>
      </c>
      <c r="G231" s="53">
        <v>291.57879600000001</v>
      </c>
      <c r="H231" s="53">
        <v>89.74485</v>
      </c>
      <c r="I231" s="122">
        <f t="shared" si="6"/>
        <v>4.017875200641452E-3</v>
      </c>
      <c r="J231" s="122">
        <f t="shared" si="7"/>
        <v>1.0933298864457264E-4</v>
      </c>
      <c r="K231"/>
      <c r="L231"/>
      <c r="M231" s="54"/>
      <c r="N231" s="54"/>
      <c r="O231" s="54"/>
      <c r="Y231"/>
    </row>
    <row r="232" spans="1:25" s="15" customFormat="1" x14ac:dyDescent="0.3">
      <c r="A232" s="17"/>
      <c r="B232"/>
      <c r="C232"/>
      <c r="D232"/>
      <c r="E232"/>
      <c r="F232" s="121">
        <v>43774</v>
      </c>
      <c r="G232" s="53">
        <v>291.25622600000003</v>
      </c>
      <c r="H232" s="53">
        <v>89.735039</v>
      </c>
      <c r="I232" s="122">
        <f t="shared" si="6"/>
        <v>-1.1062875779210835E-3</v>
      </c>
      <c r="J232" s="122">
        <f t="shared" si="7"/>
        <v>-1.0932103624883283E-4</v>
      </c>
      <c r="K232"/>
      <c r="L232"/>
      <c r="M232" s="54"/>
      <c r="N232" s="54"/>
      <c r="O232" s="54"/>
      <c r="Y232"/>
    </row>
    <row r="233" spans="1:25" s="15" customFormat="1" x14ac:dyDescent="0.3">
      <c r="A233" s="17"/>
      <c r="B233"/>
      <c r="C233"/>
      <c r="D233"/>
      <c r="E233"/>
      <c r="F233" s="121">
        <v>43775</v>
      </c>
      <c r="G233" s="53">
        <v>291.322632</v>
      </c>
      <c r="H233" s="53">
        <v>89.74485</v>
      </c>
      <c r="I233" s="122">
        <f t="shared" si="6"/>
        <v>2.2799855959121373E-4</v>
      </c>
      <c r="J233" s="122">
        <f t="shared" si="7"/>
        <v>1.0933298864457264E-4</v>
      </c>
      <c r="K233"/>
      <c r="L233"/>
      <c r="M233" s="54"/>
      <c r="N233" s="54"/>
      <c r="O233" s="54"/>
      <c r="Y233"/>
    </row>
    <row r="234" spans="1:25" s="15" customFormat="1" x14ac:dyDescent="0.3">
      <c r="A234" s="17"/>
      <c r="B234"/>
      <c r="C234"/>
      <c r="D234"/>
      <c r="E234"/>
      <c r="F234" s="121">
        <v>43776</v>
      </c>
      <c r="G234" s="53">
        <v>292.34716800000001</v>
      </c>
      <c r="H234" s="53">
        <v>89.764472999999995</v>
      </c>
      <c r="I234" s="122">
        <f t="shared" si="6"/>
        <v>3.5168431404257738E-3</v>
      </c>
      <c r="J234" s="122">
        <f t="shared" si="7"/>
        <v>2.1865321519842773E-4</v>
      </c>
      <c r="K234"/>
      <c r="L234"/>
      <c r="M234" s="54"/>
      <c r="N234" s="54"/>
      <c r="O234" s="54"/>
      <c r="Y234"/>
    </row>
    <row r="235" spans="1:25" s="15" customFormat="1" x14ac:dyDescent="0.3">
      <c r="A235" s="17"/>
      <c r="B235"/>
      <c r="C235"/>
      <c r="D235"/>
      <c r="E235"/>
      <c r="F235" s="121">
        <v>43777</v>
      </c>
      <c r="G235" s="53">
        <v>293.06811499999998</v>
      </c>
      <c r="H235" s="53">
        <v>89.764472999999995</v>
      </c>
      <c r="I235" s="122">
        <f t="shared" si="6"/>
        <v>2.4660645934493353E-3</v>
      </c>
      <c r="J235" s="122">
        <f t="shared" si="7"/>
        <v>0</v>
      </c>
      <c r="K235"/>
      <c r="L235"/>
      <c r="M235" s="54"/>
      <c r="N235" s="54"/>
      <c r="O235" s="54"/>
      <c r="Y235"/>
    </row>
    <row r="236" spans="1:25" s="15" customFormat="1" x14ac:dyDescent="0.3">
      <c r="A236" s="17"/>
      <c r="B236"/>
      <c r="C236"/>
      <c r="D236"/>
      <c r="E236"/>
      <c r="F236" s="121">
        <v>43780</v>
      </c>
      <c r="G236" s="53">
        <v>292.50845299999997</v>
      </c>
      <c r="H236" s="53">
        <v>89.764472999999995</v>
      </c>
      <c r="I236" s="122">
        <f t="shared" si="6"/>
        <v>-1.9096652667247582E-3</v>
      </c>
      <c r="J236" s="122">
        <f t="shared" si="7"/>
        <v>0</v>
      </c>
      <c r="K236"/>
      <c r="L236"/>
      <c r="M236" s="54"/>
      <c r="N236" s="54"/>
      <c r="O236" s="54"/>
      <c r="Y236"/>
    </row>
    <row r="237" spans="1:25" s="15" customFormat="1" x14ac:dyDescent="0.3">
      <c r="A237" s="17"/>
      <c r="B237"/>
      <c r="C237"/>
      <c r="D237"/>
      <c r="E237"/>
      <c r="F237" s="121">
        <v>43781</v>
      </c>
      <c r="G237" s="53">
        <v>293.12506100000002</v>
      </c>
      <c r="H237" s="53">
        <v>89.774269000000004</v>
      </c>
      <c r="I237" s="122">
        <f t="shared" si="6"/>
        <v>2.1080006190454803E-3</v>
      </c>
      <c r="J237" s="122">
        <f t="shared" si="7"/>
        <v>1.0913003410606414E-4</v>
      </c>
      <c r="K237"/>
      <c r="L237"/>
      <c r="M237" s="54"/>
      <c r="N237" s="54"/>
      <c r="O237" s="54"/>
      <c r="Y237"/>
    </row>
    <row r="238" spans="1:25" s="15" customFormat="1" x14ac:dyDescent="0.3">
      <c r="A238" s="17"/>
      <c r="B238"/>
      <c r="C238"/>
      <c r="D238"/>
      <c r="E238"/>
      <c r="F238" s="121">
        <v>43782</v>
      </c>
      <c r="G238" s="53">
        <v>293.21994000000001</v>
      </c>
      <c r="H238" s="53">
        <v>89.774269000000004</v>
      </c>
      <c r="I238" s="122">
        <f t="shared" si="6"/>
        <v>3.236809560953624E-4</v>
      </c>
      <c r="J238" s="122">
        <f t="shared" si="7"/>
        <v>0</v>
      </c>
      <c r="K238"/>
      <c r="L238"/>
      <c r="M238" s="54"/>
      <c r="N238" s="54"/>
      <c r="O238" s="54"/>
      <c r="Y238"/>
    </row>
    <row r="239" spans="1:25" s="15" customFormat="1" x14ac:dyDescent="0.3">
      <c r="A239" s="17"/>
      <c r="B239"/>
      <c r="C239"/>
      <c r="D239"/>
      <c r="E239"/>
      <c r="F239" s="121">
        <v>43783</v>
      </c>
      <c r="G239" s="53">
        <v>293.64681999999999</v>
      </c>
      <c r="H239" s="53">
        <v>89.784087999999997</v>
      </c>
      <c r="I239" s="122">
        <f t="shared" si="6"/>
        <v>1.4558355069576034E-3</v>
      </c>
      <c r="J239" s="122">
        <f t="shared" si="7"/>
        <v>1.0937432417290616E-4</v>
      </c>
      <c r="K239"/>
      <c r="L239"/>
      <c r="M239" s="54"/>
      <c r="N239" s="54"/>
      <c r="O239" s="54"/>
      <c r="Y239"/>
    </row>
    <row r="240" spans="1:25" s="15" customFormat="1" x14ac:dyDescent="0.3">
      <c r="A240" s="17"/>
      <c r="B240"/>
      <c r="C240"/>
      <c r="D240"/>
      <c r="E240"/>
      <c r="F240" s="121">
        <v>43784</v>
      </c>
      <c r="G240" s="53">
        <v>295.77172899999999</v>
      </c>
      <c r="H240" s="53">
        <v>89.774269000000004</v>
      </c>
      <c r="I240" s="122">
        <f t="shared" si="6"/>
        <v>7.236274515079133E-3</v>
      </c>
      <c r="J240" s="122">
        <f t="shared" si="7"/>
        <v>-1.0936236273839661E-4</v>
      </c>
      <c r="K240"/>
      <c r="L240"/>
      <c r="M240" s="54"/>
      <c r="N240" s="54"/>
      <c r="O240" s="54"/>
      <c r="Y240"/>
    </row>
    <row r="241" spans="1:25" s="15" customFormat="1" x14ac:dyDescent="0.3">
      <c r="A241" s="17"/>
      <c r="B241"/>
      <c r="C241"/>
      <c r="D241"/>
      <c r="E241"/>
      <c r="F241" s="121">
        <v>43787</v>
      </c>
      <c r="G241" s="53">
        <v>295.989868</v>
      </c>
      <c r="H241" s="53">
        <v>89.793869000000001</v>
      </c>
      <c r="I241" s="122">
        <f t="shared" si="6"/>
        <v>7.3752484978029109E-4</v>
      </c>
      <c r="J241" s="122">
        <f t="shared" si="7"/>
        <v>2.1832536447607964E-4</v>
      </c>
      <c r="K241"/>
      <c r="L241"/>
      <c r="M241" s="54"/>
      <c r="N241" s="54"/>
      <c r="O241" s="54"/>
      <c r="Y241"/>
    </row>
    <row r="242" spans="1:25" s="15" customFormat="1" x14ac:dyDescent="0.3">
      <c r="A242" s="17"/>
      <c r="B242"/>
      <c r="C242"/>
      <c r="D242"/>
      <c r="E242"/>
      <c r="F242" s="121">
        <v>43788</v>
      </c>
      <c r="G242" s="53">
        <v>295.90447999999998</v>
      </c>
      <c r="H242" s="53">
        <v>89.784087999999997</v>
      </c>
      <c r="I242" s="122">
        <f t="shared" si="6"/>
        <v>-2.8848284766291865E-4</v>
      </c>
      <c r="J242" s="122">
        <f t="shared" si="7"/>
        <v>-1.0892725871969322E-4</v>
      </c>
      <c r="K242"/>
      <c r="L242"/>
      <c r="M242" s="54"/>
      <c r="N242" s="54"/>
      <c r="O242" s="54"/>
      <c r="Y242"/>
    </row>
    <row r="243" spans="1:25" s="15" customFormat="1" x14ac:dyDescent="0.3">
      <c r="A243" s="17"/>
      <c r="B243"/>
      <c r="C243"/>
      <c r="D243"/>
      <c r="E243"/>
      <c r="F243" s="121">
        <v>43789</v>
      </c>
      <c r="G243" s="53">
        <v>294.80413800000002</v>
      </c>
      <c r="H243" s="53">
        <v>89.793869000000001</v>
      </c>
      <c r="I243" s="122">
        <f t="shared" si="6"/>
        <v>-3.7185716147317693E-3</v>
      </c>
      <c r="J243" s="122">
        <f t="shared" si="7"/>
        <v>1.0893912515985704E-4</v>
      </c>
      <c r="K243"/>
      <c r="L243"/>
      <c r="M243" s="54"/>
      <c r="N243" s="54"/>
      <c r="O243" s="54"/>
      <c r="Y243"/>
    </row>
    <row r="244" spans="1:25" s="15" customFormat="1" x14ac:dyDescent="0.3">
      <c r="A244" s="17"/>
      <c r="B244"/>
      <c r="C244"/>
      <c r="D244"/>
      <c r="E244"/>
      <c r="F244" s="121">
        <v>43790</v>
      </c>
      <c r="G244" s="53">
        <v>294.32986499999998</v>
      </c>
      <c r="H244" s="53">
        <v>89.793869000000001</v>
      </c>
      <c r="I244" s="122">
        <f t="shared" si="6"/>
        <v>-1.6087732119962617E-3</v>
      </c>
      <c r="J244" s="122">
        <f t="shared" si="7"/>
        <v>0</v>
      </c>
      <c r="K244"/>
      <c r="L244"/>
      <c r="M244" s="54"/>
      <c r="N244" s="54"/>
      <c r="O244" s="54"/>
      <c r="Y244"/>
    </row>
    <row r="245" spans="1:25" s="15" customFormat="1" x14ac:dyDescent="0.3">
      <c r="A245" s="17"/>
      <c r="B245"/>
      <c r="C245"/>
      <c r="D245"/>
      <c r="E245"/>
      <c r="F245" s="121">
        <v>43791</v>
      </c>
      <c r="G245" s="53">
        <v>294.984375</v>
      </c>
      <c r="H245" s="53">
        <v>89.803711000000007</v>
      </c>
      <c r="I245" s="122">
        <f t="shared" si="6"/>
        <v>2.2237294880016467E-3</v>
      </c>
      <c r="J245" s="122">
        <f t="shared" si="7"/>
        <v>1.0960659240555337E-4</v>
      </c>
      <c r="K245"/>
      <c r="L245"/>
      <c r="M245" s="54"/>
      <c r="N245" s="54"/>
      <c r="O245" s="54"/>
      <c r="Y245"/>
    </row>
    <row r="246" spans="1:25" s="15" customFormat="1" x14ac:dyDescent="0.3">
      <c r="A246" s="17"/>
      <c r="B246"/>
      <c r="C246"/>
      <c r="D246"/>
      <c r="E246"/>
      <c r="F246" s="121">
        <v>43794</v>
      </c>
      <c r="G246" s="53">
        <v>297.27050800000001</v>
      </c>
      <c r="H246" s="53">
        <v>89.803711000000007</v>
      </c>
      <c r="I246" s="122">
        <f t="shared" si="6"/>
        <v>7.7500138778536787E-3</v>
      </c>
      <c r="J246" s="122">
        <f t="shared" si="7"/>
        <v>0</v>
      </c>
      <c r="K246"/>
      <c r="L246"/>
      <c r="M246" s="54"/>
      <c r="N246" s="54"/>
      <c r="O246" s="54"/>
      <c r="Y246"/>
    </row>
    <row r="247" spans="1:25" s="15" customFormat="1" x14ac:dyDescent="0.3">
      <c r="A247" s="17"/>
      <c r="B247"/>
      <c r="C247"/>
      <c r="D247"/>
      <c r="E247"/>
      <c r="F247" s="121">
        <v>43795</v>
      </c>
      <c r="G247" s="53">
        <v>297.94406099999998</v>
      </c>
      <c r="H247" s="53">
        <v>89.813522000000006</v>
      </c>
      <c r="I247" s="122">
        <f t="shared" si="6"/>
        <v>2.2657915328754274E-3</v>
      </c>
      <c r="J247" s="122">
        <f t="shared" si="7"/>
        <v>1.092493828012131E-4</v>
      </c>
      <c r="K247"/>
      <c r="L247"/>
      <c r="M247" s="54"/>
      <c r="N247" s="54"/>
      <c r="O247" s="54"/>
      <c r="Y247"/>
    </row>
    <row r="248" spans="1:25" s="15" customFormat="1" x14ac:dyDescent="0.3">
      <c r="A248" s="17"/>
      <c r="B248"/>
      <c r="C248"/>
      <c r="D248"/>
      <c r="E248"/>
      <c r="F248" s="121">
        <v>43796</v>
      </c>
      <c r="G248" s="53">
        <v>299.272156</v>
      </c>
      <c r="H248" s="53">
        <v>89.833145000000002</v>
      </c>
      <c r="I248" s="122">
        <f t="shared" si="6"/>
        <v>4.4575313753276724E-3</v>
      </c>
      <c r="J248" s="122">
        <f t="shared" si="7"/>
        <v>2.1848603153529211E-4</v>
      </c>
      <c r="K248"/>
      <c r="L248"/>
      <c r="M248" s="54"/>
      <c r="N248" s="54"/>
      <c r="O248" s="54"/>
      <c r="Y248"/>
    </row>
    <row r="249" spans="1:25" s="15" customFormat="1" x14ac:dyDescent="0.3">
      <c r="A249" s="17"/>
      <c r="B249"/>
      <c r="C249"/>
      <c r="D249"/>
      <c r="E249"/>
      <c r="F249" s="121">
        <v>43798</v>
      </c>
      <c r="G249" s="53">
        <v>298.16229199999998</v>
      </c>
      <c r="H249" s="53">
        <v>89.833145000000002</v>
      </c>
      <c r="I249" s="122">
        <f t="shared" si="6"/>
        <v>-3.7085441386669471E-3</v>
      </c>
      <c r="J249" s="122">
        <f t="shared" si="7"/>
        <v>0</v>
      </c>
      <c r="K249"/>
      <c r="L249"/>
      <c r="M249" s="54"/>
      <c r="N249" s="54"/>
      <c r="O249" s="54"/>
      <c r="Y249"/>
    </row>
    <row r="250" spans="1:25" s="15" customFormat="1" x14ac:dyDescent="0.3">
      <c r="A250" s="17"/>
      <c r="B250"/>
      <c r="C250"/>
      <c r="D250"/>
      <c r="E250"/>
      <c r="F250" s="121">
        <v>43801</v>
      </c>
      <c r="G250" s="53">
        <v>295.62942500000003</v>
      </c>
      <c r="H250" s="53">
        <v>89.840012000000002</v>
      </c>
      <c r="I250" s="122">
        <f t="shared" si="6"/>
        <v>-8.4949273196489594E-3</v>
      </c>
      <c r="J250" s="122">
        <f t="shared" si="7"/>
        <v>7.6441718699804539E-5</v>
      </c>
      <c r="K250"/>
      <c r="L250"/>
      <c r="M250" s="54"/>
      <c r="N250" s="54"/>
      <c r="O250" s="54"/>
      <c r="Y250"/>
    </row>
    <row r="251" spans="1:25" s="15" customFormat="1" x14ac:dyDescent="0.3">
      <c r="A251" s="17"/>
      <c r="B251"/>
      <c r="C251"/>
      <c r="D251"/>
      <c r="E251"/>
      <c r="F251" s="121">
        <v>43802</v>
      </c>
      <c r="G251" s="53">
        <v>293.64681999999999</v>
      </c>
      <c r="H251" s="53">
        <v>89.830214999999995</v>
      </c>
      <c r="I251" s="122">
        <f t="shared" si="6"/>
        <v>-6.7063858748162009E-3</v>
      </c>
      <c r="J251" s="122">
        <f t="shared" si="7"/>
        <v>-1.0904940662748164E-4</v>
      </c>
      <c r="K251"/>
      <c r="L251"/>
      <c r="M251" s="54"/>
      <c r="N251" s="54"/>
      <c r="O251" s="54"/>
      <c r="Y251"/>
    </row>
    <row r="252" spans="1:25" s="15" customFormat="1" x14ac:dyDescent="0.3">
      <c r="A252" s="17"/>
      <c r="B252"/>
      <c r="C252"/>
      <c r="D252"/>
      <c r="E252"/>
      <c r="F252" s="121">
        <v>43803</v>
      </c>
      <c r="G252" s="53">
        <v>295.45867900000002</v>
      </c>
      <c r="H252" s="53">
        <v>89.840012000000002</v>
      </c>
      <c r="I252" s="122">
        <f t="shared" si="6"/>
        <v>6.1701979268837803E-3</v>
      </c>
      <c r="J252" s="122">
        <f t="shared" si="7"/>
        <v>1.0906129969745493E-4</v>
      </c>
      <c r="K252"/>
      <c r="L252"/>
      <c r="M252" s="54"/>
      <c r="N252" s="54"/>
      <c r="O252" s="54"/>
      <c r="Y252"/>
    </row>
    <row r="253" spans="1:25" s="15" customFormat="1" x14ac:dyDescent="0.3">
      <c r="A253" s="17"/>
      <c r="B253"/>
      <c r="C253"/>
      <c r="D253"/>
      <c r="E253"/>
      <c r="F253" s="121">
        <v>43804</v>
      </c>
      <c r="G253" s="53">
        <v>295.989868</v>
      </c>
      <c r="H253" s="53">
        <v>89.859673000000001</v>
      </c>
      <c r="I253" s="122">
        <f t="shared" si="6"/>
        <v>1.7978453088527413E-3</v>
      </c>
      <c r="J253" s="122">
        <f t="shared" si="7"/>
        <v>2.1884458341348001E-4</v>
      </c>
      <c r="K253"/>
      <c r="L253"/>
      <c r="M253" s="54"/>
      <c r="N253" s="54"/>
      <c r="O253" s="54"/>
      <c r="Y253"/>
    </row>
    <row r="254" spans="1:25" s="15" customFormat="1" x14ac:dyDescent="0.3">
      <c r="A254" s="17"/>
      <c r="B254"/>
      <c r="C254"/>
      <c r="D254"/>
      <c r="E254"/>
      <c r="F254" s="121">
        <v>43805</v>
      </c>
      <c r="G254" s="53">
        <v>298.69348100000002</v>
      </c>
      <c r="H254" s="53">
        <v>89.859673000000001</v>
      </c>
      <c r="I254" s="122">
        <f t="shared" si="6"/>
        <v>9.1341403618585559E-3</v>
      </c>
      <c r="J254" s="122">
        <f t="shared" si="7"/>
        <v>0</v>
      </c>
      <c r="K254"/>
      <c r="L254"/>
      <c r="M254" s="54"/>
      <c r="N254" s="54"/>
      <c r="O254" s="54"/>
      <c r="Y254"/>
    </row>
    <row r="255" spans="1:25" s="15" customFormat="1" x14ac:dyDescent="0.3">
      <c r="A255" s="17"/>
      <c r="B255"/>
      <c r="C255"/>
      <c r="D255"/>
      <c r="E255"/>
      <c r="F255" s="121">
        <v>43808</v>
      </c>
      <c r="G255" s="53">
        <v>297.75433299999997</v>
      </c>
      <c r="H255" s="53">
        <v>89.869506999999999</v>
      </c>
      <c r="I255" s="122">
        <f t="shared" si="6"/>
        <v>-3.144186464518306E-3</v>
      </c>
      <c r="J255" s="122">
        <f t="shared" si="7"/>
        <v>1.094373000889437E-4</v>
      </c>
      <c r="K255"/>
      <c r="L255"/>
      <c r="M255" s="54"/>
      <c r="N255" s="54"/>
      <c r="O255" s="54"/>
      <c r="Y255"/>
    </row>
    <row r="256" spans="1:25" s="15" customFormat="1" x14ac:dyDescent="0.3">
      <c r="A256" s="17"/>
      <c r="B256"/>
      <c r="C256"/>
      <c r="D256"/>
      <c r="E256"/>
      <c r="F256" s="121">
        <v>43809</v>
      </c>
      <c r="G256" s="53">
        <v>297.422302</v>
      </c>
      <c r="H256" s="53">
        <v>89.869506999999999</v>
      </c>
      <c r="I256" s="122">
        <f t="shared" si="6"/>
        <v>-1.1151172735409665E-3</v>
      </c>
      <c r="J256" s="122">
        <f t="shared" si="7"/>
        <v>0</v>
      </c>
      <c r="K256"/>
      <c r="L256"/>
      <c r="M256" s="54"/>
      <c r="N256" s="54"/>
      <c r="O256" s="54"/>
      <c r="Y256"/>
    </row>
    <row r="257" spans="1:25" s="15" customFormat="1" x14ac:dyDescent="0.3">
      <c r="A257" s="17"/>
      <c r="B257"/>
      <c r="C257"/>
      <c r="D257"/>
      <c r="E257"/>
      <c r="F257" s="121">
        <v>43810</v>
      </c>
      <c r="G257" s="53">
        <v>298.26669299999998</v>
      </c>
      <c r="H257" s="53">
        <v>89.869506999999999</v>
      </c>
      <c r="I257" s="122">
        <f t="shared" si="6"/>
        <v>2.8390305445218367E-3</v>
      </c>
      <c r="J257" s="122">
        <f t="shared" si="7"/>
        <v>0</v>
      </c>
      <c r="K257"/>
      <c r="L257"/>
      <c r="M257" s="54"/>
      <c r="N257" s="54"/>
      <c r="O257" s="54"/>
      <c r="Y257"/>
    </row>
    <row r="258" spans="1:25" s="15" customFormat="1" x14ac:dyDescent="0.3">
      <c r="A258" s="17"/>
      <c r="B258"/>
      <c r="C258"/>
      <c r="D258"/>
      <c r="E258"/>
      <c r="F258" s="121">
        <v>43811</v>
      </c>
      <c r="G258" s="53">
        <v>300.83737200000002</v>
      </c>
      <c r="H258" s="53">
        <v>89.889122</v>
      </c>
      <c r="I258" s="122">
        <f t="shared" si="6"/>
        <v>8.618726328923465E-3</v>
      </c>
      <c r="J258" s="122">
        <f t="shared" si="7"/>
        <v>2.1826090578191959E-4</v>
      </c>
      <c r="K258"/>
      <c r="L258"/>
      <c r="M258" s="27"/>
      <c r="N258" s="27"/>
      <c r="O258" s="27"/>
      <c r="Y258"/>
    </row>
    <row r="259" spans="1:25" s="15" customFormat="1" x14ac:dyDescent="0.3">
      <c r="A259" s="17"/>
      <c r="B259"/>
      <c r="C259"/>
      <c r="D259"/>
      <c r="E259"/>
      <c r="F259" s="121">
        <v>43812</v>
      </c>
      <c r="G259" s="53">
        <v>301.01767000000001</v>
      </c>
      <c r="H259" s="53">
        <v>89.869506999999999</v>
      </c>
      <c r="I259" s="122">
        <f t="shared" si="6"/>
        <v>5.993204860199608E-4</v>
      </c>
      <c r="J259" s="122">
        <f t="shared" si="7"/>
        <v>-2.1821327835425119E-4</v>
      </c>
      <c r="K259"/>
      <c r="L259"/>
      <c r="M259" s="27"/>
      <c r="N259" s="27"/>
      <c r="O259" s="27"/>
      <c r="Y259"/>
    </row>
    <row r="260" spans="1:25" s="15" customFormat="1" x14ac:dyDescent="0.3">
      <c r="A260" s="17"/>
      <c r="B260"/>
      <c r="C260"/>
      <c r="D260"/>
      <c r="E260"/>
      <c r="F260" s="121">
        <v>43815</v>
      </c>
      <c r="G260" s="53">
        <v>303.08563199999998</v>
      </c>
      <c r="H260" s="53">
        <v>89.889122</v>
      </c>
      <c r="I260" s="122">
        <f t="shared" si="6"/>
        <v>6.8699023549014804E-3</v>
      </c>
      <c r="J260" s="122">
        <f t="shared" si="7"/>
        <v>2.1826090578191959E-4</v>
      </c>
      <c r="K260"/>
      <c r="L260"/>
      <c r="M260" s="27"/>
      <c r="N260" s="27"/>
      <c r="O260" s="27"/>
      <c r="Y260"/>
    </row>
    <row r="261" spans="1:25" s="15" customFormat="1" x14ac:dyDescent="0.3">
      <c r="A261" s="17"/>
      <c r="B261"/>
      <c r="C261"/>
      <c r="D261"/>
      <c r="E261"/>
      <c r="F261" s="121">
        <v>43816</v>
      </c>
      <c r="G261" s="53">
        <v>303.15200800000002</v>
      </c>
      <c r="H261" s="53">
        <v>89.879340999999997</v>
      </c>
      <c r="I261" s="122">
        <f t="shared" si="6"/>
        <v>2.1900081360515244E-4</v>
      </c>
      <c r="J261" s="122">
        <f t="shared" si="7"/>
        <v>-1.0881183153621521E-4</v>
      </c>
      <c r="K261"/>
      <c r="L261"/>
      <c r="M261" s="27"/>
      <c r="N261" s="27"/>
      <c r="O261" s="27"/>
      <c r="Y261"/>
    </row>
    <row r="262" spans="1:25" s="15" customFormat="1" x14ac:dyDescent="0.3">
      <c r="A262" s="17"/>
      <c r="B262"/>
      <c r="C262"/>
      <c r="D262"/>
      <c r="E262"/>
      <c r="F262" s="121">
        <v>43817</v>
      </c>
      <c r="G262" s="53">
        <v>303.17095899999998</v>
      </c>
      <c r="H262" s="53">
        <v>89.898964000000007</v>
      </c>
      <c r="I262" s="122">
        <f t="shared" si="6"/>
        <v>6.2513193051172422E-5</v>
      </c>
      <c r="J262" s="122">
        <f t="shared" si="7"/>
        <v>2.1832603334304146E-4</v>
      </c>
      <c r="K262"/>
      <c r="L262"/>
      <c r="M262" s="27"/>
      <c r="N262" s="27"/>
      <c r="O262" s="27"/>
      <c r="Y262"/>
    </row>
    <row r="263" spans="1:25" s="15" customFormat="1" x14ac:dyDescent="0.3">
      <c r="A263" s="17"/>
      <c r="B263"/>
      <c r="C263"/>
      <c r="D263"/>
      <c r="E263"/>
      <c r="F263" s="121">
        <v>43818</v>
      </c>
      <c r="G263" s="53">
        <v>304.41366599999998</v>
      </c>
      <c r="H263" s="53">
        <v>89.908783</v>
      </c>
      <c r="I263" s="122">
        <f t="shared" si="6"/>
        <v>4.0990304747494655E-3</v>
      </c>
      <c r="J263" s="122">
        <f t="shared" si="7"/>
        <v>1.0922261573553804E-4</v>
      </c>
      <c r="K263"/>
      <c r="L263"/>
      <c r="M263" s="27"/>
      <c r="N263" s="27"/>
      <c r="O263" s="27"/>
      <c r="Y263"/>
    </row>
    <row r="264" spans="1:25" s="15" customFormat="1" x14ac:dyDescent="0.3">
      <c r="A264" s="17"/>
      <c r="B264"/>
      <c r="C264"/>
      <c r="D264"/>
      <c r="E264"/>
      <c r="F264" s="121">
        <v>43819</v>
      </c>
      <c r="G264" s="53">
        <v>305.74826000000002</v>
      </c>
      <c r="H264" s="53">
        <v>89.913703999999996</v>
      </c>
      <c r="I264" s="122">
        <f t="shared" si="6"/>
        <v>4.384146144083001E-3</v>
      </c>
      <c r="J264" s="122">
        <f t="shared" si="7"/>
        <v>5.4733251144023498E-5</v>
      </c>
      <c r="K264"/>
      <c r="L264"/>
      <c r="M264" s="27"/>
      <c r="N264" s="27"/>
      <c r="O264" s="27"/>
      <c r="Y264"/>
    </row>
    <row r="265" spans="1:25" s="15" customFormat="1" x14ac:dyDescent="0.3">
      <c r="A265" s="17"/>
      <c r="B265"/>
      <c r="C265"/>
      <c r="D265"/>
      <c r="E265"/>
      <c r="F265" s="121">
        <v>43822</v>
      </c>
      <c r="G265" s="53">
        <v>306.21542399999998</v>
      </c>
      <c r="H265" s="53">
        <v>89.913703999999996</v>
      </c>
      <c r="I265" s="122">
        <f t="shared" si="6"/>
        <v>1.5279367411606959E-3</v>
      </c>
      <c r="J265" s="122">
        <f t="shared" si="7"/>
        <v>0</v>
      </c>
      <c r="K265"/>
      <c r="L265"/>
      <c r="M265" s="27"/>
      <c r="N265" s="27"/>
      <c r="O265" s="27"/>
      <c r="Y265"/>
    </row>
    <row r="266" spans="1:25" s="15" customFormat="1" x14ac:dyDescent="0.3">
      <c r="A266" s="17"/>
      <c r="B266"/>
      <c r="C266"/>
      <c r="D266"/>
      <c r="E266"/>
      <c r="F266" s="121">
        <v>43823</v>
      </c>
      <c r="G266" s="53">
        <v>306.22500600000001</v>
      </c>
      <c r="H266" s="53">
        <v>89.923546000000002</v>
      </c>
      <c r="I266" s="122">
        <f t="shared" si="6"/>
        <v>3.1291696136248603E-5</v>
      </c>
      <c r="J266" s="122">
        <f t="shared" si="7"/>
        <v>1.0946051115867661E-4</v>
      </c>
      <c r="K266"/>
      <c r="L266"/>
      <c r="M266" s="27"/>
      <c r="N266" s="27"/>
      <c r="O266" s="27"/>
      <c r="Y266"/>
    </row>
    <row r="267" spans="1:25" s="15" customFormat="1" x14ac:dyDescent="0.3">
      <c r="A267" s="17"/>
      <c r="B267"/>
      <c r="C267"/>
      <c r="D267"/>
      <c r="E267"/>
      <c r="F267" s="121">
        <v>43825</v>
      </c>
      <c r="G267" s="53">
        <v>307.85504200000003</v>
      </c>
      <c r="H267" s="53">
        <v>89.93338</v>
      </c>
      <c r="I267" s="122">
        <f t="shared" si="6"/>
        <v>5.3230009570153225E-3</v>
      </c>
      <c r="J267" s="122">
        <f t="shared" si="7"/>
        <v>1.0935956640323319E-4</v>
      </c>
      <c r="K267"/>
      <c r="L267"/>
      <c r="M267" s="27"/>
      <c r="N267" s="27"/>
      <c r="O267" s="27"/>
      <c r="Y267"/>
    </row>
    <row r="268" spans="1:25" s="15" customFormat="1" x14ac:dyDescent="0.3">
      <c r="A268" s="17"/>
      <c r="B268"/>
      <c r="C268"/>
      <c r="D268"/>
      <c r="E268"/>
      <c r="F268" s="121">
        <v>43826</v>
      </c>
      <c r="G268" s="53">
        <v>307.77877799999999</v>
      </c>
      <c r="H268" s="53">
        <v>89.923546000000002</v>
      </c>
      <c r="I268" s="122">
        <f t="shared" si="6"/>
        <v>-2.477269805444271E-4</v>
      </c>
      <c r="J268" s="122">
        <f t="shared" si="7"/>
        <v>-1.0934760819614198E-4</v>
      </c>
      <c r="K268"/>
      <c r="L268"/>
      <c r="M268" s="27"/>
      <c r="N268" s="27"/>
      <c r="O268" s="27"/>
      <c r="Y268"/>
    </row>
    <row r="269" spans="1:25" s="15" customFormat="1" x14ac:dyDescent="0.3">
      <c r="A269" s="17"/>
      <c r="B269"/>
      <c r="C269"/>
      <c r="D269"/>
      <c r="E269"/>
      <c r="F269" s="121">
        <v>43829</v>
      </c>
      <c r="G269" s="53">
        <v>306.08193999999997</v>
      </c>
      <c r="H269" s="53">
        <v>89.93338</v>
      </c>
      <c r="I269" s="122">
        <f t="shared" si="6"/>
        <v>-5.5131741409409907E-3</v>
      </c>
      <c r="J269" s="122">
        <f t="shared" si="7"/>
        <v>1.0935956640323319E-4</v>
      </c>
      <c r="K269"/>
      <c r="L269"/>
      <c r="M269" s="27"/>
      <c r="N269" s="27"/>
      <c r="O269" s="27"/>
      <c r="Y269"/>
    </row>
    <row r="270" spans="1:25" s="15" customFormat="1" x14ac:dyDescent="0.3">
      <c r="A270" s="17"/>
      <c r="B270"/>
      <c r="C270"/>
      <c r="D270"/>
      <c r="E270"/>
      <c r="F270" s="121">
        <v>43830</v>
      </c>
      <c r="G270" s="53">
        <v>306.82549999999998</v>
      </c>
      <c r="H270" s="53">
        <v>89.93338</v>
      </c>
      <c r="I270" s="122">
        <f t="shared" si="6"/>
        <v>2.429284132216436E-3</v>
      </c>
      <c r="J270" s="122">
        <f t="shared" si="7"/>
        <v>0</v>
      </c>
      <c r="K270"/>
      <c r="L270"/>
      <c r="M270" s="27"/>
      <c r="N270" s="27"/>
      <c r="O270" s="27"/>
      <c r="Y270"/>
    </row>
    <row r="271" spans="1:25" s="15" customFormat="1" x14ac:dyDescent="0.3">
      <c r="A271" s="17"/>
      <c r="B271"/>
      <c r="C271"/>
      <c r="D271"/>
      <c r="E271"/>
      <c r="F271" s="121">
        <v>43832</v>
      </c>
      <c r="G271" s="53">
        <v>309.69491599999998</v>
      </c>
      <c r="H271" s="53">
        <v>89.962897999999996</v>
      </c>
      <c r="I271" s="122">
        <f t="shared" si="6"/>
        <v>9.3519476053978146E-3</v>
      </c>
      <c r="J271" s="122">
        <f t="shared" si="7"/>
        <v>3.2822073405891494E-4</v>
      </c>
      <c r="K271"/>
      <c r="L271"/>
      <c r="M271" s="27"/>
      <c r="N271" s="27"/>
      <c r="O271" s="27"/>
      <c r="Y271"/>
    </row>
    <row r="272" spans="1:25" s="15" customFormat="1" x14ac:dyDescent="0.3">
      <c r="A272" s="17"/>
      <c r="B272"/>
      <c r="C272"/>
      <c r="D272"/>
      <c r="E272"/>
      <c r="F272" s="121">
        <v>43833</v>
      </c>
      <c r="G272" s="53">
        <v>307.34979199999998</v>
      </c>
      <c r="H272" s="53">
        <v>89.962897999999996</v>
      </c>
      <c r="I272" s="122">
        <f t="shared" si="6"/>
        <v>-7.5723684143397252E-3</v>
      </c>
      <c r="J272" s="122">
        <f t="shared" si="7"/>
        <v>0</v>
      </c>
      <c r="K272"/>
      <c r="L272"/>
      <c r="M272" s="27"/>
      <c r="N272" s="27"/>
      <c r="O272" s="27"/>
      <c r="Y272"/>
    </row>
    <row r="273" spans="1:25" s="15" customFormat="1" x14ac:dyDescent="0.3">
      <c r="A273" s="17"/>
      <c r="B273"/>
      <c r="C273"/>
      <c r="D273"/>
      <c r="E273"/>
      <c r="F273" s="121">
        <v>43836</v>
      </c>
      <c r="G273" s="53">
        <v>308.52236900000003</v>
      </c>
      <c r="H273" s="53">
        <v>89.953040999999999</v>
      </c>
      <c r="I273" s="122">
        <f t="shared" si="6"/>
        <v>3.8151221524171941E-3</v>
      </c>
      <c r="J273" s="122">
        <f t="shared" si="7"/>
        <v>-1.095673907702821E-4</v>
      </c>
      <c r="K273"/>
      <c r="L273"/>
      <c r="M273" s="27"/>
      <c r="N273" s="27"/>
      <c r="O273" s="27"/>
      <c r="Y273"/>
    </row>
    <row r="274" spans="1:25" s="15" customFormat="1" x14ac:dyDescent="0.3">
      <c r="A274" s="17"/>
      <c r="B274"/>
      <c r="C274"/>
      <c r="D274"/>
      <c r="E274"/>
      <c r="F274" s="121">
        <v>43837</v>
      </c>
      <c r="G274" s="53">
        <v>307.65490699999998</v>
      </c>
      <c r="H274" s="53">
        <v>89.953040999999999</v>
      </c>
      <c r="I274" s="122">
        <f t="shared" si="6"/>
        <v>-2.8116664694741722E-3</v>
      </c>
      <c r="J274" s="122">
        <f t="shared" si="7"/>
        <v>0</v>
      </c>
      <c r="K274"/>
      <c r="L274"/>
      <c r="M274" s="27"/>
      <c r="N274" s="27"/>
      <c r="O274" s="27"/>
      <c r="Y274"/>
    </row>
    <row r="275" spans="1:25" s="15" customFormat="1" x14ac:dyDescent="0.3">
      <c r="A275" s="17"/>
      <c r="B275"/>
      <c r="C275"/>
      <c r="D275"/>
      <c r="E275"/>
      <c r="F275" s="121">
        <v>43838</v>
      </c>
      <c r="G275" s="53">
        <v>309.29452500000002</v>
      </c>
      <c r="H275" s="53">
        <v>89.972740000000002</v>
      </c>
      <c r="I275" s="122">
        <f t="shared" si="6"/>
        <v>5.3294063013271664E-3</v>
      </c>
      <c r="J275" s="122">
        <f t="shared" si="7"/>
        <v>2.1899204052489019E-4</v>
      </c>
      <c r="K275"/>
      <c r="L275"/>
      <c r="M275" s="27"/>
      <c r="N275" s="27"/>
      <c r="O275" s="27"/>
      <c r="Y275"/>
    </row>
    <row r="276" spans="1:25" s="15" customFormat="1" x14ac:dyDescent="0.3">
      <c r="A276" s="17"/>
      <c r="B276"/>
      <c r="C276"/>
      <c r="D276"/>
      <c r="E276"/>
      <c r="F276" s="121">
        <v>43839</v>
      </c>
      <c r="G276" s="53">
        <v>311.39172400000001</v>
      </c>
      <c r="H276" s="53">
        <v>89.982567000000003</v>
      </c>
      <c r="I276" s="122">
        <f t="shared" ref="I276:I341" si="8">G276/G275-1</f>
        <v>6.7805888254892643E-3</v>
      </c>
      <c r="J276" s="122">
        <f t="shared" ref="J276:J341" si="9">H276/H275-1</f>
        <v>1.092219710103759E-4</v>
      </c>
      <c r="K276"/>
      <c r="L276"/>
      <c r="M276" s="27"/>
      <c r="N276" s="27"/>
      <c r="O276" s="27"/>
      <c r="Y276"/>
    </row>
    <row r="277" spans="1:25" s="15" customFormat="1" x14ac:dyDescent="0.3">
      <c r="A277" s="17"/>
      <c r="B277"/>
      <c r="C277"/>
      <c r="D277"/>
      <c r="E277"/>
      <c r="F277" s="121">
        <v>43840</v>
      </c>
      <c r="G277" s="53">
        <v>310.49566700000003</v>
      </c>
      <c r="H277" s="53">
        <v>89.982567000000003</v>
      </c>
      <c r="I277" s="122">
        <f t="shared" si="8"/>
        <v>-2.8775877164930463E-3</v>
      </c>
      <c r="J277" s="122">
        <f t="shared" si="9"/>
        <v>0</v>
      </c>
      <c r="K277"/>
      <c r="L277"/>
      <c r="M277" s="27"/>
      <c r="N277" s="27"/>
      <c r="O277" s="27"/>
      <c r="Y277"/>
    </row>
    <row r="278" spans="1:25" s="15" customFormat="1" x14ac:dyDescent="0.3">
      <c r="A278" s="17"/>
      <c r="B278"/>
      <c r="C278"/>
      <c r="D278"/>
      <c r="E278"/>
      <c r="F278" s="121">
        <v>43843</v>
      </c>
      <c r="G278" s="53">
        <v>312.63104199999998</v>
      </c>
      <c r="H278" s="53">
        <v>89.982567000000003</v>
      </c>
      <c r="I278" s="122">
        <f t="shared" si="8"/>
        <v>6.8773101429462358E-3</v>
      </c>
      <c r="J278" s="122">
        <f t="shared" si="9"/>
        <v>0</v>
      </c>
      <c r="K278"/>
      <c r="L278"/>
      <c r="M278" s="27"/>
      <c r="N278" s="27"/>
      <c r="O278" s="27"/>
      <c r="Y278"/>
    </row>
    <row r="279" spans="1:25" s="15" customFormat="1" x14ac:dyDescent="0.3">
      <c r="A279" s="17"/>
      <c r="B279"/>
      <c r="C279"/>
      <c r="D279"/>
      <c r="E279"/>
      <c r="F279" s="121">
        <v>43844</v>
      </c>
      <c r="G279" s="53">
        <v>312.15441900000002</v>
      </c>
      <c r="H279" s="53">
        <v>89.982567000000003</v>
      </c>
      <c r="I279" s="122">
        <f t="shared" si="8"/>
        <v>-1.5245543019364316E-3</v>
      </c>
      <c r="J279" s="122">
        <f t="shared" si="9"/>
        <v>0</v>
      </c>
      <c r="K279"/>
      <c r="L279"/>
      <c r="M279" s="27"/>
      <c r="N279" s="27"/>
      <c r="O279" s="27"/>
      <c r="Y279"/>
    </row>
    <row r="280" spans="1:25" s="15" customFormat="1" x14ac:dyDescent="0.3">
      <c r="A280" s="17"/>
      <c r="B280"/>
      <c r="C280"/>
      <c r="D280"/>
      <c r="E280"/>
      <c r="F280" s="121">
        <v>43845</v>
      </c>
      <c r="G280" s="53">
        <v>312.85983299999998</v>
      </c>
      <c r="H280" s="53">
        <v>89.992401000000001</v>
      </c>
      <c r="I280" s="122">
        <f t="shared" si="8"/>
        <v>2.2598238469915266E-3</v>
      </c>
      <c r="J280" s="122">
        <f t="shared" si="9"/>
        <v>1.0928783572050627E-4</v>
      </c>
      <c r="K280"/>
      <c r="L280"/>
      <c r="M280" s="27"/>
      <c r="N280" s="27"/>
      <c r="O280" s="27"/>
      <c r="Y280"/>
    </row>
    <row r="281" spans="1:25" s="15" customFormat="1" x14ac:dyDescent="0.3">
      <c r="A281" s="17"/>
      <c r="B281"/>
      <c r="C281"/>
      <c r="D281"/>
      <c r="E281"/>
      <c r="F281" s="121">
        <v>43846</v>
      </c>
      <c r="G281" s="53">
        <v>315.462311</v>
      </c>
      <c r="H281" s="53">
        <v>90.012084999999999</v>
      </c>
      <c r="I281" s="122">
        <f t="shared" si="8"/>
        <v>8.3183513046241053E-3</v>
      </c>
      <c r="J281" s="122">
        <f t="shared" si="9"/>
        <v>2.1872957917845604E-4</v>
      </c>
      <c r="K281"/>
      <c r="L281"/>
      <c r="M281" s="27"/>
      <c r="N281" s="27"/>
      <c r="O281" s="27"/>
      <c r="Y281"/>
    </row>
    <row r="282" spans="1:25" s="15" customFormat="1" x14ac:dyDescent="0.3">
      <c r="A282" s="17"/>
      <c r="B282"/>
      <c r="C282"/>
      <c r="D282"/>
      <c r="E282"/>
      <c r="F282" s="121">
        <v>43847</v>
      </c>
      <c r="G282" s="53">
        <v>316.44421399999999</v>
      </c>
      <c r="H282" s="53">
        <v>90.002228000000002</v>
      </c>
      <c r="I282" s="122">
        <f t="shared" si="8"/>
        <v>3.1125841844226176E-3</v>
      </c>
      <c r="J282" s="122">
        <f t="shared" si="9"/>
        <v>-1.0950751779603696E-4</v>
      </c>
      <c r="K282"/>
      <c r="L282"/>
      <c r="M282" s="27"/>
      <c r="N282" s="27"/>
      <c r="O282" s="27"/>
      <c r="Y282"/>
    </row>
    <row r="283" spans="1:25" s="15" customFormat="1" x14ac:dyDescent="0.3">
      <c r="A283" s="17"/>
      <c r="B283"/>
      <c r="C283"/>
      <c r="D283"/>
      <c r="E283"/>
      <c r="F283" s="121">
        <v>43851</v>
      </c>
      <c r="G283" s="53">
        <v>315.824524</v>
      </c>
      <c r="H283" s="53">
        <v>90.012084999999999</v>
      </c>
      <c r="I283" s="122">
        <f t="shared" si="8"/>
        <v>-1.9582914541771412E-3</v>
      </c>
      <c r="J283" s="122">
        <f t="shared" si="9"/>
        <v>1.0951951100590662E-4</v>
      </c>
      <c r="K283"/>
      <c r="L283"/>
      <c r="M283" s="27"/>
      <c r="N283" s="27"/>
      <c r="O283" s="27"/>
      <c r="Y283"/>
    </row>
    <row r="284" spans="1:25" s="15" customFormat="1" x14ac:dyDescent="0.3">
      <c r="A284" s="17"/>
      <c r="B284"/>
      <c r="C284"/>
      <c r="D284"/>
      <c r="E284"/>
      <c r="F284" s="121">
        <v>43852</v>
      </c>
      <c r="G284" s="53">
        <v>315.86270100000002</v>
      </c>
      <c r="H284" s="53">
        <v>90.012084999999999</v>
      </c>
      <c r="I284" s="122">
        <f t="shared" si="8"/>
        <v>1.2088041649360726E-4</v>
      </c>
      <c r="J284" s="122">
        <f t="shared" si="9"/>
        <v>0</v>
      </c>
      <c r="K284"/>
      <c r="L284"/>
      <c r="M284" s="27"/>
      <c r="N284" s="27"/>
      <c r="O284" s="27"/>
      <c r="Y284"/>
    </row>
    <row r="285" spans="1:25" s="15" customFormat="1" x14ac:dyDescent="0.3">
      <c r="A285" s="17"/>
      <c r="B285"/>
      <c r="C285"/>
      <c r="D285"/>
      <c r="E285"/>
      <c r="F285" s="121">
        <v>43853</v>
      </c>
      <c r="G285" s="53">
        <v>316.22494499999999</v>
      </c>
      <c r="H285" s="53">
        <v>90.021904000000006</v>
      </c>
      <c r="I285" s="122">
        <f t="shared" si="8"/>
        <v>1.1468400632714815E-3</v>
      </c>
      <c r="J285" s="122">
        <f t="shared" si="9"/>
        <v>1.0908535226139549E-4</v>
      </c>
      <c r="K285"/>
      <c r="L285"/>
      <c r="M285" s="27"/>
      <c r="N285" s="27"/>
      <c r="O285" s="27"/>
      <c r="Y285"/>
    </row>
    <row r="286" spans="1:25" s="15" customFormat="1" x14ac:dyDescent="0.3">
      <c r="A286" s="17"/>
      <c r="B286"/>
      <c r="C286"/>
      <c r="D286"/>
      <c r="E286"/>
      <c r="F286" s="121">
        <v>43854</v>
      </c>
      <c r="G286" s="53">
        <v>313.41275000000002</v>
      </c>
      <c r="H286" s="53">
        <v>90.021904000000006</v>
      </c>
      <c r="I286" s="122">
        <f t="shared" si="8"/>
        <v>-8.893020757739345E-3</v>
      </c>
      <c r="J286" s="122">
        <f t="shared" si="9"/>
        <v>0</v>
      </c>
      <c r="K286"/>
      <c r="L286"/>
      <c r="M286" s="27"/>
      <c r="N286" s="27"/>
      <c r="O286" s="27"/>
      <c r="Y286"/>
    </row>
    <row r="287" spans="1:25" s="15" customFormat="1" x14ac:dyDescent="0.3">
      <c r="A287" s="17"/>
      <c r="B287"/>
      <c r="C287"/>
      <c r="D287"/>
      <c r="E287"/>
      <c r="F287" s="121">
        <v>43857</v>
      </c>
      <c r="G287" s="53">
        <v>308.38891599999999</v>
      </c>
      <c r="H287" s="53">
        <v>90.031745999999998</v>
      </c>
      <c r="I287" s="122">
        <f t="shared" si="8"/>
        <v>-1.6029449982491228E-2</v>
      </c>
      <c r="J287" s="122">
        <f t="shared" si="9"/>
        <v>1.0932894731929821E-4</v>
      </c>
      <c r="K287"/>
      <c r="L287"/>
      <c r="M287" s="27"/>
      <c r="N287" s="27"/>
      <c r="O287" s="27"/>
      <c r="Y287"/>
    </row>
    <row r="288" spans="1:25" s="15" customFormat="1" x14ac:dyDescent="0.3">
      <c r="A288" s="17"/>
      <c r="B288"/>
      <c r="C288"/>
      <c r="D288"/>
      <c r="E288"/>
      <c r="F288" s="121">
        <v>43858</v>
      </c>
      <c r="G288" s="53">
        <v>311.62057499999997</v>
      </c>
      <c r="H288" s="53">
        <v>90.031745999999998</v>
      </c>
      <c r="I288" s="122">
        <f t="shared" si="8"/>
        <v>1.0479167156578262E-2</v>
      </c>
      <c r="J288" s="122">
        <f t="shared" si="9"/>
        <v>0</v>
      </c>
      <c r="K288"/>
      <c r="L288"/>
      <c r="M288" s="27"/>
      <c r="N288" s="27"/>
      <c r="O288" s="27"/>
      <c r="Y288"/>
    </row>
    <row r="289" spans="1:25" s="15" customFormat="1" x14ac:dyDescent="0.3">
      <c r="A289" s="17"/>
      <c r="B289"/>
      <c r="C289"/>
      <c r="D289"/>
      <c r="E289"/>
      <c r="F289" s="121">
        <v>43859</v>
      </c>
      <c r="G289" s="53">
        <v>311.363159</v>
      </c>
      <c r="H289" s="53">
        <v>90.041579999999996</v>
      </c>
      <c r="I289" s="122">
        <f t="shared" si="8"/>
        <v>-8.2605585334016851E-4</v>
      </c>
      <c r="J289" s="122">
        <f t="shared" si="9"/>
        <v>1.0922813826130806E-4</v>
      </c>
      <c r="K289"/>
      <c r="L289"/>
      <c r="M289" s="27"/>
      <c r="N289" s="27"/>
      <c r="O289" s="27"/>
      <c r="Y289"/>
    </row>
    <row r="290" spans="1:25" s="15" customFormat="1" x14ac:dyDescent="0.3">
      <c r="A290" s="17"/>
      <c r="B290"/>
      <c r="C290"/>
      <c r="D290"/>
      <c r="E290"/>
      <c r="F290" s="121">
        <v>43860</v>
      </c>
      <c r="G290" s="53">
        <v>312.373627</v>
      </c>
      <c r="H290" s="53">
        <v>90.041579999999996</v>
      </c>
      <c r="I290" s="122">
        <f t="shared" si="8"/>
        <v>3.2453036616320041E-3</v>
      </c>
      <c r="J290" s="122">
        <f t="shared" si="9"/>
        <v>0</v>
      </c>
      <c r="K290"/>
      <c r="L290"/>
      <c r="M290" s="27"/>
      <c r="N290" s="27"/>
      <c r="O290" s="27"/>
      <c r="Y290"/>
    </row>
    <row r="291" spans="1:25" s="15" customFormat="1" x14ac:dyDescent="0.3">
      <c r="A291" s="17"/>
      <c r="B291"/>
      <c r="C291"/>
      <c r="D291"/>
      <c r="E291"/>
      <c r="F291" s="121">
        <v>43861</v>
      </c>
      <c r="G291" s="53">
        <v>306.70163000000002</v>
      </c>
      <c r="H291" s="53">
        <v>90.041579999999996</v>
      </c>
      <c r="I291" s="122">
        <f t="shared" si="8"/>
        <v>-1.8157733271125243E-2</v>
      </c>
      <c r="J291" s="122">
        <f t="shared" si="9"/>
        <v>0</v>
      </c>
      <c r="K291"/>
      <c r="L291"/>
      <c r="M291" s="27"/>
      <c r="N291" s="27"/>
      <c r="O291" s="27"/>
      <c r="Y291"/>
    </row>
    <row r="292" spans="1:25" s="15" customFormat="1" x14ac:dyDescent="0.3">
      <c r="A292" s="17"/>
      <c r="B292"/>
      <c r="C292"/>
      <c r="D292"/>
      <c r="E292"/>
      <c r="F292" s="121">
        <v>43864</v>
      </c>
      <c r="G292" s="53">
        <v>308.979919</v>
      </c>
      <c r="H292" s="53">
        <v>90.049476999999996</v>
      </c>
      <c r="I292" s="122">
        <f t="shared" si="8"/>
        <v>7.4283563475028291E-3</v>
      </c>
      <c r="J292" s="122">
        <f t="shared" si="9"/>
        <v>8.7703925230941948E-5</v>
      </c>
      <c r="K292"/>
      <c r="L292"/>
      <c r="M292" s="27"/>
      <c r="N292" s="27"/>
      <c r="O292" s="27"/>
      <c r="Y292"/>
    </row>
    <row r="293" spans="1:25" s="15" customFormat="1" x14ac:dyDescent="0.3">
      <c r="A293" s="17"/>
      <c r="B293"/>
      <c r="C293"/>
      <c r="D293"/>
      <c r="E293"/>
      <c r="F293" s="121">
        <v>43865</v>
      </c>
      <c r="G293" s="53">
        <v>313.68920900000001</v>
      </c>
      <c r="H293" s="53">
        <v>90.049476999999996</v>
      </c>
      <c r="I293" s="122">
        <f t="shared" si="8"/>
        <v>1.5241411206402766E-2</v>
      </c>
      <c r="J293" s="122">
        <f t="shared" si="9"/>
        <v>0</v>
      </c>
      <c r="K293"/>
      <c r="L293"/>
      <c r="M293" s="27"/>
      <c r="N293" s="27"/>
      <c r="O293" s="27"/>
      <c r="Y293"/>
    </row>
    <row r="294" spans="1:25" s="15" customFormat="1" x14ac:dyDescent="0.3">
      <c r="A294" s="17"/>
      <c r="B294"/>
      <c r="C294"/>
      <c r="D294"/>
      <c r="E294"/>
      <c r="F294" s="121">
        <v>43866</v>
      </c>
      <c r="G294" s="53">
        <v>317.31167599999998</v>
      </c>
      <c r="H294" s="53">
        <v>90.069159999999997</v>
      </c>
      <c r="I294" s="122">
        <f t="shared" si="8"/>
        <v>1.1547949040223271E-2</v>
      </c>
      <c r="J294" s="122">
        <f t="shared" si="9"/>
        <v>2.1857983694895111E-4</v>
      </c>
      <c r="K294"/>
      <c r="L294"/>
      <c r="M294" s="27"/>
      <c r="N294" s="27"/>
      <c r="O294" s="27"/>
      <c r="Y294"/>
    </row>
    <row r="295" spans="1:25" s="15" customFormat="1" x14ac:dyDescent="0.3">
      <c r="A295" s="17"/>
      <c r="B295"/>
      <c r="C295"/>
      <c r="D295"/>
      <c r="E295"/>
      <c r="F295" s="121">
        <v>43867</v>
      </c>
      <c r="G295" s="53">
        <v>318.37933299999997</v>
      </c>
      <c r="H295" s="53">
        <v>90.079018000000005</v>
      </c>
      <c r="I295" s="122">
        <f t="shared" si="8"/>
        <v>3.3646949694974282E-3</v>
      </c>
      <c r="J295" s="122">
        <f t="shared" si="9"/>
        <v>1.0944922768252319E-4</v>
      </c>
      <c r="K295"/>
      <c r="L295"/>
      <c r="M295" s="27"/>
      <c r="N295" s="27"/>
      <c r="O295" s="27"/>
      <c r="Y295"/>
    </row>
    <row r="296" spans="1:25" s="15" customFormat="1" x14ac:dyDescent="0.3">
      <c r="A296" s="17"/>
      <c r="B296"/>
      <c r="C296"/>
      <c r="D296"/>
      <c r="E296"/>
      <c r="F296" s="121">
        <v>43868</v>
      </c>
      <c r="G296" s="53">
        <v>316.68255599999998</v>
      </c>
      <c r="H296" s="53">
        <v>90.079018000000005</v>
      </c>
      <c r="I296" s="122">
        <f t="shared" si="8"/>
        <v>-5.3294194193188593E-3</v>
      </c>
      <c r="J296" s="122">
        <f t="shared" si="9"/>
        <v>0</v>
      </c>
      <c r="K296"/>
      <c r="L296"/>
      <c r="M296" s="27"/>
      <c r="N296" s="27"/>
      <c r="O296" s="27"/>
      <c r="Y296"/>
    </row>
    <row r="297" spans="1:25" s="15" customFormat="1" x14ac:dyDescent="0.3">
      <c r="A297" s="17"/>
      <c r="B297"/>
      <c r="C297"/>
      <c r="D297"/>
      <c r="E297"/>
      <c r="F297" s="121">
        <v>43871</v>
      </c>
      <c r="G297" s="53">
        <v>319.04669200000001</v>
      </c>
      <c r="H297" s="53">
        <v>90.069159999999997</v>
      </c>
      <c r="I297" s="122">
        <f t="shared" si="8"/>
        <v>7.4653180454942181E-3</v>
      </c>
      <c r="J297" s="122">
        <f t="shared" si="9"/>
        <v>-1.0943724986001158E-4</v>
      </c>
      <c r="K297"/>
      <c r="L297"/>
      <c r="M297" s="27"/>
      <c r="N297" s="27"/>
      <c r="O297" s="27"/>
      <c r="Y297"/>
    </row>
    <row r="298" spans="1:25" s="15" customFormat="1" x14ac:dyDescent="0.3">
      <c r="A298" s="17"/>
      <c r="B298"/>
      <c r="C298"/>
      <c r="D298"/>
      <c r="E298"/>
      <c r="F298" s="121">
        <v>43872</v>
      </c>
      <c r="G298" s="53">
        <v>319.59957900000001</v>
      </c>
      <c r="H298" s="53">
        <v>90.079018000000005</v>
      </c>
      <c r="I298" s="122">
        <f t="shared" si="8"/>
        <v>1.7329344383234524E-3</v>
      </c>
      <c r="J298" s="122">
        <f t="shared" si="9"/>
        <v>1.0944922768252319E-4</v>
      </c>
      <c r="K298"/>
      <c r="L298"/>
      <c r="M298" s="27"/>
      <c r="N298" s="27"/>
      <c r="O298" s="27"/>
      <c r="Y298"/>
    </row>
    <row r="299" spans="1:25" s="15" customFormat="1" x14ac:dyDescent="0.3">
      <c r="A299" s="17"/>
      <c r="B299"/>
      <c r="C299"/>
      <c r="D299"/>
      <c r="E299"/>
      <c r="F299" s="121">
        <v>43873</v>
      </c>
      <c r="G299" s="53">
        <v>321.65872200000001</v>
      </c>
      <c r="H299" s="53">
        <v>90.088866999999993</v>
      </c>
      <c r="I299" s="122">
        <f t="shared" si="8"/>
        <v>6.442883956364609E-3</v>
      </c>
      <c r="J299" s="122">
        <f t="shared" si="9"/>
        <v>1.0933733758045072E-4</v>
      </c>
      <c r="K299"/>
      <c r="L299"/>
      <c r="M299" s="27"/>
      <c r="N299" s="27"/>
      <c r="O299" s="27"/>
      <c r="Y299"/>
    </row>
    <row r="300" spans="1:25" s="15" customFormat="1" x14ac:dyDescent="0.3">
      <c r="A300" s="17"/>
      <c r="B300"/>
      <c r="C300"/>
      <c r="D300"/>
      <c r="E300"/>
      <c r="F300" s="121">
        <v>43874</v>
      </c>
      <c r="G300" s="53">
        <v>321.31549100000001</v>
      </c>
      <c r="H300" s="53">
        <v>90.098708999999999</v>
      </c>
      <c r="I300" s="122">
        <f t="shared" si="8"/>
        <v>-1.067065733103334E-3</v>
      </c>
      <c r="J300" s="122">
        <f t="shared" si="9"/>
        <v>1.0924768317943645E-4</v>
      </c>
      <c r="K300"/>
      <c r="L300"/>
      <c r="M300" s="27"/>
      <c r="N300" s="27"/>
      <c r="O300" s="27"/>
      <c r="Y300"/>
    </row>
    <row r="301" spans="1:25" s="15" customFormat="1" x14ac:dyDescent="0.3">
      <c r="A301" s="17"/>
      <c r="B301"/>
      <c r="C301"/>
      <c r="D301"/>
      <c r="E301"/>
      <c r="F301" s="121">
        <v>43875</v>
      </c>
      <c r="G301" s="53">
        <v>321.83023100000003</v>
      </c>
      <c r="H301" s="53">
        <v>90.098708999999999</v>
      </c>
      <c r="I301" s="122">
        <f t="shared" si="8"/>
        <v>1.6019769180690702E-3</v>
      </c>
      <c r="J301" s="122">
        <f t="shared" si="9"/>
        <v>0</v>
      </c>
      <c r="K301"/>
      <c r="L301"/>
      <c r="M301" s="27"/>
      <c r="N301" s="27"/>
      <c r="O301" s="27"/>
      <c r="Y301"/>
    </row>
    <row r="302" spans="1:25" s="15" customFormat="1" x14ac:dyDescent="0.3">
      <c r="A302" s="17"/>
      <c r="B302"/>
      <c r="C302"/>
      <c r="D302"/>
      <c r="E302"/>
      <c r="F302" s="121">
        <v>43879</v>
      </c>
      <c r="G302" s="53">
        <v>321.00088499999998</v>
      </c>
      <c r="H302" s="53">
        <v>90.108542999999997</v>
      </c>
      <c r="I302" s="122">
        <f t="shared" si="8"/>
        <v>-2.5769673576750973E-3</v>
      </c>
      <c r="J302" s="122">
        <f t="shared" si="9"/>
        <v>1.0914695792152429E-4</v>
      </c>
      <c r="K302"/>
      <c r="L302"/>
      <c r="M302" s="27"/>
      <c r="N302" s="27"/>
      <c r="O302" s="27"/>
      <c r="Y302"/>
    </row>
    <row r="303" spans="1:25" s="15" customFormat="1" x14ac:dyDescent="0.3">
      <c r="A303" s="17"/>
      <c r="B303"/>
      <c r="C303"/>
      <c r="D303"/>
      <c r="E303"/>
      <c r="F303" s="121">
        <v>43880</v>
      </c>
      <c r="G303" s="53">
        <v>322.535706</v>
      </c>
      <c r="H303" s="53">
        <v>90.108542999999997</v>
      </c>
      <c r="I303" s="122">
        <f t="shared" si="8"/>
        <v>4.7813606495197281E-3</v>
      </c>
      <c r="J303" s="122">
        <f t="shared" si="9"/>
        <v>0</v>
      </c>
      <c r="K303"/>
      <c r="L303"/>
      <c r="M303" s="27"/>
      <c r="N303" s="27"/>
      <c r="O303" s="27"/>
      <c r="Y303"/>
    </row>
    <row r="304" spans="1:25" s="15" customFormat="1" x14ac:dyDescent="0.3">
      <c r="A304" s="17"/>
      <c r="B304"/>
      <c r="C304"/>
      <c r="D304"/>
      <c r="E304"/>
      <c r="F304" s="121">
        <v>43881</v>
      </c>
      <c r="G304" s="53">
        <v>321.21066300000001</v>
      </c>
      <c r="H304" s="53">
        <v>90.108542999999997</v>
      </c>
      <c r="I304" s="122">
        <f t="shared" si="8"/>
        <v>-4.1082056198763484E-3</v>
      </c>
      <c r="J304" s="122">
        <f t="shared" si="9"/>
        <v>0</v>
      </c>
      <c r="K304"/>
      <c r="L304"/>
      <c r="M304" s="27"/>
      <c r="N304" s="27"/>
      <c r="O304" s="27"/>
      <c r="Y304"/>
    </row>
    <row r="305" spans="1:25" s="15" customFormat="1" x14ac:dyDescent="0.3">
      <c r="A305" s="17"/>
      <c r="B305"/>
      <c r="C305"/>
      <c r="D305"/>
      <c r="E305"/>
      <c r="F305" s="121">
        <v>43882</v>
      </c>
      <c r="G305" s="53">
        <v>317.90267899999998</v>
      </c>
      <c r="H305" s="53">
        <v>90.128249999999994</v>
      </c>
      <c r="I305" s="122">
        <f t="shared" si="8"/>
        <v>-1.0298487506935738E-2</v>
      </c>
      <c r="J305" s="122">
        <f t="shared" si="9"/>
        <v>2.1870290367465017E-4</v>
      </c>
      <c r="K305"/>
      <c r="L305"/>
      <c r="M305" s="27"/>
      <c r="N305" s="27"/>
      <c r="O305" s="27"/>
      <c r="Y305"/>
    </row>
    <row r="306" spans="1:25" s="15" customFormat="1" x14ac:dyDescent="0.3">
      <c r="A306" s="17"/>
      <c r="B306"/>
      <c r="C306"/>
      <c r="D306"/>
      <c r="E306"/>
      <c r="F306" s="121">
        <v>43885</v>
      </c>
      <c r="G306" s="53">
        <v>307.35934400000002</v>
      </c>
      <c r="H306" s="53">
        <v>90.118401000000006</v>
      </c>
      <c r="I306" s="122">
        <f t="shared" si="8"/>
        <v>-3.316529144442959E-2</v>
      </c>
      <c r="J306" s="122">
        <f t="shared" si="9"/>
        <v>-1.092776127350481E-4</v>
      </c>
      <c r="K306"/>
      <c r="L306"/>
      <c r="M306" s="27"/>
      <c r="N306" s="27"/>
      <c r="O306" s="27"/>
      <c r="Y306"/>
    </row>
    <row r="307" spans="1:25" s="15" customFormat="1" x14ac:dyDescent="0.3">
      <c r="A307" s="17"/>
      <c r="B307"/>
      <c r="C307"/>
      <c r="D307"/>
      <c r="E307"/>
      <c r="F307" s="121">
        <v>43886</v>
      </c>
      <c r="G307" s="53">
        <v>298.04568499999999</v>
      </c>
      <c r="H307" s="53">
        <v>90.118401000000006</v>
      </c>
      <c r="I307" s="122">
        <f t="shared" si="8"/>
        <v>-3.0302182711582137E-2</v>
      </c>
      <c r="J307" s="122">
        <f t="shared" si="9"/>
        <v>0</v>
      </c>
      <c r="K307"/>
      <c r="L307"/>
      <c r="M307" s="27"/>
      <c r="N307" s="27"/>
      <c r="O307" s="27"/>
      <c r="Y307"/>
    </row>
    <row r="308" spans="1:25" x14ac:dyDescent="0.3">
      <c r="F308" s="121">
        <v>43887</v>
      </c>
      <c r="G308" s="53">
        <v>296.94946299999998</v>
      </c>
      <c r="H308" s="53">
        <v>90.138084000000006</v>
      </c>
      <c r="I308" s="122">
        <f t="shared" si="8"/>
        <v>-3.67803345316009E-3</v>
      </c>
      <c r="J308" s="122">
        <f t="shared" si="9"/>
        <v>2.1841266358024747E-4</v>
      </c>
    </row>
    <row r="309" spans="1:25" x14ac:dyDescent="0.3">
      <c r="F309" s="121">
        <v>43888</v>
      </c>
      <c r="G309" s="53">
        <v>283.61294600000002</v>
      </c>
      <c r="H309" s="53">
        <v>90.157791000000003</v>
      </c>
      <c r="I309" s="122">
        <f t="shared" si="8"/>
        <v>-4.49117397460993E-2</v>
      </c>
      <c r="J309" s="122">
        <f t="shared" si="9"/>
        <v>2.1863122806120572E-4</v>
      </c>
    </row>
    <row r="310" spans="1:25" x14ac:dyDescent="0.3">
      <c r="F310" s="121">
        <v>43889</v>
      </c>
      <c r="G310" s="53">
        <v>282.421356</v>
      </c>
      <c r="H310" s="53">
        <v>90.147942</v>
      </c>
      <c r="I310" s="122">
        <f t="shared" si="8"/>
        <v>-4.2014654718900424E-3</v>
      </c>
      <c r="J310" s="122">
        <f t="shared" si="9"/>
        <v>-1.0924180695603969E-4</v>
      </c>
    </row>
    <row r="311" spans="1:25" x14ac:dyDescent="0.3">
      <c r="F311" s="121">
        <v>43892</v>
      </c>
      <c r="G311" s="53">
        <v>294.652039</v>
      </c>
      <c r="H311" s="53">
        <v>90.174567999999994</v>
      </c>
      <c r="I311" s="122">
        <f t="shared" si="8"/>
        <v>4.3306509016265649E-2</v>
      </c>
      <c r="J311" s="122">
        <f t="shared" si="9"/>
        <v>2.953589334295792E-4</v>
      </c>
    </row>
    <row r="312" spans="1:25" x14ac:dyDescent="0.3">
      <c r="F312" s="121">
        <v>43893</v>
      </c>
      <c r="G312" s="53">
        <v>286.21539300000001</v>
      </c>
      <c r="H312" s="53">
        <v>90.194282999999999</v>
      </c>
      <c r="I312" s="122">
        <f t="shared" si="8"/>
        <v>-2.863257294479471E-2</v>
      </c>
      <c r="J312" s="122">
        <f t="shared" si="9"/>
        <v>2.1863148820422396E-4</v>
      </c>
    </row>
    <row r="313" spans="1:25" x14ac:dyDescent="0.3">
      <c r="F313" s="121">
        <v>43894</v>
      </c>
      <c r="G313" s="53">
        <v>298.24594100000002</v>
      </c>
      <c r="H313" s="53">
        <v>90.233704000000003</v>
      </c>
      <c r="I313" s="122">
        <f t="shared" si="8"/>
        <v>4.2033197005585166E-2</v>
      </c>
      <c r="J313" s="122">
        <f t="shared" si="9"/>
        <v>4.370676132543494E-4</v>
      </c>
    </row>
    <row r="314" spans="1:25" x14ac:dyDescent="0.3">
      <c r="F314" s="121">
        <v>43895</v>
      </c>
      <c r="G314" s="53">
        <v>288.33175699999998</v>
      </c>
      <c r="H314" s="53">
        <v>90.253433000000001</v>
      </c>
      <c r="I314" s="122">
        <f t="shared" si="8"/>
        <v>-3.3241639322092342E-2</v>
      </c>
      <c r="J314" s="122">
        <f t="shared" si="9"/>
        <v>2.1864335747534547E-4</v>
      </c>
    </row>
    <row r="315" spans="1:25" x14ac:dyDescent="0.3">
      <c r="F315" s="121">
        <v>43896</v>
      </c>
      <c r="G315" s="53">
        <v>283.56527699999998</v>
      </c>
      <c r="H315" s="53">
        <v>90.253433000000001</v>
      </c>
      <c r="I315" s="122">
        <f t="shared" si="8"/>
        <v>-1.6531234885791668E-2</v>
      </c>
      <c r="J315" s="122">
        <f t="shared" si="9"/>
        <v>0</v>
      </c>
    </row>
    <row r="316" spans="1:25" x14ac:dyDescent="0.3">
      <c r="F316" s="121">
        <v>43899</v>
      </c>
      <c r="G316" s="53">
        <v>261.42044099999998</v>
      </c>
      <c r="H316" s="53">
        <v>90.292846999999995</v>
      </c>
      <c r="I316" s="122">
        <f t="shared" si="8"/>
        <v>-7.809431477042228E-2</v>
      </c>
      <c r="J316" s="122">
        <f t="shared" si="9"/>
        <v>4.3670360993353086E-4</v>
      </c>
    </row>
    <row r="317" spans="1:25" x14ac:dyDescent="0.3">
      <c r="F317" s="121">
        <v>43900</v>
      </c>
      <c r="G317" s="53">
        <v>274.94754</v>
      </c>
      <c r="H317" s="53">
        <v>90.273148000000006</v>
      </c>
      <c r="I317" s="122">
        <f t="shared" si="8"/>
        <v>5.1744610896743204E-2</v>
      </c>
      <c r="J317" s="122">
        <f t="shared" si="9"/>
        <v>-2.1816789097350853E-4</v>
      </c>
    </row>
    <row r="319" spans="1:25" x14ac:dyDescent="0.3">
      <c r="G319" s="1" t="s">
        <v>642</v>
      </c>
      <c r="H319" s="1" t="s">
        <v>643</v>
      </c>
      <c r="I319" s="13" t="s">
        <v>653</v>
      </c>
      <c r="J319" s="13" t="s">
        <v>654</v>
      </c>
    </row>
    <row r="320" spans="1:25" x14ac:dyDescent="0.3">
      <c r="F320" s="121">
        <v>43901</v>
      </c>
      <c r="G320" s="53">
        <v>261.54422</v>
      </c>
      <c r="H320" s="53">
        <v>90.292846999999995</v>
      </c>
      <c r="I320" s="122">
        <f>G320/G317-1</f>
        <v>-4.8748644923318873E-2</v>
      </c>
      <c r="J320" s="122">
        <f>H320/H317-1</f>
        <v>2.1821549858858091E-4</v>
      </c>
    </row>
    <row r="321" spans="6:10" x14ac:dyDescent="0.3">
      <c r="F321" s="121">
        <v>43902</v>
      </c>
      <c r="G321" s="53">
        <v>236.52046200000001</v>
      </c>
      <c r="H321" s="53">
        <v>90.302704000000006</v>
      </c>
      <c r="I321" s="122">
        <f t="shared" si="8"/>
        <v>-9.5676968124166484E-2</v>
      </c>
      <c r="J321" s="122">
        <f t="shared" si="9"/>
        <v>1.0916700854513017E-4</v>
      </c>
    </row>
    <row r="322" spans="6:10" x14ac:dyDescent="0.3">
      <c r="F322" s="121">
        <v>43903</v>
      </c>
      <c r="G322" s="53">
        <v>256.73971599999999</v>
      </c>
      <c r="H322" s="53">
        <v>90.322449000000006</v>
      </c>
      <c r="I322" s="122">
        <f t="shared" si="8"/>
        <v>8.5486278138590777E-2</v>
      </c>
      <c r="J322" s="122">
        <f t="shared" si="9"/>
        <v>2.1865347465110929E-4</v>
      </c>
    </row>
    <row r="323" spans="6:10" x14ac:dyDescent="0.3">
      <c r="F323" s="121">
        <v>43906</v>
      </c>
      <c r="G323" s="53">
        <v>228.64630099999999</v>
      </c>
      <c r="H323" s="53">
        <v>90.332283000000004</v>
      </c>
      <c r="I323" s="122">
        <f t="shared" si="8"/>
        <v>-0.10942372079277363</v>
      </c>
      <c r="J323" s="122">
        <f t="shared" si="9"/>
        <v>1.0887658725899918E-4</v>
      </c>
    </row>
    <row r="324" spans="6:10" x14ac:dyDescent="0.3">
      <c r="F324" s="121">
        <v>43907</v>
      </c>
      <c r="G324" s="53">
        <v>240.99142499999999</v>
      </c>
      <c r="H324" s="53">
        <v>90.332283000000004</v>
      </c>
      <c r="I324" s="122">
        <f t="shared" si="8"/>
        <v>5.3992231433475091E-2</v>
      </c>
      <c r="J324" s="122">
        <f t="shared" si="9"/>
        <v>0</v>
      </c>
    </row>
    <row r="325" spans="6:10" x14ac:dyDescent="0.3">
      <c r="F325" s="121">
        <v>43908</v>
      </c>
      <c r="G325" s="53">
        <v>228.789322</v>
      </c>
      <c r="H325" s="53">
        <v>90.352019999999996</v>
      </c>
      <c r="I325" s="122">
        <f t="shared" si="8"/>
        <v>-5.0632934346107938E-2</v>
      </c>
      <c r="J325" s="122">
        <f t="shared" si="9"/>
        <v>2.1849331539636196E-4</v>
      </c>
    </row>
    <row r="326" spans="6:10" x14ac:dyDescent="0.3">
      <c r="F326" s="121">
        <v>43909</v>
      </c>
      <c r="G326" s="53">
        <v>229.27546699999999</v>
      </c>
      <c r="H326" s="53">
        <v>90.332283000000004</v>
      </c>
      <c r="I326" s="122">
        <f t="shared" si="8"/>
        <v>2.1248587816524722E-3</v>
      </c>
      <c r="J326" s="122">
        <f t="shared" si="9"/>
        <v>-2.1844558649597445E-4</v>
      </c>
    </row>
    <row r="327" spans="6:10" x14ac:dyDescent="0.3">
      <c r="F327" s="121">
        <v>43910</v>
      </c>
      <c r="G327" s="53">
        <v>219.39503500000001</v>
      </c>
      <c r="H327" s="53">
        <v>90.361862000000002</v>
      </c>
      <c r="I327" s="122">
        <f t="shared" si="8"/>
        <v>-4.3094152764281524E-2</v>
      </c>
      <c r="J327" s="122">
        <f t="shared" si="9"/>
        <v>3.2744661174999301E-4</v>
      </c>
    </row>
    <row r="328" spans="6:10" x14ac:dyDescent="0.3">
      <c r="F328" s="121">
        <v>43913</v>
      </c>
      <c r="G328" s="53">
        <v>213.785492</v>
      </c>
      <c r="H328" s="53">
        <v>90.342147999999995</v>
      </c>
      <c r="I328" s="122">
        <f t="shared" si="8"/>
        <v>-2.5568231295662658E-2</v>
      </c>
      <c r="J328" s="122">
        <f t="shared" si="9"/>
        <v>-2.1816726175927226E-4</v>
      </c>
    </row>
    <row r="329" spans="6:10" x14ac:dyDescent="0.3">
      <c r="F329" s="121">
        <v>43914</v>
      </c>
      <c r="G329" s="53">
        <v>233.155136</v>
      </c>
      <c r="H329" s="53">
        <v>90.342147999999995</v>
      </c>
      <c r="I329" s="122">
        <f t="shared" si="8"/>
        <v>9.0603173390269021E-2</v>
      </c>
      <c r="J329" s="122">
        <f t="shared" si="9"/>
        <v>0</v>
      </c>
    </row>
    <row r="330" spans="6:10" x14ac:dyDescent="0.3">
      <c r="F330" s="121">
        <v>43915</v>
      </c>
      <c r="G330" s="53">
        <v>236.645554</v>
      </c>
      <c r="H330" s="53">
        <v>90.342147999999995</v>
      </c>
      <c r="I330" s="122">
        <f t="shared" si="8"/>
        <v>1.4970367197915779E-2</v>
      </c>
      <c r="J330" s="122">
        <f t="shared" si="9"/>
        <v>0</v>
      </c>
    </row>
    <row r="331" spans="6:10" x14ac:dyDescent="0.3">
      <c r="F331" s="121">
        <v>43916</v>
      </c>
      <c r="G331" s="53">
        <v>250.463211</v>
      </c>
      <c r="H331" s="53">
        <v>90.342147999999995</v>
      </c>
      <c r="I331" s="122">
        <f t="shared" si="8"/>
        <v>5.8389675049631329E-2</v>
      </c>
      <c r="J331" s="122">
        <f t="shared" si="9"/>
        <v>0</v>
      </c>
    </row>
    <row r="332" spans="6:10" x14ac:dyDescent="0.3">
      <c r="F332" s="121">
        <v>43917</v>
      </c>
      <c r="G332" s="53">
        <v>243.003006</v>
      </c>
      <c r="H332" s="53">
        <v>90.322449000000006</v>
      </c>
      <c r="I332" s="122">
        <f t="shared" si="8"/>
        <v>-2.9785631870702156E-2</v>
      </c>
      <c r="J332" s="122">
        <f t="shared" si="9"/>
        <v>-2.1804883364062722E-4</v>
      </c>
    </row>
    <row r="333" spans="6:10" x14ac:dyDescent="0.3">
      <c r="F333" s="121">
        <v>43920</v>
      </c>
      <c r="G333" s="53">
        <v>250.894699</v>
      </c>
      <c r="H333" s="53">
        <v>90.322449000000006</v>
      </c>
      <c r="I333" s="122">
        <f t="shared" si="8"/>
        <v>3.247570114420717E-2</v>
      </c>
      <c r="J333" s="122">
        <f t="shared" si="9"/>
        <v>0</v>
      </c>
    </row>
    <row r="334" spans="6:10" x14ac:dyDescent="0.3">
      <c r="F334" s="121">
        <v>43921</v>
      </c>
      <c r="G334" s="53">
        <v>247.15501399999999</v>
      </c>
      <c r="H334" s="53">
        <v>90.332283000000004</v>
      </c>
      <c r="I334" s="122">
        <f t="shared" si="8"/>
        <v>-1.4905396626175849E-2</v>
      </c>
      <c r="J334" s="122">
        <f t="shared" si="9"/>
        <v>1.0887658725899918E-4</v>
      </c>
    </row>
    <row r="335" spans="6:10" x14ac:dyDescent="0.3">
      <c r="F335" s="121">
        <v>43922</v>
      </c>
      <c r="G335" s="53">
        <v>236.03183000000001</v>
      </c>
      <c r="H335" s="53">
        <v>90.324402000000006</v>
      </c>
      <c r="I335" s="122">
        <f t="shared" si="8"/>
        <v>-4.5004889117887692E-2</v>
      </c>
      <c r="J335" s="122">
        <f t="shared" si="9"/>
        <v>-8.7244556854604305E-5</v>
      </c>
    </row>
    <row r="336" spans="6:10" x14ac:dyDescent="0.3">
      <c r="F336" s="121">
        <v>43923</v>
      </c>
      <c r="G336" s="53">
        <v>241.478363</v>
      </c>
      <c r="H336" s="53">
        <v>90.334266999999997</v>
      </c>
      <c r="I336" s="122">
        <f t="shared" si="8"/>
        <v>2.3075417412981913E-2</v>
      </c>
      <c r="J336" s="122">
        <f t="shared" si="9"/>
        <v>1.0921744048730808E-4</v>
      </c>
    </row>
    <row r="337" spans="6:10" x14ac:dyDescent="0.3">
      <c r="F337" s="121">
        <v>43924</v>
      </c>
      <c r="G337" s="53">
        <v>237.98799099999999</v>
      </c>
      <c r="H337" s="53">
        <v>90.304671999999997</v>
      </c>
      <c r="I337" s="122">
        <f t="shared" si="8"/>
        <v>-1.445418113920216E-2</v>
      </c>
      <c r="J337" s="122">
        <f t="shared" si="9"/>
        <v>-3.2761654002244622E-4</v>
      </c>
    </row>
    <row r="338" spans="6:10" x14ac:dyDescent="0.3">
      <c r="F338" s="121">
        <v>43927</v>
      </c>
      <c r="G338" s="53">
        <v>253.97271699999999</v>
      </c>
      <c r="H338" s="53">
        <v>90.314537000000001</v>
      </c>
      <c r="I338" s="122">
        <f t="shared" si="8"/>
        <v>6.7166103351828266E-2</v>
      </c>
      <c r="J338" s="122">
        <f t="shared" si="9"/>
        <v>1.0924130259848397E-4</v>
      </c>
    </row>
    <row r="339" spans="6:10" x14ac:dyDescent="0.3">
      <c r="F339" s="121">
        <v>43928</v>
      </c>
      <c r="G339" s="53">
        <v>254.23165900000001</v>
      </c>
      <c r="H339" s="53">
        <v>90.294807000000006</v>
      </c>
      <c r="I339" s="122">
        <f t="shared" si="8"/>
        <v>1.0195662079719447E-3</v>
      </c>
      <c r="J339" s="122">
        <f t="shared" si="9"/>
        <v>-2.1845874047932146E-4</v>
      </c>
    </row>
    <row r="340" spans="6:10" x14ac:dyDescent="0.3">
      <c r="F340" s="121">
        <v>43929</v>
      </c>
      <c r="G340" s="53">
        <v>262.76577800000001</v>
      </c>
      <c r="H340" s="53">
        <v>90.304671999999997</v>
      </c>
      <c r="I340" s="122">
        <f t="shared" si="8"/>
        <v>3.3568277977527483E-2</v>
      </c>
      <c r="J340" s="122">
        <f t="shared" si="9"/>
        <v>1.0925323756416638E-4</v>
      </c>
    </row>
    <row r="341" spans="6:10" x14ac:dyDescent="0.3">
      <c r="F341" s="121">
        <v>43930</v>
      </c>
      <c r="G341" s="53">
        <v>266.76443499999999</v>
      </c>
      <c r="H341" s="53">
        <v>90.284935000000004</v>
      </c>
      <c r="I341" s="122">
        <f t="shared" si="8"/>
        <v>1.521757144493896E-2</v>
      </c>
      <c r="J341" s="122">
        <f t="shared" si="9"/>
        <v>-2.185601205659804E-4</v>
      </c>
    </row>
    <row r="342" spans="6:10" x14ac:dyDescent="0.3">
      <c r="F342" s="121">
        <v>43934</v>
      </c>
      <c r="G342" s="53">
        <v>264.32876599999997</v>
      </c>
      <c r="H342" s="53">
        <v>90.304671999999997</v>
      </c>
      <c r="I342" s="122">
        <f t="shared" ref="I342:I405" si="10">G342/G341-1</f>
        <v>-9.1304112559082995E-3</v>
      </c>
      <c r="J342" s="122">
        <f t="shared" ref="J342:J405" si="11">H342/H341-1</f>
        <v>2.1860789953476178E-4</v>
      </c>
    </row>
    <row r="343" spans="6:10" x14ac:dyDescent="0.3">
      <c r="F343" s="121">
        <v>43935</v>
      </c>
      <c r="G343" s="53">
        <v>272.124664</v>
      </c>
      <c r="H343" s="53">
        <v>90.314537000000001</v>
      </c>
      <c r="I343" s="122">
        <f t="shared" si="10"/>
        <v>2.949318803992762E-2</v>
      </c>
      <c r="J343" s="122">
        <f t="shared" si="11"/>
        <v>1.0924130259848397E-4</v>
      </c>
    </row>
    <row r="344" spans="6:10" x14ac:dyDescent="0.3">
      <c r="F344" s="121">
        <v>43936</v>
      </c>
      <c r="G344" s="53">
        <v>266.342468</v>
      </c>
      <c r="H344" s="53">
        <v>90.304671999999997</v>
      </c>
      <c r="I344" s="122">
        <f t="shared" si="10"/>
        <v>-2.1248334917558176E-2</v>
      </c>
      <c r="J344" s="122">
        <f t="shared" si="11"/>
        <v>-1.0922937023971624E-4</v>
      </c>
    </row>
    <row r="345" spans="6:10" x14ac:dyDescent="0.3">
      <c r="F345" s="121">
        <v>43937</v>
      </c>
      <c r="G345" s="53">
        <v>267.627411</v>
      </c>
      <c r="H345" s="53">
        <v>90.294807000000006</v>
      </c>
      <c r="I345" s="122">
        <f t="shared" si="10"/>
        <v>4.8244014919918143E-3</v>
      </c>
      <c r="J345" s="122">
        <f t="shared" si="11"/>
        <v>-1.0924130259826192E-4</v>
      </c>
    </row>
    <row r="346" spans="6:10" x14ac:dyDescent="0.3">
      <c r="F346" s="121">
        <v>43938</v>
      </c>
      <c r="G346" s="53">
        <v>274.85745200000002</v>
      </c>
      <c r="H346" s="53">
        <v>90.314537000000001</v>
      </c>
      <c r="I346" s="122">
        <f t="shared" si="10"/>
        <v>2.7015323180031192E-2</v>
      </c>
      <c r="J346" s="122">
        <f t="shared" si="11"/>
        <v>2.1850647512877686E-4</v>
      </c>
    </row>
    <row r="347" spans="6:10" x14ac:dyDescent="0.3">
      <c r="F347" s="121">
        <v>43941</v>
      </c>
      <c r="G347" s="53">
        <v>270.01504499999999</v>
      </c>
      <c r="H347" s="53">
        <v>90.304671999999997</v>
      </c>
      <c r="I347" s="122">
        <f t="shared" si="10"/>
        <v>-1.7617885070112749E-2</v>
      </c>
      <c r="J347" s="122">
        <f t="shared" si="11"/>
        <v>-1.0922937023971624E-4</v>
      </c>
    </row>
    <row r="348" spans="6:10" x14ac:dyDescent="0.3">
      <c r="F348" s="121">
        <v>43942</v>
      </c>
      <c r="G348" s="53">
        <v>261.81652800000001</v>
      </c>
      <c r="H348" s="53">
        <v>90.304671999999997</v>
      </c>
      <c r="I348" s="122">
        <f t="shared" si="10"/>
        <v>-3.0363185873587106E-2</v>
      </c>
      <c r="J348" s="122">
        <f t="shared" si="11"/>
        <v>0</v>
      </c>
    </row>
    <row r="349" spans="6:10" x14ac:dyDescent="0.3">
      <c r="F349" s="121">
        <v>43943</v>
      </c>
      <c r="G349" s="53">
        <v>267.627411</v>
      </c>
      <c r="H349" s="53">
        <v>90.304671999999997</v>
      </c>
      <c r="I349" s="122">
        <f t="shared" si="10"/>
        <v>2.2194484986830076E-2</v>
      </c>
      <c r="J349" s="122">
        <f t="shared" si="11"/>
        <v>0</v>
      </c>
    </row>
    <row r="350" spans="6:10" x14ac:dyDescent="0.3">
      <c r="F350" s="121">
        <v>43944</v>
      </c>
      <c r="G350" s="53">
        <v>267.60824600000001</v>
      </c>
      <c r="H350" s="53">
        <v>90.314537000000001</v>
      </c>
      <c r="I350" s="122">
        <f t="shared" si="10"/>
        <v>-7.1610751411377294E-5</v>
      </c>
      <c r="J350" s="122">
        <f t="shared" si="11"/>
        <v>1.0924130259848397E-4</v>
      </c>
    </row>
    <row r="351" spans="6:10" x14ac:dyDescent="0.3">
      <c r="F351" s="121">
        <v>43945</v>
      </c>
      <c r="G351" s="53">
        <v>271.338348</v>
      </c>
      <c r="H351" s="53">
        <v>90.304671999999997</v>
      </c>
      <c r="I351" s="122">
        <f t="shared" si="10"/>
        <v>1.3938666150070667E-2</v>
      </c>
      <c r="J351" s="122">
        <f t="shared" si="11"/>
        <v>-1.0922937023971624E-4</v>
      </c>
    </row>
    <row r="352" spans="6:10" x14ac:dyDescent="0.3">
      <c r="F352" s="121">
        <v>43948</v>
      </c>
      <c r="G352" s="53">
        <v>275.25064099999997</v>
      </c>
      <c r="H352" s="53">
        <v>90.304671999999997</v>
      </c>
      <c r="I352" s="122">
        <f t="shared" si="10"/>
        <v>1.4418503793647286E-2</v>
      </c>
      <c r="J352" s="122">
        <f t="shared" si="11"/>
        <v>0</v>
      </c>
    </row>
    <row r="353" spans="6:10" x14ac:dyDescent="0.3">
      <c r="F353" s="121">
        <v>43949</v>
      </c>
      <c r="G353" s="53">
        <v>273.98492399999998</v>
      </c>
      <c r="H353" s="53">
        <v>90.304671999999997</v>
      </c>
      <c r="I353" s="122">
        <f t="shared" si="10"/>
        <v>-4.5984161758955144E-3</v>
      </c>
      <c r="J353" s="122">
        <f t="shared" si="11"/>
        <v>0</v>
      </c>
    </row>
    <row r="354" spans="6:10" x14ac:dyDescent="0.3">
      <c r="F354" s="121">
        <v>43950</v>
      </c>
      <c r="G354" s="53">
        <v>281.15741000000003</v>
      </c>
      <c r="H354" s="53">
        <v>90.294807000000006</v>
      </c>
      <c r="I354" s="122">
        <f t="shared" si="10"/>
        <v>2.6178396589441766E-2</v>
      </c>
      <c r="J354" s="122">
        <f t="shared" si="11"/>
        <v>-1.0924130259826192E-4</v>
      </c>
    </row>
    <row r="355" spans="6:10" x14ac:dyDescent="0.3">
      <c r="F355" s="121">
        <v>43951</v>
      </c>
      <c r="G355" s="53">
        <v>278.53964200000001</v>
      </c>
      <c r="H355" s="53">
        <v>90.314537000000001</v>
      </c>
      <c r="I355" s="122">
        <f t="shared" si="10"/>
        <v>-9.3106847157256034E-3</v>
      </c>
      <c r="J355" s="122">
        <f t="shared" si="11"/>
        <v>2.1850647512877686E-4</v>
      </c>
    </row>
    <row r="356" spans="6:10" x14ac:dyDescent="0.3">
      <c r="F356" s="121">
        <v>43952</v>
      </c>
      <c r="G356" s="53">
        <v>271.16574100000003</v>
      </c>
      <c r="H356" s="53">
        <v>90.298743999999999</v>
      </c>
      <c r="I356" s="122">
        <f t="shared" si="10"/>
        <v>-2.6473434614380675E-2</v>
      </c>
      <c r="J356" s="122">
        <f t="shared" si="11"/>
        <v>-1.7486664411514585E-4</v>
      </c>
    </row>
    <row r="357" spans="6:10" x14ac:dyDescent="0.3">
      <c r="F357" s="121">
        <v>43955</v>
      </c>
      <c r="G357" s="53">
        <v>271.91366599999998</v>
      </c>
      <c r="H357" s="53">
        <v>90.298743999999999</v>
      </c>
      <c r="I357" s="122">
        <f t="shared" si="10"/>
        <v>2.7581839698547217E-3</v>
      </c>
      <c r="J357" s="122">
        <f t="shared" si="11"/>
        <v>0</v>
      </c>
    </row>
    <row r="358" spans="6:10" x14ac:dyDescent="0.3">
      <c r="F358" s="121">
        <v>43956</v>
      </c>
      <c r="G358" s="53">
        <v>274.42596400000002</v>
      </c>
      <c r="H358" s="53">
        <v>90.298743999999999</v>
      </c>
      <c r="I358" s="122">
        <f t="shared" si="10"/>
        <v>9.2393223075446507E-3</v>
      </c>
      <c r="J358" s="122">
        <f t="shared" si="11"/>
        <v>0</v>
      </c>
    </row>
    <row r="359" spans="6:10" x14ac:dyDescent="0.3">
      <c r="F359" s="121">
        <v>43957</v>
      </c>
      <c r="G359" s="53">
        <v>272.56573500000002</v>
      </c>
      <c r="H359" s="53">
        <v>90.308616999999998</v>
      </c>
      <c r="I359" s="122">
        <f t="shared" si="10"/>
        <v>-6.7786188044510753E-3</v>
      </c>
      <c r="J359" s="122">
        <f t="shared" si="11"/>
        <v>1.0933706896287809E-4</v>
      </c>
    </row>
    <row r="360" spans="6:10" x14ac:dyDescent="0.3">
      <c r="F360" s="121">
        <v>43958</v>
      </c>
      <c r="G360" s="53">
        <v>275.85470600000002</v>
      </c>
      <c r="H360" s="53">
        <v>90.298743999999999</v>
      </c>
      <c r="I360" s="122">
        <f t="shared" si="10"/>
        <v>1.2066707504521768E-2</v>
      </c>
      <c r="J360" s="122">
        <f t="shared" si="11"/>
        <v>-1.0932511567529613E-4</v>
      </c>
    </row>
    <row r="361" spans="6:10" x14ac:dyDescent="0.3">
      <c r="F361" s="121">
        <v>43959</v>
      </c>
      <c r="G361" s="53">
        <v>280.41906699999998</v>
      </c>
      <c r="H361" s="53">
        <v>90.298743999999999</v>
      </c>
      <c r="I361" s="122">
        <f t="shared" si="10"/>
        <v>1.6546250256828987E-2</v>
      </c>
      <c r="J361" s="122">
        <f t="shared" si="11"/>
        <v>0</v>
      </c>
    </row>
    <row r="362" spans="6:10" x14ac:dyDescent="0.3">
      <c r="F362" s="121">
        <v>43962</v>
      </c>
      <c r="G362" s="53">
        <v>280.47662400000002</v>
      </c>
      <c r="H362" s="53">
        <v>90.308616999999998</v>
      </c>
      <c r="I362" s="122">
        <f t="shared" si="10"/>
        <v>2.0525351794287161E-4</v>
      </c>
      <c r="J362" s="122">
        <f t="shared" si="11"/>
        <v>1.0933706896287809E-4</v>
      </c>
    </row>
    <row r="363" spans="6:10" x14ac:dyDescent="0.3">
      <c r="F363" s="121">
        <v>43963</v>
      </c>
      <c r="G363" s="53">
        <v>274.88623000000001</v>
      </c>
      <c r="H363" s="53">
        <v>90.308616999999998</v>
      </c>
      <c r="I363" s="122">
        <f t="shared" si="10"/>
        <v>-1.9931764438237076E-2</v>
      </c>
      <c r="J363" s="122">
        <f t="shared" si="11"/>
        <v>0</v>
      </c>
    </row>
    <row r="364" spans="6:10" x14ac:dyDescent="0.3">
      <c r="F364" s="121">
        <v>43964</v>
      </c>
      <c r="G364" s="53">
        <v>270.02462800000001</v>
      </c>
      <c r="H364" s="53">
        <v>90.308616999999998</v>
      </c>
      <c r="I364" s="122">
        <f t="shared" si="10"/>
        <v>-1.7685869532278908E-2</v>
      </c>
      <c r="J364" s="122">
        <f t="shared" si="11"/>
        <v>0</v>
      </c>
    </row>
    <row r="365" spans="6:10" x14ac:dyDescent="0.3">
      <c r="F365" s="121">
        <v>43965</v>
      </c>
      <c r="G365" s="53">
        <v>273.25613399999997</v>
      </c>
      <c r="H365" s="53">
        <v>90.318481000000006</v>
      </c>
      <c r="I365" s="122">
        <f t="shared" si="10"/>
        <v>1.1967449132084251E-2</v>
      </c>
      <c r="J365" s="122">
        <f t="shared" si="11"/>
        <v>1.0922545741132161E-4</v>
      </c>
    </row>
    <row r="366" spans="6:10" x14ac:dyDescent="0.3">
      <c r="F366" s="121">
        <v>43966</v>
      </c>
      <c r="G366" s="53">
        <v>274.51226800000001</v>
      </c>
      <c r="H366" s="53">
        <v>90.298743999999999</v>
      </c>
      <c r="I366" s="122">
        <f t="shared" si="10"/>
        <v>4.5969105308356628E-3</v>
      </c>
      <c r="J366" s="122">
        <f t="shared" si="11"/>
        <v>-2.1852670440736244E-4</v>
      </c>
    </row>
    <row r="367" spans="6:10" x14ac:dyDescent="0.3">
      <c r="F367" s="121">
        <v>43969</v>
      </c>
      <c r="G367" s="53">
        <v>282.87383999999997</v>
      </c>
      <c r="H367" s="53">
        <v>90.298743999999999</v>
      </c>
      <c r="I367" s="122">
        <f t="shared" si="10"/>
        <v>3.0459738870395325E-2</v>
      </c>
      <c r="J367" s="122">
        <f t="shared" si="11"/>
        <v>0</v>
      </c>
    </row>
    <row r="368" spans="6:10" x14ac:dyDescent="0.3">
      <c r="F368" s="121">
        <v>43970</v>
      </c>
      <c r="G368" s="53">
        <v>279.968323</v>
      </c>
      <c r="H368" s="53">
        <v>90.298743999999999</v>
      </c>
      <c r="I368" s="122">
        <f t="shared" si="10"/>
        <v>-1.0271423472739571E-2</v>
      </c>
      <c r="J368" s="122">
        <f t="shared" si="11"/>
        <v>0</v>
      </c>
    </row>
    <row r="369" spans="6:10" x14ac:dyDescent="0.3">
      <c r="F369" s="121">
        <v>43971</v>
      </c>
      <c r="G369" s="53">
        <v>284.72451799999999</v>
      </c>
      <c r="H369" s="53">
        <v>90.298743999999999</v>
      </c>
      <c r="I369" s="122">
        <f t="shared" si="10"/>
        <v>1.6988332640760939E-2</v>
      </c>
      <c r="J369" s="122">
        <f t="shared" si="11"/>
        <v>0</v>
      </c>
    </row>
    <row r="370" spans="6:10" x14ac:dyDescent="0.3">
      <c r="F370" s="121">
        <v>43972</v>
      </c>
      <c r="G370" s="53">
        <v>282.75878899999998</v>
      </c>
      <c r="H370" s="53">
        <v>90.308616999999998</v>
      </c>
      <c r="I370" s="122">
        <f t="shared" si="10"/>
        <v>-6.9039681366674932E-3</v>
      </c>
      <c r="J370" s="122">
        <f t="shared" si="11"/>
        <v>1.0933706896287809E-4</v>
      </c>
    </row>
    <row r="371" spans="6:10" x14ac:dyDescent="0.3">
      <c r="F371" s="121">
        <v>43973</v>
      </c>
      <c r="G371" s="53">
        <v>283.29580700000002</v>
      </c>
      <c r="H371" s="53">
        <v>90.298743999999999</v>
      </c>
      <c r="I371" s="122">
        <f t="shared" si="10"/>
        <v>1.8992088695075626E-3</v>
      </c>
      <c r="J371" s="122">
        <f t="shared" si="11"/>
        <v>-1.0932511567529613E-4</v>
      </c>
    </row>
    <row r="372" spans="6:10" x14ac:dyDescent="0.3">
      <c r="F372" s="121">
        <v>43977</v>
      </c>
      <c r="G372" s="53">
        <v>286.78610200000003</v>
      </c>
      <c r="H372" s="53">
        <v>90.308616999999998</v>
      </c>
      <c r="I372" s="122">
        <f t="shared" si="10"/>
        <v>1.232032001094896E-2</v>
      </c>
      <c r="J372" s="122">
        <f t="shared" si="11"/>
        <v>1.0933706896287809E-4</v>
      </c>
    </row>
    <row r="373" spans="6:10" x14ac:dyDescent="0.3">
      <c r="F373" s="121">
        <v>43978</v>
      </c>
      <c r="G373" s="53">
        <v>291.05319200000002</v>
      </c>
      <c r="H373" s="53">
        <v>90.298743999999999</v>
      </c>
      <c r="I373" s="122">
        <f t="shared" si="10"/>
        <v>1.4878998564581858E-2</v>
      </c>
      <c r="J373" s="122">
        <f t="shared" si="11"/>
        <v>-1.0932511567529613E-4</v>
      </c>
    </row>
    <row r="374" spans="6:10" x14ac:dyDescent="0.3">
      <c r="F374" s="121">
        <v>43979</v>
      </c>
      <c r="G374" s="53">
        <v>290.51623499999999</v>
      </c>
      <c r="H374" s="53">
        <v>90.298743999999999</v>
      </c>
      <c r="I374" s="122">
        <f t="shared" si="10"/>
        <v>-1.84487583286852E-3</v>
      </c>
      <c r="J374" s="122">
        <f t="shared" si="11"/>
        <v>0</v>
      </c>
    </row>
    <row r="375" spans="6:10" x14ac:dyDescent="0.3">
      <c r="F375" s="121">
        <v>43980</v>
      </c>
      <c r="G375" s="53">
        <v>291.810699</v>
      </c>
      <c r="H375" s="53">
        <v>90.298743999999999</v>
      </c>
      <c r="I375" s="122">
        <f t="shared" si="10"/>
        <v>4.4557372155122899E-3</v>
      </c>
      <c r="J375" s="122">
        <f t="shared" si="11"/>
        <v>0</v>
      </c>
    </row>
    <row r="376" spans="6:10" x14ac:dyDescent="0.3">
      <c r="F376" s="121">
        <v>43983</v>
      </c>
      <c r="G376" s="53">
        <v>292.99017300000003</v>
      </c>
      <c r="H376" s="53">
        <v>90.308616999999998</v>
      </c>
      <c r="I376" s="122">
        <f t="shared" si="10"/>
        <v>4.0419148579609043E-3</v>
      </c>
      <c r="J376" s="122">
        <f t="shared" si="11"/>
        <v>1.0933706896287809E-4</v>
      </c>
    </row>
    <row r="377" spans="6:10" x14ac:dyDescent="0.3">
      <c r="F377" s="121">
        <v>43984</v>
      </c>
      <c r="G377" s="53">
        <v>295.41610700000001</v>
      </c>
      <c r="H377" s="53">
        <v>90.308616999999998</v>
      </c>
      <c r="I377" s="122">
        <f t="shared" si="10"/>
        <v>8.279915927419168E-3</v>
      </c>
      <c r="J377" s="122">
        <f t="shared" si="11"/>
        <v>0</v>
      </c>
    </row>
    <row r="378" spans="6:10" x14ac:dyDescent="0.3">
      <c r="F378" s="121">
        <v>43985</v>
      </c>
      <c r="G378" s="53">
        <v>299.34765599999997</v>
      </c>
      <c r="H378" s="53">
        <v>90.308616999999998</v>
      </c>
      <c r="I378" s="122">
        <f t="shared" si="10"/>
        <v>1.3308512660076266E-2</v>
      </c>
      <c r="J378" s="122">
        <f t="shared" si="11"/>
        <v>0</v>
      </c>
    </row>
    <row r="379" spans="6:10" x14ac:dyDescent="0.3">
      <c r="F379" s="121">
        <v>43986</v>
      </c>
      <c r="G379" s="53">
        <v>298.56133999999997</v>
      </c>
      <c r="H379" s="53">
        <v>90.308616999999998</v>
      </c>
      <c r="I379" s="122">
        <f t="shared" si="10"/>
        <v>-2.6267651816855864E-3</v>
      </c>
      <c r="J379" s="122">
        <f t="shared" si="11"/>
        <v>0</v>
      </c>
    </row>
    <row r="380" spans="6:10" x14ac:dyDescent="0.3">
      <c r="F380" s="121">
        <v>43987</v>
      </c>
      <c r="G380" s="53">
        <v>306.213348</v>
      </c>
      <c r="H380" s="53">
        <v>90.288887000000003</v>
      </c>
      <c r="I380" s="122">
        <f t="shared" si="10"/>
        <v>2.5629600938956276E-2</v>
      </c>
      <c r="J380" s="122">
        <f t="shared" si="11"/>
        <v>-2.1847306110334141E-4</v>
      </c>
    </row>
    <row r="381" spans="6:10" x14ac:dyDescent="0.3">
      <c r="F381" s="121">
        <v>43990</v>
      </c>
      <c r="G381" s="53">
        <v>309.91467299999999</v>
      </c>
      <c r="H381" s="53">
        <v>90.298743999999999</v>
      </c>
      <c r="I381" s="122">
        <f t="shared" si="10"/>
        <v>1.2087405804400042E-2</v>
      </c>
      <c r="J381" s="122">
        <f t="shared" si="11"/>
        <v>1.0917179652469855E-4</v>
      </c>
    </row>
    <row r="382" spans="6:10" x14ac:dyDescent="0.3">
      <c r="F382" s="121">
        <v>43991</v>
      </c>
      <c r="G382" s="53">
        <v>307.60376000000002</v>
      </c>
      <c r="H382" s="53">
        <v>90.298743999999999</v>
      </c>
      <c r="I382" s="122">
        <f t="shared" si="10"/>
        <v>-7.4566104845250614E-3</v>
      </c>
      <c r="J382" s="122">
        <f t="shared" si="11"/>
        <v>0</v>
      </c>
    </row>
    <row r="383" spans="6:10" x14ac:dyDescent="0.3">
      <c r="F383" s="121">
        <v>43992</v>
      </c>
      <c r="G383" s="53">
        <v>305.88732900000002</v>
      </c>
      <c r="H383" s="53">
        <v>90.308616999999998</v>
      </c>
      <c r="I383" s="122">
        <f t="shared" si="10"/>
        <v>-5.5800065642890306E-3</v>
      </c>
      <c r="J383" s="122">
        <f t="shared" si="11"/>
        <v>1.0933706896287809E-4</v>
      </c>
    </row>
    <row r="384" spans="6:10" x14ac:dyDescent="0.3">
      <c r="F384" s="121">
        <v>43993</v>
      </c>
      <c r="G384" s="53">
        <v>288.25320399999998</v>
      </c>
      <c r="H384" s="53">
        <v>90.288887000000003</v>
      </c>
      <c r="I384" s="122">
        <f t="shared" si="10"/>
        <v>-5.7649086209779044E-2</v>
      </c>
      <c r="J384" s="122">
        <f t="shared" si="11"/>
        <v>-2.1847306110334141E-4</v>
      </c>
    </row>
    <row r="385" spans="6:10" x14ac:dyDescent="0.3">
      <c r="F385" s="121">
        <v>43994</v>
      </c>
      <c r="G385" s="53">
        <v>291.70526100000001</v>
      </c>
      <c r="H385" s="53">
        <v>90.308616999999998</v>
      </c>
      <c r="I385" s="122">
        <f t="shared" si="10"/>
        <v>1.1975780154728222E-2</v>
      </c>
      <c r="J385" s="122">
        <f t="shared" si="11"/>
        <v>2.1852080201179014E-4</v>
      </c>
    </row>
    <row r="386" spans="6:10" x14ac:dyDescent="0.3">
      <c r="F386" s="121">
        <v>43997</v>
      </c>
      <c r="G386" s="53">
        <v>294.42852800000003</v>
      </c>
      <c r="H386" s="53">
        <v>90.308616999999998</v>
      </c>
      <c r="I386" s="122">
        <f t="shared" si="10"/>
        <v>9.3356800993726896E-3</v>
      </c>
      <c r="J386" s="122">
        <f t="shared" si="11"/>
        <v>0</v>
      </c>
    </row>
    <row r="387" spans="6:10" x14ac:dyDescent="0.3">
      <c r="F387" s="121">
        <v>43998</v>
      </c>
      <c r="G387" s="53">
        <v>300.09558099999998</v>
      </c>
      <c r="H387" s="53">
        <v>90.308616999999998</v>
      </c>
      <c r="I387" s="122">
        <f t="shared" si="10"/>
        <v>1.92476355416209E-2</v>
      </c>
      <c r="J387" s="122">
        <f t="shared" si="11"/>
        <v>0</v>
      </c>
    </row>
    <row r="388" spans="6:10" x14ac:dyDescent="0.3">
      <c r="F388" s="121">
        <v>43999</v>
      </c>
      <c r="G388" s="53">
        <v>298.84903000000003</v>
      </c>
      <c r="H388" s="53">
        <v>90.308616999999998</v>
      </c>
      <c r="I388" s="122">
        <f t="shared" si="10"/>
        <v>-4.1538465706363326E-3</v>
      </c>
      <c r="J388" s="122">
        <f t="shared" si="11"/>
        <v>0</v>
      </c>
    </row>
    <row r="389" spans="6:10" x14ac:dyDescent="0.3">
      <c r="F389" s="121">
        <v>44000</v>
      </c>
      <c r="G389" s="53">
        <v>298.96404999999999</v>
      </c>
      <c r="H389" s="53">
        <v>90.298743999999999</v>
      </c>
      <c r="I389" s="122">
        <f t="shared" si="10"/>
        <v>3.8487660475250429E-4</v>
      </c>
      <c r="J389" s="122">
        <f t="shared" si="11"/>
        <v>-1.0932511567529613E-4</v>
      </c>
    </row>
    <row r="390" spans="6:10" x14ac:dyDescent="0.3">
      <c r="F390" s="121">
        <v>44001</v>
      </c>
      <c r="G390" s="53">
        <v>297.25552399999998</v>
      </c>
      <c r="H390" s="53">
        <v>90.298743999999999</v>
      </c>
      <c r="I390" s="122">
        <f t="shared" si="10"/>
        <v>-5.7148208956896429E-3</v>
      </c>
      <c r="J390" s="122">
        <f t="shared" si="11"/>
        <v>0</v>
      </c>
    </row>
    <row r="391" spans="6:10" x14ac:dyDescent="0.3">
      <c r="F391" s="121">
        <v>44004</v>
      </c>
      <c r="G391" s="53">
        <v>299.16253699999999</v>
      </c>
      <c r="H391" s="53">
        <v>90.298743999999999</v>
      </c>
      <c r="I391" s="122">
        <f t="shared" si="10"/>
        <v>6.4153997017057929E-3</v>
      </c>
      <c r="J391" s="122">
        <f t="shared" si="11"/>
        <v>0</v>
      </c>
    </row>
    <row r="392" spans="6:10" x14ac:dyDescent="0.3">
      <c r="F392" s="121">
        <v>44005</v>
      </c>
      <c r="G392" s="53">
        <v>300.53970299999997</v>
      </c>
      <c r="H392" s="53">
        <v>90.298743999999999</v>
      </c>
      <c r="I392" s="122">
        <f t="shared" si="10"/>
        <v>4.6034039348983313E-3</v>
      </c>
      <c r="J392" s="122">
        <f t="shared" si="11"/>
        <v>0</v>
      </c>
    </row>
    <row r="393" spans="6:10" x14ac:dyDescent="0.3">
      <c r="F393" s="121">
        <v>44006</v>
      </c>
      <c r="G393" s="53">
        <v>292.87329099999999</v>
      </c>
      <c r="H393" s="53">
        <v>90.298743999999999</v>
      </c>
      <c r="I393" s="122">
        <f t="shared" si="10"/>
        <v>-2.5508816051501793E-2</v>
      </c>
      <c r="J393" s="122">
        <f t="shared" si="11"/>
        <v>0</v>
      </c>
    </row>
    <row r="394" spans="6:10" x14ac:dyDescent="0.3">
      <c r="F394" s="121">
        <v>44007</v>
      </c>
      <c r="G394" s="53">
        <v>296.01306199999999</v>
      </c>
      <c r="H394" s="53">
        <v>90.308616999999998</v>
      </c>
      <c r="I394" s="122">
        <f t="shared" si="10"/>
        <v>1.0720578135614334E-2</v>
      </c>
      <c r="J394" s="122">
        <f t="shared" si="11"/>
        <v>1.0933706896287809E-4</v>
      </c>
    </row>
    <row r="395" spans="6:10" x14ac:dyDescent="0.3">
      <c r="F395" s="121">
        <v>44008</v>
      </c>
      <c r="G395" s="53">
        <v>288.98236100000003</v>
      </c>
      <c r="H395" s="53">
        <v>90.298743999999999</v>
      </c>
      <c r="I395" s="122">
        <f t="shared" si="10"/>
        <v>-2.375132013600123E-2</v>
      </c>
      <c r="J395" s="122">
        <f t="shared" si="11"/>
        <v>-1.0932511567529613E-4</v>
      </c>
    </row>
    <row r="396" spans="6:10" x14ac:dyDescent="0.3">
      <c r="F396" s="121">
        <v>44011</v>
      </c>
      <c r="G396" s="53">
        <v>293.22967499999999</v>
      </c>
      <c r="H396" s="53">
        <v>90.298743999999999</v>
      </c>
      <c r="I396" s="122">
        <f t="shared" si="10"/>
        <v>1.4697485290460222E-2</v>
      </c>
      <c r="J396" s="122">
        <f t="shared" si="11"/>
        <v>0</v>
      </c>
    </row>
    <row r="397" spans="6:10" x14ac:dyDescent="0.3">
      <c r="F397" s="121">
        <v>44012</v>
      </c>
      <c r="G397" s="53">
        <v>296.98577899999998</v>
      </c>
      <c r="H397" s="53">
        <v>90.298743999999999</v>
      </c>
      <c r="I397" s="122">
        <f t="shared" si="10"/>
        <v>1.2809426603906937E-2</v>
      </c>
      <c r="J397" s="122">
        <f t="shared" si="11"/>
        <v>0</v>
      </c>
    </row>
    <row r="398" spans="6:10" x14ac:dyDescent="0.3">
      <c r="F398" s="121">
        <v>44013</v>
      </c>
      <c r="G398" s="53">
        <v>299.06616200000002</v>
      </c>
      <c r="H398" s="53">
        <v>90.298743999999999</v>
      </c>
      <c r="I398" s="122">
        <f t="shared" si="10"/>
        <v>7.0049919797676719E-3</v>
      </c>
      <c r="J398" s="122">
        <f t="shared" si="11"/>
        <v>0</v>
      </c>
    </row>
    <row r="399" spans="6:10" x14ac:dyDescent="0.3">
      <c r="F399" s="121">
        <v>44014</v>
      </c>
      <c r="G399" s="53">
        <v>300.71310399999999</v>
      </c>
      <c r="H399" s="53">
        <v>90.308616999999998</v>
      </c>
      <c r="I399" s="122">
        <f t="shared" si="10"/>
        <v>5.5069486597416617E-3</v>
      </c>
      <c r="J399" s="122">
        <f t="shared" si="11"/>
        <v>1.0933706896287809E-4</v>
      </c>
    </row>
    <row r="400" spans="6:10" x14ac:dyDescent="0.3">
      <c r="F400" s="121">
        <v>44018</v>
      </c>
      <c r="G400" s="53">
        <v>305.35528599999998</v>
      </c>
      <c r="H400" s="53">
        <v>90.298743999999999</v>
      </c>
      <c r="I400" s="122">
        <f t="shared" si="10"/>
        <v>1.5437245461707549E-2</v>
      </c>
      <c r="J400" s="122">
        <f t="shared" si="11"/>
        <v>-1.0932511567529613E-4</v>
      </c>
    </row>
    <row r="401" spans="6:10" x14ac:dyDescent="0.3">
      <c r="F401" s="121">
        <v>44019</v>
      </c>
      <c r="G401" s="53">
        <v>302.20593300000002</v>
      </c>
      <c r="H401" s="53">
        <v>90.298743999999999</v>
      </c>
      <c r="I401" s="122">
        <f t="shared" si="10"/>
        <v>-1.0313733360423849E-2</v>
      </c>
      <c r="J401" s="122">
        <f t="shared" si="11"/>
        <v>0</v>
      </c>
    </row>
    <row r="402" spans="6:10" x14ac:dyDescent="0.3">
      <c r="F402" s="121">
        <v>44020</v>
      </c>
      <c r="G402" s="53">
        <v>304.517426</v>
      </c>
      <c r="H402" s="53">
        <v>90.298743999999999</v>
      </c>
      <c r="I402" s="122">
        <f t="shared" si="10"/>
        <v>7.6487346792095678E-3</v>
      </c>
      <c r="J402" s="122">
        <f t="shared" si="11"/>
        <v>0</v>
      </c>
    </row>
    <row r="403" spans="6:10" x14ac:dyDescent="0.3">
      <c r="F403" s="121">
        <v>44021</v>
      </c>
      <c r="G403" s="53">
        <v>302.78381300000001</v>
      </c>
      <c r="H403" s="53">
        <v>90.298743999999999</v>
      </c>
      <c r="I403" s="122">
        <f t="shared" si="10"/>
        <v>-5.6929845453245198E-3</v>
      </c>
      <c r="J403" s="122">
        <f t="shared" si="11"/>
        <v>0</v>
      </c>
    </row>
    <row r="404" spans="6:10" x14ac:dyDescent="0.3">
      <c r="F404" s="121">
        <v>44022</v>
      </c>
      <c r="G404" s="53">
        <v>305.87536599999999</v>
      </c>
      <c r="H404" s="53">
        <v>90.308616999999998</v>
      </c>
      <c r="I404" s="122">
        <f t="shared" si="10"/>
        <v>1.0210430238554391E-2</v>
      </c>
      <c r="J404" s="122">
        <f t="shared" si="11"/>
        <v>1.0933706896287809E-4</v>
      </c>
    </row>
    <row r="405" spans="6:10" x14ac:dyDescent="0.3">
      <c r="F405" s="121">
        <v>44025</v>
      </c>
      <c r="G405" s="53">
        <v>303.22680700000001</v>
      </c>
      <c r="H405" s="53">
        <v>90.308616999999998</v>
      </c>
      <c r="I405" s="122">
        <f t="shared" si="10"/>
        <v>-8.658948363955421E-3</v>
      </c>
      <c r="J405" s="122">
        <f t="shared" si="11"/>
        <v>0</v>
      </c>
    </row>
    <row r="406" spans="6:10" x14ac:dyDescent="0.3">
      <c r="F406" s="121">
        <v>44026</v>
      </c>
      <c r="G406" s="53">
        <v>307.156342</v>
      </c>
      <c r="H406" s="53">
        <v>90.308616999999998</v>
      </c>
      <c r="I406" s="122">
        <f t="shared" ref="I406:I469" si="12">G406/G405-1</f>
        <v>1.295906202646524E-2</v>
      </c>
      <c r="J406" s="122">
        <f t="shared" ref="J406:J469" si="13">H406/H405-1</f>
        <v>0</v>
      </c>
    </row>
    <row r="407" spans="6:10" x14ac:dyDescent="0.3">
      <c r="F407" s="121">
        <v>44027</v>
      </c>
      <c r="G407" s="53">
        <v>309.97827100000001</v>
      </c>
      <c r="H407" s="53">
        <v>90.308616999999998</v>
      </c>
      <c r="I407" s="122">
        <f t="shared" si="12"/>
        <v>9.1872724542343409E-3</v>
      </c>
      <c r="J407" s="122">
        <f t="shared" si="13"/>
        <v>0</v>
      </c>
    </row>
    <row r="408" spans="6:10" x14ac:dyDescent="0.3">
      <c r="F408" s="121">
        <v>44028</v>
      </c>
      <c r="G408" s="53">
        <v>308.95739700000001</v>
      </c>
      <c r="H408" s="53">
        <v>90.298743999999999</v>
      </c>
      <c r="I408" s="122">
        <f t="shared" si="12"/>
        <v>-3.2933727796681245E-3</v>
      </c>
      <c r="J408" s="122">
        <f t="shared" si="13"/>
        <v>-1.0932511567529613E-4</v>
      </c>
    </row>
    <row r="409" spans="6:10" x14ac:dyDescent="0.3">
      <c r="F409" s="121">
        <v>44029</v>
      </c>
      <c r="G409" s="53">
        <v>309.853027</v>
      </c>
      <c r="H409" s="53">
        <v>90.308616999999998</v>
      </c>
      <c r="I409" s="122">
        <f t="shared" si="12"/>
        <v>2.8988786437762482E-3</v>
      </c>
      <c r="J409" s="122">
        <f t="shared" si="13"/>
        <v>1.0933706896287809E-4</v>
      </c>
    </row>
    <row r="410" spans="6:10" x14ac:dyDescent="0.3">
      <c r="F410" s="121">
        <v>44032</v>
      </c>
      <c r="G410" s="53">
        <v>312.35711700000002</v>
      </c>
      <c r="H410" s="53">
        <v>90.308616999999998</v>
      </c>
      <c r="I410" s="122">
        <f t="shared" si="12"/>
        <v>8.0815411882357857E-3</v>
      </c>
      <c r="J410" s="122">
        <f t="shared" si="13"/>
        <v>0</v>
      </c>
    </row>
    <row r="411" spans="6:10" x14ac:dyDescent="0.3">
      <c r="F411" s="121">
        <v>44033</v>
      </c>
      <c r="G411" s="53">
        <v>313.02175899999997</v>
      </c>
      <c r="H411" s="53">
        <v>90.308616999999998</v>
      </c>
      <c r="I411" s="122">
        <f t="shared" si="12"/>
        <v>2.1278272971125833E-3</v>
      </c>
      <c r="J411" s="122">
        <f t="shared" si="13"/>
        <v>0</v>
      </c>
    </row>
    <row r="412" spans="6:10" x14ac:dyDescent="0.3">
      <c r="F412" s="121">
        <v>44034</v>
      </c>
      <c r="G412" s="53">
        <v>314.80343599999998</v>
      </c>
      <c r="H412" s="53">
        <v>90.298743999999999</v>
      </c>
      <c r="I412" s="122">
        <f t="shared" si="12"/>
        <v>5.6918631014402088E-3</v>
      </c>
      <c r="J412" s="122">
        <f t="shared" si="13"/>
        <v>-1.0932511567529613E-4</v>
      </c>
    </row>
    <row r="413" spans="6:10" x14ac:dyDescent="0.3">
      <c r="F413" s="121">
        <v>44035</v>
      </c>
      <c r="G413" s="53">
        <v>311.047302</v>
      </c>
      <c r="H413" s="53">
        <v>90.308616999999998</v>
      </c>
      <c r="I413" s="122">
        <f t="shared" si="12"/>
        <v>-1.193168044074322E-2</v>
      </c>
      <c r="J413" s="122">
        <f t="shared" si="13"/>
        <v>1.0933706896287809E-4</v>
      </c>
    </row>
    <row r="414" spans="6:10" x14ac:dyDescent="0.3">
      <c r="F414" s="121">
        <v>44036</v>
      </c>
      <c r="G414" s="53">
        <v>309.04406699999998</v>
      </c>
      <c r="H414" s="53">
        <v>90.298743999999999</v>
      </c>
      <c r="I414" s="122">
        <f t="shared" si="12"/>
        <v>-6.4402905510494435E-3</v>
      </c>
      <c r="J414" s="122">
        <f t="shared" si="13"/>
        <v>-1.0932511567529613E-4</v>
      </c>
    </row>
    <row r="415" spans="6:10" x14ac:dyDescent="0.3">
      <c r="F415" s="121">
        <v>44039</v>
      </c>
      <c r="G415" s="53">
        <v>311.297729</v>
      </c>
      <c r="H415" s="53">
        <v>90.298743999999999</v>
      </c>
      <c r="I415" s="122">
        <f t="shared" si="12"/>
        <v>7.292364554599251E-3</v>
      </c>
      <c r="J415" s="122">
        <f t="shared" si="13"/>
        <v>0</v>
      </c>
    </row>
    <row r="416" spans="6:10" x14ac:dyDescent="0.3">
      <c r="F416" s="121">
        <v>44040</v>
      </c>
      <c r="G416" s="53">
        <v>309.32330300000001</v>
      </c>
      <c r="H416" s="53">
        <v>90.308616999999998</v>
      </c>
      <c r="I416" s="122">
        <f t="shared" si="12"/>
        <v>-6.3425647412930219E-3</v>
      </c>
      <c r="J416" s="122">
        <f t="shared" si="13"/>
        <v>1.0933706896287809E-4</v>
      </c>
    </row>
    <row r="417" spans="6:10" x14ac:dyDescent="0.3">
      <c r="F417" s="121">
        <v>44041</v>
      </c>
      <c r="G417" s="53">
        <v>313.12759399999999</v>
      </c>
      <c r="H417" s="53">
        <v>90.308616999999998</v>
      </c>
      <c r="I417" s="122">
        <f t="shared" si="12"/>
        <v>1.2298753320890254E-2</v>
      </c>
      <c r="J417" s="122">
        <f t="shared" si="13"/>
        <v>0</v>
      </c>
    </row>
    <row r="418" spans="6:10" x14ac:dyDescent="0.3">
      <c r="F418" s="121">
        <v>44042</v>
      </c>
      <c r="G418" s="53">
        <v>312.01043700000002</v>
      </c>
      <c r="H418" s="53">
        <v>90.298743999999999</v>
      </c>
      <c r="I418" s="122">
        <f t="shared" si="12"/>
        <v>-3.5677373103053522E-3</v>
      </c>
      <c r="J418" s="122">
        <f t="shared" si="13"/>
        <v>-1.0932511567529613E-4</v>
      </c>
    </row>
    <row r="419" spans="6:10" x14ac:dyDescent="0.3">
      <c r="F419" s="121">
        <v>44043</v>
      </c>
      <c r="G419" s="53">
        <v>314.47592200000003</v>
      </c>
      <c r="H419" s="53">
        <v>90.308616999999998</v>
      </c>
      <c r="I419" s="122">
        <f t="shared" si="12"/>
        <v>7.9019311780266221E-3</v>
      </c>
      <c r="J419" s="122">
        <f t="shared" si="13"/>
        <v>1.0933706896287809E-4</v>
      </c>
    </row>
    <row r="420" spans="6:10" x14ac:dyDescent="0.3">
      <c r="F420" s="121">
        <v>44046</v>
      </c>
      <c r="G420" s="53">
        <v>316.66229199999998</v>
      </c>
      <c r="H420" s="53">
        <v>90.298743999999999</v>
      </c>
      <c r="I420" s="122">
        <f t="shared" si="12"/>
        <v>6.952424166833282E-3</v>
      </c>
      <c r="J420" s="122">
        <f t="shared" si="13"/>
        <v>-1.0932511567529613E-4</v>
      </c>
    </row>
    <row r="421" spans="6:10" x14ac:dyDescent="0.3">
      <c r="F421" s="121">
        <v>44047</v>
      </c>
      <c r="G421" s="53">
        <v>317.88537600000001</v>
      </c>
      <c r="H421" s="53">
        <v>90.308616999999998</v>
      </c>
      <c r="I421" s="122">
        <f t="shared" si="12"/>
        <v>3.8624238846853842E-3</v>
      </c>
      <c r="J421" s="122">
        <f t="shared" si="13"/>
        <v>1.0933706896287809E-4</v>
      </c>
    </row>
    <row r="422" spans="6:10" x14ac:dyDescent="0.3">
      <c r="F422" s="121">
        <v>44048</v>
      </c>
      <c r="G422" s="53">
        <v>319.85983299999998</v>
      </c>
      <c r="H422" s="53">
        <v>90.298743999999999</v>
      </c>
      <c r="I422" s="122">
        <f t="shared" si="12"/>
        <v>6.2112231296855835E-3</v>
      </c>
      <c r="J422" s="122">
        <f t="shared" si="13"/>
        <v>-1.0932511567529613E-4</v>
      </c>
    </row>
    <row r="423" spans="6:10" x14ac:dyDescent="0.3">
      <c r="F423" s="121">
        <v>44049</v>
      </c>
      <c r="G423" s="53">
        <v>321.99789399999997</v>
      </c>
      <c r="H423" s="53">
        <v>90.298743999999999</v>
      </c>
      <c r="I423" s="122">
        <f t="shared" si="12"/>
        <v>6.6843685246342766E-3</v>
      </c>
      <c r="J423" s="122">
        <f t="shared" si="13"/>
        <v>0</v>
      </c>
    </row>
    <row r="424" spans="6:10" x14ac:dyDescent="0.3">
      <c r="F424" s="121">
        <v>44050</v>
      </c>
      <c r="G424" s="53">
        <v>322.22903400000001</v>
      </c>
      <c r="H424" s="53">
        <v>90.308616999999998</v>
      </c>
      <c r="I424" s="122">
        <f t="shared" si="12"/>
        <v>7.1783078183740301E-4</v>
      </c>
      <c r="J424" s="122">
        <f t="shared" si="13"/>
        <v>1.0933706896287809E-4</v>
      </c>
    </row>
    <row r="425" spans="6:10" x14ac:dyDescent="0.3">
      <c r="F425" s="121">
        <v>44053</v>
      </c>
      <c r="G425" s="53">
        <v>323.19216899999998</v>
      </c>
      <c r="H425" s="53">
        <v>90.308616999999998</v>
      </c>
      <c r="I425" s="122">
        <f t="shared" si="12"/>
        <v>2.9889764682098363E-3</v>
      </c>
      <c r="J425" s="122">
        <f t="shared" si="13"/>
        <v>0</v>
      </c>
    </row>
    <row r="426" spans="6:10" x14ac:dyDescent="0.3">
      <c r="F426" s="121">
        <v>44054</v>
      </c>
      <c r="G426" s="53">
        <v>320.52435300000002</v>
      </c>
      <c r="H426" s="53">
        <v>90.298743999999999</v>
      </c>
      <c r="I426" s="122">
        <f t="shared" si="12"/>
        <v>-8.2545811931474811E-3</v>
      </c>
      <c r="J426" s="122">
        <f t="shared" si="13"/>
        <v>-1.0932511567529613E-4</v>
      </c>
    </row>
    <row r="427" spans="6:10" x14ac:dyDescent="0.3">
      <c r="F427" s="121">
        <v>44055</v>
      </c>
      <c r="G427" s="53">
        <v>324.99316399999998</v>
      </c>
      <c r="H427" s="53">
        <v>90.298743999999999</v>
      </c>
      <c r="I427" s="122">
        <f t="shared" si="12"/>
        <v>1.3942188661090427E-2</v>
      </c>
      <c r="J427" s="122">
        <f t="shared" si="13"/>
        <v>0</v>
      </c>
    </row>
    <row r="428" spans="6:10" x14ac:dyDescent="0.3">
      <c r="F428" s="121">
        <v>44056</v>
      </c>
      <c r="G428" s="53">
        <v>324.40566999999999</v>
      </c>
      <c r="H428" s="53">
        <v>90.308616999999998</v>
      </c>
      <c r="I428" s="122">
        <f t="shared" si="12"/>
        <v>-1.8077118692871874E-3</v>
      </c>
      <c r="J428" s="122">
        <f t="shared" si="13"/>
        <v>1.0933706896287809E-4</v>
      </c>
    </row>
    <row r="429" spans="6:10" x14ac:dyDescent="0.3">
      <c r="F429" s="121">
        <v>44057</v>
      </c>
      <c r="G429" s="53">
        <v>324.41531400000002</v>
      </c>
      <c r="H429" s="53">
        <v>90.298743999999999</v>
      </c>
      <c r="I429" s="122">
        <f t="shared" si="12"/>
        <v>2.9728210360957519E-5</v>
      </c>
      <c r="J429" s="122">
        <f t="shared" si="13"/>
        <v>-1.0932511567529613E-4</v>
      </c>
    </row>
    <row r="430" spans="6:10" x14ac:dyDescent="0.3">
      <c r="F430" s="121">
        <v>44060</v>
      </c>
      <c r="G430" s="53">
        <v>325.44589200000001</v>
      </c>
      <c r="H430" s="53">
        <v>90.298743999999999</v>
      </c>
      <c r="I430" s="122">
        <f t="shared" si="12"/>
        <v>3.1767242652422922E-3</v>
      </c>
      <c r="J430" s="122">
        <f t="shared" si="13"/>
        <v>0</v>
      </c>
    </row>
    <row r="431" spans="6:10" x14ac:dyDescent="0.3">
      <c r="F431" s="121">
        <v>44061</v>
      </c>
      <c r="G431" s="53">
        <v>326.14898699999998</v>
      </c>
      <c r="H431" s="53">
        <v>90.308616999999998</v>
      </c>
      <c r="I431" s="122">
        <f t="shared" si="12"/>
        <v>2.1604052080028691E-3</v>
      </c>
      <c r="J431" s="122">
        <f t="shared" si="13"/>
        <v>1.0933706896287809E-4</v>
      </c>
    </row>
    <row r="432" spans="6:10" x14ac:dyDescent="0.3">
      <c r="F432" s="121">
        <v>44062</v>
      </c>
      <c r="G432" s="53">
        <v>324.790955</v>
      </c>
      <c r="H432" s="53">
        <v>90.308616999999998</v>
      </c>
      <c r="I432" s="122">
        <f t="shared" si="12"/>
        <v>-4.1638393928231654E-3</v>
      </c>
      <c r="J432" s="122">
        <f t="shared" si="13"/>
        <v>0</v>
      </c>
    </row>
    <row r="433" spans="6:10" x14ac:dyDescent="0.3">
      <c r="F433" s="121">
        <v>44063</v>
      </c>
      <c r="G433" s="53">
        <v>325.80221599999999</v>
      </c>
      <c r="H433" s="53">
        <v>90.308616999999998</v>
      </c>
      <c r="I433" s="122">
        <f t="shared" si="12"/>
        <v>3.1135750070379054E-3</v>
      </c>
      <c r="J433" s="122">
        <f t="shared" si="13"/>
        <v>0</v>
      </c>
    </row>
    <row r="434" spans="6:10" x14ac:dyDescent="0.3">
      <c r="F434" s="121">
        <v>44064</v>
      </c>
      <c r="G434" s="53">
        <v>326.95794699999999</v>
      </c>
      <c r="H434" s="53">
        <v>90.308616999999998</v>
      </c>
      <c r="I434" s="122">
        <f t="shared" si="12"/>
        <v>3.5473392851324004E-3</v>
      </c>
      <c r="J434" s="122">
        <f t="shared" si="13"/>
        <v>0</v>
      </c>
    </row>
    <row r="435" spans="6:10" x14ac:dyDescent="0.3">
      <c r="F435" s="121">
        <v>44067</v>
      </c>
      <c r="G435" s="53">
        <v>330.271118</v>
      </c>
      <c r="H435" s="53">
        <v>90.308616999999998</v>
      </c>
      <c r="I435" s="122">
        <f t="shared" si="12"/>
        <v>1.0133324577059399E-2</v>
      </c>
      <c r="J435" s="122">
        <f t="shared" si="13"/>
        <v>0</v>
      </c>
    </row>
    <row r="436" spans="6:10" x14ac:dyDescent="0.3">
      <c r="F436" s="121">
        <v>44068</v>
      </c>
      <c r="G436" s="53">
        <v>331.42681900000002</v>
      </c>
      <c r="H436" s="53">
        <v>90.298743999999999</v>
      </c>
      <c r="I436" s="122">
        <f t="shared" si="12"/>
        <v>3.4992493651837542E-3</v>
      </c>
      <c r="J436" s="122">
        <f t="shared" si="13"/>
        <v>-1.0932511567529613E-4</v>
      </c>
    </row>
    <row r="437" spans="6:10" x14ac:dyDescent="0.3">
      <c r="F437" s="121">
        <v>44069</v>
      </c>
      <c r="G437" s="53">
        <v>334.749573</v>
      </c>
      <c r="H437" s="53">
        <v>90.298743999999999</v>
      </c>
      <c r="I437" s="122">
        <f t="shared" si="12"/>
        <v>1.0025603872449329E-2</v>
      </c>
      <c r="J437" s="122">
        <f t="shared" si="13"/>
        <v>0</v>
      </c>
    </row>
    <row r="438" spans="6:10" x14ac:dyDescent="0.3">
      <c r="F438" s="121">
        <v>44070</v>
      </c>
      <c r="G438" s="53">
        <v>335.48150600000002</v>
      </c>
      <c r="H438" s="53">
        <v>90.298743999999999</v>
      </c>
      <c r="I438" s="122">
        <f t="shared" si="12"/>
        <v>2.1865091370856238E-3</v>
      </c>
      <c r="J438" s="122">
        <f t="shared" si="13"/>
        <v>0</v>
      </c>
    </row>
    <row r="439" spans="6:10" x14ac:dyDescent="0.3">
      <c r="F439" s="121">
        <v>44071</v>
      </c>
      <c r="G439" s="53">
        <v>337.64849900000002</v>
      </c>
      <c r="H439" s="53">
        <v>90.308616999999998</v>
      </c>
      <c r="I439" s="122">
        <f t="shared" si="12"/>
        <v>6.4593515923945244E-3</v>
      </c>
      <c r="J439" s="122">
        <f t="shared" si="13"/>
        <v>1.0933706896287809E-4</v>
      </c>
    </row>
    <row r="440" spans="6:10" x14ac:dyDescent="0.3">
      <c r="F440" s="121">
        <v>44074</v>
      </c>
      <c r="G440" s="53">
        <v>336.42535400000003</v>
      </c>
      <c r="H440" s="53">
        <v>90.308616999999998</v>
      </c>
      <c r="I440" s="122">
        <f t="shared" si="12"/>
        <v>-3.6225394267189737E-3</v>
      </c>
      <c r="J440" s="122">
        <f t="shared" si="13"/>
        <v>0</v>
      </c>
    </row>
    <row r="441" spans="6:10" x14ac:dyDescent="0.3">
      <c r="F441" s="121">
        <v>44075</v>
      </c>
      <c r="G441" s="53">
        <v>339.59396400000003</v>
      </c>
      <c r="H441" s="53">
        <v>90.308616999999998</v>
      </c>
      <c r="I441" s="122">
        <f t="shared" si="12"/>
        <v>9.4184637463441412E-3</v>
      </c>
      <c r="J441" s="122">
        <f t="shared" si="13"/>
        <v>0</v>
      </c>
    </row>
    <row r="442" spans="6:10" x14ac:dyDescent="0.3">
      <c r="F442" s="121">
        <v>44076</v>
      </c>
      <c r="G442" s="53">
        <v>344.50589000000002</v>
      </c>
      <c r="H442" s="53">
        <v>90.308616999999998</v>
      </c>
      <c r="I442" s="122">
        <f t="shared" si="12"/>
        <v>1.4464114562413144E-2</v>
      </c>
      <c r="J442" s="122">
        <f t="shared" si="13"/>
        <v>0</v>
      </c>
    </row>
    <row r="443" spans="6:10" x14ac:dyDescent="0.3">
      <c r="F443" s="121">
        <v>44077</v>
      </c>
      <c r="G443" s="53">
        <v>332.64996300000001</v>
      </c>
      <c r="H443" s="53">
        <v>90.298743999999999</v>
      </c>
      <c r="I443" s="122">
        <f t="shared" si="12"/>
        <v>-3.4414294048789706E-2</v>
      </c>
      <c r="J443" s="122">
        <f t="shared" si="13"/>
        <v>-1.0932511567529613E-4</v>
      </c>
    </row>
    <row r="444" spans="6:10" x14ac:dyDescent="0.3">
      <c r="F444" s="121">
        <v>44078</v>
      </c>
      <c r="G444" s="53">
        <v>329.93396000000001</v>
      </c>
      <c r="H444" s="53">
        <v>90.308616999999998</v>
      </c>
      <c r="I444" s="122">
        <f t="shared" si="12"/>
        <v>-8.1647476389468121E-3</v>
      </c>
      <c r="J444" s="122">
        <f t="shared" si="13"/>
        <v>1.0933706896287809E-4</v>
      </c>
    </row>
    <row r="445" spans="6:10" x14ac:dyDescent="0.3">
      <c r="F445" s="121">
        <v>44082</v>
      </c>
      <c r="G445" s="53">
        <v>320.91924999999998</v>
      </c>
      <c r="H445" s="53">
        <v>90.308616999999998</v>
      </c>
      <c r="I445" s="122">
        <f t="shared" si="12"/>
        <v>-2.7322770896333393E-2</v>
      </c>
      <c r="J445" s="122">
        <f t="shared" si="13"/>
        <v>0</v>
      </c>
    </row>
    <row r="446" spans="6:10" x14ac:dyDescent="0.3">
      <c r="F446" s="121">
        <v>44083</v>
      </c>
      <c r="G446" s="53">
        <v>327.25650000000002</v>
      </c>
      <c r="H446" s="53">
        <v>90.298743999999999</v>
      </c>
      <c r="I446" s="122">
        <f t="shared" si="12"/>
        <v>1.9747179391700787E-2</v>
      </c>
      <c r="J446" s="122">
        <f t="shared" si="13"/>
        <v>-1.0932511567529613E-4</v>
      </c>
    </row>
    <row r="447" spans="6:10" x14ac:dyDescent="0.3">
      <c r="F447" s="121">
        <v>44084</v>
      </c>
      <c r="G447" s="53">
        <v>321.57415800000001</v>
      </c>
      <c r="H447" s="53">
        <v>90.298743999999999</v>
      </c>
      <c r="I447" s="122">
        <f t="shared" si="12"/>
        <v>-1.7363572610475275E-2</v>
      </c>
      <c r="J447" s="122">
        <f t="shared" si="13"/>
        <v>0</v>
      </c>
    </row>
    <row r="448" spans="6:10" x14ac:dyDescent="0.3">
      <c r="F448" s="121">
        <v>44085</v>
      </c>
      <c r="G448" s="53">
        <v>321.73791499999999</v>
      </c>
      <c r="H448" s="53">
        <v>90.288887000000003</v>
      </c>
      <c r="I448" s="122">
        <f t="shared" si="12"/>
        <v>5.0923557109960882E-4</v>
      </c>
      <c r="J448" s="122">
        <f t="shared" si="13"/>
        <v>-1.0915987934445592E-4</v>
      </c>
    </row>
    <row r="449" spans="6:10" x14ac:dyDescent="0.3">
      <c r="F449" s="121">
        <v>44088</v>
      </c>
      <c r="G449" s="53">
        <v>325.97558600000002</v>
      </c>
      <c r="H449" s="53">
        <v>90.308616999999998</v>
      </c>
      <c r="I449" s="122">
        <f t="shared" si="12"/>
        <v>1.3171189351432355E-2</v>
      </c>
      <c r="J449" s="122">
        <f t="shared" si="13"/>
        <v>2.1852080201179014E-4</v>
      </c>
    </row>
    <row r="450" spans="6:10" x14ac:dyDescent="0.3">
      <c r="F450" s="121">
        <v>44089</v>
      </c>
      <c r="G450" s="53">
        <v>327.622589</v>
      </c>
      <c r="H450" s="53">
        <v>90.288887000000003</v>
      </c>
      <c r="I450" s="122">
        <f t="shared" si="12"/>
        <v>5.0525348238807943E-3</v>
      </c>
      <c r="J450" s="122">
        <f t="shared" si="13"/>
        <v>-2.1847306110334141E-4</v>
      </c>
    </row>
    <row r="451" spans="6:10" x14ac:dyDescent="0.3">
      <c r="F451" s="121">
        <v>44090</v>
      </c>
      <c r="G451" s="53">
        <v>326.32229599999999</v>
      </c>
      <c r="H451" s="53">
        <v>90.308616999999998</v>
      </c>
      <c r="I451" s="122">
        <f t="shared" si="12"/>
        <v>-3.9688746858660418E-3</v>
      </c>
      <c r="J451" s="122">
        <f t="shared" si="13"/>
        <v>2.1852080201179014E-4</v>
      </c>
    </row>
    <row r="452" spans="6:10" x14ac:dyDescent="0.3">
      <c r="F452" s="121">
        <v>44091</v>
      </c>
      <c r="G452" s="53">
        <v>323.452179</v>
      </c>
      <c r="H452" s="53">
        <v>90.308616999999998</v>
      </c>
      <c r="I452" s="122">
        <f t="shared" si="12"/>
        <v>-8.79534446521546E-3</v>
      </c>
      <c r="J452" s="122">
        <f t="shared" si="13"/>
        <v>0</v>
      </c>
    </row>
    <row r="453" spans="6:10" x14ac:dyDescent="0.3">
      <c r="F453" s="121">
        <v>44092</v>
      </c>
      <c r="G453" s="53">
        <v>319.72839399999998</v>
      </c>
      <c r="H453" s="53">
        <v>90.288887000000003</v>
      </c>
      <c r="I453" s="122">
        <f t="shared" si="12"/>
        <v>-1.151262919765339E-2</v>
      </c>
      <c r="J453" s="122">
        <f t="shared" si="13"/>
        <v>-2.1847306110334141E-4</v>
      </c>
    </row>
    <row r="454" spans="6:10" x14ac:dyDescent="0.3">
      <c r="F454" s="121">
        <v>44095</v>
      </c>
      <c r="G454" s="53">
        <v>316.17001299999998</v>
      </c>
      <c r="H454" s="53">
        <v>90.288887000000003</v>
      </c>
      <c r="I454" s="122">
        <f t="shared" si="12"/>
        <v>-1.1129386900808003E-2</v>
      </c>
      <c r="J454" s="122">
        <f t="shared" si="13"/>
        <v>0</v>
      </c>
    </row>
    <row r="455" spans="6:10" x14ac:dyDescent="0.3">
      <c r="F455" s="121">
        <v>44096</v>
      </c>
      <c r="G455" s="53">
        <v>319.38998400000003</v>
      </c>
      <c r="H455" s="53">
        <v>90.288887000000003</v>
      </c>
      <c r="I455" s="122">
        <f t="shared" si="12"/>
        <v>1.0184302329772299E-2</v>
      </c>
      <c r="J455" s="122">
        <f t="shared" si="13"/>
        <v>0</v>
      </c>
    </row>
    <row r="456" spans="6:10" x14ac:dyDescent="0.3">
      <c r="F456" s="121">
        <v>44097</v>
      </c>
      <c r="G456" s="53">
        <v>311.98303199999998</v>
      </c>
      <c r="H456" s="53">
        <v>90.288887000000003</v>
      </c>
      <c r="I456" s="122">
        <f t="shared" si="12"/>
        <v>-2.3190933877250353E-2</v>
      </c>
      <c r="J456" s="122">
        <f t="shared" si="13"/>
        <v>0</v>
      </c>
    </row>
    <row r="457" spans="6:10" x14ac:dyDescent="0.3">
      <c r="F457" s="121">
        <v>44098</v>
      </c>
      <c r="G457" s="53">
        <v>312.81454500000001</v>
      </c>
      <c r="H457" s="53">
        <v>90.298743999999999</v>
      </c>
      <c r="I457" s="122">
        <f t="shared" si="12"/>
        <v>2.6652507178661633E-3</v>
      </c>
      <c r="J457" s="122">
        <f t="shared" si="13"/>
        <v>1.0917179652469855E-4</v>
      </c>
    </row>
    <row r="458" spans="6:10" x14ac:dyDescent="0.3">
      <c r="F458" s="121">
        <v>44099</v>
      </c>
      <c r="G458" s="53">
        <v>317.871826</v>
      </c>
      <c r="H458" s="53">
        <v>90.288887000000003</v>
      </c>
      <c r="I458" s="122">
        <f t="shared" si="12"/>
        <v>1.6167026376602722E-2</v>
      </c>
      <c r="J458" s="122">
        <f t="shared" si="13"/>
        <v>-1.0915987934445592E-4</v>
      </c>
    </row>
    <row r="459" spans="6:10" x14ac:dyDescent="0.3">
      <c r="F459" s="121">
        <v>44102</v>
      </c>
      <c r="G459" s="53">
        <v>323.15145899999999</v>
      </c>
      <c r="H459" s="53">
        <v>90.298743999999999</v>
      </c>
      <c r="I459" s="122">
        <f t="shared" si="12"/>
        <v>1.6609314095046512E-2</v>
      </c>
      <c r="J459" s="122">
        <f t="shared" si="13"/>
        <v>1.0917179652469855E-4</v>
      </c>
    </row>
    <row r="460" spans="6:10" x14ac:dyDescent="0.3">
      <c r="F460" s="121">
        <v>44103</v>
      </c>
      <c r="G460" s="53">
        <v>321.391571</v>
      </c>
      <c r="H460" s="53">
        <v>90.298743999999999</v>
      </c>
      <c r="I460" s="122">
        <f t="shared" si="12"/>
        <v>-5.4460159500625549E-3</v>
      </c>
      <c r="J460" s="122">
        <f t="shared" si="13"/>
        <v>0</v>
      </c>
    </row>
    <row r="461" spans="6:10" x14ac:dyDescent="0.3">
      <c r="F461" s="121">
        <v>44104</v>
      </c>
      <c r="G461" s="53">
        <v>323.82833900000003</v>
      </c>
      <c r="H461" s="53">
        <v>90.288887000000003</v>
      </c>
      <c r="I461" s="122">
        <f t="shared" si="12"/>
        <v>7.581928774354818E-3</v>
      </c>
      <c r="J461" s="122">
        <f t="shared" si="13"/>
        <v>-1.0915987934445592E-4</v>
      </c>
    </row>
    <row r="462" spans="6:10" x14ac:dyDescent="0.3">
      <c r="F462" s="121">
        <v>44105</v>
      </c>
      <c r="G462" s="53">
        <v>325.90731799999998</v>
      </c>
      <c r="H462" s="53">
        <v>90.288887000000003</v>
      </c>
      <c r="I462" s="122">
        <f t="shared" si="12"/>
        <v>6.4200032845178612E-3</v>
      </c>
      <c r="J462" s="122">
        <f t="shared" si="13"/>
        <v>0</v>
      </c>
    </row>
    <row r="463" spans="6:10" x14ac:dyDescent="0.3">
      <c r="F463" s="121">
        <v>44106</v>
      </c>
      <c r="G463" s="53">
        <v>322.813019</v>
      </c>
      <c r="H463" s="53">
        <v>90.288887000000003</v>
      </c>
      <c r="I463" s="122">
        <f t="shared" si="12"/>
        <v>-9.4944139916489645E-3</v>
      </c>
      <c r="J463" s="122">
        <f t="shared" si="13"/>
        <v>0</v>
      </c>
    </row>
    <row r="464" spans="6:10" x14ac:dyDescent="0.3">
      <c r="F464" s="121">
        <v>44109</v>
      </c>
      <c r="G464" s="53">
        <v>328.53750600000001</v>
      </c>
      <c r="H464" s="53">
        <v>90.288887000000003</v>
      </c>
      <c r="I464" s="122">
        <f t="shared" si="12"/>
        <v>1.7733135478033457E-2</v>
      </c>
      <c r="J464" s="122">
        <f t="shared" si="13"/>
        <v>0</v>
      </c>
    </row>
    <row r="465" spans="6:10" x14ac:dyDescent="0.3">
      <c r="F465" s="121">
        <v>44110</v>
      </c>
      <c r="G465" s="53">
        <v>323.86706500000003</v>
      </c>
      <c r="H465" s="53">
        <v>90.298743999999999</v>
      </c>
      <c r="I465" s="122">
        <f t="shared" si="12"/>
        <v>-1.4215853333956918E-2</v>
      </c>
      <c r="J465" s="122">
        <f t="shared" si="13"/>
        <v>1.0917179652469855E-4</v>
      </c>
    </row>
    <row r="466" spans="6:10" x14ac:dyDescent="0.3">
      <c r="F466" s="121">
        <v>44111</v>
      </c>
      <c r="G466" s="53">
        <v>329.504456</v>
      </c>
      <c r="H466" s="53">
        <v>90.288887000000003</v>
      </c>
      <c r="I466" s="122">
        <f t="shared" si="12"/>
        <v>1.740649670567751E-2</v>
      </c>
      <c r="J466" s="122">
        <f t="shared" si="13"/>
        <v>-1.0915987934445592E-4</v>
      </c>
    </row>
    <row r="467" spans="6:10" x14ac:dyDescent="0.3">
      <c r="F467" s="121">
        <v>44112</v>
      </c>
      <c r="G467" s="53">
        <v>332.42477400000001</v>
      </c>
      <c r="H467" s="53">
        <v>90.288887000000003</v>
      </c>
      <c r="I467" s="122">
        <f t="shared" si="12"/>
        <v>8.8627572308157543E-3</v>
      </c>
      <c r="J467" s="122">
        <f t="shared" si="13"/>
        <v>0</v>
      </c>
    </row>
    <row r="468" spans="6:10" x14ac:dyDescent="0.3">
      <c r="F468" s="121">
        <v>44113</v>
      </c>
      <c r="G468" s="53">
        <v>335.39328</v>
      </c>
      <c r="H468" s="53">
        <v>90.288887000000003</v>
      </c>
      <c r="I468" s="122">
        <f t="shared" si="12"/>
        <v>8.9298579172683024E-3</v>
      </c>
      <c r="J468" s="122">
        <f t="shared" si="13"/>
        <v>0</v>
      </c>
    </row>
    <row r="469" spans="6:10" x14ac:dyDescent="0.3">
      <c r="F469" s="121">
        <v>44116</v>
      </c>
      <c r="G469" s="53">
        <v>340.788971</v>
      </c>
      <c r="H469" s="53">
        <v>90.298743999999999</v>
      </c>
      <c r="I469" s="122">
        <f t="shared" si="12"/>
        <v>1.608765387308897E-2</v>
      </c>
      <c r="J469" s="122">
        <f t="shared" si="13"/>
        <v>1.0917179652469855E-4</v>
      </c>
    </row>
    <row r="470" spans="6:10" x14ac:dyDescent="0.3">
      <c r="F470" s="121">
        <v>44117</v>
      </c>
      <c r="G470" s="53">
        <v>338.56500199999999</v>
      </c>
      <c r="H470" s="53">
        <v>90.288887000000003</v>
      </c>
      <c r="I470" s="122">
        <f t="shared" ref="I470:I525" si="14">G470/G469-1</f>
        <v>-6.5259418269143499E-3</v>
      </c>
      <c r="J470" s="122">
        <f t="shared" ref="J470:J525" si="15">H470/H469-1</f>
        <v>-1.0915987934445592E-4</v>
      </c>
    </row>
    <row r="471" spans="6:10" x14ac:dyDescent="0.3">
      <c r="F471" s="121">
        <v>44118</v>
      </c>
      <c r="G471" s="53">
        <v>336.43765300000001</v>
      </c>
      <c r="H471" s="53">
        <v>90.288887000000003</v>
      </c>
      <c r="I471" s="122">
        <f t="shared" si="14"/>
        <v>-6.2834285511884636E-3</v>
      </c>
      <c r="J471" s="122">
        <f t="shared" si="15"/>
        <v>0</v>
      </c>
    </row>
    <row r="472" spans="6:10" x14ac:dyDescent="0.3">
      <c r="F472" s="121">
        <v>44119</v>
      </c>
      <c r="G472" s="53">
        <v>336.02181999999999</v>
      </c>
      <c r="H472" s="53">
        <v>90.288887000000003</v>
      </c>
      <c r="I472" s="122">
        <f t="shared" si="14"/>
        <v>-1.2359882917148957E-3</v>
      </c>
      <c r="J472" s="122">
        <f t="shared" si="15"/>
        <v>0</v>
      </c>
    </row>
    <row r="473" spans="6:10" x14ac:dyDescent="0.3">
      <c r="F473" s="121">
        <v>44120</v>
      </c>
      <c r="G473" s="53">
        <v>335.81875600000001</v>
      </c>
      <c r="H473" s="53">
        <v>90.298743999999999</v>
      </c>
      <c r="I473" s="122">
        <f t="shared" si="14"/>
        <v>-6.0431789816506321E-4</v>
      </c>
      <c r="J473" s="122">
        <f t="shared" si="15"/>
        <v>1.0917179652469855E-4</v>
      </c>
    </row>
    <row r="474" spans="6:10" x14ac:dyDescent="0.3">
      <c r="F474" s="121">
        <v>44123</v>
      </c>
      <c r="G474" s="53">
        <v>330.71319599999998</v>
      </c>
      <c r="H474" s="53">
        <v>90.298743999999999</v>
      </c>
      <c r="I474" s="122">
        <f t="shared" si="14"/>
        <v>-1.5203319971800577E-2</v>
      </c>
      <c r="J474" s="122">
        <f t="shared" si="15"/>
        <v>0</v>
      </c>
    </row>
    <row r="475" spans="6:10" x14ac:dyDescent="0.3">
      <c r="F475" s="121">
        <v>44124</v>
      </c>
      <c r="G475" s="53">
        <v>332.03793300000001</v>
      </c>
      <c r="H475" s="53">
        <v>90.288887000000003</v>
      </c>
      <c r="I475" s="122">
        <f t="shared" si="14"/>
        <v>4.0056974321642791E-3</v>
      </c>
      <c r="J475" s="122">
        <f t="shared" si="15"/>
        <v>-1.0915987934445592E-4</v>
      </c>
    </row>
    <row r="476" spans="6:10" x14ac:dyDescent="0.3">
      <c r="F476" s="121">
        <v>44125</v>
      </c>
      <c r="G476" s="53">
        <v>331.40936299999998</v>
      </c>
      <c r="H476" s="53">
        <v>90.288887000000003</v>
      </c>
      <c r="I476" s="122">
        <f t="shared" si="14"/>
        <v>-1.8930668382398652E-3</v>
      </c>
      <c r="J476" s="122">
        <f t="shared" si="15"/>
        <v>0</v>
      </c>
    </row>
    <row r="477" spans="6:10" x14ac:dyDescent="0.3">
      <c r="F477" s="121">
        <v>44126</v>
      </c>
      <c r="G477" s="53">
        <v>333.22726399999999</v>
      </c>
      <c r="H477" s="53">
        <v>90.298743999999999</v>
      </c>
      <c r="I477" s="122">
        <f t="shared" si="14"/>
        <v>5.4853640330010389E-3</v>
      </c>
      <c r="J477" s="122">
        <f t="shared" si="15"/>
        <v>1.0917179652469855E-4</v>
      </c>
    </row>
    <row r="478" spans="6:10" x14ac:dyDescent="0.3">
      <c r="F478" s="121">
        <v>44127</v>
      </c>
      <c r="G478" s="53">
        <v>334.35870399999999</v>
      </c>
      <c r="H478" s="53">
        <v>90.298743999999999</v>
      </c>
      <c r="I478" s="122">
        <f t="shared" si="14"/>
        <v>3.3954004435843288E-3</v>
      </c>
      <c r="J478" s="122">
        <f t="shared" si="15"/>
        <v>0</v>
      </c>
    </row>
    <row r="479" spans="6:10" x14ac:dyDescent="0.3">
      <c r="F479" s="121">
        <v>44130</v>
      </c>
      <c r="G479" s="53">
        <v>328.17974900000002</v>
      </c>
      <c r="H479" s="53">
        <v>90.298743999999999</v>
      </c>
      <c r="I479" s="122">
        <f t="shared" si="14"/>
        <v>-1.8480018393658981E-2</v>
      </c>
      <c r="J479" s="122">
        <f t="shared" si="15"/>
        <v>0</v>
      </c>
    </row>
    <row r="480" spans="6:10" x14ac:dyDescent="0.3">
      <c r="F480" s="121">
        <v>44131</v>
      </c>
      <c r="G480" s="53">
        <v>327.04840100000001</v>
      </c>
      <c r="H480" s="53">
        <v>90.288887000000003</v>
      </c>
      <c r="I480" s="122">
        <f t="shared" si="14"/>
        <v>-3.4473425110700395E-3</v>
      </c>
      <c r="J480" s="122">
        <f t="shared" si="15"/>
        <v>-1.0915987934445592E-4</v>
      </c>
    </row>
    <row r="481" spans="6:10" x14ac:dyDescent="0.3">
      <c r="F481" s="121">
        <v>44132</v>
      </c>
      <c r="G481" s="53">
        <v>315.87023900000003</v>
      </c>
      <c r="H481" s="53">
        <v>90.288887000000003</v>
      </c>
      <c r="I481" s="122">
        <f t="shared" si="14"/>
        <v>-3.4178922648210652E-2</v>
      </c>
      <c r="J481" s="122">
        <f t="shared" si="15"/>
        <v>0</v>
      </c>
    </row>
    <row r="482" spans="6:10" x14ac:dyDescent="0.3">
      <c r="F482" s="121">
        <v>44133</v>
      </c>
      <c r="G482" s="53">
        <v>319.08056599999998</v>
      </c>
      <c r="H482" s="53">
        <v>90.298743999999999</v>
      </c>
      <c r="I482" s="122">
        <f t="shared" si="14"/>
        <v>1.0163436131759074E-2</v>
      </c>
      <c r="J482" s="122">
        <f t="shared" si="15"/>
        <v>1.0917179652469855E-4</v>
      </c>
    </row>
    <row r="483" spans="6:10" x14ac:dyDescent="0.3">
      <c r="F483" s="121">
        <v>44134</v>
      </c>
      <c r="G483" s="53">
        <v>315.75418100000002</v>
      </c>
      <c r="H483" s="53">
        <v>90.298743999999999</v>
      </c>
      <c r="I483" s="122">
        <f t="shared" si="14"/>
        <v>-1.042490629153503E-2</v>
      </c>
      <c r="J483" s="122">
        <f t="shared" si="15"/>
        <v>0</v>
      </c>
    </row>
    <row r="484" spans="6:10" x14ac:dyDescent="0.3">
      <c r="F484" s="121">
        <v>44137</v>
      </c>
      <c r="G484" s="53">
        <v>319.29330399999998</v>
      </c>
      <c r="H484" s="53">
        <v>90.298743999999999</v>
      </c>
      <c r="I484" s="122">
        <f t="shared" si="14"/>
        <v>1.1208475494422609E-2</v>
      </c>
      <c r="J484" s="122">
        <f t="shared" si="15"/>
        <v>0</v>
      </c>
    </row>
    <row r="485" spans="6:10" x14ac:dyDescent="0.3">
      <c r="F485" s="121">
        <v>44138</v>
      </c>
      <c r="G485" s="53">
        <v>324.930725</v>
      </c>
      <c r="H485" s="53">
        <v>90.298743999999999</v>
      </c>
      <c r="I485" s="122">
        <f t="shared" si="14"/>
        <v>1.7655932427571353E-2</v>
      </c>
      <c r="J485" s="122">
        <f t="shared" si="15"/>
        <v>0</v>
      </c>
    </row>
    <row r="486" spans="6:10" x14ac:dyDescent="0.3">
      <c r="F486" s="121">
        <v>44139</v>
      </c>
      <c r="G486" s="53">
        <v>332.192657</v>
      </c>
      <c r="H486" s="53">
        <v>90.288887000000003</v>
      </c>
      <c r="I486" s="122">
        <f t="shared" si="14"/>
        <v>2.2349169965382609E-2</v>
      </c>
      <c r="J486" s="122">
        <f t="shared" si="15"/>
        <v>-1.0915987934445592E-4</v>
      </c>
    </row>
    <row r="487" spans="6:10" x14ac:dyDescent="0.3">
      <c r="F487" s="121">
        <v>44140</v>
      </c>
      <c r="G487" s="53">
        <v>338.67138699999998</v>
      </c>
      <c r="H487" s="53">
        <v>90.298743999999999</v>
      </c>
      <c r="I487" s="122">
        <f t="shared" si="14"/>
        <v>1.9502929590644147E-2</v>
      </c>
      <c r="J487" s="122">
        <f t="shared" si="15"/>
        <v>1.0917179652469855E-4</v>
      </c>
    </row>
    <row r="488" spans="6:10" x14ac:dyDescent="0.3">
      <c r="F488" s="121">
        <v>44141</v>
      </c>
      <c r="G488" s="53">
        <v>338.59399400000001</v>
      </c>
      <c r="H488" s="53">
        <v>90.288887000000003</v>
      </c>
      <c r="I488" s="122">
        <f t="shared" si="14"/>
        <v>-2.2851945269286578E-4</v>
      </c>
      <c r="J488" s="122">
        <f t="shared" si="15"/>
        <v>-1.0915987934445592E-4</v>
      </c>
    </row>
    <row r="489" spans="6:10" x14ac:dyDescent="0.3">
      <c r="F489" s="121">
        <v>44144</v>
      </c>
      <c r="G489" s="53">
        <v>342.84863300000001</v>
      </c>
      <c r="H489" s="53">
        <v>90.298743999999999</v>
      </c>
      <c r="I489" s="122">
        <f t="shared" si="14"/>
        <v>1.2565606819357811E-2</v>
      </c>
      <c r="J489" s="122">
        <f t="shared" si="15"/>
        <v>1.0917179652469855E-4</v>
      </c>
    </row>
    <row r="490" spans="6:10" x14ac:dyDescent="0.3">
      <c r="F490" s="121">
        <v>44145</v>
      </c>
      <c r="G490" s="53">
        <v>342.34582499999999</v>
      </c>
      <c r="H490" s="53">
        <v>90.288887000000003</v>
      </c>
      <c r="I490" s="122">
        <f t="shared" si="14"/>
        <v>-1.4665597339570402E-3</v>
      </c>
      <c r="J490" s="122">
        <f t="shared" si="15"/>
        <v>-1.0915987934445592E-4</v>
      </c>
    </row>
    <row r="491" spans="6:10" x14ac:dyDescent="0.3">
      <c r="F491" s="121">
        <v>44146</v>
      </c>
      <c r="G491" s="53">
        <v>344.88897700000001</v>
      </c>
      <c r="H491" s="53">
        <v>90.288887000000003</v>
      </c>
      <c r="I491" s="122">
        <f t="shared" si="14"/>
        <v>7.4286052707084327E-3</v>
      </c>
      <c r="J491" s="122">
        <f t="shared" si="15"/>
        <v>0</v>
      </c>
    </row>
    <row r="492" spans="6:10" x14ac:dyDescent="0.3">
      <c r="F492" s="121">
        <v>44147</v>
      </c>
      <c r="G492" s="53">
        <v>341.54321299999998</v>
      </c>
      <c r="H492" s="53">
        <v>90.288887000000003</v>
      </c>
      <c r="I492" s="122">
        <f t="shared" si="14"/>
        <v>-9.700988501003982E-3</v>
      </c>
      <c r="J492" s="122">
        <f t="shared" si="15"/>
        <v>0</v>
      </c>
    </row>
    <row r="493" spans="6:10" x14ac:dyDescent="0.3">
      <c r="F493" s="121">
        <v>44148</v>
      </c>
      <c r="G493" s="53">
        <v>346.27172899999999</v>
      </c>
      <c r="H493" s="53">
        <v>90.298743999999999</v>
      </c>
      <c r="I493" s="122">
        <f t="shared" si="14"/>
        <v>1.3844561449388282E-2</v>
      </c>
      <c r="J493" s="122">
        <f t="shared" si="15"/>
        <v>1.0917179652469855E-4</v>
      </c>
    </row>
    <row r="494" spans="6:10" x14ac:dyDescent="0.3">
      <c r="F494" s="121">
        <v>44151</v>
      </c>
      <c r="G494" s="53">
        <v>350.594086</v>
      </c>
      <c r="H494" s="53">
        <v>90.298743999999999</v>
      </c>
      <c r="I494" s="122">
        <f t="shared" si="14"/>
        <v>1.2482558170378466E-2</v>
      </c>
      <c r="J494" s="122">
        <f t="shared" si="15"/>
        <v>0</v>
      </c>
    </row>
    <row r="495" spans="6:10" x14ac:dyDescent="0.3">
      <c r="F495" s="121">
        <v>44152</v>
      </c>
      <c r="G495" s="53">
        <v>348.70843500000001</v>
      </c>
      <c r="H495" s="53">
        <v>90.298743999999999</v>
      </c>
      <c r="I495" s="122">
        <f t="shared" si="14"/>
        <v>-5.3784449746822061E-3</v>
      </c>
      <c r="J495" s="122">
        <f t="shared" si="15"/>
        <v>0</v>
      </c>
    </row>
    <row r="496" spans="6:10" x14ac:dyDescent="0.3">
      <c r="F496" s="121">
        <v>44153</v>
      </c>
      <c r="G496" s="53">
        <v>344.511841</v>
      </c>
      <c r="H496" s="53">
        <v>90.298743999999999</v>
      </c>
      <c r="I496" s="122">
        <f t="shared" si="14"/>
        <v>-1.2034678771105756E-2</v>
      </c>
      <c r="J496" s="122">
        <f t="shared" si="15"/>
        <v>0</v>
      </c>
    </row>
    <row r="497" spans="6:10" x14ac:dyDescent="0.3">
      <c r="F497" s="121">
        <v>44154</v>
      </c>
      <c r="G497" s="53">
        <v>345.962311</v>
      </c>
      <c r="H497" s="53">
        <v>90.298743999999999</v>
      </c>
      <c r="I497" s="122">
        <f t="shared" si="14"/>
        <v>4.2102181329668475E-3</v>
      </c>
      <c r="J497" s="122">
        <f t="shared" si="15"/>
        <v>0</v>
      </c>
    </row>
    <row r="498" spans="6:10" x14ac:dyDescent="0.3">
      <c r="F498" s="121">
        <v>44155</v>
      </c>
      <c r="G498" s="53">
        <v>343.59320100000002</v>
      </c>
      <c r="H498" s="53">
        <v>90.298743999999999</v>
      </c>
      <c r="I498" s="122">
        <f t="shared" si="14"/>
        <v>-6.847884652961489E-3</v>
      </c>
      <c r="J498" s="122">
        <f t="shared" si="15"/>
        <v>0</v>
      </c>
    </row>
    <row r="499" spans="6:10" x14ac:dyDescent="0.3">
      <c r="F499" s="121">
        <v>44158</v>
      </c>
      <c r="G499" s="53">
        <v>345.65289300000001</v>
      </c>
      <c r="H499" s="53">
        <v>90.298743999999999</v>
      </c>
      <c r="I499" s="122">
        <f t="shared" si="14"/>
        <v>5.994565649161343E-3</v>
      </c>
      <c r="J499" s="122">
        <f t="shared" si="15"/>
        <v>0</v>
      </c>
    </row>
    <row r="500" spans="6:10" x14ac:dyDescent="0.3">
      <c r="F500" s="121">
        <v>44159</v>
      </c>
      <c r="G500" s="53">
        <v>351.22262599999999</v>
      </c>
      <c r="H500" s="53">
        <v>90.298743999999999</v>
      </c>
      <c r="I500" s="122">
        <f t="shared" si="14"/>
        <v>1.611365943348253E-2</v>
      </c>
      <c r="J500" s="122">
        <f t="shared" si="15"/>
        <v>0</v>
      </c>
    </row>
    <row r="501" spans="6:10" x14ac:dyDescent="0.3">
      <c r="F501" s="121">
        <v>44160</v>
      </c>
      <c r="G501" s="53">
        <v>350.68112200000002</v>
      </c>
      <c r="H501" s="53">
        <v>90.288887000000003</v>
      </c>
      <c r="I501" s="122">
        <f t="shared" si="14"/>
        <v>-1.5417685533732906E-3</v>
      </c>
      <c r="J501" s="122">
        <f t="shared" si="15"/>
        <v>-1.0915987934445592E-4</v>
      </c>
    </row>
    <row r="502" spans="6:10" x14ac:dyDescent="0.3">
      <c r="F502" s="121">
        <v>44162</v>
      </c>
      <c r="G502" s="53">
        <v>351.65780599999999</v>
      </c>
      <c r="H502" s="53">
        <v>90.298743999999999</v>
      </c>
      <c r="I502" s="122">
        <f t="shared" si="14"/>
        <v>2.7851057234840049E-3</v>
      </c>
      <c r="J502" s="122">
        <f t="shared" si="15"/>
        <v>1.0917179652469855E-4</v>
      </c>
    </row>
    <row r="503" spans="6:10" x14ac:dyDescent="0.3">
      <c r="F503" s="121">
        <v>44165</v>
      </c>
      <c r="G503" s="53">
        <v>350.10095200000001</v>
      </c>
      <c r="H503" s="53">
        <v>90.288887000000003</v>
      </c>
      <c r="I503" s="122">
        <f t="shared" si="14"/>
        <v>-4.4271845340466687E-3</v>
      </c>
      <c r="J503" s="122">
        <f t="shared" si="15"/>
        <v>-1.0915987934445592E-4</v>
      </c>
    </row>
    <row r="504" spans="6:10" x14ac:dyDescent="0.3">
      <c r="F504" s="121">
        <v>44166</v>
      </c>
      <c r="G504" s="53">
        <v>353.93008400000002</v>
      </c>
      <c r="H504" s="53">
        <v>90.281981999999999</v>
      </c>
      <c r="I504" s="122">
        <f t="shared" si="14"/>
        <v>1.0937222472905406E-2</v>
      </c>
      <c r="J504" s="122">
        <f t="shared" si="15"/>
        <v>-7.6476742924103114E-5</v>
      </c>
    </row>
    <row r="505" spans="6:10" x14ac:dyDescent="0.3">
      <c r="F505" s="121">
        <v>44167</v>
      </c>
      <c r="G505" s="53">
        <v>354.67468300000002</v>
      </c>
      <c r="H505" s="53">
        <v>90.291847000000004</v>
      </c>
      <c r="I505" s="122">
        <f t="shared" si="14"/>
        <v>2.1038025125887927E-3</v>
      </c>
      <c r="J505" s="122">
        <f t="shared" si="15"/>
        <v>1.0926875752459431E-4</v>
      </c>
    </row>
    <row r="506" spans="6:10" x14ac:dyDescent="0.3">
      <c r="F506" s="121">
        <v>44168</v>
      </c>
      <c r="G506" s="53">
        <v>354.57797199999999</v>
      </c>
      <c r="H506" s="53">
        <v>90.291847000000004</v>
      </c>
      <c r="I506" s="122">
        <f t="shared" si="14"/>
        <v>-2.7267522785101583E-4</v>
      </c>
      <c r="J506" s="122">
        <f t="shared" si="15"/>
        <v>0</v>
      </c>
    </row>
    <row r="507" spans="6:10" x14ac:dyDescent="0.3">
      <c r="F507" s="121">
        <v>44169</v>
      </c>
      <c r="G507" s="53">
        <v>357.633667</v>
      </c>
      <c r="H507" s="53">
        <v>90.301711999999995</v>
      </c>
      <c r="I507" s="122">
        <f t="shared" si="14"/>
        <v>8.6178365304656612E-3</v>
      </c>
      <c r="J507" s="122">
        <f t="shared" si="15"/>
        <v>1.0925681916762464E-4</v>
      </c>
    </row>
    <row r="508" spans="6:10" x14ac:dyDescent="0.3">
      <c r="F508" s="121">
        <v>44172</v>
      </c>
      <c r="G508" s="53">
        <v>356.89871199999999</v>
      </c>
      <c r="H508" s="53">
        <v>90.281981999999999</v>
      </c>
      <c r="I508" s="122">
        <f t="shared" si="14"/>
        <v>-2.0550498116275184E-3</v>
      </c>
      <c r="J508" s="122">
        <f t="shared" si="15"/>
        <v>-2.1848976683846999E-4</v>
      </c>
    </row>
    <row r="509" spans="6:10" x14ac:dyDescent="0.3">
      <c r="F509" s="121">
        <v>44173</v>
      </c>
      <c r="G509" s="53">
        <v>357.94305400000002</v>
      </c>
      <c r="H509" s="53">
        <v>90.281981999999999</v>
      </c>
      <c r="I509" s="122">
        <f t="shared" si="14"/>
        <v>2.9261579402954929E-3</v>
      </c>
      <c r="J509" s="122">
        <f t="shared" si="15"/>
        <v>0</v>
      </c>
    </row>
    <row r="510" spans="6:10" x14ac:dyDescent="0.3">
      <c r="F510" s="121">
        <v>44174</v>
      </c>
      <c r="G510" s="53">
        <v>354.73272700000001</v>
      </c>
      <c r="H510" s="53">
        <v>90.281981999999999</v>
      </c>
      <c r="I510" s="122">
        <f t="shared" si="14"/>
        <v>-8.9688204984695874E-3</v>
      </c>
      <c r="J510" s="122">
        <f t="shared" si="15"/>
        <v>0</v>
      </c>
    </row>
    <row r="511" spans="6:10" x14ac:dyDescent="0.3">
      <c r="F511" s="121">
        <v>44175</v>
      </c>
      <c r="G511" s="53">
        <v>354.61663800000002</v>
      </c>
      <c r="H511" s="53">
        <v>90.281981999999999</v>
      </c>
      <c r="I511" s="122">
        <f t="shared" si="14"/>
        <v>-3.2725765390118067E-4</v>
      </c>
      <c r="J511" s="122">
        <f t="shared" si="15"/>
        <v>0</v>
      </c>
    </row>
    <row r="512" spans="6:10" x14ac:dyDescent="0.3">
      <c r="F512" s="121">
        <v>44176</v>
      </c>
      <c r="G512" s="53">
        <v>354.200897</v>
      </c>
      <c r="H512" s="53">
        <v>90.291847000000004</v>
      </c>
      <c r="I512" s="122">
        <f t="shared" si="14"/>
        <v>-1.1723674397928763E-3</v>
      </c>
      <c r="J512" s="122">
        <f t="shared" si="15"/>
        <v>1.0926875752459431E-4</v>
      </c>
    </row>
    <row r="513" spans="6:10" x14ac:dyDescent="0.3">
      <c r="F513" s="121">
        <v>44179</v>
      </c>
      <c r="G513" s="53">
        <v>352.61508199999997</v>
      </c>
      <c r="H513" s="53">
        <v>90.281981999999999</v>
      </c>
      <c r="I513" s="122">
        <f t="shared" si="14"/>
        <v>-4.4771625747747068E-3</v>
      </c>
      <c r="J513" s="122">
        <f t="shared" si="15"/>
        <v>-1.0925681916784669E-4</v>
      </c>
    </row>
    <row r="514" spans="6:10" x14ac:dyDescent="0.3">
      <c r="F514" s="121">
        <v>44180</v>
      </c>
      <c r="G514" s="53">
        <v>357.38220200000001</v>
      </c>
      <c r="H514" s="53">
        <v>90.281981999999999</v>
      </c>
      <c r="I514" s="122">
        <f t="shared" si="14"/>
        <v>1.351933097405067E-2</v>
      </c>
      <c r="J514" s="122">
        <f t="shared" si="15"/>
        <v>0</v>
      </c>
    </row>
    <row r="515" spans="6:10" x14ac:dyDescent="0.3">
      <c r="F515" s="121">
        <v>44181</v>
      </c>
      <c r="G515" s="53">
        <v>357.94305400000002</v>
      </c>
      <c r="H515" s="53">
        <v>90.291847000000004</v>
      </c>
      <c r="I515" s="122">
        <f t="shared" si="14"/>
        <v>1.5693338864144479E-3</v>
      </c>
      <c r="J515" s="122">
        <f t="shared" si="15"/>
        <v>1.0926875752459431E-4</v>
      </c>
    </row>
    <row r="516" spans="6:10" x14ac:dyDescent="0.3">
      <c r="F516" s="121">
        <v>44182</v>
      </c>
      <c r="G516" s="53">
        <v>359.94464099999999</v>
      </c>
      <c r="H516" s="53">
        <v>90.291847000000004</v>
      </c>
      <c r="I516" s="122">
        <f t="shared" si="14"/>
        <v>5.5919146289677979E-3</v>
      </c>
      <c r="J516" s="122">
        <f t="shared" si="15"/>
        <v>0</v>
      </c>
    </row>
    <row r="517" spans="6:10" x14ac:dyDescent="0.3">
      <c r="F517" s="121">
        <v>44183</v>
      </c>
      <c r="G517" s="53">
        <v>358.50741599999998</v>
      </c>
      <c r="H517" s="53">
        <v>90.291847000000004</v>
      </c>
      <c r="I517" s="122">
        <f t="shared" si="14"/>
        <v>-3.9929056757369574E-3</v>
      </c>
      <c r="J517" s="122">
        <f t="shared" si="15"/>
        <v>0</v>
      </c>
    </row>
    <row r="518" spans="6:10" x14ac:dyDescent="0.3">
      <c r="F518" s="121">
        <v>44186</v>
      </c>
      <c r="G518" s="53">
        <v>357.22555499999999</v>
      </c>
      <c r="H518" s="53">
        <v>90.291847000000004</v>
      </c>
      <c r="I518" s="122">
        <f t="shared" si="14"/>
        <v>-3.5755494664578835E-3</v>
      </c>
      <c r="J518" s="122">
        <f t="shared" si="15"/>
        <v>0</v>
      </c>
    </row>
    <row r="519" spans="6:10" x14ac:dyDescent="0.3">
      <c r="F519" s="121">
        <v>44187</v>
      </c>
      <c r="G519" s="53">
        <v>356.62350500000002</v>
      </c>
      <c r="H519" s="53">
        <v>90.291847000000004</v>
      </c>
      <c r="I519" s="122">
        <f t="shared" si="14"/>
        <v>-1.6853497505238124E-3</v>
      </c>
      <c r="J519" s="122">
        <f t="shared" si="15"/>
        <v>0</v>
      </c>
    </row>
    <row r="520" spans="6:10" x14ac:dyDescent="0.3">
      <c r="F520" s="121">
        <v>44188</v>
      </c>
      <c r="G520" s="53">
        <v>356.94400000000002</v>
      </c>
      <c r="H520" s="53">
        <v>90.281981999999999</v>
      </c>
      <c r="I520" s="122">
        <f t="shared" si="14"/>
        <v>8.9869286658483816E-4</v>
      </c>
      <c r="J520" s="122">
        <f t="shared" si="15"/>
        <v>-1.0925681916784669E-4</v>
      </c>
    </row>
    <row r="521" spans="6:10" x14ac:dyDescent="0.3">
      <c r="F521" s="121">
        <v>44189</v>
      </c>
      <c r="G521" s="53">
        <v>358.33264200000002</v>
      </c>
      <c r="H521" s="53">
        <v>90.291847000000004</v>
      </c>
      <c r="I521" s="122">
        <f t="shared" si="14"/>
        <v>3.8903637545384395E-3</v>
      </c>
      <c r="J521" s="122">
        <f t="shared" si="15"/>
        <v>1.0926875752459431E-4</v>
      </c>
    </row>
    <row r="522" spans="6:10" x14ac:dyDescent="0.3">
      <c r="F522" s="121">
        <v>44193</v>
      </c>
      <c r="G522" s="53">
        <v>361.41101099999997</v>
      </c>
      <c r="H522" s="53">
        <v>90.291847000000004</v>
      </c>
      <c r="I522" s="122">
        <f t="shared" si="14"/>
        <v>8.5908137835792875E-3</v>
      </c>
      <c r="J522" s="122">
        <f t="shared" si="15"/>
        <v>0</v>
      </c>
    </row>
    <row r="523" spans="6:10" x14ac:dyDescent="0.3">
      <c r="F523" s="121">
        <v>44194</v>
      </c>
      <c r="G523" s="53">
        <v>360.72155800000002</v>
      </c>
      <c r="H523" s="53">
        <v>90.291847000000004</v>
      </c>
      <c r="I523" s="122">
        <f t="shared" si="14"/>
        <v>-1.9076701567345422E-3</v>
      </c>
      <c r="J523" s="122">
        <f t="shared" si="15"/>
        <v>0</v>
      </c>
    </row>
    <row r="524" spans="6:10" x14ac:dyDescent="0.3">
      <c r="F524" s="121">
        <v>44195</v>
      </c>
      <c r="G524" s="53">
        <v>361.236176</v>
      </c>
      <c r="H524" s="53">
        <v>90.281981999999999</v>
      </c>
      <c r="I524" s="122">
        <f t="shared" si="14"/>
        <v>1.4266350002845041E-3</v>
      </c>
      <c r="J524" s="122">
        <f t="shared" si="15"/>
        <v>-1.0925681916784669E-4</v>
      </c>
    </row>
    <row r="525" spans="6:10" x14ac:dyDescent="0.3">
      <c r="F525" s="121">
        <v>44196</v>
      </c>
      <c r="G525" s="53">
        <v>363.07156400000002</v>
      </c>
      <c r="H525" s="53">
        <v>90.291847000000004</v>
      </c>
      <c r="I525" s="122">
        <f t="shared" si="14"/>
        <v>5.0808532531914086E-3</v>
      </c>
      <c r="J525" s="122">
        <f t="shared" si="15"/>
        <v>1.0926875752459431E-4</v>
      </c>
    </row>
  </sheetData>
  <mergeCells count="1">
    <mergeCell ref="D21:D22"/>
  </mergeCells>
  <phoneticPr fontId="23" type="noConversion"/>
  <pageMargins left="0.511811024" right="0.511811024" top="0.78740157499999996" bottom="0.78740157499999996" header="0.31496062000000002" footer="0.31496062000000002"/>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5F51E-AF9F-48F3-9288-3F9591DA4D11}">
  <sheetPr codeName="Planilha67">
    <tabColor theme="9" tint="0.59999389629810485"/>
  </sheetPr>
  <dimension ref="A1:Z526"/>
  <sheetViews>
    <sheetView showGridLines="0" topLeftCell="A2" zoomScale="85" zoomScaleNormal="85" workbookViewId="0">
      <selection activeCell="B16" sqref="B16"/>
    </sheetView>
  </sheetViews>
  <sheetFormatPr defaultColWidth="8.85546875" defaultRowHeight="18.75" x14ac:dyDescent="0.3"/>
  <cols>
    <col min="1" max="1" width="18.5703125" style="17" customWidth="1"/>
    <col min="2" max="2" width="49" customWidth="1"/>
    <col min="4" max="4" width="8.5703125" bestFit="1" customWidth="1"/>
    <col min="5" max="5" width="4.5703125" customWidth="1"/>
    <col min="6" max="6" width="8.7109375" bestFit="1" customWidth="1"/>
    <col min="7" max="10" width="17" bestFit="1" customWidth="1"/>
    <col min="11" max="12" width="12.85546875" bestFit="1" customWidth="1"/>
    <col min="14" max="16" width="9" style="15" customWidth="1"/>
    <col min="17" max="25" width="8.85546875" style="15"/>
  </cols>
  <sheetData>
    <row r="1" spans="1:25" x14ac:dyDescent="0.3">
      <c r="A1" s="16" t="s">
        <v>668</v>
      </c>
      <c r="N1" s="14"/>
      <c r="O1" s="14"/>
      <c r="P1" s="14"/>
      <c r="Q1" s="14"/>
      <c r="R1" s="14"/>
      <c r="S1" s="14"/>
      <c r="T1" s="14"/>
      <c r="U1" s="14"/>
      <c r="V1" s="14"/>
      <c r="W1" s="14"/>
      <c r="X1" s="14"/>
      <c r="Y1" s="14"/>
    </row>
    <row r="2" spans="1:25" x14ac:dyDescent="0.3">
      <c r="A2" s="17" t="s">
        <v>669</v>
      </c>
      <c r="N2" s="14"/>
      <c r="O2" s="14"/>
      <c r="P2" s="14"/>
      <c r="Q2" s="14"/>
      <c r="R2" s="14"/>
      <c r="S2" s="14"/>
      <c r="T2" s="14"/>
      <c r="U2" s="14"/>
      <c r="V2" s="14"/>
      <c r="W2" s="14"/>
      <c r="X2" s="14"/>
      <c r="Y2" s="14"/>
    </row>
    <row r="3" spans="1:25" ht="15" x14ac:dyDescent="0.25">
      <c r="A3" s="120" t="s">
        <v>646</v>
      </c>
      <c r="N3" s="14"/>
      <c r="O3" s="14"/>
      <c r="P3" s="14"/>
      <c r="Q3" s="14"/>
      <c r="R3" s="14"/>
      <c r="S3" s="14"/>
      <c r="T3" s="14"/>
      <c r="U3" s="14"/>
      <c r="V3" s="14"/>
      <c r="W3" s="14"/>
      <c r="X3" s="14"/>
      <c r="Y3" s="14"/>
    </row>
    <row r="4" spans="1:25" ht="15" x14ac:dyDescent="0.25">
      <c r="A4" s="120" t="s">
        <v>647</v>
      </c>
      <c r="N4" s="14"/>
      <c r="O4" s="14"/>
      <c r="P4" s="14"/>
      <c r="Q4" s="14"/>
      <c r="R4" s="14"/>
      <c r="S4" s="14"/>
      <c r="T4" s="14"/>
      <c r="U4" s="14"/>
      <c r="V4" s="14"/>
      <c r="W4" s="14"/>
      <c r="X4" s="14"/>
      <c r="Y4" s="14"/>
    </row>
    <row r="5" spans="1:25" ht="15" x14ac:dyDescent="0.25">
      <c r="A5" s="120" t="s">
        <v>648</v>
      </c>
      <c r="N5" s="14"/>
      <c r="O5" s="14"/>
      <c r="P5" s="14"/>
      <c r="Q5" s="14"/>
      <c r="R5" s="14"/>
      <c r="S5" s="14"/>
      <c r="T5" s="14"/>
      <c r="U5" s="14"/>
      <c r="V5" s="14"/>
      <c r="W5" s="14"/>
      <c r="X5" s="14"/>
      <c r="Y5" s="14"/>
    </row>
    <row r="6" spans="1:25" ht="15" x14ac:dyDescent="0.25">
      <c r="A6" s="120" t="s">
        <v>663</v>
      </c>
      <c r="N6" s="14"/>
      <c r="O6" s="14"/>
      <c r="P6" s="14"/>
      <c r="Q6" s="14"/>
      <c r="R6" s="14"/>
      <c r="S6" s="14"/>
      <c r="T6" s="14"/>
      <c r="U6" s="14"/>
      <c r="V6" s="14"/>
      <c r="W6" s="14"/>
      <c r="X6" s="14"/>
      <c r="Y6" s="14"/>
    </row>
    <row r="7" spans="1:25" ht="15" x14ac:dyDescent="0.25">
      <c r="A7" s="120"/>
      <c r="N7" s="14"/>
      <c r="O7" s="14"/>
      <c r="P7" s="14"/>
      <c r="Q7" s="14"/>
      <c r="R7" s="14"/>
      <c r="S7" s="14"/>
      <c r="T7" s="14"/>
      <c r="U7" s="14"/>
      <c r="V7" s="14"/>
      <c r="W7" s="14"/>
      <c r="X7" s="14"/>
      <c r="Y7" s="14"/>
    </row>
    <row r="8" spans="1:25" x14ac:dyDescent="0.3">
      <c r="A8" s="17" t="s">
        <v>670</v>
      </c>
      <c r="N8" s="14"/>
      <c r="O8" s="14"/>
      <c r="P8" s="14"/>
      <c r="Q8" s="14"/>
      <c r="R8" s="14"/>
      <c r="S8" s="14"/>
      <c r="T8" s="14"/>
      <c r="U8" s="14"/>
      <c r="V8" s="14"/>
      <c r="W8" s="14"/>
      <c r="X8" s="14"/>
      <c r="Y8" s="14"/>
    </row>
    <row r="10" spans="1:25" ht="15.75" x14ac:dyDescent="0.25">
      <c r="A10" s="2" t="s">
        <v>15</v>
      </c>
      <c r="B10" s="2" t="s">
        <v>16</v>
      </c>
    </row>
    <row r="11" spans="1:25" ht="15.75" x14ac:dyDescent="0.25">
      <c r="A11" s="23" t="s">
        <v>651</v>
      </c>
      <c r="B11" s="24" t="s">
        <v>655</v>
      </c>
    </row>
    <row r="12" spans="1:25" ht="15.75" x14ac:dyDescent="0.25">
      <c r="A12" s="23" t="s">
        <v>652</v>
      </c>
      <c r="B12" s="24" t="s">
        <v>656</v>
      </c>
    </row>
    <row r="13" spans="1:25" ht="15.75" x14ac:dyDescent="0.25">
      <c r="A13" s="23" t="s">
        <v>653</v>
      </c>
      <c r="B13" s="24" t="s">
        <v>657</v>
      </c>
    </row>
    <row r="14" spans="1:25" ht="15.75" x14ac:dyDescent="0.25">
      <c r="A14" s="23" t="s">
        <v>654</v>
      </c>
      <c r="B14" s="24" t="s">
        <v>658</v>
      </c>
    </row>
    <row r="15" spans="1:25" ht="31.5" x14ac:dyDescent="0.25">
      <c r="A15" s="23" t="s">
        <v>246</v>
      </c>
      <c r="B15" s="24" t="s">
        <v>824</v>
      </c>
    </row>
    <row r="16" spans="1:25" ht="47.25" x14ac:dyDescent="0.25">
      <c r="A16" s="23" t="s">
        <v>667</v>
      </c>
      <c r="B16" s="24" t="s">
        <v>823</v>
      </c>
    </row>
    <row r="17" spans="1:26" ht="15.75" x14ac:dyDescent="0.25">
      <c r="A17" s="23"/>
      <c r="B17" s="24"/>
      <c r="I17" t="s">
        <v>644</v>
      </c>
      <c r="J17" t="s">
        <v>645</v>
      </c>
    </row>
    <row r="18" spans="1:26" x14ac:dyDescent="0.3">
      <c r="D18" s="1" t="s">
        <v>17</v>
      </c>
      <c r="G18" s="1" t="s">
        <v>642</v>
      </c>
      <c r="H18" s="1" t="s">
        <v>643</v>
      </c>
      <c r="I18" s="13" t="s">
        <v>651</v>
      </c>
      <c r="J18" s="13" t="s">
        <v>652</v>
      </c>
      <c r="K18" s="13" t="s">
        <v>246</v>
      </c>
      <c r="L18" s="13" t="s">
        <v>667</v>
      </c>
      <c r="N18" s="15" t="s">
        <v>661</v>
      </c>
      <c r="P18" s="15" t="s">
        <v>662</v>
      </c>
    </row>
    <row r="19" spans="1:26" x14ac:dyDescent="0.3">
      <c r="F19" s="121">
        <v>43465</v>
      </c>
      <c r="G19" s="53">
        <v>233.81840500000001</v>
      </c>
      <c r="H19" s="53">
        <v>88.142380000000003</v>
      </c>
      <c r="I19" s="102"/>
      <c r="J19" s="102"/>
      <c r="K19" s="55" t="b">
        <v>0</v>
      </c>
      <c r="L19" s="55" t="b">
        <v>0</v>
      </c>
      <c r="N19" s="123" cm="1">
        <f t="array" ref="N19">_xlfn.LAMBDA(_xlpm.sampleNonCrisis_1,_xlpm.sampleNonCrisis_2,_xlpm.sampleCrisis_1,_xlpm.sampleCrisis_2,_xlop.returnPValue,_xlop.returnInverse,_xlfn.LET(
    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
            1 + (_xlpm.volCrisis_1 ^ 2 - _xlpm.volNonCrisis_1 ^ 2) / (_xlpm.volNonCrisis_1 ^ 2) * (1 - _xlpm.corrCrisis ^ 2)
        ),
    _xlpm.coKurNonCrisis_1_3, AVERAGE(
        (_xlpm.sampleNonCrisis_1 - _xlpm.meanNonCrisis_1) / _xlpm.volNonCrisis_1 *
            ((_xlpm.sampleNonCrisis_2 - _xlpm.meanNonCrisis_2) / _xlpm.volNonCrisis_2) ^ 3
    ) - (3 * _xlpm.corrNonCrisis),
    _xlpm.coKurCrisis_1_3, AVERAGE(
        (_xlpm.sampleCrisis_1 - _xlpm.meanCrisis_1) / _xlpm.volCrisis_1 *
            ((_xlpm.sampleCrisis_2 - _xlpm.meanCrisis_2) / _xlpm.volCrisis_2) ^ 3
    ) - (3 * _xlpm.corrCrisisAdj),
    _xlpm.coKurNonCrisis_3_1, AVERAGE(
        ((_xlpm.sampleNonCrisis_1 - _xlpm.meanNonCrisis_1) / _xlpm.volNonCrisis_1) ^ 3 *
            ((_xlpm.sampleNonCrisis_2 - _xlpm.meanNonCrisis_2) / _xlpm.volNonCrisis_2)
    ) - (3 * _xlpm.corrNonCrisis),
    _xlpm.coKurCrisis_3_1, AVERAGE(
        ((_xlpm.sampleCrisis_1 - _xlpm.meanCrisis_1) / _xlpm.volCrisis_1) ^ 3 *
            ((_xlpm.sampleCrisis_2 - _xlpm.meanCrisis_2) / _xlpm.volCrisis_2)
    ) - (3 * _xlpm.corrCrisisAdj),
    _xlpm.chiSquared_1_3, (
        (_xlpm.coKurCrisis_1_3 - _xlpm.coKurNonCrisis_1_3) /
            SQRT(
                (18 * _xlpm.corrCrisisAdj ^ 2 + 6) / _xlpm.nCrisis_1 +
                    (18 * _xlpm.corrNonCrisis ^ 2 + 6) / _xlpm.nNonCrisis_1
            )
    ) ^ 2,
    _xlpm.chiSquared_3_1, (
        (_xlpm.coKurCrisis_3_1 - _xlpm.coKurNonCrisis_3_1) /
            SQRT(
                (18 * _xlpm.corrCrisisAdj ^ 2 + 6) / _xlpm.nCrisis_1 +
                    (18 * _xlpm.corrNonCrisis ^ 2 + 6) / _xlpm.nNonCrisis_1
            )
    ) ^ 2,
    _xlpm.pTest_1_3, _xlfn.CHISQ.DIST.RT(_xlpm.chiSquared_1_3, 1),
    _xlpm.pTest_3_1, _xlfn.CHISQ.DIST.RT(_xlpm.chiSquared_3_1, 1),
    IF(
        OR(_xlfn.ISOMITTED(_xlpm.returnInverse), _xlpm.returnInverse = FALSE),
        IF(OR(_xlfn.ISOMITTED(_xlpm.returnPValue), _xlpm.returnPValue = FALSE), _xlpm.chiSquared_1_3, _xlpm.pTest_1_3),
        IF(OR(_xlfn.ISOMITTED(_xlpm.returnPValue), _xlpm.returnPValue = FALSE), _xlpm.chiSquared_3_1, _xlpm.pTest_3_1)
    )
))(I20:I318,J20:J318,I321:I526,J321:J526,K19,L19)</f>
        <v>1.5365380126434922</v>
      </c>
      <c r="O19" s="54"/>
      <c r="P19" s="27" cm="1">
        <f t="array" ref="P19">CONTAGION_COKURTOSIS(I20:I318,J20:J318,I321:I526,J321:J526,K19,L19)</f>
        <v>1.5365380126434922</v>
      </c>
    </row>
    <row r="20" spans="1:26" x14ac:dyDescent="0.3">
      <c r="F20" s="121">
        <v>43467</v>
      </c>
      <c r="G20" s="53">
        <v>234.0616</v>
      </c>
      <c r="H20" s="53">
        <v>88.132744000000002</v>
      </c>
      <c r="I20" s="122">
        <f>G20/G19-1</f>
        <v>1.0401020398713712E-3</v>
      </c>
      <c r="J20" s="122">
        <f>H20/H19-1</f>
        <v>-1.0932312016076473E-4</v>
      </c>
      <c r="N20" s="54"/>
      <c r="O20" s="54"/>
      <c r="P20" s="54"/>
    </row>
    <row r="21" spans="1:26" x14ac:dyDescent="0.3">
      <c r="F21" s="121">
        <v>43468</v>
      </c>
      <c r="G21" s="53">
        <v>228.476257</v>
      </c>
      <c r="H21" s="53">
        <v>88.161666999999994</v>
      </c>
      <c r="I21" s="122">
        <f t="shared" ref="I21:J84" si="0">G21/G20-1</f>
        <v>-2.3862705373286275E-2</v>
      </c>
      <c r="J21" s="122">
        <f t="shared" si="0"/>
        <v>3.2817541684604379E-4</v>
      </c>
      <c r="N21" s="54"/>
      <c r="O21" s="54"/>
      <c r="P21" s="54"/>
    </row>
    <row r="22" spans="1:26" ht="18.75" customHeight="1" x14ac:dyDescent="0.3">
      <c r="D22" s="134"/>
      <c r="F22" s="121">
        <v>43469</v>
      </c>
      <c r="G22" s="53">
        <v>236.129257</v>
      </c>
      <c r="H22" s="53">
        <v>88.171302999999995</v>
      </c>
      <c r="I22" s="122">
        <f t="shared" si="0"/>
        <v>3.3495821843755103E-2</v>
      </c>
      <c r="J22" s="122">
        <f t="shared" si="0"/>
        <v>1.0929920370039703E-4</v>
      </c>
      <c r="N22" s="54"/>
      <c r="O22" s="54"/>
      <c r="P22" s="54"/>
    </row>
    <row r="23" spans="1:26" x14ac:dyDescent="0.3">
      <c r="D23" s="134"/>
      <c r="F23" s="121">
        <v>43472</v>
      </c>
      <c r="G23" s="53">
        <v>237.991028</v>
      </c>
      <c r="H23" s="53">
        <v>88.171302999999995</v>
      </c>
      <c r="I23" s="122">
        <f t="shared" si="0"/>
        <v>7.8845418126225475E-3</v>
      </c>
      <c r="J23" s="122">
        <f t="shared" si="0"/>
        <v>0</v>
      </c>
      <c r="N23" s="54"/>
      <c r="O23" s="54"/>
      <c r="P23" s="54"/>
    </row>
    <row r="24" spans="1:26" x14ac:dyDescent="0.3">
      <c r="D24" s="47"/>
      <c r="F24" s="121">
        <v>43473</v>
      </c>
      <c r="G24" s="53">
        <v>240.22705099999999</v>
      </c>
      <c r="H24" s="53">
        <v>88.171302999999995</v>
      </c>
      <c r="I24" s="122">
        <f t="shared" si="0"/>
        <v>9.3954088050747231E-3</v>
      </c>
      <c r="J24" s="122">
        <f t="shared" si="0"/>
        <v>0</v>
      </c>
      <c r="N24" s="54"/>
      <c r="O24" s="54"/>
      <c r="P24" s="54"/>
    </row>
    <row r="25" spans="1:26" x14ac:dyDescent="0.3">
      <c r="F25" s="121">
        <v>43474</v>
      </c>
      <c r="G25" s="53">
        <v>241.349762</v>
      </c>
      <c r="H25" s="53">
        <v>88.171302999999995</v>
      </c>
      <c r="I25" s="122">
        <f t="shared" si="0"/>
        <v>4.6735411159004592E-3</v>
      </c>
      <c r="J25" s="122">
        <f t="shared" si="0"/>
        <v>0</v>
      </c>
      <c r="N25" s="54"/>
      <c r="O25" s="54"/>
      <c r="P25" s="54"/>
    </row>
    <row r="26" spans="1:26" x14ac:dyDescent="0.3">
      <c r="F26" s="121">
        <v>43475</v>
      </c>
      <c r="G26" s="53">
        <v>242.20112599999999</v>
      </c>
      <c r="H26" s="53">
        <v>88.180938999999995</v>
      </c>
      <c r="I26" s="122">
        <f t="shared" si="0"/>
        <v>3.5275112473489578E-3</v>
      </c>
      <c r="J26" s="122">
        <f t="shared" si="0"/>
        <v>1.0928725869008282E-4</v>
      </c>
      <c r="N26" s="54"/>
      <c r="O26" s="54"/>
      <c r="P26" s="54"/>
    </row>
    <row r="27" spans="1:26" x14ac:dyDescent="0.3">
      <c r="F27" s="121">
        <v>43476</v>
      </c>
      <c r="G27" s="53">
        <v>242.294647</v>
      </c>
      <c r="H27" s="53">
        <v>88.200203000000002</v>
      </c>
      <c r="I27" s="122">
        <f t="shared" si="0"/>
        <v>3.8612950131367008E-4</v>
      </c>
      <c r="J27" s="122">
        <f t="shared" si="0"/>
        <v>2.1845991002655829E-4</v>
      </c>
      <c r="N27" s="54"/>
      <c r="O27" s="54"/>
      <c r="P27" s="54"/>
    </row>
    <row r="28" spans="1:26" s="15" customFormat="1" x14ac:dyDescent="0.3">
      <c r="A28" s="17"/>
      <c r="B28"/>
      <c r="C28"/>
      <c r="D28"/>
      <c r="E28"/>
      <c r="F28" s="121">
        <v>43479</v>
      </c>
      <c r="G28" s="53">
        <v>240.816452</v>
      </c>
      <c r="H28" s="53">
        <v>88.190574999999995</v>
      </c>
      <c r="I28" s="122">
        <f t="shared" si="0"/>
        <v>-6.1008157559502285E-3</v>
      </c>
      <c r="J28" s="122">
        <f t="shared" si="0"/>
        <v>-1.0916074648947838E-4</v>
      </c>
      <c r="K28"/>
      <c r="L28"/>
      <c r="M28"/>
      <c r="N28" s="54"/>
      <c r="O28" s="54"/>
      <c r="P28" s="54"/>
      <c r="Z28"/>
    </row>
    <row r="29" spans="1:26" s="15" customFormat="1" x14ac:dyDescent="0.3">
      <c r="A29" s="17"/>
      <c r="B29"/>
      <c r="C29"/>
      <c r="D29"/>
      <c r="E29"/>
      <c r="F29" s="121">
        <v>43480</v>
      </c>
      <c r="G29" s="53">
        <v>243.57638499999999</v>
      </c>
      <c r="H29" s="53">
        <v>88.209868999999998</v>
      </c>
      <c r="I29" s="122">
        <f t="shared" si="0"/>
        <v>1.146073275757753E-2</v>
      </c>
      <c r="J29" s="122">
        <f t="shared" si="0"/>
        <v>2.1877621276433779E-4</v>
      </c>
      <c r="K29"/>
      <c r="L29"/>
      <c r="M29"/>
      <c r="N29" s="54"/>
      <c r="O29" s="54"/>
      <c r="P29" s="54"/>
      <c r="Z29"/>
    </row>
    <row r="30" spans="1:26" s="15" customFormat="1" x14ac:dyDescent="0.3">
      <c r="A30" s="17"/>
      <c r="B30"/>
      <c r="C30"/>
      <c r="D30"/>
      <c r="E30"/>
      <c r="F30" s="121">
        <v>43481</v>
      </c>
      <c r="G30" s="53">
        <v>244.16583299999999</v>
      </c>
      <c r="H30" s="53">
        <v>88.219466999999995</v>
      </c>
      <c r="I30" s="122">
        <f t="shared" si="0"/>
        <v>2.4199718704258633E-3</v>
      </c>
      <c r="J30" s="122">
        <f t="shared" si="0"/>
        <v>1.0880868670137822E-4</v>
      </c>
      <c r="K30"/>
      <c r="L30"/>
      <c r="M30"/>
      <c r="N30" s="54"/>
      <c r="O30" s="54"/>
      <c r="P30" s="54"/>
      <c r="Z30"/>
    </row>
    <row r="31" spans="1:26" s="15" customFormat="1" x14ac:dyDescent="0.3">
      <c r="A31" s="17"/>
      <c r="B31"/>
      <c r="C31"/>
      <c r="D31"/>
      <c r="E31"/>
      <c r="F31" s="121">
        <v>43482</v>
      </c>
      <c r="G31" s="53">
        <v>246.01823400000001</v>
      </c>
      <c r="H31" s="53">
        <v>88.238761999999994</v>
      </c>
      <c r="I31" s="122">
        <f t="shared" si="0"/>
        <v>7.5866511593374319E-3</v>
      </c>
      <c r="J31" s="122">
        <f t="shared" si="0"/>
        <v>2.1871589861222063E-4</v>
      </c>
      <c r="K31"/>
      <c r="L31"/>
      <c r="M31"/>
      <c r="N31" s="54"/>
      <c r="O31" s="54"/>
      <c r="P31" s="54"/>
      <c r="Z31"/>
    </row>
    <row r="32" spans="1:26" s="15" customFormat="1" x14ac:dyDescent="0.3">
      <c r="A32" s="17"/>
      <c r="B32"/>
      <c r="C32"/>
      <c r="D32"/>
      <c r="E32"/>
      <c r="F32" s="121">
        <v>43483</v>
      </c>
      <c r="G32" s="53">
        <v>249.29276999999999</v>
      </c>
      <c r="H32" s="53">
        <v>88.238761999999994</v>
      </c>
      <c r="I32" s="122">
        <f t="shared" si="0"/>
        <v>1.3310135378014287E-2</v>
      </c>
      <c r="J32" s="122">
        <f t="shared" si="0"/>
        <v>0</v>
      </c>
      <c r="K32"/>
      <c r="L32"/>
      <c r="M32"/>
      <c r="N32" s="54"/>
      <c r="O32" s="54"/>
      <c r="P32" s="54"/>
      <c r="Z32"/>
    </row>
    <row r="33" spans="1:26" s="15" customFormat="1" x14ac:dyDescent="0.3">
      <c r="A33" s="17"/>
      <c r="B33"/>
      <c r="C33"/>
      <c r="D33"/>
      <c r="E33"/>
      <c r="F33" s="121">
        <v>43487</v>
      </c>
      <c r="G33" s="53">
        <v>245.92463699999999</v>
      </c>
      <c r="H33" s="53">
        <v>88.248405000000005</v>
      </c>
      <c r="I33" s="122">
        <f t="shared" si="0"/>
        <v>-1.3510752838921114E-2</v>
      </c>
      <c r="J33" s="122">
        <f t="shared" si="0"/>
        <v>1.0928303821855501E-4</v>
      </c>
      <c r="K33"/>
      <c r="L33"/>
      <c r="M33"/>
      <c r="N33" s="54"/>
      <c r="O33" s="54"/>
      <c r="P33" s="54"/>
      <c r="Z33"/>
    </row>
    <row r="34" spans="1:26" s="15" customFormat="1" x14ac:dyDescent="0.3">
      <c r="A34" s="17"/>
      <c r="B34"/>
      <c r="C34"/>
      <c r="D34"/>
      <c r="E34"/>
      <c r="F34" s="121">
        <v>43488</v>
      </c>
      <c r="G34" s="53">
        <v>246.439255</v>
      </c>
      <c r="H34" s="53">
        <v>88.248405000000005</v>
      </c>
      <c r="I34" s="122">
        <f t="shared" si="0"/>
        <v>2.0925841602441597E-3</v>
      </c>
      <c r="J34" s="122">
        <f t="shared" si="0"/>
        <v>0</v>
      </c>
      <c r="K34"/>
      <c r="L34"/>
      <c r="M34"/>
      <c r="N34" s="54"/>
      <c r="O34" s="54"/>
      <c r="P34" s="54"/>
      <c r="Z34"/>
    </row>
    <row r="35" spans="1:26" s="15" customFormat="1" x14ac:dyDescent="0.3">
      <c r="A35" s="17"/>
      <c r="B35"/>
      <c r="C35"/>
      <c r="D35"/>
      <c r="E35"/>
      <c r="F35" s="121">
        <v>43489</v>
      </c>
      <c r="G35" s="53">
        <v>246.57023599999999</v>
      </c>
      <c r="H35" s="53">
        <v>88.277289999999994</v>
      </c>
      <c r="I35" s="122">
        <f t="shared" si="0"/>
        <v>5.3149405925601023E-4</v>
      </c>
      <c r="J35" s="122">
        <f t="shared" si="0"/>
        <v>3.2731469764235577E-4</v>
      </c>
      <c r="K35"/>
      <c r="L35"/>
      <c r="M35"/>
      <c r="N35" s="54"/>
      <c r="O35" s="54"/>
      <c r="P35" s="54"/>
      <c r="Z35"/>
    </row>
    <row r="36" spans="1:26" s="15" customFormat="1" x14ac:dyDescent="0.3">
      <c r="A36" s="17"/>
      <c r="B36"/>
      <c r="C36"/>
      <c r="D36"/>
      <c r="E36"/>
      <c r="F36" s="121">
        <v>43490</v>
      </c>
      <c r="G36" s="53">
        <v>248.65656999999999</v>
      </c>
      <c r="H36" s="53">
        <v>88.267669999999995</v>
      </c>
      <c r="I36" s="122">
        <f t="shared" si="0"/>
        <v>8.4614186766645005E-3</v>
      </c>
      <c r="J36" s="122">
        <f t="shared" si="0"/>
        <v>-1.0897479974747437E-4</v>
      </c>
      <c r="K36"/>
      <c r="L36"/>
      <c r="M36"/>
      <c r="N36" s="54"/>
      <c r="O36" s="54"/>
      <c r="P36" s="54"/>
      <c r="Z36"/>
    </row>
    <row r="37" spans="1:26" s="15" customFormat="1" x14ac:dyDescent="0.3">
      <c r="A37" s="17"/>
      <c r="B37"/>
      <c r="C37"/>
      <c r="D37"/>
      <c r="E37"/>
      <c r="F37" s="121">
        <v>43493</v>
      </c>
      <c r="G37" s="53">
        <v>246.76676900000001</v>
      </c>
      <c r="H37" s="53">
        <v>88.277289999999994</v>
      </c>
      <c r="I37" s="122">
        <f t="shared" si="0"/>
        <v>-7.6000445111905623E-3</v>
      </c>
      <c r="J37" s="122">
        <f t="shared" si="0"/>
        <v>1.0898667654868355E-4</v>
      </c>
      <c r="K37"/>
      <c r="L37"/>
      <c r="M37"/>
      <c r="N37" s="54"/>
      <c r="O37" s="54"/>
      <c r="P37" s="54"/>
      <c r="Z37"/>
    </row>
    <row r="38" spans="1:26" s="15" customFormat="1" x14ac:dyDescent="0.3">
      <c r="A38" s="17"/>
      <c r="B38"/>
      <c r="C38"/>
      <c r="D38"/>
      <c r="E38"/>
      <c r="F38" s="121">
        <v>43494</v>
      </c>
      <c r="G38" s="53">
        <v>246.439255</v>
      </c>
      <c r="H38" s="53">
        <v>88.277289999999994</v>
      </c>
      <c r="I38" s="122">
        <f t="shared" si="0"/>
        <v>-1.3272208463369628E-3</v>
      </c>
      <c r="J38" s="122">
        <f t="shared" si="0"/>
        <v>0</v>
      </c>
      <c r="K38"/>
      <c r="L38"/>
      <c r="M38"/>
      <c r="N38" s="54"/>
      <c r="O38" s="54"/>
      <c r="P38" s="54"/>
      <c r="Z38"/>
    </row>
    <row r="39" spans="1:26" s="15" customFormat="1" x14ac:dyDescent="0.3">
      <c r="A39" s="17"/>
      <c r="B39"/>
      <c r="C39"/>
      <c r="D39"/>
      <c r="E39"/>
      <c r="F39" s="121">
        <v>43495</v>
      </c>
      <c r="G39" s="53">
        <v>250.34056100000001</v>
      </c>
      <c r="H39" s="53">
        <v>88.296570000000003</v>
      </c>
      <c r="I39" s="122">
        <f t="shared" si="0"/>
        <v>1.5830700348449023E-2</v>
      </c>
      <c r="J39" s="122">
        <f t="shared" si="0"/>
        <v>2.1840271716544457E-4</v>
      </c>
      <c r="K39"/>
      <c r="L39"/>
      <c r="M39"/>
      <c r="N39" s="54"/>
      <c r="O39" s="54"/>
      <c r="P39" s="54"/>
      <c r="Z39"/>
    </row>
    <row r="40" spans="1:26" s="15" customFormat="1" x14ac:dyDescent="0.3">
      <c r="A40" s="17"/>
      <c r="B40"/>
      <c r="C40"/>
      <c r="D40"/>
      <c r="E40"/>
      <c r="F40" s="121">
        <v>43496</v>
      </c>
      <c r="G40" s="53">
        <v>252.539185</v>
      </c>
      <c r="H40" s="53">
        <v>88.296570000000003</v>
      </c>
      <c r="I40" s="122">
        <f t="shared" si="0"/>
        <v>8.7825320484122837E-3</v>
      </c>
      <c r="J40" s="122">
        <f t="shared" si="0"/>
        <v>0</v>
      </c>
      <c r="K40"/>
      <c r="L40"/>
      <c r="M40"/>
      <c r="N40" s="54"/>
      <c r="O40" s="54"/>
      <c r="P40" s="54"/>
      <c r="Z40"/>
    </row>
    <row r="41" spans="1:26" s="15" customFormat="1" x14ac:dyDescent="0.3">
      <c r="A41" s="17"/>
      <c r="B41"/>
      <c r="C41"/>
      <c r="D41"/>
      <c r="E41"/>
      <c r="F41" s="121">
        <v>43497</v>
      </c>
      <c r="G41" s="53">
        <v>252.660751</v>
      </c>
      <c r="H41" s="53">
        <v>88.305267000000001</v>
      </c>
      <c r="I41" s="122">
        <f t="shared" si="0"/>
        <v>4.8137480130061583E-4</v>
      </c>
      <c r="J41" s="122">
        <f t="shared" si="0"/>
        <v>9.8497597358582212E-5</v>
      </c>
      <c r="K41"/>
      <c r="L41"/>
      <c r="M41"/>
      <c r="N41" s="54"/>
      <c r="O41" s="54"/>
      <c r="P41" s="54"/>
      <c r="Z41"/>
    </row>
    <row r="42" spans="1:26" s="15" customFormat="1" x14ac:dyDescent="0.3">
      <c r="A42" s="17"/>
      <c r="B42"/>
      <c r="C42"/>
      <c r="D42"/>
      <c r="E42"/>
      <c r="F42" s="121">
        <v>43500</v>
      </c>
      <c r="G42" s="53">
        <v>254.43838500000001</v>
      </c>
      <c r="H42" s="53">
        <v>88.314933999999994</v>
      </c>
      <c r="I42" s="122">
        <f t="shared" si="0"/>
        <v>7.0356554904722479E-3</v>
      </c>
      <c r="J42" s="122">
        <f t="shared" si="0"/>
        <v>1.094725187795742E-4</v>
      </c>
      <c r="K42"/>
      <c r="L42"/>
      <c r="M42"/>
      <c r="N42" s="54"/>
      <c r="O42" s="54"/>
      <c r="P42" s="54"/>
      <c r="Z42"/>
    </row>
    <row r="43" spans="1:26" s="15" customFormat="1" x14ac:dyDescent="0.3">
      <c r="A43" s="17"/>
      <c r="B43"/>
      <c r="C43"/>
      <c r="D43"/>
      <c r="E43"/>
      <c r="F43" s="121">
        <v>43501</v>
      </c>
      <c r="G43" s="53">
        <v>255.504974</v>
      </c>
      <c r="H43" s="53">
        <v>88.314933999999994</v>
      </c>
      <c r="I43" s="122">
        <f t="shared" si="0"/>
        <v>4.191934326261304E-3</v>
      </c>
      <c r="J43" s="122">
        <f t="shared" si="0"/>
        <v>0</v>
      </c>
      <c r="K43"/>
      <c r="L43"/>
      <c r="M43"/>
      <c r="N43" s="54"/>
      <c r="O43" s="54"/>
      <c r="P43" s="54"/>
      <c r="Z43"/>
    </row>
    <row r="44" spans="1:26" s="15" customFormat="1" x14ac:dyDescent="0.3">
      <c r="A44" s="17"/>
      <c r="B44"/>
      <c r="C44"/>
      <c r="D44"/>
      <c r="E44"/>
      <c r="F44" s="121">
        <v>43502</v>
      </c>
      <c r="G44" s="53">
        <v>255.16816700000001</v>
      </c>
      <c r="H44" s="53">
        <v>88.334259000000003</v>
      </c>
      <c r="I44" s="122">
        <f t="shared" si="0"/>
        <v>-1.3182013435087958E-3</v>
      </c>
      <c r="J44" s="122">
        <f t="shared" si="0"/>
        <v>2.1881916369892451E-4</v>
      </c>
      <c r="K44"/>
      <c r="L44"/>
      <c r="M44"/>
      <c r="N44" s="54"/>
      <c r="O44" s="54"/>
      <c r="P44" s="54"/>
      <c r="Z44"/>
    </row>
    <row r="45" spans="1:26" s="15" customFormat="1" x14ac:dyDescent="0.3">
      <c r="A45" s="17"/>
      <c r="B45"/>
      <c r="C45"/>
      <c r="D45"/>
      <c r="E45"/>
      <c r="F45" s="121">
        <v>43503</v>
      </c>
      <c r="G45" s="53">
        <v>252.735657</v>
      </c>
      <c r="H45" s="53">
        <v>88.334259000000003</v>
      </c>
      <c r="I45" s="122">
        <f t="shared" si="0"/>
        <v>-9.5329681151019585E-3</v>
      </c>
      <c r="J45" s="122">
        <f t="shared" si="0"/>
        <v>0</v>
      </c>
      <c r="K45"/>
      <c r="L45"/>
      <c r="M45"/>
      <c r="N45" s="54"/>
      <c r="O45" s="54"/>
      <c r="P45" s="54"/>
      <c r="Z45"/>
    </row>
    <row r="46" spans="1:26" s="15" customFormat="1" x14ac:dyDescent="0.3">
      <c r="A46" s="17"/>
      <c r="B46"/>
      <c r="C46"/>
      <c r="D46"/>
      <c r="E46"/>
      <c r="F46" s="121">
        <v>43504</v>
      </c>
      <c r="G46" s="53">
        <v>253.04437300000001</v>
      </c>
      <c r="H46" s="53">
        <v>88.353545999999994</v>
      </c>
      <c r="I46" s="122">
        <f t="shared" si="0"/>
        <v>1.22149760609358E-3</v>
      </c>
      <c r="J46" s="122">
        <f t="shared" si="0"/>
        <v>2.18341108176201E-4</v>
      </c>
      <c r="K46"/>
      <c r="L46"/>
      <c r="M46"/>
      <c r="N46" s="54"/>
      <c r="O46" s="54"/>
      <c r="P46" s="54"/>
      <c r="Z46"/>
    </row>
    <row r="47" spans="1:26" s="15" customFormat="1" x14ac:dyDescent="0.3">
      <c r="A47" s="17"/>
      <c r="B47"/>
      <c r="C47"/>
      <c r="D47"/>
      <c r="E47"/>
      <c r="F47" s="121">
        <v>43507</v>
      </c>
      <c r="G47" s="53">
        <v>253.184753</v>
      </c>
      <c r="H47" s="53">
        <v>88.343886999999995</v>
      </c>
      <c r="I47" s="122">
        <f t="shared" si="0"/>
        <v>5.5476436142676278E-4</v>
      </c>
      <c r="J47" s="122">
        <f t="shared" si="0"/>
        <v>-1.0932215442716053E-4</v>
      </c>
      <c r="K47"/>
      <c r="L47"/>
      <c r="M47"/>
      <c r="N47" s="54"/>
      <c r="O47" s="54"/>
      <c r="P47" s="54"/>
      <c r="Z47"/>
    </row>
    <row r="48" spans="1:26" s="15" customFormat="1" x14ac:dyDescent="0.3">
      <c r="A48" s="17"/>
      <c r="B48"/>
      <c r="C48"/>
      <c r="D48"/>
      <c r="E48"/>
      <c r="F48" s="121">
        <v>43508</v>
      </c>
      <c r="G48" s="53">
        <v>256.44058200000001</v>
      </c>
      <c r="H48" s="53">
        <v>88.363213000000002</v>
      </c>
      <c r="I48" s="122">
        <f t="shared" si="0"/>
        <v>1.2859498691850657E-2</v>
      </c>
      <c r="J48" s="122">
        <f t="shared" si="0"/>
        <v>2.1875876935339988E-4</v>
      </c>
      <c r="K48"/>
      <c r="L48"/>
      <c r="M48"/>
      <c r="N48" s="54"/>
      <c r="O48" s="54"/>
      <c r="P48" s="54"/>
      <c r="Z48"/>
    </row>
    <row r="49" spans="1:26" s="15" customFormat="1" x14ac:dyDescent="0.3">
      <c r="A49" s="17"/>
      <c r="B49"/>
      <c r="C49"/>
      <c r="D49"/>
      <c r="E49"/>
      <c r="F49" s="121">
        <v>43509</v>
      </c>
      <c r="G49" s="53">
        <v>257.27319299999999</v>
      </c>
      <c r="H49" s="53">
        <v>88.363213000000002</v>
      </c>
      <c r="I49" s="122">
        <f t="shared" si="0"/>
        <v>3.2467989017432863E-3</v>
      </c>
      <c r="J49" s="122">
        <f t="shared" si="0"/>
        <v>0</v>
      </c>
      <c r="K49"/>
      <c r="L49"/>
      <c r="M49"/>
      <c r="N49" s="54"/>
      <c r="O49" s="54"/>
      <c r="P49" s="54"/>
      <c r="Z49"/>
    </row>
    <row r="50" spans="1:26" s="15" customFormat="1" x14ac:dyDescent="0.3">
      <c r="A50" s="17"/>
      <c r="B50"/>
      <c r="C50"/>
      <c r="D50"/>
      <c r="E50"/>
      <c r="F50" s="121">
        <v>43510</v>
      </c>
      <c r="G50" s="53">
        <v>256.70248400000003</v>
      </c>
      <c r="H50" s="53">
        <v>88.382544999999993</v>
      </c>
      <c r="I50" s="122">
        <f t="shared" si="0"/>
        <v>-2.2182995178979814E-3</v>
      </c>
      <c r="J50" s="122">
        <f t="shared" si="0"/>
        <v>2.1877882598042575E-4</v>
      </c>
      <c r="K50"/>
      <c r="L50"/>
      <c r="M50"/>
      <c r="N50" s="54"/>
      <c r="O50" s="54"/>
      <c r="P50" s="54"/>
      <c r="Z50"/>
    </row>
    <row r="51" spans="1:26" s="15" customFormat="1" x14ac:dyDescent="0.3">
      <c r="A51" s="17"/>
      <c r="B51"/>
      <c r="C51"/>
      <c r="D51"/>
      <c r="E51"/>
      <c r="F51" s="121">
        <v>43511</v>
      </c>
      <c r="G51" s="53">
        <v>259.49987800000002</v>
      </c>
      <c r="H51" s="53">
        <v>88.382544999999993</v>
      </c>
      <c r="I51" s="122">
        <f t="shared" si="0"/>
        <v>1.0897416949031236E-2</v>
      </c>
      <c r="J51" s="122">
        <f t="shared" si="0"/>
        <v>0</v>
      </c>
      <c r="K51"/>
      <c r="L51"/>
      <c r="M51"/>
      <c r="N51" s="54"/>
      <c r="O51" s="54"/>
      <c r="P51" s="54"/>
      <c r="Z51"/>
    </row>
    <row r="52" spans="1:26" s="15" customFormat="1" x14ac:dyDescent="0.3">
      <c r="A52" s="17"/>
      <c r="B52"/>
      <c r="C52"/>
      <c r="D52"/>
      <c r="E52"/>
      <c r="F52" s="121">
        <v>43515</v>
      </c>
      <c r="G52" s="53">
        <v>259.94894399999998</v>
      </c>
      <c r="H52" s="53">
        <v>88.401840000000007</v>
      </c>
      <c r="I52" s="122">
        <f t="shared" si="0"/>
        <v>1.7305056305265687E-3</v>
      </c>
      <c r="J52" s="122">
        <f t="shared" si="0"/>
        <v>2.183123375776308E-4</v>
      </c>
      <c r="K52"/>
      <c r="L52"/>
      <c r="M52"/>
      <c r="N52" s="54"/>
      <c r="O52" s="54"/>
      <c r="P52" s="54"/>
      <c r="Z52"/>
    </row>
    <row r="53" spans="1:26" s="15" customFormat="1" x14ac:dyDescent="0.3">
      <c r="A53" s="17"/>
      <c r="B53"/>
      <c r="C53"/>
      <c r="D53"/>
      <c r="E53"/>
      <c r="F53" s="121">
        <v>43516</v>
      </c>
      <c r="G53" s="53">
        <v>260.47283900000002</v>
      </c>
      <c r="H53" s="53">
        <v>88.401840000000007</v>
      </c>
      <c r="I53" s="122">
        <f t="shared" si="0"/>
        <v>2.0153765271693214E-3</v>
      </c>
      <c r="J53" s="122">
        <f t="shared" si="0"/>
        <v>0</v>
      </c>
      <c r="K53"/>
      <c r="L53"/>
      <c r="M53"/>
      <c r="N53" s="54"/>
      <c r="O53" s="54"/>
      <c r="P53" s="54"/>
      <c r="Z53"/>
    </row>
    <row r="54" spans="1:26" s="15" customFormat="1" x14ac:dyDescent="0.3">
      <c r="A54" s="17"/>
      <c r="B54"/>
      <c r="C54"/>
      <c r="D54"/>
      <c r="E54"/>
      <c r="F54" s="121">
        <v>43517</v>
      </c>
      <c r="G54" s="53">
        <v>259.54660000000001</v>
      </c>
      <c r="H54" s="53">
        <v>88.411484000000002</v>
      </c>
      <c r="I54" s="122">
        <f t="shared" si="0"/>
        <v>-3.5559907265417801E-3</v>
      </c>
      <c r="J54" s="122">
        <f t="shared" si="0"/>
        <v>1.0909275191561818E-4</v>
      </c>
      <c r="K54"/>
      <c r="L54"/>
      <c r="M54"/>
      <c r="N54" s="54"/>
      <c r="O54" s="54"/>
      <c r="P54" s="54"/>
      <c r="Z54"/>
    </row>
    <row r="55" spans="1:26" s="15" customFormat="1" x14ac:dyDescent="0.3">
      <c r="A55" s="17"/>
      <c r="B55"/>
      <c r="C55"/>
      <c r="D55"/>
      <c r="E55"/>
      <c r="F55" s="121">
        <v>43518</v>
      </c>
      <c r="G55" s="53">
        <v>261.155823</v>
      </c>
      <c r="H55" s="53">
        <v>88.430817000000005</v>
      </c>
      <c r="I55" s="122">
        <f t="shared" si="0"/>
        <v>6.2001313059003582E-3</v>
      </c>
      <c r="J55" s="122">
        <f t="shared" si="0"/>
        <v>2.1867068762237984E-4</v>
      </c>
      <c r="K55"/>
      <c r="L55"/>
      <c r="M55"/>
      <c r="N55" s="54"/>
      <c r="O55" s="54"/>
      <c r="P55" s="54"/>
      <c r="Z55"/>
    </row>
    <row r="56" spans="1:26" s="15" customFormat="1" x14ac:dyDescent="0.3">
      <c r="A56" s="17"/>
      <c r="B56"/>
      <c r="C56"/>
      <c r="D56"/>
      <c r="E56"/>
      <c r="F56" s="121">
        <v>43521</v>
      </c>
      <c r="G56" s="53">
        <v>261.51129200000003</v>
      </c>
      <c r="H56" s="53">
        <v>88.421149999999997</v>
      </c>
      <c r="I56" s="122">
        <f t="shared" si="0"/>
        <v>1.3611375611564114E-3</v>
      </c>
      <c r="J56" s="122">
        <f t="shared" si="0"/>
        <v>-1.0931709474093498E-4</v>
      </c>
      <c r="K56"/>
      <c r="L56"/>
      <c r="M56"/>
      <c r="N56" s="54"/>
      <c r="O56" s="54"/>
      <c r="P56" s="54"/>
      <c r="Z56"/>
    </row>
    <row r="57" spans="1:26" s="15" customFormat="1" x14ac:dyDescent="0.3">
      <c r="A57" s="17"/>
      <c r="B57"/>
      <c r="C57"/>
      <c r="D57"/>
      <c r="E57"/>
      <c r="F57" s="121">
        <v>43522</v>
      </c>
      <c r="G57" s="53">
        <v>261.32421900000003</v>
      </c>
      <c r="H57" s="53">
        <v>88.430817000000005</v>
      </c>
      <c r="I57" s="122">
        <f t="shared" si="0"/>
        <v>-7.1535343108619642E-4</v>
      </c>
      <c r="J57" s="122">
        <f t="shared" si="0"/>
        <v>1.0932904627458662E-4</v>
      </c>
      <c r="K57"/>
      <c r="L57"/>
      <c r="M57"/>
      <c r="N57" s="54"/>
      <c r="O57" s="54"/>
      <c r="P57" s="54"/>
      <c r="Z57"/>
    </row>
    <row r="58" spans="1:26" s="15" customFormat="1" x14ac:dyDescent="0.3">
      <c r="A58" s="17"/>
      <c r="B58"/>
      <c r="C58"/>
      <c r="D58"/>
      <c r="E58"/>
      <c r="F58" s="121">
        <v>43523</v>
      </c>
      <c r="G58" s="53">
        <v>261.21200599999997</v>
      </c>
      <c r="H58" s="53">
        <v>88.440453000000005</v>
      </c>
      <c r="I58" s="122">
        <f t="shared" si="0"/>
        <v>-4.2940145551551012E-4</v>
      </c>
      <c r="J58" s="122">
        <f t="shared" si="0"/>
        <v>1.0896653821479418E-4</v>
      </c>
      <c r="K58"/>
      <c r="L58"/>
      <c r="M58"/>
      <c r="N58" s="54"/>
      <c r="O58" s="54"/>
      <c r="P58" s="54"/>
      <c r="Z58"/>
    </row>
    <row r="59" spans="1:26" s="15" customFormat="1" x14ac:dyDescent="0.3">
      <c r="A59" s="17"/>
      <c r="B59"/>
      <c r="C59"/>
      <c r="D59"/>
      <c r="E59"/>
      <c r="F59" s="121">
        <v>43524</v>
      </c>
      <c r="G59" s="53">
        <v>260.72543300000001</v>
      </c>
      <c r="H59" s="53">
        <v>88.459770000000006</v>
      </c>
      <c r="I59" s="122">
        <f t="shared" si="0"/>
        <v>-1.8627512856356221E-3</v>
      </c>
      <c r="J59" s="122">
        <f t="shared" si="0"/>
        <v>2.1841814853673647E-4</v>
      </c>
      <c r="K59"/>
      <c r="L59"/>
      <c r="M59"/>
      <c r="N59" s="54"/>
      <c r="O59" s="54"/>
      <c r="P59" s="54"/>
      <c r="Z59"/>
    </row>
    <row r="60" spans="1:26" s="15" customFormat="1" x14ac:dyDescent="0.3">
      <c r="A60" s="17"/>
      <c r="B60"/>
      <c r="C60"/>
      <c r="D60"/>
      <c r="E60"/>
      <c r="F60" s="121">
        <v>43525</v>
      </c>
      <c r="G60" s="53">
        <v>262.35327100000001</v>
      </c>
      <c r="H60" s="53">
        <v>88.469436999999999</v>
      </c>
      <c r="I60" s="122">
        <f t="shared" si="0"/>
        <v>6.2434952404508692E-3</v>
      </c>
      <c r="J60" s="122">
        <f t="shared" si="0"/>
        <v>1.092813151106764E-4</v>
      </c>
      <c r="K60"/>
      <c r="L60"/>
      <c r="M60"/>
      <c r="N60" s="54"/>
      <c r="O60" s="54"/>
      <c r="P60" s="54"/>
      <c r="Z60"/>
    </row>
    <row r="61" spans="1:26" s="15" customFormat="1" x14ac:dyDescent="0.3">
      <c r="A61" s="17"/>
      <c r="B61"/>
      <c r="C61"/>
      <c r="D61"/>
      <c r="E61"/>
      <c r="F61" s="121">
        <v>43528</v>
      </c>
      <c r="G61" s="53">
        <v>261.39904799999999</v>
      </c>
      <c r="H61" s="53">
        <v>88.459762999999995</v>
      </c>
      <c r="I61" s="122">
        <f t="shared" si="0"/>
        <v>-3.6371682973985742E-3</v>
      </c>
      <c r="J61" s="122">
        <f t="shared" si="0"/>
        <v>-1.0934849737997965E-4</v>
      </c>
      <c r="K61"/>
      <c r="L61"/>
      <c r="M61"/>
      <c r="N61" s="54"/>
      <c r="O61" s="54"/>
      <c r="P61" s="54"/>
      <c r="Z61"/>
    </row>
    <row r="62" spans="1:26" s="15" customFormat="1" x14ac:dyDescent="0.3">
      <c r="A62" s="17"/>
      <c r="B62"/>
      <c r="C62"/>
      <c r="D62"/>
      <c r="E62"/>
      <c r="F62" s="121">
        <v>43529</v>
      </c>
      <c r="G62" s="53">
        <v>261.04351800000001</v>
      </c>
      <c r="H62" s="53">
        <v>88.469436999999999</v>
      </c>
      <c r="I62" s="122">
        <f t="shared" si="0"/>
        <v>-1.3601044178247479E-3</v>
      </c>
      <c r="J62" s="122">
        <f t="shared" si="0"/>
        <v>1.0936045578158193E-4</v>
      </c>
      <c r="K62"/>
      <c r="L62"/>
      <c r="M62"/>
      <c r="N62" s="54"/>
      <c r="O62" s="54"/>
      <c r="P62" s="54"/>
      <c r="Z62"/>
    </row>
    <row r="63" spans="1:26" s="15" customFormat="1" x14ac:dyDescent="0.3">
      <c r="A63" s="17"/>
      <c r="B63"/>
      <c r="C63"/>
      <c r="D63"/>
      <c r="E63"/>
      <c r="F63" s="121">
        <v>43530</v>
      </c>
      <c r="G63" s="53">
        <v>259.46246300000001</v>
      </c>
      <c r="H63" s="53">
        <v>88.479111000000003</v>
      </c>
      <c r="I63" s="122">
        <f t="shared" si="0"/>
        <v>-6.0566721292807379E-3</v>
      </c>
      <c r="J63" s="122">
        <f t="shared" si="0"/>
        <v>1.0934849737997965E-4</v>
      </c>
      <c r="K63"/>
      <c r="L63"/>
      <c r="M63"/>
      <c r="N63" s="54"/>
      <c r="O63" s="54"/>
      <c r="P63" s="54"/>
      <c r="Z63"/>
    </row>
    <row r="64" spans="1:26" s="15" customFormat="1" x14ac:dyDescent="0.3">
      <c r="A64" s="17"/>
      <c r="B64"/>
      <c r="C64"/>
      <c r="D64"/>
      <c r="E64"/>
      <c r="F64" s="121">
        <v>43531</v>
      </c>
      <c r="G64" s="53">
        <v>257.29187000000002</v>
      </c>
      <c r="H64" s="53">
        <v>88.498474000000002</v>
      </c>
      <c r="I64" s="122">
        <f t="shared" si="0"/>
        <v>-8.3657303445855424E-3</v>
      </c>
      <c r="J64" s="122">
        <f t="shared" si="0"/>
        <v>2.1884261472737698E-4</v>
      </c>
      <c r="K64"/>
      <c r="L64"/>
      <c r="M64"/>
      <c r="N64" s="54"/>
      <c r="O64" s="54"/>
      <c r="P64" s="54"/>
      <c r="Z64"/>
    </row>
    <row r="65" spans="1:26" s="15" customFormat="1" x14ac:dyDescent="0.3">
      <c r="A65" s="17"/>
      <c r="B65"/>
      <c r="C65"/>
      <c r="D65"/>
      <c r="E65"/>
      <c r="F65" s="121">
        <v>43532</v>
      </c>
      <c r="G65" s="53">
        <v>256.77737400000001</v>
      </c>
      <c r="H65" s="53">
        <v>88.508156</v>
      </c>
      <c r="I65" s="122">
        <f t="shared" si="0"/>
        <v>-1.9996589865043379E-3</v>
      </c>
      <c r="J65" s="122">
        <f t="shared" si="0"/>
        <v>1.0940301637285543E-4</v>
      </c>
      <c r="K65"/>
      <c r="L65"/>
      <c r="M65"/>
      <c r="N65" s="54"/>
      <c r="O65" s="54"/>
      <c r="P65" s="54"/>
      <c r="Z65"/>
    </row>
    <row r="66" spans="1:26" s="15" customFormat="1" x14ac:dyDescent="0.3">
      <c r="A66" s="17"/>
      <c r="B66"/>
      <c r="C66"/>
      <c r="D66"/>
      <c r="E66"/>
      <c r="F66" s="121">
        <v>43535</v>
      </c>
      <c r="G66" s="53">
        <v>260.50091600000002</v>
      </c>
      <c r="H66" s="53">
        <v>88.508156</v>
      </c>
      <c r="I66" s="122">
        <f t="shared" si="0"/>
        <v>1.4501051794384434E-2</v>
      </c>
      <c r="J66" s="122">
        <f t="shared" si="0"/>
        <v>0</v>
      </c>
      <c r="K66"/>
      <c r="L66"/>
      <c r="M66"/>
      <c r="N66" s="54"/>
      <c r="O66" s="54"/>
      <c r="P66" s="54"/>
      <c r="Z66"/>
    </row>
    <row r="67" spans="1:26" s="15" customFormat="1" x14ac:dyDescent="0.3">
      <c r="A67" s="17"/>
      <c r="B67"/>
      <c r="C67"/>
      <c r="D67"/>
      <c r="E67"/>
      <c r="F67" s="121">
        <v>43536</v>
      </c>
      <c r="G67" s="53">
        <v>261.48327599999999</v>
      </c>
      <c r="H67" s="53">
        <v>88.517821999999995</v>
      </c>
      <c r="I67" s="122">
        <f t="shared" si="0"/>
        <v>3.7710424020158673E-3</v>
      </c>
      <c r="J67" s="122">
        <f t="shared" si="0"/>
        <v>1.0921027436161523E-4</v>
      </c>
      <c r="K67"/>
      <c r="L67"/>
      <c r="M67"/>
      <c r="N67" s="54"/>
      <c r="O67" s="54"/>
      <c r="P67" s="54"/>
      <c r="Z67"/>
    </row>
    <row r="68" spans="1:26" s="15" customFormat="1" x14ac:dyDescent="0.3">
      <c r="A68" s="17"/>
      <c r="B68"/>
      <c r="C68"/>
      <c r="D68"/>
      <c r="E68"/>
      <c r="F68" s="121">
        <v>43537</v>
      </c>
      <c r="G68" s="53">
        <v>263.214111</v>
      </c>
      <c r="H68" s="53">
        <v>88.527495999999999</v>
      </c>
      <c r="I68" s="122">
        <f t="shared" si="0"/>
        <v>6.6192952240662351E-3</v>
      </c>
      <c r="J68" s="122">
        <f t="shared" si="0"/>
        <v>1.0928872606030815E-4</v>
      </c>
      <c r="K68"/>
      <c r="L68"/>
      <c r="M68"/>
      <c r="N68" s="54"/>
      <c r="O68" s="54"/>
      <c r="P68" s="54"/>
      <c r="Z68"/>
    </row>
    <row r="69" spans="1:26" s="15" customFormat="1" x14ac:dyDescent="0.3">
      <c r="A69" s="17"/>
      <c r="B69"/>
      <c r="C69"/>
      <c r="D69"/>
      <c r="E69"/>
      <c r="F69" s="121">
        <v>43538</v>
      </c>
      <c r="G69" s="53">
        <v>263.04562399999998</v>
      </c>
      <c r="H69" s="53">
        <v>88.527495999999999</v>
      </c>
      <c r="I69" s="122">
        <f t="shared" si="0"/>
        <v>-6.4011385772566598E-4</v>
      </c>
      <c r="J69" s="122">
        <f t="shared" si="0"/>
        <v>0</v>
      </c>
      <c r="K69"/>
      <c r="L69"/>
      <c r="M69"/>
      <c r="N69" s="54"/>
      <c r="O69" s="54"/>
      <c r="P69" s="54"/>
      <c r="Z69"/>
    </row>
    <row r="70" spans="1:26" s="15" customFormat="1" x14ac:dyDescent="0.3">
      <c r="A70" s="17"/>
      <c r="B70"/>
      <c r="C70"/>
      <c r="D70"/>
      <c r="E70"/>
      <c r="F70" s="121">
        <v>43539</v>
      </c>
      <c r="G70" s="53">
        <v>264.34527600000001</v>
      </c>
      <c r="H70" s="53">
        <v>88.537139999999994</v>
      </c>
      <c r="I70" s="122">
        <f t="shared" si="0"/>
        <v>4.9407854813812158E-3</v>
      </c>
      <c r="J70" s="122">
        <f t="shared" si="0"/>
        <v>1.0893790557453542E-4</v>
      </c>
      <c r="K70"/>
      <c r="L70"/>
      <c r="M70"/>
      <c r="N70" s="54"/>
      <c r="O70" s="54"/>
      <c r="P70" s="54"/>
      <c r="Z70"/>
    </row>
    <row r="71" spans="1:26" s="15" customFormat="1" x14ac:dyDescent="0.3">
      <c r="A71" s="17"/>
      <c r="B71"/>
      <c r="C71"/>
      <c r="D71"/>
      <c r="E71"/>
      <c r="F71" s="121">
        <v>43542</v>
      </c>
      <c r="G71" s="53">
        <v>265.30377199999998</v>
      </c>
      <c r="H71" s="53">
        <v>88.546852000000001</v>
      </c>
      <c r="I71" s="122">
        <f t="shared" si="0"/>
        <v>3.6259244519276645E-3</v>
      </c>
      <c r="J71" s="122">
        <f t="shared" si="0"/>
        <v>1.0969407866578962E-4</v>
      </c>
      <c r="K71"/>
      <c r="L71"/>
      <c r="M71"/>
      <c r="N71" s="54"/>
      <c r="O71" s="54"/>
      <c r="P71" s="54"/>
      <c r="Z71"/>
    </row>
    <row r="72" spans="1:26" s="15" customFormat="1" x14ac:dyDescent="0.3">
      <c r="A72" s="17"/>
      <c r="B72"/>
      <c r="C72"/>
      <c r="D72"/>
      <c r="E72"/>
      <c r="F72" s="121">
        <v>43543</v>
      </c>
      <c r="G72" s="53">
        <v>265.369507</v>
      </c>
      <c r="H72" s="53">
        <v>88.546852000000001</v>
      </c>
      <c r="I72" s="122">
        <f t="shared" si="0"/>
        <v>2.4777257972807831E-4</v>
      </c>
      <c r="J72" s="122">
        <f t="shared" si="0"/>
        <v>0</v>
      </c>
      <c r="K72"/>
      <c r="L72"/>
      <c r="M72"/>
      <c r="N72" s="54"/>
      <c r="O72" s="54"/>
      <c r="P72" s="54"/>
      <c r="Z72"/>
    </row>
    <row r="73" spans="1:26" s="15" customFormat="1" x14ac:dyDescent="0.3">
      <c r="A73" s="17"/>
      <c r="B73"/>
      <c r="C73"/>
      <c r="D73"/>
      <c r="E73"/>
      <c r="F73" s="121">
        <v>43544</v>
      </c>
      <c r="G73" s="53">
        <v>264.57080100000002</v>
      </c>
      <c r="H73" s="53">
        <v>88.546852000000001</v>
      </c>
      <c r="I73" s="122">
        <f t="shared" si="0"/>
        <v>-3.0097881592702214E-3</v>
      </c>
      <c r="J73" s="122">
        <f t="shared" si="0"/>
        <v>0</v>
      </c>
      <c r="K73"/>
      <c r="L73"/>
      <c r="M73"/>
      <c r="N73" s="54"/>
      <c r="O73" s="54"/>
      <c r="P73" s="54"/>
      <c r="Z73"/>
    </row>
    <row r="74" spans="1:26" s="15" customFormat="1" x14ac:dyDescent="0.3">
      <c r="A74" s="17"/>
      <c r="B74"/>
      <c r="C74"/>
      <c r="D74"/>
      <c r="E74"/>
      <c r="F74" s="121">
        <v>43545</v>
      </c>
      <c r="G74" s="53">
        <v>267.55898999999999</v>
      </c>
      <c r="H74" s="53">
        <v>88.575858999999994</v>
      </c>
      <c r="I74" s="122">
        <f t="shared" si="0"/>
        <v>1.1294477654773205E-2</v>
      </c>
      <c r="J74" s="122">
        <f t="shared" si="0"/>
        <v>3.27589285726404E-4</v>
      </c>
      <c r="K74"/>
      <c r="L74"/>
      <c r="M74"/>
      <c r="N74" s="54"/>
      <c r="O74" s="54"/>
      <c r="P74" s="54"/>
      <c r="Z74"/>
    </row>
    <row r="75" spans="1:26" s="15" customFormat="1" x14ac:dyDescent="0.3">
      <c r="A75" s="17"/>
      <c r="B75"/>
      <c r="C75"/>
      <c r="D75"/>
      <c r="E75"/>
      <c r="F75" s="121">
        <v>43546</v>
      </c>
      <c r="G75" s="53">
        <v>262.40948500000002</v>
      </c>
      <c r="H75" s="53">
        <v>88.575858999999994</v>
      </c>
      <c r="I75" s="122">
        <f t="shared" si="0"/>
        <v>-1.9246241735327185E-2</v>
      </c>
      <c r="J75" s="122">
        <f t="shared" si="0"/>
        <v>0</v>
      </c>
      <c r="K75"/>
      <c r="L75"/>
      <c r="M75"/>
      <c r="N75" s="54"/>
      <c r="O75" s="54"/>
      <c r="P75" s="54"/>
      <c r="Z75"/>
    </row>
    <row r="76" spans="1:26" s="15" customFormat="1" x14ac:dyDescent="0.3">
      <c r="A76" s="17"/>
      <c r="B76"/>
      <c r="C76"/>
      <c r="D76"/>
      <c r="E76"/>
      <c r="F76" s="121">
        <v>43549</v>
      </c>
      <c r="G76" s="53">
        <v>262.21212800000001</v>
      </c>
      <c r="H76" s="53">
        <v>88.575858999999994</v>
      </c>
      <c r="I76" s="122">
        <f t="shared" si="0"/>
        <v>-7.520955273396801E-4</v>
      </c>
      <c r="J76" s="122">
        <f t="shared" si="0"/>
        <v>0</v>
      </c>
      <c r="K76"/>
      <c r="L76"/>
      <c r="M76"/>
      <c r="N76" s="54"/>
      <c r="O76" s="54"/>
      <c r="P76" s="54"/>
      <c r="Z76"/>
    </row>
    <row r="77" spans="1:26" s="15" customFormat="1" x14ac:dyDescent="0.3">
      <c r="A77" s="17"/>
      <c r="B77"/>
      <c r="C77"/>
      <c r="D77"/>
      <c r="E77"/>
      <c r="F77" s="121">
        <v>43550</v>
      </c>
      <c r="G77" s="53">
        <v>264.16674799999998</v>
      </c>
      <c r="H77" s="53">
        <v>88.585548000000003</v>
      </c>
      <c r="I77" s="122">
        <f t="shared" si="0"/>
        <v>7.4543462764620205E-3</v>
      </c>
      <c r="J77" s="122">
        <f t="shared" si="0"/>
        <v>1.0938646386726703E-4</v>
      </c>
      <c r="K77"/>
      <c r="L77"/>
      <c r="M77"/>
      <c r="N77" s="54"/>
      <c r="O77" s="54"/>
      <c r="P77" s="54"/>
      <c r="Z77"/>
    </row>
    <row r="78" spans="1:26" s="15" customFormat="1" x14ac:dyDescent="0.3">
      <c r="A78" s="17"/>
      <c r="B78"/>
      <c r="C78"/>
      <c r="D78"/>
      <c r="E78"/>
      <c r="F78" s="121">
        <v>43551</v>
      </c>
      <c r="G78" s="53">
        <v>262.78539999999998</v>
      </c>
      <c r="H78" s="53">
        <v>88.595191999999997</v>
      </c>
      <c r="I78" s="122">
        <f t="shared" si="0"/>
        <v>-5.22907599256206E-3</v>
      </c>
      <c r="J78" s="122">
        <f t="shared" si="0"/>
        <v>1.0886651624031352E-4</v>
      </c>
      <c r="K78"/>
      <c r="L78"/>
      <c r="M78"/>
      <c r="N78" s="54"/>
      <c r="O78" s="54"/>
      <c r="P78" s="54"/>
      <c r="Z78"/>
    </row>
    <row r="79" spans="1:26" s="15" customFormat="1" x14ac:dyDescent="0.3">
      <c r="A79" s="17"/>
      <c r="B79"/>
      <c r="C79"/>
      <c r="D79"/>
      <c r="E79"/>
      <c r="F79" s="121">
        <v>43552</v>
      </c>
      <c r="G79" s="53">
        <v>263.78146400000003</v>
      </c>
      <c r="H79" s="53">
        <v>88.614554999999996</v>
      </c>
      <c r="I79" s="122">
        <f t="shared" si="0"/>
        <v>3.7904084473492361E-3</v>
      </c>
      <c r="J79" s="122">
        <f t="shared" si="0"/>
        <v>2.1855587829189282E-4</v>
      </c>
      <c r="K79"/>
      <c r="L79"/>
      <c r="M79"/>
      <c r="N79" s="54"/>
      <c r="O79" s="54"/>
      <c r="P79" s="54"/>
      <c r="Z79"/>
    </row>
    <row r="80" spans="1:26" s="15" customFormat="1" x14ac:dyDescent="0.3">
      <c r="A80" s="17"/>
      <c r="B80"/>
      <c r="C80"/>
      <c r="D80"/>
      <c r="E80"/>
      <c r="F80" s="121">
        <v>43553</v>
      </c>
      <c r="G80" s="53">
        <v>265.44473299999999</v>
      </c>
      <c r="H80" s="53">
        <v>88.614554999999996</v>
      </c>
      <c r="I80" s="122">
        <f t="shared" si="0"/>
        <v>6.3054809643483534E-3</v>
      </c>
      <c r="J80" s="122">
        <f t="shared" si="0"/>
        <v>0</v>
      </c>
      <c r="K80"/>
      <c r="L80"/>
      <c r="M80"/>
      <c r="N80" s="54"/>
      <c r="O80" s="54"/>
      <c r="P80" s="54"/>
      <c r="Z80"/>
    </row>
    <row r="81" spans="1:26" s="15" customFormat="1" x14ac:dyDescent="0.3">
      <c r="A81" s="17"/>
      <c r="B81"/>
      <c r="C81"/>
      <c r="D81"/>
      <c r="E81"/>
      <c r="F81" s="121">
        <v>43556</v>
      </c>
      <c r="G81" s="53">
        <v>268.59265099999999</v>
      </c>
      <c r="H81" s="53">
        <v>88.630081000000004</v>
      </c>
      <c r="I81" s="122">
        <f t="shared" si="0"/>
        <v>1.1859033571406385E-2</v>
      </c>
      <c r="J81" s="122">
        <f t="shared" si="0"/>
        <v>1.7520823751815406E-4</v>
      </c>
      <c r="K81"/>
      <c r="L81"/>
      <c r="M81"/>
      <c r="N81" s="54"/>
      <c r="O81" s="54"/>
      <c r="P81" s="54"/>
      <c r="Z81"/>
    </row>
    <row r="82" spans="1:26" s="15" customFormat="1" x14ac:dyDescent="0.3">
      <c r="A82" s="17"/>
      <c r="B82"/>
      <c r="C82"/>
      <c r="D82"/>
      <c r="E82"/>
      <c r="F82" s="121">
        <v>43557</v>
      </c>
      <c r="G82" s="53">
        <v>268.724243</v>
      </c>
      <c r="H82" s="53">
        <v>88.620377000000005</v>
      </c>
      <c r="I82" s="122">
        <f t="shared" si="0"/>
        <v>4.8993149853537865E-4</v>
      </c>
      <c r="J82" s="122">
        <f t="shared" si="0"/>
        <v>-1.0948878631844572E-4</v>
      </c>
      <c r="K82"/>
      <c r="L82"/>
      <c r="M82"/>
      <c r="N82" s="54"/>
      <c r="O82" s="54"/>
      <c r="P82" s="54"/>
      <c r="Z82"/>
    </row>
    <row r="83" spans="1:26" s="15" customFormat="1" x14ac:dyDescent="0.3">
      <c r="A83" s="17"/>
      <c r="B83"/>
      <c r="C83"/>
      <c r="D83"/>
      <c r="E83"/>
      <c r="F83" s="121">
        <v>43558</v>
      </c>
      <c r="G83" s="53">
        <v>269.14718599999998</v>
      </c>
      <c r="H83" s="53">
        <v>88.630081000000004</v>
      </c>
      <c r="I83" s="122">
        <f t="shared" si="0"/>
        <v>1.5738922371808517E-3</v>
      </c>
      <c r="J83" s="122">
        <f t="shared" si="0"/>
        <v>1.095007754254862E-4</v>
      </c>
      <c r="K83"/>
      <c r="L83"/>
      <c r="M83"/>
      <c r="N83" s="54"/>
      <c r="O83" s="54"/>
      <c r="P83" s="54"/>
      <c r="Z83"/>
    </row>
    <row r="84" spans="1:26" s="15" customFormat="1" x14ac:dyDescent="0.3">
      <c r="A84" s="17"/>
      <c r="B84"/>
      <c r="C84"/>
      <c r="D84"/>
      <c r="E84"/>
      <c r="F84" s="121">
        <v>43559</v>
      </c>
      <c r="G84" s="53">
        <v>269.861267</v>
      </c>
      <c r="H84" s="53">
        <v>88.659142000000003</v>
      </c>
      <c r="I84" s="122">
        <f t="shared" si="0"/>
        <v>2.6531245249579172E-3</v>
      </c>
      <c r="J84" s="122">
        <f t="shared" si="0"/>
        <v>3.2789093355334309E-4</v>
      </c>
      <c r="K84"/>
      <c r="L84"/>
      <c r="M84"/>
      <c r="N84" s="54"/>
      <c r="O84" s="54"/>
      <c r="P84" s="54"/>
      <c r="Z84"/>
    </row>
    <row r="85" spans="1:26" s="15" customFormat="1" x14ac:dyDescent="0.3">
      <c r="A85" s="17"/>
      <c r="B85"/>
      <c r="C85"/>
      <c r="D85"/>
      <c r="E85"/>
      <c r="F85" s="121">
        <v>43560</v>
      </c>
      <c r="G85" s="53">
        <v>271.16744999999997</v>
      </c>
      <c r="H85" s="53">
        <v>88.659142000000003</v>
      </c>
      <c r="I85" s="122">
        <f t="shared" ref="I85:J148" si="1">G85/G84-1</f>
        <v>4.8402018360047538E-3</v>
      </c>
      <c r="J85" s="122">
        <f t="shared" si="1"/>
        <v>0</v>
      </c>
      <c r="K85"/>
      <c r="L85"/>
      <c r="M85"/>
      <c r="N85" s="54"/>
      <c r="O85" s="54"/>
      <c r="P85" s="54"/>
      <c r="Z85"/>
    </row>
    <row r="86" spans="1:26" s="15" customFormat="1" x14ac:dyDescent="0.3">
      <c r="A86" s="17"/>
      <c r="B86"/>
      <c r="C86"/>
      <c r="D86"/>
      <c r="E86"/>
      <c r="F86" s="121">
        <v>43563</v>
      </c>
      <c r="G86" s="53">
        <v>271.374146</v>
      </c>
      <c r="H86" s="53">
        <v>88.659142000000003</v>
      </c>
      <c r="I86" s="122">
        <f t="shared" si="1"/>
        <v>7.6224487857978751E-4</v>
      </c>
      <c r="J86" s="122">
        <f t="shared" si="1"/>
        <v>0</v>
      </c>
      <c r="K86"/>
      <c r="L86"/>
      <c r="M86"/>
      <c r="N86" s="54"/>
      <c r="O86" s="54"/>
      <c r="P86" s="54"/>
      <c r="Z86"/>
    </row>
    <row r="87" spans="1:26" s="15" customFormat="1" x14ac:dyDescent="0.3">
      <c r="A87" s="17"/>
      <c r="B87"/>
      <c r="C87"/>
      <c r="D87"/>
      <c r="E87"/>
      <c r="F87" s="121">
        <v>43564</v>
      </c>
      <c r="G87" s="53">
        <v>269.98345899999998</v>
      </c>
      <c r="H87" s="53">
        <v>88.668846000000002</v>
      </c>
      <c r="I87" s="122">
        <f t="shared" si="1"/>
        <v>-5.1246112442856484E-3</v>
      </c>
      <c r="J87" s="122">
        <f t="shared" si="1"/>
        <v>1.0945289770569744E-4</v>
      </c>
      <c r="K87"/>
      <c r="L87"/>
      <c r="M87"/>
      <c r="N87" s="54"/>
      <c r="O87" s="54"/>
      <c r="P87" s="54"/>
      <c r="Z87"/>
    </row>
    <row r="88" spans="1:26" s="15" customFormat="1" x14ac:dyDescent="0.3">
      <c r="A88" s="17"/>
      <c r="B88"/>
      <c r="C88"/>
      <c r="D88"/>
      <c r="E88"/>
      <c r="F88" s="121">
        <v>43565</v>
      </c>
      <c r="G88" s="53">
        <v>270.904358</v>
      </c>
      <c r="H88" s="53">
        <v>88.668846000000002</v>
      </c>
      <c r="I88" s="122">
        <f t="shared" si="1"/>
        <v>3.4109460016957804E-3</v>
      </c>
      <c r="J88" s="122">
        <f t="shared" si="1"/>
        <v>0</v>
      </c>
      <c r="K88"/>
      <c r="L88"/>
      <c r="M88"/>
      <c r="N88" s="54"/>
      <c r="O88" s="54"/>
      <c r="P88" s="54"/>
      <c r="Z88"/>
    </row>
    <row r="89" spans="1:26" s="15" customFormat="1" x14ac:dyDescent="0.3">
      <c r="A89" s="17"/>
      <c r="B89"/>
      <c r="C89"/>
      <c r="D89"/>
      <c r="E89"/>
      <c r="F89" s="121">
        <v>43566</v>
      </c>
      <c r="G89" s="53">
        <v>270.82913200000002</v>
      </c>
      <c r="H89" s="53">
        <v>88.697906000000003</v>
      </c>
      <c r="I89" s="122">
        <f t="shared" si="1"/>
        <v>-2.7768471705424957E-4</v>
      </c>
      <c r="J89" s="122">
        <f t="shared" si="1"/>
        <v>3.2773630548876831E-4</v>
      </c>
      <c r="K89"/>
      <c r="L89"/>
      <c r="M89"/>
      <c r="N89" s="54"/>
      <c r="O89" s="54"/>
      <c r="P89" s="54"/>
      <c r="Z89"/>
    </row>
    <row r="90" spans="1:26" s="15" customFormat="1" x14ac:dyDescent="0.3">
      <c r="A90" s="17"/>
      <c r="B90"/>
      <c r="C90"/>
      <c r="D90"/>
      <c r="E90"/>
      <c r="F90" s="121">
        <v>43567</v>
      </c>
      <c r="G90" s="53">
        <v>272.66162100000003</v>
      </c>
      <c r="H90" s="53">
        <v>88.697906000000003</v>
      </c>
      <c r="I90" s="122">
        <f t="shared" si="1"/>
        <v>6.7662181925096654E-3</v>
      </c>
      <c r="J90" s="122">
        <f t="shared" si="1"/>
        <v>0</v>
      </c>
      <c r="K90"/>
      <c r="L90"/>
      <c r="M90"/>
      <c r="N90" s="54"/>
      <c r="O90" s="54"/>
      <c r="P90" s="54"/>
      <c r="Z90"/>
    </row>
    <row r="91" spans="1:26" s="15" customFormat="1" x14ac:dyDescent="0.3">
      <c r="A91" s="17"/>
      <c r="B91"/>
      <c r="C91"/>
      <c r="D91"/>
      <c r="E91"/>
      <c r="F91" s="121">
        <v>43570</v>
      </c>
      <c r="G91" s="53">
        <v>272.48303199999998</v>
      </c>
      <c r="H91" s="53">
        <v>88.707611</v>
      </c>
      <c r="I91" s="122">
        <f t="shared" si="1"/>
        <v>-6.5498400304764282E-4</v>
      </c>
      <c r="J91" s="122">
        <f t="shared" si="1"/>
        <v>1.0941633729211198E-4</v>
      </c>
      <c r="K91"/>
      <c r="L91"/>
      <c r="M91"/>
      <c r="N91" s="54"/>
      <c r="O91" s="54"/>
      <c r="P91" s="54"/>
      <c r="Z91"/>
    </row>
    <row r="92" spans="1:26" s="15" customFormat="1" x14ac:dyDescent="0.3">
      <c r="A92" s="17"/>
      <c r="B92"/>
      <c r="C92"/>
      <c r="D92"/>
      <c r="E92"/>
      <c r="F92" s="121">
        <v>43571</v>
      </c>
      <c r="G92" s="53">
        <v>272.66162100000003</v>
      </c>
      <c r="H92" s="53">
        <v>88.707611</v>
      </c>
      <c r="I92" s="122">
        <f t="shared" si="1"/>
        <v>6.554132882667929E-4</v>
      </c>
      <c r="J92" s="122">
        <f t="shared" si="1"/>
        <v>0</v>
      </c>
      <c r="K92"/>
      <c r="L92"/>
      <c r="M92"/>
      <c r="N92" s="54"/>
      <c r="O92" s="54"/>
      <c r="P92" s="54"/>
      <c r="Z92"/>
    </row>
    <row r="93" spans="1:26" s="15" customFormat="1" x14ac:dyDescent="0.3">
      <c r="A93" s="17"/>
      <c r="B93"/>
      <c r="C93"/>
      <c r="D93"/>
      <c r="E93"/>
      <c r="F93" s="121">
        <v>43572</v>
      </c>
      <c r="G93" s="53">
        <v>271.99438500000002</v>
      </c>
      <c r="H93" s="53">
        <v>88.726982000000007</v>
      </c>
      <c r="I93" s="122">
        <f t="shared" si="1"/>
        <v>-2.4471210783273412E-3</v>
      </c>
      <c r="J93" s="122">
        <f t="shared" si="1"/>
        <v>2.1836908672923094E-4</v>
      </c>
      <c r="K93"/>
      <c r="L93"/>
      <c r="M93"/>
      <c r="N93" s="54"/>
      <c r="O93" s="54"/>
      <c r="P93" s="54"/>
      <c r="Z93"/>
    </row>
    <row r="94" spans="1:26" s="15" customFormat="1" x14ac:dyDescent="0.3">
      <c r="A94" s="17"/>
      <c r="B94"/>
      <c r="C94"/>
      <c r="D94"/>
      <c r="E94"/>
      <c r="F94" s="121">
        <v>43573</v>
      </c>
      <c r="G94" s="53">
        <v>272.529968</v>
      </c>
      <c r="H94" s="53">
        <v>88.736716999999999</v>
      </c>
      <c r="I94" s="122">
        <f t="shared" si="1"/>
        <v>1.969095795856024E-3</v>
      </c>
      <c r="J94" s="122">
        <f t="shared" si="1"/>
        <v>1.0971859721320421E-4</v>
      </c>
      <c r="K94"/>
      <c r="L94"/>
      <c r="M94"/>
      <c r="N94" s="54"/>
      <c r="O94" s="54"/>
      <c r="P94" s="54"/>
      <c r="Z94"/>
    </row>
    <row r="95" spans="1:26" s="15" customFormat="1" x14ac:dyDescent="0.3">
      <c r="A95" s="17"/>
      <c r="B95"/>
      <c r="C95"/>
      <c r="D95"/>
      <c r="E95"/>
      <c r="F95" s="121">
        <v>43577</v>
      </c>
      <c r="G95" s="53">
        <v>272.76492300000001</v>
      </c>
      <c r="H95" s="53">
        <v>88.736716999999999</v>
      </c>
      <c r="I95" s="122">
        <f t="shared" si="1"/>
        <v>8.6212537184171545E-4</v>
      </c>
      <c r="J95" s="122">
        <f t="shared" si="1"/>
        <v>0</v>
      </c>
      <c r="K95"/>
      <c r="L95"/>
      <c r="M95"/>
      <c r="N95" s="54"/>
      <c r="O95" s="54"/>
      <c r="P95" s="54"/>
      <c r="Z95"/>
    </row>
    <row r="96" spans="1:26" s="15" customFormat="1" x14ac:dyDescent="0.3">
      <c r="A96" s="17"/>
      <c r="B96"/>
      <c r="C96"/>
      <c r="D96"/>
      <c r="E96"/>
      <c r="F96" s="121">
        <v>43578</v>
      </c>
      <c r="G96" s="53">
        <v>275.21755999999999</v>
      </c>
      <c r="H96" s="53">
        <v>88.736716999999999</v>
      </c>
      <c r="I96" s="122">
        <f t="shared" si="1"/>
        <v>8.9917610117338231E-3</v>
      </c>
      <c r="J96" s="122">
        <f t="shared" si="1"/>
        <v>0</v>
      </c>
      <c r="K96"/>
      <c r="L96"/>
      <c r="M96"/>
      <c r="N96" s="54"/>
      <c r="O96" s="54"/>
      <c r="P96" s="54"/>
      <c r="Z96"/>
    </row>
    <row r="97" spans="1:26" s="15" customFormat="1" x14ac:dyDescent="0.3">
      <c r="A97" s="17"/>
      <c r="B97"/>
      <c r="C97"/>
      <c r="D97"/>
      <c r="E97"/>
      <c r="F97" s="121">
        <v>43579</v>
      </c>
      <c r="G97" s="53">
        <v>274.60674999999998</v>
      </c>
      <c r="H97" s="53">
        <v>88.756073000000001</v>
      </c>
      <c r="I97" s="122">
        <f t="shared" si="1"/>
        <v>-2.2193714674311193E-3</v>
      </c>
      <c r="J97" s="122">
        <f t="shared" si="1"/>
        <v>2.1812842140644939E-4</v>
      </c>
      <c r="K97"/>
      <c r="L97"/>
      <c r="M97"/>
      <c r="N97" s="54"/>
      <c r="O97" s="54"/>
      <c r="P97" s="54"/>
      <c r="Z97"/>
    </row>
    <row r="98" spans="1:26" s="15" customFormat="1" x14ac:dyDescent="0.3">
      <c r="A98" s="17"/>
      <c r="B98"/>
      <c r="C98"/>
      <c r="D98"/>
      <c r="E98"/>
      <c r="F98" s="121">
        <v>43580</v>
      </c>
      <c r="G98" s="53">
        <v>274.43753099999998</v>
      </c>
      <c r="H98" s="53">
        <v>88.775435999999999</v>
      </c>
      <c r="I98" s="122">
        <f t="shared" si="1"/>
        <v>-6.1622301709629568E-4</v>
      </c>
      <c r="J98" s="122">
        <f t="shared" si="1"/>
        <v>2.181597196171392E-4</v>
      </c>
      <c r="K98"/>
      <c r="L98"/>
      <c r="M98"/>
      <c r="N98" s="54"/>
      <c r="O98" s="54"/>
      <c r="P98" s="54"/>
      <c r="Z98"/>
    </row>
    <row r="99" spans="1:26" s="15" customFormat="1" x14ac:dyDescent="0.3">
      <c r="A99" s="17"/>
      <c r="B99"/>
      <c r="C99"/>
      <c r="D99"/>
      <c r="E99"/>
      <c r="F99" s="121">
        <v>43581</v>
      </c>
      <c r="G99" s="53">
        <v>275.71554600000002</v>
      </c>
      <c r="H99" s="53">
        <v>88.765761999999995</v>
      </c>
      <c r="I99" s="122">
        <f t="shared" si="1"/>
        <v>4.6568521271241892E-3</v>
      </c>
      <c r="J99" s="122">
        <f t="shared" si="1"/>
        <v>-1.0897158533818008E-4</v>
      </c>
      <c r="K99"/>
      <c r="L99"/>
      <c r="M99"/>
      <c r="N99" s="54"/>
      <c r="O99" s="54"/>
      <c r="P99" s="54"/>
      <c r="Z99"/>
    </row>
    <row r="100" spans="1:26" s="15" customFormat="1" x14ac:dyDescent="0.3">
      <c r="A100" s="17"/>
      <c r="B100"/>
      <c r="C100"/>
      <c r="D100"/>
      <c r="E100"/>
      <c r="F100" s="121">
        <v>43584</v>
      </c>
      <c r="G100" s="53">
        <v>276.14782700000001</v>
      </c>
      <c r="H100" s="53">
        <v>88.775435999999999</v>
      </c>
      <c r="I100" s="122">
        <f t="shared" si="1"/>
        <v>1.5678513825985174E-3</v>
      </c>
      <c r="J100" s="122">
        <f t="shared" si="1"/>
        <v>1.089834614387275E-4</v>
      </c>
      <c r="K100"/>
      <c r="L100"/>
      <c r="M100"/>
      <c r="N100" s="54"/>
      <c r="O100" s="54"/>
      <c r="P100" s="54"/>
      <c r="Z100"/>
    </row>
    <row r="101" spans="1:26" s="15" customFormat="1" x14ac:dyDescent="0.3">
      <c r="A101" s="17"/>
      <c r="B101"/>
      <c r="C101"/>
      <c r="D101"/>
      <c r="E101"/>
      <c r="F101" s="121">
        <v>43585</v>
      </c>
      <c r="G101" s="53">
        <v>276.28872699999999</v>
      </c>
      <c r="H101" s="53">
        <v>88.785149000000004</v>
      </c>
      <c r="I101" s="122">
        <f t="shared" si="1"/>
        <v>5.1023396247829034E-4</v>
      </c>
      <c r="J101" s="122">
        <f t="shared" si="1"/>
        <v>1.0941089605021048E-4</v>
      </c>
      <c r="K101"/>
      <c r="L101"/>
      <c r="M101"/>
      <c r="N101" s="54"/>
      <c r="O101" s="54"/>
      <c r="P101" s="54"/>
      <c r="Z101"/>
    </row>
    <row r="102" spans="1:26" s="15" customFormat="1" x14ac:dyDescent="0.3">
      <c r="A102" s="17"/>
      <c r="B102"/>
      <c r="C102"/>
      <c r="D102"/>
      <c r="E102"/>
      <c r="F102" s="121">
        <v>43586</v>
      </c>
      <c r="G102" s="53">
        <v>274.21206699999999</v>
      </c>
      <c r="H102" s="53">
        <v>88.789023999999998</v>
      </c>
      <c r="I102" s="122">
        <f t="shared" si="1"/>
        <v>-7.5162675746810459E-3</v>
      </c>
      <c r="J102" s="122">
        <f t="shared" si="1"/>
        <v>4.3644686567922975E-5</v>
      </c>
      <c r="K102"/>
      <c r="L102"/>
      <c r="M102"/>
      <c r="N102" s="54"/>
      <c r="O102" s="54"/>
      <c r="P102" s="54"/>
      <c r="Z102"/>
    </row>
    <row r="103" spans="1:26" s="15" customFormat="1" x14ac:dyDescent="0.3">
      <c r="A103" s="17"/>
      <c r="B103"/>
      <c r="C103"/>
      <c r="D103"/>
      <c r="E103"/>
      <c r="F103" s="121">
        <v>43587</v>
      </c>
      <c r="G103" s="53">
        <v>273.620026</v>
      </c>
      <c r="H103" s="53">
        <v>88.798766999999998</v>
      </c>
      <c r="I103" s="122">
        <f t="shared" si="1"/>
        <v>-2.1590625331597835E-3</v>
      </c>
      <c r="J103" s="122">
        <f t="shared" si="1"/>
        <v>1.0973203174291513E-4</v>
      </c>
      <c r="K103"/>
      <c r="L103"/>
      <c r="M103"/>
      <c r="N103" s="54"/>
      <c r="O103" s="54"/>
      <c r="P103" s="54"/>
      <c r="Z103"/>
    </row>
    <row r="104" spans="1:26" s="15" customFormat="1" x14ac:dyDescent="0.3">
      <c r="A104" s="17"/>
      <c r="B104"/>
      <c r="C104"/>
      <c r="D104"/>
      <c r="E104"/>
      <c r="F104" s="121">
        <v>43588</v>
      </c>
      <c r="G104" s="53">
        <v>276.29818699999998</v>
      </c>
      <c r="H104" s="53">
        <v>88.808456000000007</v>
      </c>
      <c r="I104" s="122">
        <f t="shared" si="1"/>
        <v>9.7878837274871788E-3</v>
      </c>
      <c r="J104" s="122">
        <f t="shared" si="1"/>
        <v>1.0911187539353051E-4</v>
      </c>
      <c r="K104"/>
      <c r="L104"/>
      <c r="M104"/>
      <c r="N104" s="54"/>
      <c r="O104" s="54"/>
      <c r="P104" s="54"/>
      <c r="Z104"/>
    </row>
    <row r="105" spans="1:26" s="15" customFormat="1" x14ac:dyDescent="0.3">
      <c r="A105" s="17"/>
      <c r="B105"/>
      <c r="C105"/>
      <c r="D105"/>
      <c r="E105"/>
      <c r="F105" s="121">
        <v>43591</v>
      </c>
      <c r="G105" s="53">
        <v>275.16110200000003</v>
      </c>
      <c r="H105" s="53">
        <v>88.818152999999995</v>
      </c>
      <c r="I105" s="122">
        <f t="shared" si="1"/>
        <v>-4.1154269318457448E-3</v>
      </c>
      <c r="J105" s="122">
        <f t="shared" si="1"/>
        <v>1.0919005280296545E-4</v>
      </c>
      <c r="K105"/>
      <c r="L105"/>
      <c r="M105"/>
      <c r="N105" s="54"/>
      <c r="O105" s="54"/>
      <c r="P105" s="54"/>
      <c r="Z105"/>
    </row>
    <row r="106" spans="1:26" s="15" customFormat="1" x14ac:dyDescent="0.3">
      <c r="A106" s="17"/>
      <c r="B106"/>
      <c r="C106"/>
      <c r="D106"/>
      <c r="E106"/>
      <c r="F106" s="121">
        <v>43592</v>
      </c>
      <c r="G106" s="53">
        <v>270.56607100000002</v>
      </c>
      <c r="H106" s="53">
        <v>88.827866</v>
      </c>
      <c r="I106" s="122">
        <f t="shared" si="1"/>
        <v>-1.6699420690646893E-2</v>
      </c>
      <c r="J106" s="122">
        <f t="shared" si="1"/>
        <v>1.0935827499136686E-4</v>
      </c>
      <c r="K106"/>
      <c r="L106"/>
      <c r="M106"/>
      <c r="N106" s="54"/>
      <c r="O106" s="54"/>
      <c r="P106" s="54"/>
      <c r="Z106"/>
    </row>
    <row r="107" spans="1:26" s="15" customFormat="1" x14ac:dyDescent="0.3">
      <c r="A107" s="17"/>
      <c r="B107"/>
      <c r="C107"/>
      <c r="D107"/>
      <c r="E107"/>
      <c r="F107" s="121">
        <v>43593</v>
      </c>
      <c r="G107" s="53">
        <v>270.190155</v>
      </c>
      <c r="H107" s="53">
        <v>88.827866</v>
      </c>
      <c r="I107" s="122">
        <f t="shared" si="1"/>
        <v>-1.3893685879040607E-3</v>
      </c>
      <c r="J107" s="122">
        <f t="shared" si="1"/>
        <v>0</v>
      </c>
      <c r="K107"/>
      <c r="L107"/>
      <c r="M107"/>
      <c r="N107" s="54"/>
      <c r="O107" s="54"/>
      <c r="P107" s="54"/>
      <c r="Z107"/>
    </row>
    <row r="108" spans="1:26" s="15" customFormat="1" x14ac:dyDescent="0.3">
      <c r="A108" s="17"/>
      <c r="B108"/>
      <c r="C108"/>
      <c r="D108"/>
      <c r="E108"/>
      <c r="F108" s="121">
        <v>43594</v>
      </c>
      <c r="G108" s="53">
        <v>269.372589</v>
      </c>
      <c r="H108" s="53">
        <v>88.837585000000004</v>
      </c>
      <c r="I108" s="122">
        <f t="shared" si="1"/>
        <v>-3.0258911543242784E-3</v>
      </c>
      <c r="J108" s="122">
        <f t="shared" si="1"/>
        <v>1.094138634378794E-4</v>
      </c>
      <c r="K108"/>
      <c r="L108"/>
      <c r="M108"/>
      <c r="N108" s="54"/>
      <c r="O108" s="54"/>
      <c r="P108" s="54"/>
      <c r="Z108"/>
    </row>
    <row r="109" spans="1:26" s="15" customFormat="1" x14ac:dyDescent="0.3">
      <c r="A109" s="17"/>
      <c r="B109"/>
      <c r="C109"/>
      <c r="D109"/>
      <c r="E109"/>
      <c r="F109" s="121">
        <v>43595</v>
      </c>
      <c r="G109" s="53">
        <v>270.72582999999997</v>
      </c>
      <c r="H109" s="53">
        <v>88.857017999999997</v>
      </c>
      <c r="I109" s="122">
        <f t="shared" si="1"/>
        <v>5.0236774462599776E-3</v>
      </c>
      <c r="J109" s="122">
        <f t="shared" si="1"/>
        <v>2.187475042234599E-4</v>
      </c>
      <c r="K109"/>
      <c r="L109"/>
      <c r="M109"/>
      <c r="N109" s="54"/>
      <c r="O109" s="54"/>
      <c r="P109" s="54"/>
      <c r="Z109"/>
    </row>
    <row r="110" spans="1:26" s="15" customFormat="1" x14ac:dyDescent="0.3">
      <c r="A110" s="17"/>
      <c r="B110"/>
      <c r="C110"/>
      <c r="D110"/>
      <c r="E110"/>
      <c r="F110" s="121">
        <v>43598</v>
      </c>
      <c r="G110" s="53">
        <v>263.92233299999998</v>
      </c>
      <c r="H110" s="53">
        <v>88.847282000000007</v>
      </c>
      <c r="I110" s="122">
        <f t="shared" si="1"/>
        <v>-2.5130579523941265E-2</v>
      </c>
      <c r="J110" s="122">
        <f t="shared" si="1"/>
        <v>-1.0956928579342051E-4</v>
      </c>
      <c r="K110"/>
      <c r="L110"/>
      <c r="M110"/>
      <c r="N110" s="54"/>
      <c r="O110" s="54"/>
      <c r="P110" s="54"/>
      <c r="Z110"/>
    </row>
    <row r="111" spans="1:26" s="15" customFormat="1" x14ac:dyDescent="0.3">
      <c r="A111" s="17"/>
      <c r="B111"/>
      <c r="C111"/>
      <c r="D111"/>
      <c r="E111"/>
      <c r="F111" s="121">
        <v>43599</v>
      </c>
      <c r="G111" s="53">
        <v>266.309235</v>
      </c>
      <c r="H111" s="53">
        <v>88.857017999999997</v>
      </c>
      <c r="I111" s="122">
        <f t="shared" si="1"/>
        <v>9.0439561247741551E-3</v>
      </c>
      <c r="J111" s="122">
        <f t="shared" si="1"/>
        <v>1.0958129253735294E-4</v>
      </c>
      <c r="K111"/>
      <c r="L111"/>
      <c r="M111"/>
      <c r="N111" s="54"/>
      <c r="O111" s="54"/>
      <c r="P111" s="54"/>
      <c r="Z111"/>
    </row>
    <row r="112" spans="1:26" s="15" customFormat="1" x14ac:dyDescent="0.3">
      <c r="A112" s="17"/>
      <c r="B112"/>
      <c r="C112"/>
      <c r="D112"/>
      <c r="E112"/>
      <c r="F112" s="121">
        <v>43600</v>
      </c>
      <c r="G112" s="53">
        <v>267.86910999999998</v>
      </c>
      <c r="H112" s="53">
        <v>88.866721999999996</v>
      </c>
      <c r="I112" s="122">
        <f t="shared" si="1"/>
        <v>5.8573823021945692E-3</v>
      </c>
      <c r="J112" s="122">
        <f t="shared" si="1"/>
        <v>1.0920915667012032E-4</v>
      </c>
      <c r="K112"/>
      <c r="L112"/>
      <c r="M112"/>
      <c r="N112" s="54"/>
      <c r="O112" s="54"/>
      <c r="P112" s="54"/>
      <c r="Z112"/>
    </row>
    <row r="113" spans="1:26" s="15" customFormat="1" x14ac:dyDescent="0.3">
      <c r="A113" s="17"/>
      <c r="B113"/>
      <c r="C113"/>
      <c r="D113"/>
      <c r="E113"/>
      <c r="F113" s="121">
        <v>43601</v>
      </c>
      <c r="G113" s="53">
        <v>270.34988399999997</v>
      </c>
      <c r="H113" s="53">
        <v>88.876434000000003</v>
      </c>
      <c r="I113" s="122">
        <f t="shared" si="1"/>
        <v>9.2611425035160622E-3</v>
      </c>
      <c r="J113" s="122">
        <f t="shared" si="1"/>
        <v>1.0928725378223092E-4</v>
      </c>
      <c r="K113"/>
      <c r="L113"/>
      <c r="M113"/>
      <c r="N113" s="54"/>
      <c r="O113" s="54"/>
      <c r="P113" s="54"/>
      <c r="Z113"/>
    </row>
    <row r="114" spans="1:26" s="15" customFormat="1" x14ac:dyDescent="0.3">
      <c r="A114" s="17"/>
      <c r="B114"/>
      <c r="C114"/>
      <c r="D114"/>
      <c r="E114"/>
      <c r="F114" s="121">
        <v>43602</v>
      </c>
      <c r="G114" s="53">
        <v>268.602081</v>
      </c>
      <c r="H114" s="53">
        <v>88.886168999999995</v>
      </c>
      <c r="I114" s="122">
        <f t="shared" si="1"/>
        <v>-6.4649667095842966E-3</v>
      </c>
      <c r="J114" s="122">
        <f t="shared" si="1"/>
        <v>1.0953409764380417E-4</v>
      </c>
      <c r="K114"/>
      <c r="L114"/>
      <c r="M114"/>
      <c r="N114" s="54"/>
      <c r="O114" s="54"/>
      <c r="P114" s="54"/>
      <c r="Z114"/>
    </row>
    <row r="115" spans="1:26" s="15" customFormat="1" x14ac:dyDescent="0.3">
      <c r="A115" s="17"/>
      <c r="B115"/>
      <c r="C115"/>
      <c r="D115"/>
      <c r="E115"/>
      <c r="F115" s="121">
        <v>43605</v>
      </c>
      <c r="G115" s="53">
        <v>266.82607999999999</v>
      </c>
      <c r="H115" s="53">
        <v>88.895843999999997</v>
      </c>
      <c r="I115" s="122">
        <f t="shared" si="1"/>
        <v>-6.6120150424300306E-3</v>
      </c>
      <c r="J115" s="122">
        <f t="shared" si="1"/>
        <v>1.0884708058456205E-4</v>
      </c>
      <c r="K115"/>
      <c r="L115"/>
      <c r="M115"/>
      <c r="N115" s="54"/>
      <c r="O115" s="54"/>
      <c r="P115" s="54"/>
      <c r="Z115"/>
    </row>
    <row r="116" spans="1:26" s="15" customFormat="1" x14ac:dyDescent="0.3">
      <c r="A116" s="17"/>
      <c r="B116"/>
      <c r="C116"/>
      <c r="D116"/>
      <c r="E116"/>
      <c r="F116" s="121">
        <v>43606</v>
      </c>
      <c r="G116" s="53">
        <v>269.23172</v>
      </c>
      <c r="H116" s="53">
        <v>88.895843999999997</v>
      </c>
      <c r="I116" s="122">
        <f t="shared" si="1"/>
        <v>9.0157603784457585E-3</v>
      </c>
      <c r="J116" s="122">
        <f t="shared" si="1"/>
        <v>0</v>
      </c>
      <c r="K116"/>
      <c r="L116"/>
      <c r="M116"/>
      <c r="N116" s="54"/>
      <c r="O116" s="54"/>
      <c r="P116" s="54"/>
      <c r="Z116"/>
    </row>
    <row r="117" spans="1:26" s="15" customFormat="1" x14ac:dyDescent="0.3">
      <c r="A117" s="17"/>
      <c r="B117"/>
      <c r="C117"/>
      <c r="D117"/>
      <c r="E117"/>
      <c r="F117" s="121">
        <v>43607</v>
      </c>
      <c r="G117" s="53">
        <v>268.404785</v>
      </c>
      <c r="H117" s="53">
        <v>88.915276000000006</v>
      </c>
      <c r="I117" s="122">
        <f t="shared" si="1"/>
        <v>-3.0714620104941304E-3</v>
      </c>
      <c r="J117" s="122">
        <f t="shared" si="1"/>
        <v>2.185928961988548E-4</v>
      </c>
      <c r="K117"/>
      <c r="L117"/>
      <c r="M117"/>
      <c r="N117" s="54"/>
      <c r="O117" s="54"/>
      <c r="P117" s="54"/>
      <c r="Z117"/>
    </row>
    <row r="118" spans="1:26" s="15" customFormat="1" x14ac:dyDescent="0.3">
      <c r="A118" s="17"/>
      <c r="B118"/>
      <c r="C118"/>
      <c r="D118"/>
      <c r="E118"/>
      <c r="F118" s="121">
        <v>43608</v>
      </c>
      <c r="G118" s="53">
        <v>265.12527499999999</v>
      </c>
      <c r="H118" s="53">
        <v>88.934700000000007</v>
      </c>
      <c r="I118" s="122">
        <f t="shared" si="1"/>
        <v>-1.221852285532099E-2</v>
      </c>
      <c r="J118" s="122">
        <f t="shared" si="1"/>
        <v>2.1845515049623287E-4</v>
      </c>
      <c r="K118"/>
      <c r="L118"/>
      <c r="M118"/>
      <c r="N118" s="54"/>
      <c r="O118" s="54"/>
      <c r="P118" s="54"/>
      <c r="Z118"/>
    </row>
    <row r="119" spans="1:26" s="15" customFormat="1" x14ac:dyDescent="0.3">
      <c r="A119" s="17"/>
      <c r="B119"/>
      <c r="C119"/>
      <c r="D119"/>
      <c r="E119"/>
      <c r="F119" s="121">
        <v>43609</v>
      </c>
      <c r="G119" s="53">
        <v>265.726563</v>
      </c>
      <c r="H119" s="53">
        <v>88.934700000000007</v>
      </c>
      <c r="I119" s="122">
        <f t="shared" si="1"/>
        <v>2.2679391845987773E-3</v>
      </c>
      <c r="J119" s="122">
        <f t="shared" si="1"/>
        <v>0</v>
      </c>
      <c r="K119"/>
      <c r="L119"/>
      <c r="M119"/>
      <c r="N119" s="54"/>
      <c r="O119" s="54"/>
      <c r="P119" s="54"/>
      <c r="Z119"/>
    </row>
    <row r="120" spans="1:26" s="15" customFormat="1" x14ac:dyDescent="0.3">
      <c r="A120" s="17"/>
      <c r="B120"/>
      <c r="C120"/>
      <c r="D120"/>
      <c r="E120"/>
      <c r="F120" s="121">
        <v>43613</v>
      </c>
      <c r="G120" s="53">
        <v>263.25521900000001</v>
      </c>
      <c r="H120" s="53">
        <v>88.944382000000004</v>
      </c>
      <c r="I120" s="122">
        <f t="shared" si="1"/>
        <v>-9.3003272691258854E-3</v>
      </c>
      <c r="J120" s="122">
        <f t="shared" si="1"/>
        <v>1.0886639298268719E-4</v>
      </c>
      <c r="K120"/>
      <c r="L120"/>
      <c r="M120"/>
      <c r="N120" s="54"/>
      <c r="O120" s="54"/>
      <c r="P120" s="54"/>
      <c r="Z120"/>
    </row>
    <row r="121" spans="1:26" s="15" customFormat="1" x14ac:dyDescent="0.3">
      <c r="A121" s="17"/>
      <c r="B121"/>
      <c r="C121"/>
      <c r="D121"/>
      <c r="E121"/>
      <c r="F121" s="121">
        <v>43614</v>
      </c>
      <c r="G121" s="53">
        <v>261.488586</v>
      </c>
      <c r="H121" s="53">
        <v>88.944382000000004</v>
      </c>
      <c r="I121" s="122">
        <f t="shared" si="1"/>
        <v>-6.7107235583429015E-3</v>
      </c>
      <c r="J121" s="122">
        <f t="shared" si="1"/>
        <v>0</v>
      </c>
      <c r="K121"/>
      <c r="L121"/>
      <c r="M121"/>
      <c r="N121" s="54"/>
      <c r="O121" s="54"/>
      <c r="P121" s="54"/>
      <c r="Z121"/>
    </row>
    <row r="122" spans="1:26" s="15" customFormat="1" x14ac:dyDescent="0.3">
      <c r="A122" s="17"/>
      <c r="B122"/>
      <c r="C122"/>
      <c r="D122"/>
      <c r="E122"/>
      <c r="F122" s="121">
        <v>43615</v>
      </c>
      <c r="G122" s="53">
        <v>262.20281999999997</v>
      </c>
      <c r="H122" s="53">
        <v>88.973549000000006</v>
      </c>
      <c r="I122" s="122">
        <f t="shared" si="1"/>
        <v>2.7314155884416991E-3</v>
      </c>
      <c r="J122" s="122">
        <f t="shared" si="1"/>
        <v>3.279240278493134E-4</v>
      </c>
      <c r="K122"/>
      <c r="L122"/>
      <c r="M122"/>
      <c r="N122" s="54"/>
      <c r="O122" s="54"/>
      <c r="P122" s="54"/>
      <c r="Z122"/>
    </row>
    <row r="123" spans="1:26" s="15" customFormat="1" x14ac:dyDescent="0.3">
      <c r="A123" s="17"/>
      <c r="B123"/>
      <c r="C123"/>
      <c r="D123"/>
      <c r="E123"/>
      <c r="F123" s="121">
        <v>43616</v>
      </c>
      <c r="G123" s="53">
        <v>258.669556</v>
      </c>
      <c r="H123" s="53">
        <v>88.973549000000006</v>
      </c>
      <c r="I123" s="122">
        <f t="shared" si="1"/>
        <v>-1.3475308923069473E-2</v>
      </c>
      <c r="J123" s="122">
        <f t="shared" si="1"/>
        <v>0</v>
      </c>
      <c r="K123"/>
      <c r="L123"/>
      <c r="M123"/>
      <c r="N123" s="54"/>
      <c r="O123" s="54"/>
      <c r="P123" s="54"/>
      <c r="Z123"/>
    </row>
    <row r="124" spans="1:26" s="15" customFormat="1" x14ac:dyDescent="0.3">
      <c r="A124" s="17"/>
      <c r="B124"/>
      <c r="C124"/>
      <c r="D124"/>
      <c r="E124"/>
      <c r="F124" s="121">
        <v>43619</v>
      </c>
      <c r="G124" s="53">
        <v>258.01174900000001</v>
      </c>
      <c r="H124" s="53">
        <v>88.969673</v>
      </c>
      <c r="I124" s="122">
        <f t="shared" si="1"/>
        <v>-2.5430398929512377E-3</v>
      </c>
      <c r="J124" s="122">
        <f t="shared" si="1"/>
        <v>-4.3563508970612119E-5</v>
      </c>
      <c r="K124"/>
      <c r="L124"/>
      <c r="M124"/>
      <c r="N124" s="54"/>
      <c r="O124" s="54"/>
      <c r="P124" s="54"/>
      <c r="Z124"/>
    </row>
    <row r="125" spans="1:26" s="15" customFormat="1" x14ac:dyDescent="0.3">
      <c r="A125" s="17"/>
      <c r="B125"/>
      <c r="C125"/>
      <c r="D125"/>
      <c r="E125"/>
      <c r="F125" s="121">
        <v>43620</v>
      </c>
      <c r="G125" s="53">
        <v>263.61230499999999</v>
      </c>
      <c r="H125" s="53">
        <v>88.989104999999995</v>
      </c>
      <c r="I125" s="122">
        <f t="shared" si="1"/>
        <v>2.1706592904030764E-2</v>
      </c>
      <c r="J125" s="122">
        <f t="shared" si="1"/>
        <v>2.184115029848499E-4</v>
      </c>
      <c r="K125"/>
      <c r="L125"/>
      <c r="M125"/>
      <c r="N125" s="54"/>
      <c r="O125" s="54"/>
      <c r="P125" s="54"/>
      <c r="Z125"/>
    </row>
    <row r="126" spans="1:26" s="15" customFormat="1" x14ac:dyDescent="0.3">
      <c r="A126" s="17"/>
      <c r="B126"/>
      <c r="C126"/>
      <c r="D126"/>
      <c r="E126"/>
      <c r="F126" s="121">
        <v>43621</v>
      </c>
      <c r="G126" s="53">
        <v>265.89575200000002</v>
      </c>
      <c r="H126" s="53">
        <v>88.989104999999995</v>
      </c>
      <c r="I126" s="122">
        <f t="shared" si="1"/>
        <v>8.6621411697758166E-3</v>
      </c>
      <c r="J126" s="122">
        <f t="shared" si="1"/>
        <v>0</v>
      </c>
      <c r="K126"/>
      <c r="L126"/>
      <c r="M126"/>
      <c r="N126" s="54"/>
      <c r="O126" s="54"/>
      <c r="P126" s="54"/>
      <c r="Z126"/>
    </row>
    <row r="127" spans="1:26" s="15" customFormat="1" x14ac:dyDescent="0.3">
      <c r="A127" s="17"/>
      <c r="B127"/>
      <c r="C127"/>
      <c r="D127"/>
      <c r="E127"/>
      <c r="F127" s="121">
        <v>43622</v>
      </c>
      <c r="G127" s="53">
        <v>267.62481700000001</v>
      </c>
      <c r="H127" s="53">
        <v>89.018294999999995</v>
      </c>
      <c r="I127" s="122">
        <f t="shared" si="1"/>
        <v>6.5027928689886938E-3</v>
      </c>
      <c r="J127" s="122">
        <f t="shared" si="1"/>
        <v>3.2801768261414566E-4</v>
      </c>
      <c r="K127"/>
      <c r="L127"/>
      <c r="M127"/>
      <c r="N127" s="54"/>
      <c r="O127" s="54"/>
      <c r="P127" s="54"/>
      <c r="Z127"/>
    </row>
    <row r="128" spans="1:26" s="15" customFormat="1" x14ac:dyDescent="0.3">
      <c r="A128" s="17"/>
      <c r="B128"/>
      <c r="C128"/>
      <c r="D128"/>
      <c r="E128"/>
      <c r="F128" s="121">
        <v>43623</v>
      </c>
      <c r="G128" s="53">
        <v>270.30291699999998</v>
      </c>
      <c r="H128" s="53">
        <v>89.008567999999997</v>
      </c>
      <c r="I128" s="122">
        <f t="shared" si="1"/>
        <v>1.0006919500294309E-2</v>
      </c>
      <c r="J128" s="122">
        <f t="shared" si="1"/>
        <v>-1.0926967316093883E-4</v>
      </c>
      <c r="K128"/>
      <c r="L128"/>
      <c r="M128"/>
      <c r="N128" s="54"/>
      <c r="O128" s="54"/>
      <c r="P128" s="54"/>
      <c r="Z128"/>
    </row>
    <row r="129" spans="1:26" s="15" customFormat="1" x14ac:dyDescent="0.3">
      <c r="A129" s="17"/>
      <c r="B129"/>
      <c r="C129"/>
      <c r="D129"/>
      <c r="E129"/>
      <c r="F129" s="121">
        <v>43626</v>
      </c>
      <c r="G129" s="53">
        <v>271.54330399999998</v>
      </c>
      <c r="H129" s="53">
        <v>89.028037999999995</v>
      </c>
      <c r="I129" s="122">
        <f t="shared" si="1"/>
        <v>4.5888775961673289E-3</v>
      </c>
      <c r="J129" s="122">
        <f t="shared" si="1"/>
        <v>2.1874298663027147E-4</v>
      </c>
      <c r="K129"/>
      <c r="L129"/>
      <c r="M129"/>
      <c r="N129" s="54"/>
      <c r="O129" s="54"/>
      <c r="P129" s="54"/>
      <c r="Z129"/>
    </row>
    <row r="130" spans="1:26" s="15" customFormat="1" x14ac:dyDescent="0.3">
      <c r="A130" s="17"/>
      <c r="B130"/>
      <c r="C130"/>
      <c r="D130"/>
      <c r="E130"/>
      <c r="F130" s="121">
        <v>43627</v>
      </c>
      <c r="G130" s="53">
        <v>271.47757000000001</v>
      </c>
      <c r="H130" s="53">
        <v>89.018294999999995</v>
      </c>
      <c r="I130" s="122">
        <f t="shared" si="1"/>
        <v>-2.4207556964828125E-4</v>
      </c>
      <c r="J130" s="122">
        <f t="shared" si="1"/>
        <v>-1.0943743363189817E-4</v>
      </c>
      <c r="K130"/>
      <c r="L130"/>
      <c r="M130"/>
      <c r="N130" s="54"/>
      <c r="O130" s="54"/>
      <c r="P130" s="54"/>
      <c r="Z130"/>
    </row>
    <row r="131" spans="1:26" s="15" customFormat="1" x14ac:dyDescent="0.3">
      <c r="A131" s="17"/>
      <c r="B131"/>
      <c r="C131"/>
      <c r="D131"/>
      <c r="E131"/>
      <c r="F131" s="121">
        <v>43628</v>
      </c>
      <c r="G131" s="53">
        <v>270.99829099999999</v>
      </c>
      <c r="H131" s="53">
        <v>89.028037999999995</v>
      </c>
      <c r="I131" s="122">
        <f t="shared" si="1"/>
        <v>-1.7654460366652858E-3</v>
      </c>
      <c r="J131" s="122">
        <f t="shared" si="1"/>
        <v>1.0944941149459986E-4</v>
      </c>
      <c r="K131"/>
      <c r="L131"/>
      <c r="M131"/>
      <c r="N131" s="54"/>
      <c r="O131" s="54"/>
      <c r="P131" s="54"/>
      <c r="Z131"/>
    </row>
    <row r="132" spans="1:26" s="15" customFormat="1" x14ac:dyDescent="0.3">
      <c r="A132" s="17"/>
      <c r="B132"/>
      <c r="C132"/>
      <c r="D132"/>
      <c r="E132"/>
      <c r="F132" s="121">
        <v>43629</v>
      </c>
      <c r="G132" s="53">
        <v>272.11648600000001</v>
      </c>
      <c r="H132" s="53">
        <v>89.057243</v>
      </c>
      <c r="I132" s="122">
        <f t="shared" si="1"/>
        <v>4.1262068327951873E-3</v>
      </c>
      <c r="J132" s="122">
        <f t="shared" si="1"/>
        <v>3.2804272290043457E-4</v>
      </c>
      <c r="K132"/>
      <c r="L132"/>
      <c r="M132"/>
      <c r="N132" s="54"/>
      <c r="O132" s="54"/>
      <c r="P132" s="54"/>
      <c r="Z132"/>
    </row>
    <row r="133" spans="1:26" s="15" customFormat="1" x14ac:dyDescent="0.3">
      <c r="A133" s="17"/>
      <c r="B133"/>
      <c r="C133"/>
      <c r="D133"/>
      <c r="E133"/>
      <c r="F133" s="121">
        <v>43630</v>
      </c>
      <c r="G133" s="53">
        <v>271.81585699999999</v>
      </c>
      <c r="H133" s="53">
        <v>89.066940000000002</v>
      </c>
      <c r="I133" s="122">
        <f t="shared" si="1"/>
        <v>-1.1047805460784321E-3</v>
      </c>
      <c r="J133" s="122">
        <f t="shared" si="1"/>
        <v>1.0888502353489926E-4</v>
      </c>
      <c r="K133"/>
      <c r="L133"/>
      <c r="M133"/>
      <c r="N133" s="54"/>
      <c r="O133" s="54"/>
      <c r="P133" s="54"/>
      <c r="Z133"/>
    </row>
    <row r="134" spans="1:26" s="15" customFormat="1" x14ac:dyDescent="0.3">
      <c r="A134" s="17"/>
      <c r="B134"/>
      <c r="C134"/>
      <c r="D134"/>
      <c r="E134"/>
      <c r="F134" s="121">
        <v>43633</v>
      </c>
      <c r="G134" s="53">
        <v>271.91915899999998</v>
      </c>
      <c r="H134" s="53">
        <v>89.066940000000002</v>
      </c>
      <c r="I134" s="122">
        <f t="shared" si="1"/>
        <v>3.8004405313252221E-4</v>
      </c>
      <c r="J134" s="122">
        <f t="shared" si="1"/>
        <v>0</v>
      </c>
      <c r="K134"/>
      <c r="L134"/>
      <c r="M134"/>
      <c r="N134" s="54"/>
      <c r="O134" s="54"/>
      <c r="P134" s="54"/>
      <c r="Z134"/>
    </row>
    <row r="135" spans="1:26" s="15" customFormat="1" x14ac:dyDescent="0.3">
      <c r="A135" s="17"/>
      <c r="B135"/>
      <c r="C135"/>
      <c r="D135"/>
      <c r="E135"/>
      <c r="F135" s="121">
        <v>43634</v>
      </c>
      <c r="G135" s="53">
        <v>274.76641799999999</v>
      </c>
      <c r="H135" s="53">
        <v>89.066940000000002</v>
      </c>
      <c r="I135" s="122">
        <f t="shared" si="1"/>
        <v>1.0470976044758995E-2</v>
      </c>
      <c r="J135" s="122">
        <f t="shared" si="1"/>
        <v>0</v>
      </c>
      <c r="K135"/>
      <c r="L135"/>
      <c r="M135"/>
      <c r="N135" s="54"/>
      <c r="O135" s="54"/>
      <c r="P135" s="54"/>
      <c r="Z135"/>
    </row>
    <row r="136" spans="1:26" s="15" customFormat="1" x14ac:dyDescent="0.3">
      <c r="A136" s="17"/>
      <c r="B136"/>
      <c r="C136"/>
      <c r="D136"/>
      <c r="E136"/>
      <c r="F136" s="121">
        <v>43635</v>
      </c>
      <c r="G136" s="53">
        <v>275.38662699999998</v>
      </c>
      <c r="H136" s="53">
        <v>89.086417999999995</v>
      </c>
      <c r="I136" s="122">
        <f t="shared" si="1"/>
        <v>2.2572227148951463E-3</v>
      </c>
      <c r="J136" s="122">
        <f t="shared" si="1"/>
        <v>2.1868944863268069E-4</v>
      </c>
      <c r="K136"/>
      <c r="L136"/>
      <c r="M136"/>
      <c r="N136" s="54"/>
      <c r="O136" s="54"/>
      <c r="P136" s="54"/>
      <c r="Z136"/>
    </row>
    <row r="137" spans="1:26" s="15" customFormat="1" x14ac:dyDescent="0.3">
      <c r="A137" s="17"/>
      <c r="B137"/>
      <c r="C137"/>
      <c r="D137"/>
      <c r="E137"/>
      <c r="F137" s="121">
        <v>43636</v>
      </c>
      <c r="G137" s="53">
        <v>278.01776100000001</v>
      </c>
      <c r="H137" s="53">
        <v>89.096130000000002</v>
      </c>
      <c r="I137" s="122">
        <f t="shared" si="1"/>
        <v>9.5543274147442681E-3</v>
      </c>
      <c r="J137" s="122">
        <f t="shared" si="1"/>
        <v>1.0901774050453561E-4</v>
      </c>
      <c r="K137"/>
      <c r="L137"/>
      <c r="M137"/>
      <c r="N137" s="54"/>
      <c r="O137" s="54"/>
      <c r="P137" s="54"/>
      <c r="Z137"/>
    </row>
    <row r="138" spans="1:26" s="15" customFormat="1" x14ac:dyDescent="0.3">
      <c r="A138" s="17"/>
      <c r="B138"/>
      <c r="C138"/>
      <c r="D138"/>
      <c r="E138"/>
      <c r="F138" s="121">
        <v>43637</v>
      </c>
      <c r="G138" s="53">
        <v>277.61370799999997</v>
      </c>
      <c r="H138" s="53">
        <v>89.096130000000002</v>
      </c>
      <c r="I138" s="122">
        <f t="shared" si="1"/>
        <v>-1.4533352061634197E-3</v>
      </c>
      <c r="J138" s="122">
        <f t="shared" si="1"/>
        <v>0</v>
      </c>
      <c r="K138"/>
      <c r="L138"/>
      <c r="M138"/>
      <c r="N138" s="54"/>
      <c r="O138" s="54"/>
      <c r="P138" s="54"/>
      <c r="Z138"/>
    </row>
    <row r="139" spans="1:26" s="15" customFormat="1" x14ac:dyDescent="0.3">
      <c r="A139" s="17"/>
      <c r="B139"/>
      <c r="C139"/>
      <c r="D139"/>
      <c r="E139"/>
      <c r="F139" s="121">
        <v>43640</v>
      </c>
      <c r="G139" s="53">
        <v>277.27377300000001</v>
      </c>
      <c r="H139" s="53">
        <v>89.105864999999994</v>
      </c>
      <c r="I139" s="122">
        <f t="shared" si="1"/>
        <v>-1.2244892460424595E-3</v>
      </c>
      <c r="J139" s="122">
        <f t="shared" si="1"/>
        <v>1.0926400506949818E-4</v>
      </c>
      <c r="K139"/>
      <c r="L139"/>
      <c r="M139"/>
      <c r="N139" s="54"/>
      <c r="O139" s="54"/>
      <c r="P139" s="54"/>
      <c r="Z139"/>
    </row>
    <row r="140" spans="1:26" s="15" customFormat="1" x14ac:dyDescent="0.3">
      <c r="A140" s="17"/>
      <c r="B140"/>
      <c r="C140"/>
      <c r="D140"/>
      <c r="E140"/>
      <c r="F140" s="121">
        <v>43641</v>
      </c>
      <c r="G140" s="53">
        <v>274.55429099999998</v>
      </c>
      <c r="H140" s="53">
        <v>89.105864999999994</v>
      </c>
      <c r="I140" s="122">
        <f t="shared" si="1"/>
        <v>-9.8079308784824182E-3</v>
      </c>
      <c r="J140" s="122">
        <f t="shared" si="1"/>
        <v>0</v>
      </c>
      <c r="K140"/>
      <c r="L140"/>
      <c r="M140"/>
      <c r="N140" s="54"/>
      <c r="O140" s="54"/>
      <c r="P140" s="54"/>
      <c r="Z140"/>
    </row>
    <row r="141" spans="1:26" s="15" customFormat="1" x14ac:dyDescent="0.3">
      <c r="A141" s="17"/>
      <c r="B141"/>
      <c r="C141"/>
      <c r="D141"/>
      <c r="E141"/>
      <c r="F141" s="121">
        <v>43642</v>
      </c>
      <c r="G141" s="53">
        <v>274.28042599999998</v>
      </c>
      <c r="H141" s="53">
        <v>89.125327999999996</v>
      </c>
      <c r="I141" s="122">
        <f t="shared" si="1"/>
        <v>-9.9748941822219717E-4</v>
      </c>
      <c r="J141" s="122">
        <f t="shared" si="1"/>
        <v>2.1842557726148293E-4</v>
      </c>
      <c r="K141"/>
      <c r="L141"/>
      <c r="M141"/>
      <c r="N141" s="54"/>
      <c r="O141" s="54"/>
      <c r="P141" s="54"/>
      <c r="Z141"/>
    </row>
    <row r="142" spans="1:26" s="15" customFormat="1" x14ac:dyDescent="0.3">
      <c r="A142" s="17"/>
      <c r="B142"/>
      <c r="C142"/>
      <c r="D142"/>
      <c r="E142"/>
      <c r="F142" s="121">
        <v>43643</v>
      </c>
      <c r="G142" s="53">
        <v>275.25302099999999</v>
      </c>
      <c r="H142" s="53">
        <v>89.125327999999996</v>
      </c>
      <c r="I142" s="122">
        <f t="shared" si="1"/>
        <v>3.5459876382137878E-3</v>
      </c>
      <c r="J142" s="122">
        <f t="shared" si="1"/>
        <v>0</v>
      </c>
      <c r="K142"/>
      <c r="L142"/>
      <c r="M142"/>
      <c r="N142" s="54"/>
      <c r="O142" s="54"/>
      <c r="P142" s="54"/>
      <c r="Z142"/>
    </row>
    <row r="143" spans="1:26" s="15" customFormat="1" x14ac:dyDescent="0.3">
      <c r="A143" s="17"/>
      <c r="B143"/>
      <c r="C143"/>
      <c r="D143"/>
      <c r="E143"/>
      <c r="F143" s="121">
        <v>43644</v>
      </c>
      <c r="G143" s="53">
        <v>276.669464</v>
      </c>
      <c r="H143" s="53">
        <v>89.135047999999998</v>
      </c>
      <c r="I143" s="122">
        <f t="shared" si="1"/>
        <v>5.1459671354525671E-3</v>
      </c>
      <c r="J143" s="122">
        <f t="shared" si="1"/>
        <v>1.0905990719045633E-4</v>
      </c>
      <c r="K143"/>
      <c r="L143"/>
      <c r="M143"/>
      <c r="N143" s="54"/>
      <c r="O143" s="54"/>
      <c r="P143" s="54"/>
      <c r="Z143"/>
    </row>
    <row r="144" spans="1:26" s="15" customFormat="1" x14ac:dyDescent="0.3">
      <c r="A144" s="17"/>
      <c r="B144"/>
      <c r="C144"/>
      <c r="D144"/>
      <c r="E144"/>
      <c r="F144" s="121">
        <v>43647</v>
      </c>
      <c r="G144" s="53">
        <v>279.181152</v>
      </c>
      <c r="H144" s="53">
        <v>89.130211000000003</v>
      </c>
      <c r="I144" s="122">
        <f t="shared" si="1"/>
        <v>9.0782985721908904E-3</v>
      </c>
      <c r="J144" s="122">
        <f t="shared" si="1"/>
        <v>-5.4265971786926492E-5</v>
      </c>
      <c r="K144"/>
      <c r="L144"/>
      <c r="M144"/>
      <c r="N144" s="54"/>
      <c r="O144" s="54"/>
      <c r="P144" s="54"/>
      <c r="Z144"/>
    </row>
    <row r="145" spans="1:26" s="15" customFormat="1" x14ac:dyDescent="0.3">
      <c r="A145" s="17"/>
      <c r="B145"/>
      <c r="C145"/>
      <c r="D145"/>
      <c r="E145"/>
      <c r="F145" s="121">
        <v>43648</v>
      </c>
      <c r="G145" s="53">
        <v>279.90823399999999</v>
      </c>
      <c r="H145" s="53">
        <v>89.139938000000001</v>
      </c>
      <c r="I145" s="122">
        <f t="shared" si="1"/>
        <v>2.6043377025681824E-3</v>
      </c>
      <c r="J145" s="122">
        <f t="shared" si="1"/>
        <v>1.0913246912425123E-4</v>
      </c>
      <c r="K145"/>
      <c r="L145"/>
      <c r="M145"/>
      <c r="N145" s="54"/>
      <c r="O145" s="54"/>
      <c r="P145" s="54"/>
      <c r="Z145"/>
    </row>
    <row r="146" spans="1:26" s="15" customFormat="1" x14ac:dyDescent="0.3">
      <c r="A146" s="17"/>
      <c r="B146"/>
      <c r="C146"/>
      <c r="D146"/>
      <c r="E146"/>
      <c r="F146" s="121">
        <v>43649</v>
      </c>
      <c r="G146" s="53">
        <v>282.14605699999998</v>
      </c>
      <c r="H146" s="53">
        <v>89.169182000000006</v>
      </c>
      <c r="I146" s="122">
        <f t="shared" si="1"/>
        <v>7.9948451963010037E-3</v>
      </c>
      <c r="J146" s="122">
        <f t="shared" si="1"/>
        <v>3.2806843549759712E-4</v>
      </c>
      <c r="K146"/>
      <c r="L146"/>
      <c r="M146"/>
      <c r="N146" s="54"/>
      <c r="O146" s="54"/>
      <c r="P146" s="54"/>
      <c r="Z146"/>
    </row>
    <row r="147" spans="1:26" s="15" customFormat="1" x14ac:dyDescent="0.3">
      <c r="A147" s="17"/>
      <c r="B147"/>
      <c r="C147"/>
      <c r="D147"/>
      <c r="E147"/>
      <c r="F147" s="121">
        <v>43651</v>
      </c>
      <c r="G147" s="53">
        <v>281.82510400000001</v>
      </c>
      <c r="H147" s="53">
        <v>89.159415999999993</v>
      </c>
      <c r="I147" s="122">
        <f t="shared" si="1"/>
        <v>-1.1375420355421717E-3</v>
      </c>
      <c r="J147" s="122">
        <f t="shared" si="1"/>
        <v>-1.0952214409698513E-4</v>
      </c>
      <c r="K147"/>
      <c r="L147"/>
      <c r="M147"/>
      <c r="N147" s="54"/>
      <c r="O147" s="54"/>
      <c r="P147" s="54"/>
      <c r="Z147"/>
    </row>
    <row r="148" spans="1:26" s="15" customFormat="1" x14ac:dyDescent="0.3">
      <c r="A148" s="17"/>
      <c r="B148"/>
      <c r="C148"/>
      <c r="D148"/>
      <c r="E148"/>
      <c r="F148" s="121">
        <v>43654</v>
      </c>
      <c r="G148" s="53">
        <v>280.27648900000003</v>
      </c>
      <c r="H148" s="53">
        <v>89.159415999999993</v>
      </c>
      <c r="I148" s="122">
        <f t="shared" si="1"/>
        <v>-5.4949505137057431E-3</v>
      </c>
      <c r="J148" s="122">
        <f t="shared" si="1"/>
        <v>0</v>
      </c>
      <c r="K148"/>
      <c r="L148"/>
      <c r="M148"/>
      <c r="N148" s="54"/>
      <c r="O148" s="54"/>
      <c r="P148" s="54"/>
      <c r="Z148"/>
    </row>
    <row r="149" spans="1:26" s="15" customFormat="1" x14ac:dyDescent="0.3">
      <c r="A149" s="17"/>
      <c r="B149"/>
      <c r="C149"/>
      <c r="D149"/>
      <c r="E149"/>
      <c r="F149" s="121">
        <v>43655</v>
      </c>
      <c r="G149" s="53">
        <v>280.625854</v>
      </c>
      <c r="H149" s="53">
        <v>89.169182000000006</v>
      </c>
      <c r="I149" s="122">
        <f t="shared" ref="I149:J212" si="2">G149/G148-1</f>
        <v>1.2465012718207991E-3</v>
      </c>
      <c r="J149" s="122">
        <f t="shared" si="2"/>
        <v>1.0953414051084742E-4</v>
      </c>
      <c r="K149"/>
      <c r="L149"/>
      <c r="M149"/>
      <c r="N149" s="54"/>
      <c r="O149" s="54"/>
      <c r="P149" s="54"/>
      <c r="Z149"/>
    </row>
    <row r="150" spans="1:26" s="15" customFormat="1" x14ac:dyDescent="0.3">
      <c r="A150" s="17"/>
      <c r="B150"/>
      <c r="C150"/>
      <c r="D150"/>
      <c r="E150"/>
      <c r="F150" s="121">
        <v>43656</v>
      </c>
      <c r="G150" s="53">
        <v>281.96673600000003</v>
      </c>
      <c r="H150" s="53">
        <v>89.178932000000003</v>
      </c>
      <c r="I150" s="122">
        <f t="shared" si="2"/>
        <v>4.7781841226932631E-3</v>
      </c>
      <c r="J150" s="122">
        <f t="shared" si="2"/>
        <v>1.0934270990614614E-4</v>
      </c>
      <c r="K150"/>
      <c r="L150"/>
      <c r="M150"/>
      <c r="N150" s="54"/>
      <c r="O150" s="54"/>
      <c r="P150" s="54"/>
      <c r="Z150"/>
    </row>
    <row r="151" spans="1:26" s="15" customFormat="1" x14ac:dyDescent="0.3">
      <c r="A151" s="17"/>
      <c r="B151"/>
      <c r="C151"/>
      <c r="D151"/>
      <c r="E151"/>
      <c r="F151" s="121">
        <v>43657</v>
      </c>
      <c r="G151" s="53">
        <v>282.627655</v>
      </c>
      <c r="H151" s="53">
        <v>89.198409999999996</v>
      </c>
      <c r="I151" s="122">
        <f t="shared" si="2"/>
        <v>2.3439608848043747E-3</v>
      </c>
      <c r="J151" s="122">
        <f t="shared" si="2"/>
        <v>2.1841481573248167E-4</v>
      </c>
      <c r="K151"/>
      <c r="L151"/>
      <c r="M151"/>
      <c r="N151" s="54"/>
      <c r="O151" s="54"/>
      <c r="P151" s="54"/>
      <c r="Z151"/>
    </row>
    <row r="152" spans="1:26" s="15" customFormat="1" x14ac:dyDescent="0.3">
      <c r="A152" s="17"/>
      <c r="B152"/>
      <c r="C152"/>
      <c r="D152"/>
      <c r="E152"/>
      <c r="F152" s="121">
        <v>43658</v>
      </c>
      <c r="G152" s="53">
        <v>283.89306599999998</v>
      </c>
      <c r="H152" s="53">
        <v>89.208175999999995</v>
      </c>
      <c r="I152" s="122">
        <f t="shared" si="2"/>
        <v>4.477307785043072E-3</v>
      </c>
      <c r="J152" s="122">
        <f t="shared" si="2"/>
        <v>1.0948625653761646E-4</v>
      </c>
      <c r="K152"/>
      <c r="L152"/>
      <c r="M152"/>
      <c r="N152" s="54"/>
      <c r="O152" s="54"/>
      <c r="P152" s="54"/>
      <c r="Z152"/>
    </row>
    <row r="153" spans="1:26" s="15" customFormat="1" x14ac:dyDescent="0.3">
      <c r="A153" s="17"/>
      <c r="B153"/>
      <c r="C153"/>
      <c r="D153"/>
      <c r="E153"/>
      <c r="F153" s="121">
        <v>43661</v>
      </c>
      <c r="G153" s="53">
        <v>283.98748799999998</v>
      </c>
      <c r="H153" s="53">
        <v>89.208175999999995</v>
      </c>
      <c r="I153" s="122">
        <f t="shared" si="2"/>
        <v>3.3259706314914261E-4</v>
      </c>
      <c r="J153" s="122">
        <f t="shared" si="2"/>
        <v>0</v>
      </c>
      <c r="K153"/>
      <c r="L153"/>
      <c r="M153"/>
      <c r="N153" s="54"/>
      <c r="O153" s="54"/>
      <c r="P153" s="54"/>
      <c r="Z153"/>
    </row>
    <row r="154" spans="1:26" s="15" customFormat="1" x14ac:dyDescent="0.3">
      <c r="A154" s="17"/>
      <c r="B154"/>
      <c r="C154"/>
      <c r="D154"/>
      <c r="E154"/>
      <c r="F154" s="121">
        <v>43662</v>
      </c>
      <c r="G154" s="53">
        <v>283.07153299999999</v>
      </c>
      <c r="H154" s="53">
        <v>89.217934</v>
      </c>
      <c r="I154" s="122">
        <f t="shared" si="2"/>
        <v>-3.2253357584542952E-3</v>
      </c>
      <c r="J154" s="122">
        <f t="shared" si="2"/>
        <v>1.0938459273068801E-4</v>
      </c>
      <c r="K154"/>
      <c r="L154"/>
      <c r="M154"/>
      <c r="N154" s="54"/>
      <c r="O154" s="54"/>
      <c r="P154" s="54"/>
      <c r="Z154"/>
    </row>
    <row r="155" spans="1:26" s="15" customFormat="1" x14ac:dyDescent="0.3">
      <c r="A155" s="17"/>
      <c r="B155"/>
      <c r="C155"/>
      <c r="D155"/>
      <c r="E155"/>
      <c r="F155" s="121">
        <v>43663</v>
      </c>
      <c r="G155" s="53">
        <v>281.14520299999998</v>
      </c>
      <c r="H155" s="53">
        <v>89.217934</v>
      </c>
      <c r="I155" s="122">
        <f t="shared" si="2"/>
        <v>-6.8050996848206813E-3</v>
      </c>
      <c r="J155" s="122">
        <f t="shared" si="2"/>
        <v>0</v>
      </c>
      <c r="K155"/>
      <c r="L155"/>
      <c r="M155"/>
      <c r="N155" s="54"/>
      <c r="O155" s="54"/>
      <c r="P155" s="54"/>
      <c r="Z155"/>
    </row>
    <row r="156" spans="1:26" s="15" customFormat="1" x14ac:dyDescent="0.3">
      <c r="A156" s="17"/>
      <c r="B156"/>
      <c r="C156"/>
      <c r="D156"/>
      <c r="E156"/>
      <c r="F156" s="121">
        <v>43664</v>
      </c>
      <c r="G156" s="53">
        <v>282.17446899999999</v>
      </c>
      <c r="H156" s="53">
        <v>89.247153999999995</v>
      </c>
      <c r="I156" s="122">
        <f t="shared" si="2"/>
        <v>3.6609765666177907E-3</v>
      </c>
      <c r="J156" s="122">
        <f t="shared" si="2"/>
        <v>3.2751262767405365E-4</v>
      </c>
      <c r="K156"/>
      <c r="L156"/>
      <c r="M156"/>
      <c r="N156" s="54"/>
      <c r="O156" s="54"/>
      <c r="P156" s="54"/>
      <c r="Z156"/>
    </row>
    <row r="157" spans="1:26" s="15" customFormat="1" x14ac:dyDescent="0.3">
      <c r="A157" s="17"/>
      <c r="B157"/>
      <c r="C157"/>
      <c r="D157"/>
      <c r="E157"/>
      <c r="F157" s="121">
        <v>43665</v>
      </c>
      <c r="G157" s="53">
        <v>280.60699499999998</v>
      </c>
      <c r="H157" s="53">
        <v>89.247153999999995</v>
      </c>
      <c r="I157" s="122">
        <f t="shared" si="2"/>
        <v>-5.5549816592371792E-3</v>
      </c>
      <c r="J157" s="122">
        <f t="shared" si="2"/>
        <v>0</v>
      </c>
      <c r="K157"/>
      <c r="L157"/>
      <c r="M157"/>
      <c r="N157" s="54"/>
      <c r="O157" s="54"/>
      <c r="P157" s="54"/>
      <c r="Z157"/>
    </row>
    <row r="158" spans="1:26" s="15" customFormat="1" x14ac:dyDescent="0.3">
      <c r="A158" s="17"/>
      <c r="B158"/>
      <c r="C158"/>
      <c r="D158"/>
      <c r="E158"/>
      <c r="F158" s="121">
        <v>43668</v>
      </c>
      <c r="G158" s="53">
        <v>281.29629499999999</v>
      </c>
      <c r="H158" s="53">
        <v>89.247153999999995</v>
      </c>
      <c r="I158" s="122">
        <f t="shared" si="2"/>
        <v>2.4564605027042052E-3</v>
      </c>
      <c r="J158" s="122">
        <f t="shared" si="2"/>
        <v>0</v>
      </c>
      <c r="K158"/>
      <c r="L158"/>
      <c r="M158"/>
      <c r="N158" s="54"/>
      <c r="O158" s="54"/>
      <c r="P158" s="54"/>
      <c r="Z158"/>
    </row>
    <row r="159" spans="1:26" s="15" customFormat="1" x14ac:dyDescent="0.3">
      <c r="A159" s="17"/>
      <c r="B159"/>
      <c r="C159"/>
      <c r="D159"/>
      <c r="E159"/>
      <c r="F159" s="121">
        <v>43669</v>
      </c>
      <c r="G159" s="53">
        <v>283.30755599999998</v>
      </c>
      <c r="H159" s="53">
        <v>89.237426999999997</v>
      </c>
      <c r="I159" s="122">
        <f t="shared" si="2"/>
        <v>7.149973304838575E-3</v>
      </c>
      <c r="J159" s="122">
        <f t="shared" si="2"/>
        <v>-1.0898946984905233E-4</v>
      </c>
      <c r="K159"/>
      <c r="L159"/>
      <c r="M159"/>
      <c r="N159" s="54"/>
      <c r="O159" s="54"/>
      <c r="P159" s="54"/>
      <c r="Z159"/>
    </row>
    <row r="160" spans="1:26" s="15" customFormat="1" x14ac:dyDescent="0.3">
      <c r="A160" s="17"/>
      <c r="B160"/>
      <c r="C160"/>
      <c r="D160"/>
      <c r="E160"/>
      <c r="F160" s="121">
        <v>43670</v>
      </c>
      <c r="G160" s="53">
        <v>284.63897700000001</v>
      </c>
      <c r="H160" s="53">
        <v>89.256889000000001</v>
      </c>
      <c r="I160" s="122">
        <f t="shared" si="2"/>
        <v>4.6995605016622033E-3</v>
      </c>
      <c r="J160" s="122">
        <f t="shared" si="2"/>
        <v>2.1809234818026546E-4</v>
      </c>
      <c r="K160"/>
      <c r="L160"/>
      <c r="M160"/>
      <c r="N160" s="54"/>
      <c r="O160" s="54"/>
      <c r="P160" s="54"/>
      <c r="Z160"/>
    </row>
    <row r="161" spans="1:26" s="15" customFormat="1" x14ac:dyDescent="0.3">
      <c r="A161" s="17"/>
      <c r="B161"/>
      <c r="C161"/>
      <c r="D161"/>
      <c r="E161"/>
      <c r="F161" s="121">
        <v>43671</v>
      </c>
      <c r="G161" s="53">
        <v>283.27926600000001</v>
      </c>
      <c r="H161" s="53">
        <v>89.276381999999998</v>
      </c>
      <c r="I161" s="122">
        <f t="shared" si="2"/>
        <v>-4.7769669998497521E-3</v>
      </c>
      <c r="J161" s="122">
        <f t="shared" si="2"/>
        <v>2.1839210640650641E-4</v>
      </c>
      <c r="K161"/>
      <c r="L161"/>
      <c r="M161"/>
      <c r="N161" s="54"/>
      <c r="O161" s="54"/>
      <c r="P161" s="54"/>
      <c r="Z161"/>
    </row>
    <row r="162" spans="1:26" s="15" customFormat="1" x14ac:dyDescent="0.3">
      <c r="A162" s="17"/>
      <c r="B162"/>
      <c r="C162"/>
      <c r="D162"/>
      <c r="E162"/>
      <c r="F162" s="121">
        <v>43672</v>
      </c>
      <c r="G162" s="53">
        <v>285.17721599999999</v>
      </c>
      <c r="H162" s="53">
        <v>89.266655</v>
      </c>
      <c r="I162" s="122">
        <f t="shared" si="2"/>
        <v>6.6999255780335609E-3</v>
      </c>
      <c r="J162" s="122">
        <f t="shared" si="2"/>
        <v>-1.0895378802422417E-4</v>
      </c>
      <c r="K162"/>
      <c r="L162"/>
      <c r="M162"/>
      <c r="N162" s="54"/>
      <c r="O162" s="54"/>
      <c r="P162" s="54"/>
      <c r="Z162"/>
    </row>
    <row r="163" spans="1:26" s="15" customFormat="1" x14ac:dyDescent="0.3">
      <c r="A163" s="17"/>
      <c r="B163"/>
      <c r="C163"/>
      <c r="D163"/>
      <c r="E163"/>
      <c r="F163" s="121">
        <v>43675</v>
      </c>
      <c r="G163" s="53">
        <v>284.65789799999999</v>
      </c>
      <c r="H163" s="53">
        <v>89.286140000000003</v>
      </c>
      <c r="I163" s="122">
        <f t="shared" si="2"/>
        <v>-1.8210360816482973E-3</v>
      </c>
      <c r="J163" s="122">
        <f t="shared" si="2"/>
        <v>2.1827859462186794E-4</v>
      </c>
      <c r="K163"/>
      <c r="L163"/>
      <c r="M163"/>
      <c r="N163" s="54"/>
      <c r="O163" s="54"/>
      <c r="P163" s="54"/>
      <c r="Z163"/>
    </row>
    <row r="164" spans="1:26" s="15" customFormat="1" x14ac:dyDescent="0.3">
      <c r="A164" s="17"/>
      <c r="B164"/>
      <c r="C164"/>
      <c r="D164"/>
      <c r="E164"/>
      <c r="F164" s="121">
        <v>43676</v>
      </c>
      <c r="G164" s="53">
        <v>283.959137</v>
      </c>
      <c r="H164" s="53">
        <v>89.286140000000003</v>
      </c>
      <c r="I164" s="122">
        <f t="shared" si="2"/>
        <v>-2.4547395484526557E-3</v>
      </c>
      <c r="J164" s="122">
        <f t="shared" si="2"/>
        <v>0</v>
      </c>
      <c r="K164"/>
      <c r="L164"/>
      <c r="M164"/>
      <c r="N164" s="54"/>
      <c r="O164" s="54"/>
      <c r="P164" s="54"/>
      <c r="Z164"/>
    </row>
    <row r="165" spans="1:26" s="15" customFormat="1" x14ac:dyDescent="0.3">
      <c r="A165" s="17"/>
      <c r="B165"/>
      <c r="C165"/>
      <c r="D165"/>
      <c r="E165"/>
      <c r="F165" s="121">
        <v>43677</v>
      </c>
      <c r="G165" s="53">
        <v>280.852509</v>
      </c>
      <c r="H165" s="53">
        <v>89.295876000000007</v>
      </c>
      <c r="I165" s="122">
        <f t="shared" si="2"/>
        <v>-1.0940405133010422E-2</v>
      </c>
      <c r="J165" s="122">
        <f t="shared" si="2"/>
        <v>1.0904268008449236E-4</v>
      </c>
      <c r="K165"/>
      <c r="L165"/>
      <c r="M165"/>
      <c r="N165" s="54"/>
      <c r="O165" s="54"/>
      <c r="P165" s="54"/>
      <c r="Z165"/>
    </row>
    <row r="166" spans="1:26" s="15" customFormat="1" x14ac:dyDescent="0.3">
      <c r="A166" s="17"/>
      <c r="B166"/>
      <c r="C166"/>
      <c r="D166"/>
      <c r="E166"/>
      <c r="F166" s="121">
        <v>43678</v>
      </c>
      <c r="G166" s="53">
        <v>278.40683000000001</v>
      </c>
      <c r="H166" s="53">
        <v>89.320312999999999</v>
      </c>
      <c r="I166" s="122">
        <f t="shared" si="2"/>
        <v>-8.7080546608183651E-3</v>
      </c>
      <c r="J166" s="122">
        <f t="shared" si="2"/>
        <v>2.7366325405653313E-4</v>
      </c>
      <c r="K166"/>
      <c r="L166"/>
      <c r="M166"/>
      <c r="N166" s="54"/>
      <c r="O166" s="54"/>
      <c r="P166" s="54"/>
      <c r="Z166"/>
    </row>
    <row r="167" spans="1:26" s="15" customFormat="1" x14ac:dyDescent="0.3">
      <c r="A167" s="17"/>
      <c r="B167"/>
      <c r="C167"/>
      <c r="D167"/>
      <c r="E167"/>
      <c r="F167" s="121">
        <v>43679</v>
      </c>
      <c r="G167" s="53">
        <v>276.31057700000002</v>
      </c>
      <c r="H167" s="53">
        <v>89.320312999999999</v>
      </c>
      <c r="I167" s="122">
        <f t="shared" si="2"/>
        <v>-7.5294596759712951E-3</v>
      </c>
      <c r="J167" s="122">
        <f t="shared" si="2"/>
        <v>0</v>
      </c>
      <c r="K167"/>
      <c r="L167"/>
      <c r="M167"/>
      <c r="N167" s="54"/>
      <c r="O167" s="54"/>
      <c r="P167" s="54"/>
      <c r="Z167"/>
    </row>
    <row r="168" spans="1:26" s="15" customFormat="1" x14ac:dyDescent="0.3">
      <c r="A168" s="17"/>
      <c r="B168"/>
      <c r="C168"/>
      <c r="D168"/>
      <c r="E168"/>
      <c r="F168" s="121">
        <v>43682</v>
      </c>
      <c r="G168" s="53">
        <v>268.00100700000002</v>
      </c>
      <c r="H168" s="53">
        <v>89.310531999999995</v>
      </c>
      <c r="I168" s="122">
        <f t="shared" si="2"/>
        <v>-3.0073296832209273E-2</v>
      </c>
      <c r="J168" s="122">
        <f t="shared" si="2"/>
        <v>-1.0950476628990291E-4</v>
      </c>
      <c r="K168"/>
      <c r="L168"/>
      <c r="M168"/>
      <c r="N168" s="54"/>
      <c r="O168" s="54"/>
      <c r="P168" s="54"/>
      <c r="Z168"/>
    </row>
    <row r="169" spans="1:26" s="15" customFormat="1" x14ac:dyDescent="0.3">
      <c r="A169" s="17"/>
      <c r="B169"/>
      <c r="C169"/>
      <c r="D169"/>
      <c r="E169"/>
      <c r="F169" s="121">
        <v>43683</v>
      </c>
      <c r="G169" s="53">
        <v>271.75924700000002</v>
      </c>
      <c r="H169" s="53">
        <v>89.320312999999999</v>
      </c>
      <c r="I169" s="122">
        <f t="shared" si="2"/>
        <v>1.4023230890322758E-2</v>
      </c>
      <c r="J169" s="122">
        <f t="shared" si="2"/>
        <v>1.0951675889692147E-4</v>
      </c>
      <c r="K169"/>
      <c r="L169"/>
      <c r="M169"/>
      <c r="N169" s="54"/>
      <c r="O169" s="54"/>
      <c r="P169" s="54"/>
      <c r="Z169"/>
    </row>
    <row r="170" spans="1:26" s="15" customFormat="1" x14ac:dyDescent="0.3">
      <c r="A170" s="17"/>
      <c r="B170"/>
      <c r="C170"/>
      <c r="D170"/>
      <c r="E170"/>
      <c r="F170" s="121">
        <v>43684</v>
      </c>
      <c r="G170" s="53">
        <v>271.91970800000001</v>
      </c>
      <c r="H170" s="53">
        <v>89.339827999999997</v>
      </c>
      <c r="I170" s="122">
        <f t="shared" si="2"/>
        <v>5.9045276939562186E-4</v>
      </c>
      <c r="J170" s="122">
        <f t="shared" si="2"/>
        <v>2.1848333648355478E-4</v>
      </c>
      <c r="K170"/>
      <c r="L170"/>
      <c r="M170"/>
      <c r="N170" s="54"/>
      <c r="O170" s="54"/>
      <c r="P170" s="54"/>
      <c r="Z170"/>
    </row>
    <row r="171" spans="1:26" s="15" customFormat="1" x14ac:dyDescent="0.3">
      <c r="A171" s="17"/>
      <c r="B171"/>
      <c r="C171"/>
      <c r="D171"/>
      <c r="E171"/>
      <c r="F171" s="121">
        <v>43685</v>
      </c>
      <c r="G171" s="53">
        <v>277.25491299999999</v>
      </c>
      <c r="H171" s="53">
        <v>89.349586000000002</v>
      </c>
      <c r="I171" s="122">
        <f t="shared" si="2"/>
        <v>1.9620516067926808E-2</v>
      </c>
      <c r="J171" s="122">
        <f t="shared" si="2"/>
        <v>1.0922340257923935E-4</v>
      </c>
      <c r="K171"/>
      <c r="L171"/>
      <c r="M171"/>
      <c r="N171" s="54"/>
      <c r="O171" s="54"/>
      <c r="P171" s="54"/>
      <c r="Z171"/>
    </row>
    <row r="172" spans="1:26" s="15" customFormat="1" x14ac:dyDescent="0.3">
      <c r="A172" s="17"/>
      <c r="B172"/>
      <c r="C172"/>
      <c r="D172"/>
      <c r="E172"/>
      <c r="F172" s="121">
        <v>43686</v>
      </c>
      <c r="G172" s="53">
        <v>275.366333</v>
      </c>
      <c r="H172" s="53">
        <v>89.339827999999997</v>
      </c>
      <c r="I172" s="122">
        <f t="shared" si="2"/>
        <v>-6.8117097712169228E-3</v>
      </c>
      <c r="J172" s="122">
        <f t="shared" si="2"/>
        <v>-1.0921147413045507E-4</v>
      </c>
      <c r="K172"/>
      <c r="L172"/>
      <c r="M172"/>
      <c r="N172" s="54"/>
      <c r="O172" s="54"/>
      <c r="P172" s="54"/>
      <c r="Z172"/>
    </row>
    <row r="173" spans="1:26" s="15" customFormat="1" x14ac:dyDescent="0.3">
      <c r="A173" s="17"/>
      <c r="B173"/>
      <c r="C173"/>
      <c r="D173"/>
      <c r="E173"/>
      <c r="F173" s="121">
        <v>43689</v>
      </c>
      <c r="G173" s="53">
        <v>272.01416</v>
      </c>
      <c r="H173" s="53">
        <v>89.359367000000006</v>
      </c>
      <c r="I173" s="122">
        <f t="shared" si="2"/>
        <v>-1.2173503432607369E-2</v>
      </c>
      <c r="J173" s="122">
        <f t="shared" si="2"/>
        <v>2.1870424912839859E-4</v>
      </c>
      <c r="K173"/>
      <c r="L173"/>
      <c r="M173"/>
      <c r="N173" s="54"/>
      <c r="O173" s="54"/>
      <c r="P173" s="54"/>
      <c r="Z173"/>
    </row>
    <row r="174" spans="1:26" s="15" customFormat="1" x14ac:dyDescent="0.3">
      <c r="A174" s="17"/>
      <c r="B174"/>
      <c r="C174"/>
      <c r="D174"/>
      <c r="E174"/>
      <c r="F174" s="121">
        <v>43690</v>
      </c>
      <c r="G174" s="53">
        <v>276.244415</v>
      </c>
      <c r="H174" s="53">
        <v>89.369140999999999</v>
      </c>
      <c r="I174" s="122">
        <f t="shared" si="2"/>
        <v>1.5551598490313845E-2</v>
      </c>
      <c r="J174" s="122">
        <f t="shared" si="2"/>
        <v>1.0937857247794724E-4</v>
      </c>
      <c r="K174"/>
      <c r="L174"/>
      <c r="M174"/>
      <c r="N174" s="54"/>
      <c r="O174" s="54"/>
      <c r="P174" s="54"/>
      <c r="Z174"/>
    </row>
    <row r="175" spans="1:26" s="15" customFormat="1" x14ac:dyDescent="0.3">
      <c r="A175" s="17"/>
      <c r="B175"/>
      <c r="C175"/>
      <c r="D175"/>
      <c r="E175"/>
      <c r="F175" s="121">
        <v>43691</v>
      </c>
      <c r="G175" s="53">
        <v>268.07656900000001</v>
      </c>
      <c r="H175" s="53">
        <v>89.359367000000006</v>
      </c>
      <c r="I175" s="122">
        <f t="shared" si="2"/>
        <v>-2.956746111953068E-2</v>
      </c>
      <c r="J175" s="122">
        <f t="shared" si="2"/>
        <v>-1.0936661011429205E-4</v>
      </c>
      <c r="K175"/>
      <c r="L175"/>
      <c r="M175"/>
      <c r="N175" s="54"/>
      <c r="O175" s="54"/>
      <c r="P175" s="54"/>
      <c r="Z175"/>
    </row>
    <row r="176" spans="1:26" s="15" customFormat="1" x14ac:dyDescent="0.3">
      <c r="A176" s="17"/>
      <c r="B176"/>
      <c r="C176"/>
      <c r="D176"/>
      <c r="E176"/>
      <c r="F176" s="121">
        <v>43692</v>
      </c>
      <c r="G176" s="53">
        <v>268.78478999999999</v>
      </c>
      <c r="H176" s="53">
        <v>89.398398999999998</v>
      </c>
      <c r="I176" s="122">
        <f t="shared" si="2"/>
        <v>2.6418608781879627E-3</v>
      </c>
      <c r="J176" s="122">
        <f t="shared" si="2"/>
        <v>4.3679808072050186E-4</v>
      </c>
      <c r="K176"/>
      <c r="L176"/>
      <c r="M176"/>
      <c r="N176" s="54"/>
      <c r="O176" s="54"/>
      <c r="P176" s="54"/>
      <c r="Z176"/>
    </row>
    <row r="177" spans="1:26" s="15" customFormat="1" x14ac:dyDescent="0.3">
      <c r="A177" s="17"/>
      <c r="B177"/>
      <c r="C177"/>
      <c r="D177"/>
      <c r="E177"/>
      <c r="F177" s="121">
        <v>43693</v>
      </c>
      <c r="G177" s="53">
        <v>272.75070199999999</v>
      </c>
      <c r="H177" s="53">
        <v>89.388656999999995</v>
      </c>
      <c r="I177" s="122">
        <f t="shared" si="2"/>
        <v>1.4754971812207085E-2</v>
      </c>
      <c r="J177" s="122">
        <f t="shared" si="2"/>
        <v>-1.089728687423408E-4</v>
      </c>
      <c r="K177"/>
      <c r="L177"/>
      <c r="M177"/>
      <c r="N177" s="54"/>
      <c r="O177" s="54"/>
      <c r="P177" s="54"/>
      <c r="Z177"/>
    </row>
    <row r="178" spans="1:26" s="15" customFormat="1" x14ac:dyDescent="0.3">
      <c r="A178" s="17"/>
      <c r="B178"/>
      <c r="C178"/>
      <c r="D178"/>
      <c r="E178"/>
      <c r="F178" s="121">
        <v>43696</v>
      </c>
      <c r="G178" s="53">
        <v>276.03668199999998</v>
      </c>
      <c r="H178" s="53">
        <v>89.388656999999995</v>
      </c>
      <c r="I178" s="122">
        <f t="shared" si="2"/>
        <v>1.2047558359721489E-2</v>
      </c>
      <c r="J178" s="122">
        <f t="shared" si="2"/>
        <v>0</v>
      </c>
      <c r="K178"/>
      <c r="L178"/>
      <c r="M178"/>
      <c r="N178" s="54"/>
      <c r="O178" s="54"/>
      <c r="P178" s="54"/>
      <c r="Z178"/>
    </row>
    <row r="179" spans="1:26" s="15" customFormat="1" x14ac:dyDescent="0.3">
      <c r="A179" s="17"/>
      <c r="B179"/>
      <c r="C179"/>
      <c r="D179"/>
      <c r="E179"/>
      <c r="F179" s="121">
        <v>43697</v>
      </c>
      <c r="G179" s="53">
        <v>273.92156999999997</v>
      </c>
      <c r="H179" s="53">
        <v>89.398398999999998</v>
      </c>
      <c r="I179" s="122">
        <f t="shared" si="2"/>
        <v>-7.6624308938766372E-3</v>
      </c>
      <c r="J179" s="122">
        <f t="shared" si="2"/>
        <v>1.0898474512277545E-4</v>
      </c>
      <c r="K179"/>
      <c r="L179"/>
      <c r="M179"/>
      <c r="N179" s="54"/>
      <c r="O179" s="54"/>
      <c r="P179" s="54"/>
      <c r="Z179"/>
    </row>
    <row r="180" spans="1:26" s="15" customFormat="1" x14ac:dyDescent="0.3">
      <c r="A180" s="17"/>
      <c r="B180"/>
      <c r="C180"/>
      <c r="D180"/>
      <c r="E180"/>
      <c r="F180" s="121">
        <v>43698</v>
      </c>
      <c r="G180" s="53">
        <v>276.15011600000003</v>
      </c>
      <c r="H180" s="53">
        <v>89.388656999999995</v>
      </c>
      <c r="I180" s="122">
        <f t="shared" si="2"/>
        <v>8.1357083343238656E-3</v>
      </c>
      <c r="J180" s="122">
        <f t="shared" si="2"/>
        <v>-1.089728687423408E-4</v>
      </c>
      <c r="K180"/>
      <c r="L180"/>
      <c r="M180"/>
      <c r="N180" s="54"/>
      <c r="O180" s="54"/>
      <c r="P180" s="54"/>
      <c r="Z180"/>
    </row>
    <row r="181" spans="1:26" s="15" customFormat="1" x14ac:dyDescent="0.3">
      <c r="A181" s="17"/>
      <c r="B181"/>
      <c r="C181"/>
      <c r="D181"/>
      <c r="E181"/>
      <c r="F181" s="121">
        <v>43699</v>
      </c>
      <c r="G181" s="53">
        <v>276.06506300000001</v>
      </c>
      <c r="H181" s="53">
        <v>89.417946000000001</v>
      </c>
      <c r="I181" s="122">
        <f t="shared" si="2"/>
        <v>-3.0799552515858863E-4</v>
      </c>
      <c r="J181" s="122">
        <f t="shared" si="2"/>
        <v>3.2765902277742676E-4</v>
      </c>
      <c r="K181"/>
      <c r="L181"/>
      <c r="M181"/>
      <c r="N181" s="54"/>
      <c r="O181" s="54"/>
      <c r="P181" s="54"/>
      <c r="Z181"/>
    </row>
    <row r="182" spans="1:26" s="15" customFormat="1" x14ac:dyDescent="0.3">
      <c r="A182" s="17"/>
      <c r="B182"/>
      <c r="C182"/>
      <c r="D182"/>
      <c r="E182"/>
      <c r="F182" s="121">
        <v>43700</v>
      </c>
      <c r="G182" s="53">
        <v>268.97363300000001</v>
      </c>
      <c r="H182" s="53">
        <v>89.408173000000005</v>
      </c>
      <c r="I182" s="122">
        <f t="shared" si="2"/>
        <v>-2.5687531493255311E-2</v>
      </c>
      <c r="J182" s="122">
        <f t="shared" si="2"/>
        <v>-1.0929573354323541E-4</v>
      </c>
      <c r="K182"/>
      <c r="L182"/>
      <c r="M182"/>
      <c r="N182" s="54"/>
      <c r="O182" s="54"/>
      <c r="P182" s="54"/>
      <c r="Z182"/>
    </row>
    <row r="183" spans="1:26" s="15" customFormat="1" x14ac:dyDescent="0.3">
      <c r="A183" s="17"/>
      <c r="B183"/>
      <c r="C183"/>
      <c r="D183"/>
      <c r="E183"/>
      <c r="F183" s="121">
        <v>43703</v>
      </c>
      <c r="G183" s="53">
        <v>271.94802900000002</v>
      </c>
      <c r="H183" s="53">
        <v>89.417946000000001</v>
      </c>
      <c r="I183" s="122">
        <f t="shared" si="2"/>
        <v>1.1058318121464294E-2</v>
      </c>
      <c r="J183" s="122">
        <f t="shared" si="2"/>
        <v>1.0930768040640082E-4</v>
      </c>
      <c r="K183"/>
      <c r="L183"/>
      <c r="M183"/>
      <c r="N183" s="54"/>
      <c r="O183" s="54"/>
      <c r="P183" s="54"/>
      <c r="Z183"/>
    </row>
    <row r="184" spans="1:26" s="15" customFormat="1" x14ac:dyDescent="0.3">
      <c r="A184" s="17"/>
      <c r="B184"/>
      <c r="C184"/>
      <c r="D184"/>
      <c r="E184"/>
      <c r="F184" s="121">
        <v>43704</v>
      </c>
      <c r="G184" s="53">
        <v>270.88110399999999</v>
      </c>
      <c r="H184" s="53">
        <v>89.427689000000001</v>
      </c>
      <c r="I184" s="122">
        <f t="shared" si="2"/>
        <v>-3.9232680005929499E-3</v>
      </c>
      <c r="J184" s="122">
        <f t="shared" si="2"/>
        <v>1.0896023042183955E-4</v>
      </c>
      <c r="K184"/>
      <c r="L184"/>
      <c r="M184"/>
      <c r="N184" s="54"/>
      <c r="O184" s="54"/>
      <c r="P184" s="54"/>
      <c r="Z184"/>
    </row>
    <row r="185" spans="1:26" s="15" customFormat="1" x14ac:dyDescent="0.3">
      <c r="A185" s="17"/>
      <c r="B185"/>
      <c r="C185"/>
      <c r="D185"/>
      <c r="E185"/>
      <c r="F185" s="121">
        <v>43705</v>
      </c>
      <c r="G185" s="53">
        <v>272.78851300000002</v>
      </c>
      <c r="H185" s="53">
        <v>89.417946000000001</v>
      </c>
      <c r="I185" s="122">
        <f t="shared" si="2"/>
        <v>7.0414989153324559E-3</v>
      </c>
      <c r="J185" s="122">
        <f t="shared" si="2"/>
        <v>-1.0894835938346503E-4</v>
      </c>
      <c r="K185"/>
      <c r="L185"/>
      <c r="M185"/>
      <c r="N185" s="54"/>
      <c r="O185" s="54"/>
      <c r="P185" s="54"/>
      <c r="Z185"/>
    </row>
    <row r="186" spans="1:26" s="15" customFormat="1" x14ac:dyDescent="0.3">
      <c r="A186" s="17"/>
      <c r="B186"/>
      <c r="C186"/>
      <c r="D186"/>
      <c r="E186"/>
      <c r="F186" s="121">
        <v>43706</v>
      </c>
      <c r="G186" s="53">
        <v>276.27279700000003</v>
      </c>
      <c r="H186" s="53">
        <v>89.437461999999996</v>
      </c>
      <c r="I186" s="122">
        <f t="shared" si="2"/>
        <v>1.2772839888606224E-2</v>
      </c>
      <c r="J186" s="122">
        <f t="shared" si="2"/>
        <v>2.1825596396496394E-4</v>
      </c>
      <c r="K186"/>
      <c r="L186"/>
      <c r="M186"/>
      <c r="N186" s="54"/>
      <c r="O186" s="54"/>
      <c r="P186" s="54"/>
      <c r="Z186"/>
    </row>
    <row r="187" spans="1:26" s="15" customFormat="1" x14ac:dyDescent="0.3">
      <c r="A187" s="17"/>
      <c r="B187"/>
      <c r="C187"/>
      <c r="D187"/>
      <c r="E187"/>
      <c r="F187" s="121">
        <v>43707</v>
      </c>
      <c r="G187" s="53">
        <v>276.15011600000003</v>
      </c>
      <c r="H187" s="53">
        <v>89.447211999999993</v>
      </c>
      <c r="I187" s="122">
        <f t="shared" si="2"/>
        <v>-4.4405747265807705E-4</v>
      </c>
      <c r="J187" s="122">
        <f t="shared" si="2"/>
        <v>1.0901472137025969E-4</v>
      </c>
      <c r="K187"/>
      <c r="L187"/>
      <c r="M187"/>
      <c r="N187" s="54"/>
      <c r="O187" s="54"/>
      <c r="P187" s="54"/>
      <c r="Z187"/>
    </row>
    <row r="188" spans="1:26" s="15" customFormat="1" x14ac:dyDescent="0.3">
      <c r="A188" s="17"/>
      <c r="B188"/>
      <c r="C188"/>
      <c r="D188"/>
      <c r="E188"/>
      <c r="F188" s="121">
        <v>43711</v>
      </c>
      <c r="G188" s="53">
        <v>274.53533900000002</v>
      </c>
      <c r="H188" s="53">
        <v>89.464850999999996</v>
      </c>
      <c r="I188" s="122">
        <f t="shared" si="2"/>
        <v>-5.8474608788504634E-3</v>
      </c>
      <c r="J188" s="122">
        <f t="shared" si="2"/>
        <v>1.9720010949031419E-4</v>
      </c>
      <c r="K188"/>
      <c r="L188"/>
      <c r="M188"/>
      <c r="N188" s="54"/>
      <c r="O188" s="54"/>
      <c r="P188" s="54"/>
      <c r="Z188"/>
    </row>
    <row r="189" spans="1:26" s="15" customFormat="1" x14ac:dyDescent="0.3">
      <c r="A189" s="17"/>
      <c r="B189"/>
      <c r="C189"/>
      <c r="D189"/>
      <c r="E189"/>
      <c r="F189" s="121">
        <v>43712</v>
      </c>
      <c r="G189" s="53">
        <v>277.65145899999999</v>
      </c>
      <c r="H189" s="53">
        <v>89.455062999999996</v>
      </c>
      <c r="I189" s="122">
        <f t="shared" si="2"/>
        <v>1.1350524166945153E-2</v>
      </c>
      <c r="J189" s="122">
        <f t="shared" si="2"/>
        <v>-1.0940609513787614E-4</v>
      </c>
      <c r="K189"/>
      <c r="L189"/>
      <c r="M189"/>
      <c r="N189" s="54"/>
      <c r="O189" s="54"/>
      <c r="P189" s="54"/>
      <c r="Z189"/>
    </row>
    <row r="190" spans="1:26" s="15" customFormat="1" x14ac:dyDescent="0.3">
      <c r="A190" s="17"/>
      <c r="B190"/>
      <c r="C190"/>
      <c r="D190"/>
      <c r="E190"/>
      <c r="F190" s="121">
        <v>43713</v>
      </c>
      <c r="G190" s="53">
        <v>281.22076399999997</v>
      </c>
      <c r="H190" s="53">
        <v>89.464850999999996</v>
      </c>
      <c r="I190" s="122">
        <f t="shared" si="2"/>
        <v>1.2855343936802432E-2</v>
      </c>
      <c r="J190" s="122">
        <f t="shared" si="2"/>
        <v>1.0941806614117588E-4</v>
      </c>
      <c r="K190"/>
      <c r="L190"/>
      <c r="M190"/>
      <c r="N190" s="54"/>
      <c r="O190" s="54"/>
      <c r="P190" s="54"/>
      <c r="Z190"/>
    </row>
    <row r="191" spans="1:26" s="15" customFormat="1" x14ac:dyDescent="0.3">
      <c r="A191" s="17"/>
      <c r="B191"/>
      <c r="C191"/>
      <c r="D191"/>
      <c r="E191"/>
      <c r="F191" s="121">
        <v>43714</v>
      </c>
      <c r="G191" s="53">
        <v>281.43789700000002</v>
      </c>
      <c r="H191" s="53">
        <v>89.474632</v>
      </c>
      <c r="I191" s="122">
        <f t="shared" si="2"/>
        <v>7.7210870531607689E-4</v>
      </c>
      <c r="J191" s="122">
        <f t="shared" si="2"/>
        <v>1.0932785211936746E-4</v>
      </c>
      <c r="K191"/>
      <c r="L191"/>
      <c r="M191"/>
      <c r="N191" s="54"/>
      <c r="O191" s="54"/>
      <c r="P191" s="54"/>
      <c r="Z191"/>
    </row>
    <row r="192" spans="1:26" s="15" customFormat="1" x14ac:dyDescent="0.3">
      <c r="A192" s="17"/>
      <c r="B192"/>
      <c r="C192"/>
      <c r="D192"/>
      <c r="E192"/>
      <c r="F192" s="121">
        <v>43717</v>
      </c>
      <c r="G192" s="53">
        <v>281.579498</v>
      </c>
      <c r="H192" s="53">
        <v>89.474632</v>
      </c>
      <c r="I192" s="122">
        <f t="shared" si="2"/>
        <v>5.0313408929425485E-4</v>
      </c>
      <c r="J192" s="122">
        <f t="shared" si="2"/>
        <v>0</v>
      </c>
      <c r="K192"/>
      <c r="L192"/>
      <c r="M192"/>
      <c r="N192" s="54"/>
      <c r="O192" s="54"/>
      <c r="P192" s="54"/>
      <c r="Z192"/>
    </row>
    <row r="193" spans="1:26" s="15" customFormat="1" x14ac:dyDescent="0.3">
      <c r="A193" s="17"/>
      <c r="B193"/>
      <c r="C193"/>
      <c r="D193"/>
      <c r="E193"/>
      <c r="F193" s="121">
        <v>43718</v>
      </c>
      <c r="G193" s="53">
        <v>281.51348899999999</v>
      </c>
      <c r="H193" s="53">
        <v>89.494193999999993</v>
      </c>
      <c r="I193" s="122">
        <f t="shared" si="2"/>
        <v>-2.3442402756190805E-4</v>
      </c>
      <c r="J193" s="122">
        <f t="shared" si="2"/>
        <v>2.1863180169323648E-4</v>
      </c>
      <c r="K193"/>
      <c r="L193"/>
      <c r="M193"/>
      <c r="N193" s="54"/>
      <c r="O193" s="54"/>
      <c r="P193" s="54"/>
      <c r="Z193"/>
    </row>
    <row r="194" spans="1:26" s="15" customFormat="1" x14ac:dyDescent="0.3">
      <c r="A194" s="17"/>
      <c r="B194"/>
      <c r="C194"/>
      <c r="D194"/>
      <c r="E194"/>
      <c r="F194" s="121">
        <v>43719</v>
      </c>
      <c r="G194" s="53">
        <v>283.51535000000001</v>
      </c>
      <c r="H194" s="53">
        <v>89.484413000000004</v>
      </c>
      <c r="I194" s="122">
        <f t="shared" si="2"/>
        <v>7.1110659993987024E-3</v>
      </c>
      <c r="J194" s="122">
        <f t="shared" si="2"/>
        <v>-1.0929200613829515E-4</v>
      </c>
      <c r="K194"/>
      <c r="L194"/>
      <c r="M194"/>
      <c r="N194" s="54"/>
      <c r="O194" s="54"/>
      <c r="P194" s="54"/>
      <c r="Z194"/>
    </row>
    <row r="195" spans="1:26" s="15" customFormat="1" x14ac:dyDescent="0.3">
      <c r="A195" s="17"/>
      <c r="B195"/>
      <c r="C195"/>
      <c r="D195"/>
      <c r="E195"/>
      <c r="F195" s="121">
        <v>43720</v>
      </c>
      <c r="G195" s="53">
        <v>284.497345</v>
      </c>
      <c r="H195" s="53">
        <v>89.503951999999998</v>
      </c>
      <c r="I195" s="122">
        <f t="shared" si="2"/>
        <v>3.4636396230398603E-3</v>
      </c>
      <c r="J195" s="122">
        <f t="shared" si="2"/>
        <v>2.1835087636978834E-4</v>
      </c>
      <c r="K195"/>
      <c r="L195"/>
      <c r="M195"/>
      <c r="N195" s="54"/>
      <c r="O195" s="54"/>
      <c r="P195" s="54"/>
      <c r="Z195"/>
    </row>
    <row r="196" spans="1:26" s="15" customFormat="1" x14ac:dyDescent="0.3">
      <c r="A196" s="17"/>
      <c r="B196"/>
      <c r="C196"/>
      <c r="D196"/>
      <c r="E196"/>
      <c r="F196" s="121">
        <v>43721</v>
      </c>
      <c r="G196" s="53">
        <v>284.30850199999998</v>
      </c>
      <c r="H196" s="53">
        <v>89.503951999999998</v>
      </c>
      <c r="I196" s="122">
        <f t="shared" si="2"/>
        <v>-6.6377772347936403E-4</v>
      </c>
      <c r="J196" s="122">
        <f t="shared" si="2"/>
        <v>0</v>
      </c>
      <c r="K196"/>
      <c r="L196"/>
      <c r="M196"/>
      <c r="N196" s="54"/>
      <c r="O196" s="54"/>
      <c r="P196" s="54"/>
      <c r="Z196"/>
    </row>
    <row r="197" spans="1:26" s="15" customFormat="1" x14ac:dyDescent="0.3">
      <c r="A197" s="17"/>
      <c r="B197"/>
      <c r="C197"/>
      <c r="D197"/>
      <c r="E197"/>
      <c r="F197" s="121">
        <v>43724</v>
      </c>
      <c r="G197" s="53">
        <v>283.43032799999997</v>
      </c>
      <c r="H197" s="53">
        <v>89.503951999999998</v>
      </c>
      <c r="I197" s="122">
        <f t="shared" si="2"/>
        <v>-3.0888066794428903E-3</v>
      </c>
      <c r="J197" s="122">
        <f t="shared" si="2"/>
        <v>0</v>
      </c>
      <c r="K197"/>
      <c r="L197"/>
      <c r="M197"/>
      <c r="N197" s="54"/>
      <c r="O197" s="54"/>
      <c r="P197" s="54"/>
      <c r="Z197"/>
    </row>
    <row r="198" spans="1:26" s="15" customFormat="1" x14ac:dyDescent="0.3">
      <c r="A198" s="17"/>
      <c r="B198"/>
      <c r="C198"/>
      <c r="D198"/>
      <c r="E198"/>
      <c r="F198" s="121">
        <v>43725</v>
      </c>
      <c r="G198" s="53">
        <v>284.14798000000002</v>
      </c>
      <c r="H198" s="53">
        <v>89.513756000000001</v>
      </c>
      <c r="I198" s="122">
        <f t="shared" si="2"/>
        <v>2.5320226140375102E-3</v>
      </c>
      <c r="J198" s="122">
        <f t="shared" si="2"/>
        <v>1.0953706267624597E-4</v>
      </c>
      <c r="K198"/>
      <c r="L198"/>
      <c r="M198"/>
      <c r="N198" s="54"/>
      <c r="O198" s="54"/>
      <c r="P198" s="54"/>
      <c r="Z198"/>
    </row>
    <row r="199" spans="1:26" s="15" customFormat="1" x14ac:dyDescent="0.3">
      <c r="A199" s="17"/>
      <c r="B199"/>
      <c r="C199"/>
      <c r="D199"/>
      <c r="E199"/>
      <c r="F199" s="121">
        <v>43726</v>
      </c>
      <c r="G199" s="53">
        <v>284.317993</v>
      </c>
      <c r="H199" s="53">
        <v>89.53331</v>
      </c>
      <c r="I199" s="122">
        <f t="shared" si="2"/>
        <v>5.9832556261696368E-4</v>
      </c>
      <c r="J199" s="122">
        <f t="shared" si="2"/>
        <v>2.1844687200922586E-4</v>
      </c>
      <c r="K199"/>
      <c r="L199"/>
      <c r="M199"/>
      <c r="N199" s="54"/>
      <c r="O199" s="54"/>
      <c r="P199" s="54"/>
      <c r="Z199"/>
    </row>
    <row r="200" spans="1:26" s="15" customFormat="1" x14ac:dyDescent="0.3">
      <c r="A200" s="17"/>
      <c r="B200"/>
      <c r="C200"/>
      <c r="D200"/>
      <c r="E200"/>
      <c r="F200" s="121">
        <v>43727</v>
      </c>
      <c r="G200" s="53">
        <v>284.29904199999999</v>
      </c>
      <c r="H200" s="53">
        <v>89.53331</v>
      </c>
      <c r="I200" s="122">
        <f t="shared" si="2"/>
        <v>-6.665424090834815E-5</v>
      </c>
      <c r="J200" s="122">
        <f t="shared" si="2"/>
        <v>0</v>
      </c>
      <c r="K200"/>
      <c r="L200"/>
      <c r="M200"/>
      <c r="N200" s="54"/>
      <c r="O200" s="54"/>
      <c r="P200" s="54"/>
      <c r="Z200"/>
    </row>
    <row r="201" spans="1:26" s="15" customFormat="1" x14ac:dyDescent="0.3">
      <c r="A201" s="17"/>
      <c r="B201"/>
      <c r="C201"/>
      <c r="D201"/>
      <c r="E201"/>
      <c r="F201" s="121">
        <v>43728</v>
      </c>
      <c r="G201" s="53">
        <v>282.95584100000002</v>
      </c>
      <c r="H201" s="53">
        <v>89.543098000000001</v>
      </c>
      <c r="I201" s="122">
        <f t="shared" si="2"/>
        <v>-4.7246061420072039E-3</v>
      </c>
      <c r="J201" s="122">
        <f t="shared" si="2"/>
        <v>1.0932244099981503E-4</v>
      </c>
      <c r="K201"/>
      <c r="L201"/>
      <c r="M201"/>
      <c r="N201" s="54"/>
      <c r="O201" s="54"/>
      <c r="P201" s="54"/>
      <c r="Z201"/>
    </row>
    <row r="202" spans="1:26" s="15" customFormat="1" x14ac:dyDescent="0.3">
      <c r="A202" s="17"/>
      <c r="B202"/>
      <c r="C202"/>
      <c r="D202"/>
      <c r="E202"/>
      <c r="F202" s="121">
        <v>43731</v>
      </c>
      <c r="G202" s="53">
        <v>282.88937399999998</v>
      </c>
      <c r="H202" s="53">
        <v>89.562652999999997</v>
      </c>
      <c r="I202" s="122">
        <f t="shared" si="2"/>
        <v>-2.3490237828327487E-4</v>
      </c>
      <c r="J202" s="122">
        <f t="shared" si="2"/>
        <v>2.1838645788196942E-4</v>
      </c>
      <c r="K202"/>
      <c r="L202"/>
      <c r="M202"/>
      <c r="N202" s="54"/>
      <c r="O202" s="54"/>
      <c r="P202" s="54"/>
      <c r="Z202"/>
    </row>
    <row r="203" spans="1:26" s="15" customFormat="1" x14ac:dyDescent="0.3">
      <c r="A203" s="17"/>
      <c r="B203"/>
      <c r="C203"/>
      <c r="D203"/>
      <c r="E203"/>
      <c r="F203" s="121">
        <v>43732</v>
      </c>
      <c r="G203" s="53">
        <v>280.66961700000002</v>
      </c>
      <c r="H203" s="53">
        <v>89.562652999999997</v>
      </c>
      <c r="I203" s="122">
        <f t="shared" si="2"/>
        <v>-7.8467316343948657E-3</v>
      </c>
      <c r="J203" s="122">
        <f t="shared" si="2"/>
        <v>0</v>
      </c>
      <c r="K203"/>
      <c r="L203"/>
      <c r="M203"/>
      <c r="N203" s="54"/>
      <c r="O203" s="54"/>
      <c r="P203" s="54"/>
      <c r="Z203"/>
    </row>
    <row r="204" spans="1:26" s="15" customFormat="1" x14ac:dyDescent="0.3">
      <c r="A204" s="17"/>
      <c r="B204"/>
      <c r="C204"/>
      <c r="D204"/>
      <c r="E204"/>
      <c r="F204" s="121">
        <v>43733</v>
      </c>
      <c r="G204" s="53">
        <v>282.32974200000001</v>
      </c>
      <c r="H204" s="53">
        <v>89.562652999999997</v>
      </c>
      <c r="I204" s="122">
        <f t="shared" si="2"/>
        <v>5.914872502925661E-3</v>
      </c>
      <c r="J204" s="122">
        <f t="shared" si="2"/>
        <v>0</v>
      </c>
      <c r="K204"/>
      <c r="L204"/>
      <c r="M204"/>
      <c r="N204" s="54"/>
      <c r="O204" s="54"/>
      <c r="P204" s="54"/>
      <c r="Z204"/>
    </row>
    <row r="205" spans="1:26" s="15" customFormat="1" x14ac:dyDescent="0.3">
      <c r="A205" s="17"/>
      <c r="B205"/>
      <c r="C205"/>
      <c r="D205"/>
      <c r="E205"/>
      <c r="F205" s="121">
        <v>43734</v>
      </c>
      <c r="G205" s="53">
        <v>281.74154700000003</v>
      </c>
      <c r="H205" s="53">
        <v>89.582222000000002</v>
      </c>
      <c r="I205" s="122">
        <f t="shared" si="2"/>
        <v>-2.0833618018182287E-3</v>
      </c>
      <c r="J205" s="122">
        <f t="shared" si="2"/>
        <v>2.1849509080529295E-4</v>
      </c>
      <c r="K205"/>
      <c r="L205"/>
      <c r="M205"/>
      <c r="N205" s="54"/>
      <c r="O205" s="54"/>
      <c r="P205" s="54"/>
      <c r="Z205"/>
    </row>
    <row r="206" spans="1:26" s="15" customFormat="1" x14ac:dyDescent="0.3">
      <c r="A206" s="17"/>
      <c r="B206"/>
      <c r="C206"/>
      <c r="D206"/>
      <c r="E206"/>
      <c r="F206" s="121">
        <v>43735</v>
      </c>
      <c r="G206" s="53">
        <v>280.223724</v>
      </c>
      <c r="H206" s="53">
        <v>89.582222000000002</v>
      </c>
      <c r="I206" s="122">
        <f t="shared" si="2"/>
        <v>-5.3872885137526971E-3</v>
      </c>
      <c r="J206" s="122">
        <f t="shared" si="2"/>
        <v>0</v>
      </c>
      <c r="K206"/>
      <c r="L206"/>
      <c r="M206"/>
      <c r="N206" s="54"/>
      <c r="O206" s="54"/>
      <c r="P206" s="54"/>
      <c r="Z206"/>
    </row>
    <row r="207" spans="1:26" s="15" customFormat="1" x14ac:dyDescent="0.3">
      <c r="A207" s="17"/>
      <c r="B207"/>
      <c r="C207"/>
      <c r="D207"/>
      <c r="E207"/>
      <c r="F207" s="121">
        <v>43738</v>
      </c>
      <c r="G207" s="53">
        <v>281.52337599999998</v>
      </c>
      <c r="H207" s="53">
        <v>89.591994999999997</v>
      </c>
      <c r="I207" s="122">
        <f t="shared" si="2"/>
        <v>4.6379085305425782E-3</v>
      </c>
      <c r="J207" s="122">
        <f t="shared" si="2"/>
        <v>1.0909530687897018E-4</v>
      </c>
      <c r="K207"/>
      <c r="L207"/>
      <c r="M207"/>
      <c r="N207" s="54"/>
      <c r="O207" s="54"/>
      <c r="P207" s="54"/>
      <c r="Z207"/>
    </row>
    <row r="208" spans="1:26" s="15" customFormat="1" x14ac:dyDescent="0.3">
      <c r="A208" s="17"/>
      <c r="B208"/>
      <c r="C208"/>
      <c r="D208"/>
      <c r="E208"/>
      <c r="F208" s="121">
        <v>43739</v>
      </c>
      <c r="G208" s="53">
        <v>278.17474399999998</v>
      </c>
      <c r="H208" s="53">
        <v>89.58905</v>
      </c>
      <c r="I208" s="122">
        <f t="shared" si="2"/>
        <v>-1.1894685434576502E-2</v>
      </c>
      <c r="J208" s="122">
        <f t="shared" si="2"/>
        <v>-3.2871240337906116E-5</v>
      </c>
      <c r="K208"/>
      <c r="L208"/>
      <c r="M208"/>
      <c r="N208" s="54"/>
      <c r="O208" s="54"/>
      <c r="P208" s="54"/>
      <c r="Z208"/>
    </row>
    <row r="209" spans="1:26" s="15" customFormat="1" x14ac:dyDescent="0.3">
      <c r="A209" s="17"/>
      <c r="B209"/>
      <c r="C209"/>
      <c r="D209"/>
      <c r="E209"/>
      <c r="F209" s="121">
        <v>43740</v>
      </c>
      <c r="G209" s="53">
        <v>273.26086400000003</v>
      </c>
      <c r="H209" s="53">
        <v>89.58905</v>
      </c>
      <c r="I209" s="122">
        <f t="shared" si="2"/>
        <v>-1.7664723724882592E-2</v>
      </c>
      <c r="J209" s="122">
        <f t="shared" si="2"/>
        <v>0</v>
      </c>
      <c r="K209"/>
      <c r="L209"/>
      <c r="M209"/>
      <c r="N209" s="54"/>
      <c r="O209" s="54"/>
      <c r="P209" s="54"/>
      <c r="Z209"/>
    </row>
    <row r="210" spans="1:26" s="15" customFormat="1" x14ac:dyDescent="0.3">
      <c r="A210" s="17"/>
      <c r="B210"/>
      <c r="C210"/>
      <c r="D210"/>
      <c r="E210"/>
      <c r="F210" s="121">
        <v>43741</v>
      </c>
      <c r="G210" s="53">
        <v>275.49960299999998</v>
      </c>
      <c r="H210" s="53">
        <v>89.618454</v>
      </c>
      <c r="I210" s="122">
        <f t="shared" si="2"/>
        <v>8.19268067600043E-3</v>
      </c>
      <c r="J210" s="122">
        <f t="shared" si="2"/>
        <v>3.2820975331238067E-4</v>
      </c>
      <c r="K210"/>
      <c r="L210"/>
      <c r="M210"/>
      <c r="N210" s="54"/>
      <c r="O210" s="54"/>
      <c r="P210" s="54"/>
      <c r="Z210"/>
    </row>
    <row r="211" spans="1:26" s="15" customFormat="1" x14ac:dyDescent="0.3">
      <c r="A211" s="17"/>
      <c r="B211"/>
      <c r="C211"/>
      <c r="D211"/>
      <c r="E211"/>
      <c r="F211" s="121">
        <v>43742</v>
      </c>
      <c r="G211" s="53">
        <v>279.22778299999999</v>
      </c>
      <c r="H211" s="53">
        <v>89.618454</v>
      </c>
      <c r="I211" s="122">
        <f t="shared" si="2"/>
        <v>1.3532433293560908E-2</v>
      </c>
      <c r="J211" s="122">
        <f t="shared" si="2"/>
        <v>0</v>
      </c>
      <c r="K211"/>
      <c r="L211"/>
      <c r="M211"/>
      <c r="N211" s="54"/>
      <c r="O211" s="54"/>
      <c r="P211" s="54"/>
      <c r="Z211"/>
    </row>
    <row r="212" spans="1:26" s="15" customFormat="1" x14ac:dyDescent="0.3">
      <c r="A212" s="17"/>
      <c r="B212"/>
      <c r="C212"/>
      <c r="D212"/>
      <c r="E212"/>
      <c r="F212" s="121">
        <v>43745</v>
      </c>
      <c r="G212" s="53">
        <v>278.022919</v>
      </c>
      <c r="H212" s="53">
        <v>89.628264999999999</v>
      </c>
      <c r="I212" s="122">
        <f t="shared" si="2"/>
        <v>-4.3149860914807325E-3</v>
      </c>
      <c r="J212" s="122">
        <f t="shared" si="2"/>
        <v>1.094752203603111E-4</v>
      </c>
      <c r="K212"/>
      <c r="L212"/>
      <c r="M212"/>
      <c r="N212" s="54"/>
      <c r="O212" s="54"/>
      <c r="P212" s="54"/>
      <c r="Z212"/>
    </row>
    <row r="213" spans="1:26" s="15" customFormat="1" x14ac:dyDescent="0.3">
      <c r="A213" s="17"/>
      <c r="B213"/>
      <c r="C213"/>
      <c r="D213"/>
      <c r="E213"/>
      <c r="F213" s="121">
        <v>43746</v>
      </c>
      <c r="G213" s="53">
        <v>273.706726</v>
      </c>
      <c r="H213" s="53">
        <v>89.628264999999999</v>
      </c>
      <c r="I213" s="122">
        <f t="shared" ref="I213:J276" si="3">G213/G212-1</f>
        <v>-1.5524594215198473E-2</v>
      </c>
      <c r="J213" s="122">
        <f t="shared" si="3"/>
        <v>0</v>
      </c>
      <c r="K213"/>
      <c r="L213"/>
      <c r="M213"/>
      <c r="N213" s="54"/>
      <c r="O213" s="54"/>
      <c r="P213" s="54"/>
      <c r="Z213"/>
    </row>
    <row r="214" spans="1:26" s="15" customFormat="1" x14ac:dyDescent="0.3">
      <c r="A214" s="17"/>
      <c r="B214"/>
      <c r="C214"/>
      <c r="D214"/>
      <c r="E214"/>
      <c r="F214" s="121">
        <v>43747</v>
      </c>
      <c r="G214" s="53">
        <v>276.30590799999999</v>
      </c>
      <c r="H214" s="53">
        <v>89.628264999999999</v>
      </c>
      <c r="I214" s="122">
        <f t="shared" si="3"/>
        <v>9.4962299172727249E-3</v>
      </c>
      <c r="J214" s="122">
        <f t="shared" si="3"/>
        <v>0</v>
      </c>
      <c r="K214"/>
      <c r="L214"/>
      <c r="M214"/>
      <c r="N214" s="54"/>
      <c r="O214" s="54"/>
      <c r="P214" s="54"/>
      <c r="Z214"/>
    </row>
    <row r="215" spans="1:26" s="15" customFormat="1" x14ac:dyDescent="0.3">
      <c r="A215" s="17"/>
      <c r="B215"/>
      <c r="C215"/>
      <c r="D215"/>
      <c r="E215"/>
      <c r="F215" s="121">
        <v>43748</v>
      </c>
      <c r="G215" s="53">
        <v>278.17474399999998</v>
      </c>
      <c r="H215" s="53">
        <v>89.647841999999997</v>
      </c>
      <c r="I215" s="122">
        <f t="shared" si="3"/>
        <v>6.7636483545621129E-3</v>
      </c>
      <c r="J215" s="122">
        <f t="shared" si="3"/>
        <v>2.1842439993680074E-4</v>
      </c>
      <c r="K215"/>
      <c r="L215"/>
      <c r="M215"/>
      <c r="N215" s="54"/>
      <c r="O215" s="54"/>
      <c r="P215" s="54"/>
      <c r="Z215"/>
    </row>
    <row r="216" spans="1:26" s="15" customFormat="1" x14ac:dyDescent="0.3">
      <c r="A216" s="17"/>
      <c r="B216"/>
      <c r="C216"/>
      <c r="D216"/>
      <c r="E216"/>
      <c r="F216" s="121">
        <v>43749</v>
      </c>
      <c r="G216" s="53">
        <v>281.05856299999999</v>
      </c>
      <c r="H216" s="53">
        <v>89.657639000000003</v>
      </c>
      <c r="I216" s="122">
        <f t="shared" si="3"/>
        <v>1.0366933239633003E-2</v>
      </c>
      <c r="J216" s="122">
        <f t="shared" si="3"/>
        <v>1.0928316601321875E-4</v>
      </c>
      <c r="K216"/>
      <c r="L216"/>
      <c r="M216"/>
      <c r="N216" s="54"/>
      <c r="O216" s="54"/>
      <c r="P216" s="54"/>
      <c r="Z216"/>
    </row>
    <row r="217" spans="1:26" s="15" customFormat="1" x14ac:dyDescent="0.3">
      <c r="A217" s="17"/>
      <c r="B217"/>
      <c r="C217"/>
      <c r="D217"/>
      <c r="E217"/>
      <c r="F217" s="121">
        <v>43752</v>
      </c>
      <c r="G217" s="53">
        <v>280.745544</v>
      </c>
      <c r="H217" s="53">
        <v>89.647841999999997</v>
      </c>
      <c r="I217" s="122">
        <f t="shared" si="3"/>
        <v>-1.1137145108082169E-3</v>
      </c>
      <c r="J217" s="122">
        <f t="shared" si="3"/>
        <v>-1.0927122450776761E-4</v>
      </c>
      <c r="K217"/>
      <c r="L217"/>
      <c r="M217"/>
      <c r="N217" s="54"/>
      <c r="O217" s="54"/>
      <c r="P217" s="54"/>
      <c r="Z217"/>
    </row>
    <row r="218" spans="1:26" s="15" customFormat="1" x14ac:dyDescent="0.3">
      <c r="A218" s="17"/>
      <c r="B218"/>
      <c r="C218"/>
      <c r="D218"/>
      <c r="E218"/>
      <c r="F218" s="121">
        <v>43753</v>
      </c>
      <c r="G218" s="53">
        <v>283.52499399999999</v>
      </c>
      <c r="H218" s="53">
        <v>89.657639000000003</v>
      </c>
      <c r="I218" s="122">
        <f t="shared" si="3"/>
        <v>9.9002461816455334E-3</v>
      </c>
      <c r="J218" s="122">
        <f t="shared" si="3"/>
        <v>1.0928316601321875E-4</v>
      </c>
      <c r="K218"/>
      <c r="L218"/>
      <c r="M218"/>
      <c r="N218" s="54"/>
      <c r="O218" s="54"/>
      <c r="P218" s="54"/>
      <c r="Z218"/>
    </row>
    <row r="219" spans="1:26" s="15" customFormat="1" x14ac:dyDescent="0.3">
      <c r="A219" s="17"/>
      <c r="B219"/>
      <c r="C219"/>
      <c r="D219"/>
      <c r="E219"/>
      <c r="F219" s="121">
        <v>43754</v>
      </c>
      <c r="G219" s="53">
        <v>283.06964099999999</v>
      </c>
      <c r="H219" s="53">
        <v>89.667434999999998</v>
      </c>
      <c r="I219" s="122">
        <f t="shared" si="3"/>
        <v>-1.6060418292435097E-3</v>
      </c>
      <c r="J219" s="122">
        <f t="shared" si="3"/>
        <v>1.0926007096845325E-4</v>
      </c>
      <c r="K219"/>
      <c r="L219"/>
      <c r="M219"/>
      <c r="N219" s="54"/>
      <c r="O219" s="54"/>
      <c r="P219" s="54"/>
      <c r="Z219"/>
    </row>
    <row r="220" spans="1:26" s="15" customFormat="1" x14ac:dyDescent="0.3">
      <c r="A220" s="17"/>
      <c r="B220"/>
      <c r="C220"/>
      <c r="D220"/>
      <c r="E220"/>
      <c r="F220" s="121">
        <v>43755</v>
      </c>
      <c r="G220" s="53">
        <v>283.904449</v>
      </c>
      <c r="H220" s="53">
        <v>89.677238000000003</v>
      </c>
      <c r="I220" s="122">
        <f t="shared" si="3"/>
        <v>2.9491258654614771E-3</v>
      </c>
      <c r="J220" s="122">
        <f t="shared" si="3"/>
        <v>1.0932620075521093E-4</v>
      </c>
      <c r="K220"/>
      <c r="L220"/>
      <c r="M220"/>
      <c r="N220" s="54"/>
      <c r="O220" s="54"/>
      <c r="P220" s="54"/>
      <c r="Z220"/>
    </row>
    <row r="221" spans="1:26" s="15" customFormat="1" x14ac:dyDescent="0.3">
      <c r="A221" s="17"/>
      <c r="B221"/>
      <c r="C221"/>
      <c r="D221"/>
      <c r="E221"/>
      <c r="F221" s="121">
        <v>43756</v>
      </c>
      <c r="G221" s="53">
        <v>282.66171300000002</v>
      </c>
      <c r="H221" s="53">
        <v>89.677238000000003</v>
      </c>
      <c r="I221" s="122">
        <f t="shared" si="3"/>
        <v>-4.377303717420733E-3</v>
      </c>
      <c r="J221" s="122">
        <f t="shared" si="3"/>
        <v>0</v>
      </c>
      <c r="K221"/>
      <c r="L221"/>
      <c r="M221"/>
      <c r="N221" s="54"/>
      <c r="O221" s="54"/>
      <c r="P221" s="54"/>
      <c r="Z221"/>
    </row>
    <row r="222" spans="1:26" s="15" customFormat="1" x14ac:dyDescent="0.3">
      <c r="A222" s="17"/>
      <c r="B222"/>
      <c r="C222"/>
      <c r="D222"/>
      <c r="E222"/>
      <c r="F222" s="121">
        <v>43759</v>
      </c>
      <c r="G222" s="53">
        <v>284.57794200000001</v>
      </c>
      <c r="H222" s="53">
        <v>89.687034999999995</v>
      </c>
      <c r="I222" s="122">
        <f t="shared" si="3"/>
        <v>6.7792308327232487E-3</v>
      </c>
      <c r="J222" s="122">
        <f t="shared" si="3"/>
        <v>1.0924734323314311E-4</v>
      </c>
      <c r="K222"/>
      <c r="L222"/>
      <c r="M222"/>
      <c r="N222" s="54"/>
      <c r="O222" s="54"/>
      <c r="P222" s="54"/>
      <c r="Z222"/>
    </row>
    <row r="223" spans="1:26" s="15" customFormat="1" x14ac:dyDescent="0.3">
      <c r="A223" s="17"/>
      <c r="B223"/>
      <c r="C223"/>
      <c r="D223"/>
      <c r="E223"/>
      <c r="F223" s="121">
        <v>43760</v>
      </c>
      <c r="G223" s="53">
        <v>283.64828499999999</v>
      </c>
      <c r="H223" s="53">
        <v>89.687034999999995</v>
      </c>
      <c r="I223" s="122">
        <f t="shared" si="3"/>
        <v>-3.2667921957212354E-3</v>
      </c>
      <c r="J223" s="122">
        <f t="shared" si="3"/>
        <v>0</v>
      </c>
      <c r="K223"/>
      <c r="L223"/>
      <c r="M223"/>
      <c r="N223" s="54"/>
      <c r="O223" s="54"/>
      <c r="P223" s="54"/>
      <c r="Z223"/>
    </row>
    <row r="224" spans="1:26" s="15" customFormat="1" x14ac:dyDescent="0.3">
      <c r="A224" s="17"/>
      <c r="B224"/>
      <c r="C224"/>
      <c r="D224"/>
      <c r="E224"/>
      <c r="F224" s="121">
        <v>43761</v>
      </c>
      <c r="G224" s="53">
        <v>284.47366299999999</v>
      </c>
      <c r="H224" s="53">
        <v>89.687034999999995</v>
      </c>
      <c r="I224" s="122">
        <f t="shared" si="3"/>
        <v>2.9098642355620541E-3</v>
      </c>
      <c r="J224" s="122">
        <f t="shared" si="3"/>
        <v>0</v>
      </c>
      <c r="K224"/>
      <c r="L224"/>
      <c r="M224"/>
      <c r="N224" s="54"/>
      <c r="O224" s="54"/>
      <c r="P224" s="54"/>
      <c r="Z224"/>
    </row>
    <row r="225" spans="1:26" s="15" customFormat="1" x14ac:dyDescent="0.3">
      <c r="A225" s="17"/>
      <c r="B225"/>
      <c r="C225"/>
      <c r="D225"/>
      <c r="E225"/>
      <c r="F225" s="121">
        <v>43762</v>
      </c>
      <c r="G225" s="53">
        <v>284.938446</v>
      </c>
      <c r="H225" s="53">
        <v>89.706619000000003</v>
      </c>
      <c r="I225" s="122">
        <f t="shared" si="3"/>
        <v>1.6338349044284772E-3</v>
      </c>
      <c r="J225" s="122">
        <f t="shared" si="3"/>
        <v>2.1835932027425287E-4</v>
      </c>
      <c r="K225"/>
      <c r="L225"/>
      <c r="M225"/>
      <c r="N225" s="54"/>
      <c r="O225" s="54"/>
      <c r="P225" s="54"/>
      <c r="Z225"/>
    </row>
    <row r="226" spans="1:26" s="15" customFormat="1" x14ac:dyDescent="0.3">
      <c r="A226" s="17"/>
      <c r="B226"/>
      <c r="C226"/>
      <c r="D226"/>
      <c r="E226"/>
      <c r="F226" s="121">
        <v>43763</v>
      </c>
      <c r="G226" s="53">
        <v>286.10519399999998</v>
      </c>
      <c r="H226" s="53">
        <v>89.706619000000003</v>
      </c>
      <c r="I226" s="122">
        <f t="shared" si="3"/>
        <v>4.0947370085677726E-3</v>
      </c>
      <c r="J226" s="122">
        <f t="shared" si="3"/>
        <v>0</v>
      </c>
      <c r="K226"/>
      <c r="L226"/>
      <c r="M226"/>
      <c r="N226" s="54"/>
      <c r="O226" s="54"/>
      <c r="P226" s="54"/>
      <c r="Z226"/>
    </row>
    <row r="227" spans="1:26" s="15" customFormat="1" x14ac:dyDescent="0.3">
      <c r="A227" s="17"/>
      <c r="B227"/>
      <c r="C227"/>
      <c r="D227"/>
      <c r="E227"/>
      <c r="F227" s="121">
        <v>43766</v>
      </c>
      <c r="G227" s="53">
        <v>287.71792599999998</v>
      </c>
      <c r="H227" s="53">
        <v>89.696815000000001</v>
      </c>
      <c r="I227" s="122">
        <f t="shared" si="3"/>
        <v>5.6368497805041606E-3</v>
      </c>
      <c r="J227" s="122">
        <f t="shared" si="3"/>
        <v>-1.0928959433864627E-4</v>
      </c>
      <c r="K227"/>
      <c r="L227"/>
      <c r="M227"/>
      <c r="N227" s="54"/>
      <c r="O227" s="54"/>
      <c r="P227" s="54"/>
      <c r="Z227"/>
    </row>
    <row r="228" spans="1:26" s="15" customFormat="1" x14ac:dyDescent="0.3">
      <c r="A228" s="17"/>
      <c r="B228"/>
      <c r="C228"/>
      <c r="D228"/>
      <c r="E228"/>
      <c r="F228" s="121">
        <v>43767</v>
      </c>
      <c r="G228" s="53">
        <v>287.63247699999999</v>
      </c>
      <c r="H228" s="53">
        <v>89.716431</v>
      </c>
      <c r="I228" s="122">
        <f t="shared" si="3"/>
        <v>-2.9698879450412718E-4</v>
      </c>
      <c r="J228" s="122">
        <f t="shared" si="3"/>
        <v>2.1869226906212624E-4</v>
      </c>
      <c r="K228"/>
      <c r="L228"/>
      <c r="M228"/>
      <c r="N228" s="54"/>
      <c r="O228" s="54"/>
      <c r="P228" s="54"/>
      <c r="Z228"/>
    </row>
    <row r="229" spans="1:26" s="15" customFormat="1" x14ac:dyDescent="0.3">
      <c r="A229" s="17"/>
      <c r="B229"/>
      <c r="C229"/>
      <c r="D229"/>
      <c r="E229"/>
      <c r="F229" s="121">
        <v>43768</v>
      </c>
      <c r="G229" s="53">
        <v>288.514771</v>
      </c>
      <c r="H229" s="53">
        <v>89.726212000000004</v>
      </c>
      <c r="I229" s="122">
        <f t="shared" si="3"/>
        <v>3.0674352534953986E-3</v>
      </c>
      <c r="J229" s="122">
        <f t="shared" si="3"/>
        <v>1.090212783876332E-4</v>
      </c>
      <c r="K229"/>
      <c r="L229"/>
      <c r="M229"/>
      <c r="N229" s="54"/>
      <c r="O229" s="54"/>
      <c r="P229" s="54"/>
      <c r="Z229"/>
    </row>
    <row r="230" spans="1:26" s="15" customFormat="1" x14ac:dyDescent="0.3">
      <c r="A230" s="17"/>
      <c r="B230"/>
      <c r="C230"/>
      <c r="D230"/>
      <c r="E230"/>
      <c r="F230" s="121">
        <v>43769</v>
      </c>
      <c r="G230" s="53">
        <v>287.74636800000002</v>
      </c>
      <c r="H230" s="53">
        <v>89.736007999999998</v>
      </c>
      <c r="I230" s="122">
        <f t="shared" si="3"/>
        <v>-2.6633055816749351E-3</v>
      </c>
      <c r="J230" s="122">
        <f t="shared" si="3"/>
        <v>1.0917656927267316E-4</v>
      </c>
      <c r="K230"/>
      <c r="L230"/>
      <c r="M230"/>
      <c r="N230" s="54"/>
      <c r="O230" s="54"/>
      <c r="P230" s="54"/>
      <c r="Z230"/>
    </row>
    <row r="231" spans="1:26" s="15" customFormat="1" x14ac:dyDescent="0.3">
      <c r="A231" s="17"/>
      <c r="B231"/>
      <c r="C231"/>
      <c r="D231"/>
      <c r="E231"/>
      <c r="F231" s="121">
        <v>43770</v>
      </c>
      <c r="G231" s="53">
        <v>290.41195699999997</v>
      </c>
      <c r="H231" s="53">
        <v>89.735039</v>
      </c>
      <c r="I231" s="122">
        <f t="shared" si="3"/>
        <v>9.2636755713975116E-3</v>
      </c>
      <c r="J231" s="122">
        <f t="shared" si="3"/>
        <v>-1.0798340839945908E-5</v>
      </c>
      <c r="K231"/>
      <c r="L231"/>
      <c r="M231"/>
      <c r="N231" s="54"/>
      <c r="O231" s="54"/>
      <c r="P231" s="54"/>
      <c r="Z231"/>
    </row>
    <row r="232" spans="1:26" s="15" customFormat="1" x14ac:dyDescent="0.3">
      <c r="A232" s="17"/>
      <c r="B232"/>
      <c r="C232"/>
      <c r="D232"/>
      <c r="E232"/>
      <c r="F232" s="121">
        <v>43773</v>
      </c>
      <c r="G232" s="53">
        <v>291.57879600000001</v>
      </c>
      <c r="H232" s="53">
        <v>89.74485</v>
      </c>
      <c r="I232" s="122">
        <f t="shared" si="3"/>
        <v>4.017875200641452E-3</v>
      </c>
      <c r="J232" s="122">
        <f t="shared" si="3"/>
        <v>1.0933298864457264E-4</v>
      </c>
      <c r="K232"/>
      <c r="L232"/>
      <c r="M232"/>
      <c r="N232" s="54"/>
      <c r="O232" s="54"/>
      <c r="P232" s="54"/>
      <c r="Z232"/>
    </row>
    <row r="233" spans="1:26" s="15" customFormat="1" x14ac:dyDescent="0.3">
      <c r="A233" s="17"/>
      <c r="B233"/>
      <c r="C233"/>
      <c r="D233"/>
      <c r="E233"/>
      <c r="F233" s="121">
        <v>43774</v>
      </c>
      <c r="G233" s="53">
        <v>291.25622600000003</v>
      </c>
      <c r="H233" s="53">
        <v>89.735039</v>
      </c>
      <c r="I233" s="122">
        <f t="shared" si="3"/>
        <v>-1.1062875779210835E-3</v>
      </c>
      <c r="J233" s="122">
        <f t="shared" si="3"/>
        <v>-1.0932103624883283E-4</v>
      </c>
      <c r="K233"/>
      <c r="L233"/>
      <c r="M233"/>
      <c r="N233" s="54"/>
      <c r="O233" s="54"/>
      <c r="P233" s="54"/>
      <c r="Z233"/>
    </row>
    <row r="234" spans="1:26" s="15" customFormat="1" x14ac:dyDescent="0.3">
      <c r="A234" s="17"/>
      <c r="B234"/>
      <c r="C234"/>
      <c r="D234"/>
      <c r="E234"/>
      <c r="F234" s="121">
        <v>43775</v>
      </c>
      <c r="G234" s="53">
        <v>291.322632</v>
      </c>
      <c r="H234" s="53">
        <v>89.74485</v>
      </c>
      <c r="I234" s="122">
        <f t="shared" si="3"/>
        <v>2.2799855959121373E-4</v>
      </c>
      <c r="J234" s="122">
        <f t="shared" si="3"/>
        <v>1.0933298864457264E-4</v>
      </c>
      <c r="K234"/>
      <c r="L234"/>
      <c r="M234"/>
      <c r="N234" s="54"/>
      <c r="O234" s="54"/>
      <c r="P234" s="54"/>
      <c r="Z234"/>
    </row>
    <row r="235" spans="1:26" s="15" customFormat="1" x14ac:dyDescent="0.3">
      <c r="A235" s="17"/>
      <c r="B235"/>
      <c r="C235"/>
      <c r="D235"/>
      <c r="E235"/>
      <c r="F235" s="121">
        <v>43776</v>
      </c>
      <c r="G235" s="53">
        <v>292.34716800000001</v>
      </c>
      <c r="H235" s="53">
        <v>89.764472999999995</v>
      </c>
      <c r="I235" s="122">
        <f t="shared" si="3"/>
        <v>3.5168431404257738E-3</v>
      </c>
      <c r="J235" s="122">
        <f t="shared" si="3"/>
        <v>2.1865321519842773E-4</v>
      </c>
      <c r="K235"/>
      <c r="L235"/>
      <c r="M235"/>
      <c r="N235" s="54"/>
      <c r="O235" s="54"/>
      <c r="P235" s="54"/>
      <c r="Z235"/>
    </row>
    <row r="236" spans="1:26" s="15" customFormat="1" x14ac:dyDescent="0.3">
      <c r="A236" s="17"/>
      <c r="B236"/>
      <c r="C236"/>
      <c r="D236"/>
      <c r="E236"/>
      <c r="F236" s="121">
        <v>43777</v>
      </c>
      <c r="G236" s="53">
        <v>293.06811499999998</v>
      </c>
      <c r="H236" s="53">
        <v>89.764472999999995</v>
      </c>
      <c r="I236" s="122">
        <f t="shared" si="3"/>
        <v>2.4660645934493353E-3</v>
      </c>
      <c r="J236" s="122">
        <f t="shared" si="3"/>
        <v>0</v>
      </c>
      <c r="K236"/>
      <c r="L236"/>
      <c r="M236"/>
      <c r="N236" s="54"/>
      <c r="O236" s="54"/>
      <c r="P236" s="54"/>
      <c r="Z236"/>
    </row>
    <row r="237" spans="1:26" s="15" customFormat="1" x14ac:dyDescent="0.3">
      <c r="A237" s="17"/>
      <c r="B237"/>
      <c r="C237"/>
      <c r="D237"/>
      <c r="E237"/>
      <c r="F237" s="121">
        <v>43780</v>
      </c>
      <c r="G237" s="53">
        <v>292.50845299999997</v>
      </c>
      <c r="H237" s="53">
        <v>89.764472999999995</v>
      </c>
      <c r="I237" s="122">
        <f t="shared" si="3"/>
        <v>-1.9096652667247582E-3</v>
      </c>
      <c r="J237" s="122">
        <f t="shared" si="3"/>
        <v>0</v>
      </c>
      <c r="K237"/>
      <c r="L237"/>
      <c r="M237"/>
      <c r="N237" s="54"/>
      <c r="O237" s="54"/>
      <c r="P237" s="54"/>
      <c r="Z237"/>
    </row>
    <row r="238" spans="1:26" s="15" customFormat="1" x14ac:dyDescent="0.3">
      <c r="A238" s="17"/>
      <c r="B238"/>
      <c r="C238"/>
      <c r="D238"/>
      <c r="E238"/>
      <c r="F238" s="121">
        <v>43781</v>
      </c>
      <c r="G238" s="53">
        <v>293.12506100000002</v>
      </c>
      <c r="H238" s="53">
        <v>89.774269000000004</v>
      </c>
      <c r="I238" s="122">
        <f t="shared" si="3"/>
        <v>2.1080006190454803E-3</v>
      </c>
      <c r="J238" s="122">
        <f t="shared" si="3"/>
        <v>1.0913003410606414E-4</v>
      </c>
      <c r="K238"/>
      <c r="L238"/>
      <c r="M238"/>
      <c r="N238" s="54"/>
      <c r="O238" s="54"/>
      <c r="P238" s="54"/>
      <c r="Z238"/>
    </row>
    <row r="239" spans="1:26" s="15" customFormat="1" x14ac:dyDescent="0.3">
      <c r="A239" s="17"/>
      <c r="B239"/>
      <c r="C239"/>
      <c r="D239"/>
      <c r="E239"/>
      <c r="F239" s="121">
        <v>43782</v>
      </c>
      <c r="G239" s="53">
        <v>293.21994000000001</v>
      </c>
      <c r="H239" s="53">
        <v>89.774269000000004</v>
      </c>
      <c r="I239" s="122">
        <f t="shared" si="3"/>
        <v>3.236809560953624E-4</v>
      </c>
      <c r="J239" s="122">
        <f t="shared" si="3"/>
        <v>0</v>
      </c>
      <c r="K239"/>
      <c r="L239"/>
      <c r="M239"/>
      <c r="N239" s="54"/>
      <c r="O239" s="54"/>
      <c r="P239" s="54"/>
      <c r="Z239"/>
    </row>
    <row r="240" spans="1:26" s="15" customFormat="1" x14ac:dyDescent="0.3">
      <c r="A240" s="17"/>
      <c r="B240"/>
      <c r="C240"/>
      <c r="D240"/>
      <c r="E240"/>
      <c r="F240" s="121">
        <v>43783</v>
      </c>
      <c r="G240" s="53">
        <v>293.64681999999999</v>
      </c>
      <c r="H240" s="53">
        <v>89.784087999999997</v>
      </c>
      <c r="I240" s="122">
        <f t="shared" si="3"/>
        <v>1.4558355069576034E-3</v>
      </c>
      <c r="J240" s="122">
        <f t="shared" si="3"/>
        <v>1.0937432417290616E-4</v>
      </c>
      <c r="K240"/>
      <c r="L240"/>
      <c r="M240"/>
      <c r="N240" s="54"/>
      <c r="O240" s="54"/>
      <c r="P240" s="54"/>
      <c r="Z240"/>
    </row>
    <row r="241" spans="1:26" s="15" customFormat="1" x14ac:dyDescent="0.3">
      <c r="A241" s="17"/>
      <c r="B241"/>
      <c r="C241"/>
      <c r="D241"/>
      <c r="E241"/>
      <c r="F241" s="121">
        <v>43784</v>
      </c>
      <c r="G241" s="53">
        <v>295.77172899999999</v>
      </c>
      <c r="H241" s="53">
        <v>89.774269000000004</v>
      </c>
      <c r="I241" s="122">
        <f t="shared" si="3"/>
        <v>7.236274515079133E-3</v>
      </c>
      <c r="J241" s="122">
        <f t="shared" si="3"/>
        <v>-1.0936236273839661E-4</v>
      </c>
      <c r="K241"/>
      <c r="L241"/>
      <c r="M241"/>
      <c r="N241" s="54"/>
      <c r="O241" s="54"/>
      <c r="P241" s="54"/>
      <c r="Z241"/>
    </row>
    <row r="242" spans="1:26" s="15" customFormat="1" x14ac:dyDescent="0.3">
      <c r="A242" s="17"/>
      <c r="B242"/>
      <c r="C242"/>
      <c r="D242"/>
      <c r="E242"/>
      <c r="F242" s="121">
        <v>43787</v>
      </c>
      <c r="G242" s="53">
        <v>295.989868</v>
      </c>
      <c r="H242" s="53">
        <v>89.793869000000001</v>
      </c>
      <c r="I242" s="122">
        <f t="shared" si="3"/>
        <v>7.3752484978029109E-4</v>
      </c>
      <c r="J242" s="122">
        <f t="shared" si="3"/>
        <v>2.1832536447607964E-4</v>
      </c>
      <c r="K242"/>
      <c r="L242"/>
      <c r="M242"/>
      <c r="N242" s="54"/>
      <c r="O242" s="54"/>
      <c r="P242" s="54"/>
      <c r="Z242"/>
    </row>
    <row r="243" spans="1:26" s="15" customFormat="1" x14ac:dyDescent="0.3">
      <c r="A243" s="17"/>
      <c r="B243"/>
      <c r="C243"/>
      <c r="D243"/>
      <c r="E243"/>
      <c r="F243" s="121">
        <v>43788</v>
      </c>
      <c r="G243" s="53">
        <v>295.90447999999998</v>
      </c>
      <c r="H243" s="53">
        <v>89.784087999999997</v>
      </c>
      <c r="I243" s="122">
        <f t="shared" si="3"/>
        <v>-2.8848284766291865E-4</v>
      </c>
      <c r="J243" s="122">
        <f t="shared" si="3"/>
        <v>-1.0892725871969322E-4</v>
      </c>
      <c r="K243"/>
      <c r="L243"/>
      <c r="M243"/>
      <c r="N243" s="54"/>
      <c r="O243" s="54"/>
      <c r="P243" s="54"/>
      <c r="Z243"/>
    </row>
    <row r="244" spans="1:26" s="15" customFormat="1" x14ac:dyDescent="0.3">
      <c r="A244" s="17"/>
      <c r="B244"/>
      <c r="C244"/>
      <c r="D244"/>
      <c r="E244"/>
      <c r="F244" s="121">
        <v>43789</v>
      </c>
      <c r="G244" s="53">
        <v>294.80413800000002</v>
      </c>
      <c r="H244" s="53">
        <v>89.793869000000001</v>
      </c>
      <c r="I244" s="122">
        <f t="shared" si="3"/>
        <v>-3.7185716147317693E-3</v>
      </c>
      <c r="J244" s="122">
        <f t="shared" si="3"/>
        <v>1.0893912515985704E-4</v>
      </c>
      <c r="K244"/>
      <c r="L244"/>
      <c r="M244"/>
      <c r="N244" s="54"/>
      <c r="O244" s="54"/>
      <c r="P244" s="54"/>
      <c r="Z244"/>
    </row>
    <row r="245" spans="1:26" s="15" customFormat="1" x14ac:dyDescent="0.3">
      <c r="A245" s="17"/>
      <c r="B245"/>
      <c r="C245"/>
      <c r="D245"/>
      <c r="E245"/>
      <c r="F245" s="121">
        <v>43790</v>
      </c>
      <c r="G245" s="53">
        <v>294.32986499999998</v>
      </c>
      <c r="H245" s="53">
        <v>89.793869000000001</v>
      </c>
      <c r="I245" s="122">
        <f t="shared" si="3"/>
        <v>-1.6087732119962617E-3</v>
      </c>
      <c r="J245" s="122">
        <f t="shared" si="3"/>
        <v>0</v>
      </c>
      <c r="K245"/>
      <c r="L245"/>
      <c r="M245"/>
      <c r="N245" s="54"/>
      <c r="O245" s="54"/>
      <c r="P245" s="54"/>
      <c r="Z245"/>
    </row>
    <row r="246" spans="1:26" s="15" customFormat="1" x14ac:dyDescent="0.3">
      <c r="A246" s="17"/>
      <c r="B246"/>
      <c r="C246"/>
      <c r="D246"/>
      <c r="E246"/>
      <c r="F246" s="121">
        <v>43791</v>
      </c>
      <c r="G246" s="53">
        <v>294.984375</v>
      </c>
      <c r="H246" s="53">
        <v>89.803711000000007</v>
      </c>
      <c r="I246" s="122">
        <f t="shared" si="3"/>
        <v>2.2237294880016467E-3</v>
      </c>
      <c r="J246" s="122">
        <f t="shared" si="3"/>
        <v>1.0960659240555337E-4</v>
      </c>
      <c r="K246"/>
      <c r="L246"/>
      <c r="M246"/>
      <c r="N246" s="54"/>
      <c r="O246" s="54"/>
      <c r="P246" s="54"/>
      <c r="Z246"/>
    </row>
    <row r="247" spans="1:26" s="15" customFormat="1" x14ac:dyDescent="0.3">
      <c r="A247" s="17"/>
      <c r="B247"/>
      <c r="C247"/>
      <c r="D247"/>
      <c r="E247"/>
      <c r="F247" s="121">
        <v>43794</v>
      </c>
      <c r="G247" s="53">
        <v>297.27050800000001</v>
      </c>
      <c r="H247" s="53">
        <v>89.803711000000007</v>
      </c>
      <c r="I247" s="122">
        <f t="shared" si="3"/>
        <v>7.7500138778536787E-3</v>
      </c>
      <c r="J247" s="122">
        <f t="shared" si="3"/>
        <v>0</v>
      </c>
      <c r="K247"/>
      <c r="L247"/>
      <c r="M247"/>
      <c r="N247" s="54"/>
      <c r="O247" s="54"/>
      <c r="P247" s="54"/>
      <c r="Z247"/>
    </row>
    <row r="248" spans="1:26" s="15" customFormat="1" x14ac:dyDescent="0.3">
      <c r="A248" s="17"/>
      <c r="B248"/>
      <c r="C248"/>
      <c r="D248"/>
      <c r="E248"/>
      <c r="F248" s="121">
        <v>43795</v>
      </c>
      <c r="G248" s="53">
        <v>297.94406099999998</v>
      </c>
      <c r="H248" s="53">
        <v>89.813522000000006</v>
      </c>
      <c r="I248" s="122">
        <f t="shared" si="3"/>
        <v>2.2657915328754274E-3</v>
      </c>
      <c r="J248" s="122">
        <f t="shared" si="3"/>
        <v>1.092493828012131E-4</v>
      </c>
      <c r="K248"/>
      <c r="L248"/>
      <c r="M248"/>
      <c r="N248" s="54"/>
      <c r="O248" s="54"/>
      <c r="P248" s="54"/>
      <c r="Z248"/>
    </row>
    <row r="249" spans="1:26" s="15" customFormat="1" x14ac:dyDescent="0.3">
      <c r="A249" s="17"/>
      <c r="B249"/>
      <c r="C249"/>
      <c r="D249"/>
      <c r="E249"/>
      <c r="F249" s="121">
        <v>43796</v>
      </c>
      <c r="G249" s="53">
        <v>299.272156</v>
      </c>
      <c r="H249" s="53">
        <v>89.833145000000002</v>
      </c>
      <c r="I249" s="122">
        <f t="shared" si="3"/>
        <v>4.4575313753276724E-3</v>
      </c>
      <c r="J249" s="122">
        <f t="shared" si="3"/>
        <v>2.1848603153529211E-4</v>
      </c>
      <c r="K249"/>
      <c r="L249"/>
      <c r="M249"/>
      <c r="N249" s="54"/>
      <c r="O249" s="54"/>
      <c r="P249" s="54"/>
      <c r="Z249"/>
    </row>
    <row r="250" spans="1:26" s="15" customFormat="1" x14ac:dyDescent="0.3">
      <c r="A250" s="17"/>
      <c r="B250"/>
      <c r="C250"/>
      <c r="D250"/>
      <c r="E250"/>
      <c r="F250" s="121">
        <v>43798</v>
      </c>
      <c r="G250" s="53">
        <v>298.16229199999998</v>
      </c>
      <c r="H250" s="53">
        <v>89.833145000000002</v>
      </c>
      <c r="I250" s="122">
        <f t="shared" si="3"/>
        <v>-3.7085441386669471E-3</v>
      </c>
      <c r="J250" s="122">
        <f t="shared" si="3"/>
        <v>0</v>
      </c>
      <c r="K250"/>
      <c r="L250"/>
      <c r="M250"/>
      <c r="N250" s="54"/>
      <c r="O250" s="54"/>
      <c r="P250" s="54"/>
      <c r="Z250"/>
    </row>
    <row r="251" spans="1:26" s="15" customFormat="1" x14ac:dyDescent="0.3">
      <c r="A251" s="17"/>
      <c r="B251"/>
      <c r="C251"/>
      <c r="D251"/>
      <c r="E251"/>
      <c r="F251" s="121">
        <v>43801</v>
      </c>
      <c r="G251" s="53">
        <v>295.62942500000003</v>
      </c>
      <c r="H251" s="53">
        <v>89.840012000000002</v>
      </c>
      <c r="I251" s="122">
        <f t="shared" si="3"/>
        <v>-8.4949273196489594E-3</v>
      </c>
      <c r="J251" s="122">
        <f t="shared" si="3"/>
        <v>7.6441718699804539E-5</v>
      </c>
      <c r="K251"/>
      <c r="L251"/>
      <c r="M251"/>
      <c r="N251" s="54"/>
      <c r="O251" s="54"/>
      <c r="P251" s="54"/>
      <c r="Z251"/>
    </row>
    <row r="252" spans="1:26" s="15" customFormat="1" x14ac:dyDescent="0.3">
      <c r="A252" s="17"/>
      <c r="B252"/>
      <c r="C252"/>
      <c r="D252"/>
      <c r="E252"/>
      <c r="F252" s="121">
        <v>43802</v>
      </c>
      <c r="G252" s="53">
        <v>293.64681999999999</v>
      </c>
      <c r="H252" s="53">
        <v>89.830214999999995</v>
      </c>
      <c r="I252" s="122">
        <f t="shared" si="3"/>
        <v>-6.7063858748162009E-3</v>
      </c>
      <c r="J252" s="122">
        <f t="shared" si="3"/>
        <v>-1.0904940662748164E-4</v>
      </c>
      <c r="K252"/>
      <c r="L252"/>
      <c r="M252"/>
      <c r="N252" s="54"/>
      <c r="O252" s="54"/>
      <c r="P252" s="54"/>
      <c r="Z252"/>
    </row>
    <row r="253" spans="1:26" s="15" customFormat="1" x14ac:dyDescent="0.3">
      <c r="A253" s="17"/>
      <c r="B253"/>
      <c r="C253"/>
      <c r="D253"/>
      <c r="E253"/>
      <c r="F253" s="121">
        <v>43803</v>
      </c>
      <c r="G253" s="53">
        <v>295.45867900000002</v>
      </c>
      <c r="H253" s="53">
        <v>89.840012000000002</v>
      </c>
      <c r="I253" s="122">
        <f t="shared" si="3"/>
        <v>6.1701979268837803E-3</v>
      </c>
      <c r="J253" s="122">
        <f t="shared" si="3"/>
        <v>1.0906129969745493E-4</v>
      </c>
      <c r="K253"/>
      <c r="L253"/>
      <c r="M253"/>
      <c r="N253" s="54"/>
      <c r="O253" s="54"/>
      <c r="P253" s="54"/>
      <c r="Z253"/>
    </row>
    <row r="254" spans="1:26" s="15" customFormat="1" x14ac:dyDescent="0.3">
      <c r="A254" s="17"/>
      <c r="B254"/>
      <c r="C254"/>
      <c r="D254"/>
      <c r="E254"/>
      <c r="F254" s="121">
        <v>43804</v>
      </c>
      <c r="G254" s="53">
        <v>295.989868</v>
      </c>
      <c r="H254" s="53">
        <v>89.859673000000001</v>
      </c>
      <c r="I254" s="122">
        <f t="shared" si="3"/>
        <v>1.7978453088527413E-3</v>
      </c>
      <c r="J254" s="122">
        <f t="shared" si="3"/>
        <v>2.1884458341348001E-4</v>
      </c>
      <c r="K254"/>
      <c r="L254"/>
      <c r="M254"/>
      <c r="N254" s="54"/>
      <c r="O254" s="54"/>
      <c r="P254" s="54"/>
      <c r="Z254"/>
    </row>
    <row r="255" spans="1:26" s="15" customFormat="1" x14ac:dyDescent="0.3">
      <c r="A255" s="17"/>
      <c r="B255"/>
      <c r="C255"/>
      <c r="D255"/>
      <c r="E255"/>
      <c r="F255" s="121">
        <v>43805</v>
      </c>
      <c r="G255" s="53">
        <v>298.69348100000002</v>
      </c>
      <c r="H255" s="53">
        <v>89.859673000000001</v>
      </c>
      <c r="I255" s="122">
        <f t="shared" si="3"/>
        <v>9.1341403618585559E-3</v>
      </c>
      <c r="J255" s="122">
        <f t="shared" si="3"/>
        <v>0</v>
      </c>
      <c r="K255"/>
      <c r="L255"/>
      <c r="M255"/>
      <c r="N255" s="54"/>
      <c r="O255" s="54"/>
      <c r="P255" s="54"/>
      <c r="Z255"/>
    </row>
    <row r="256" spans="1:26" s="15" customFormat="1" x14ac:dyDescent="0.3">
      <c r="A256" s="17"/>
      <c r="B256"/>
      <c r="C256"/>
      <c r="D256"/>
      <c r="E256"/>
      <c r="F256" s="121">
        <v>43808</v>
      </c>
      <c r="G256" s="53">
        <v>297.75433299999997</v>
      </c>
      <c r="H256" s="53">
        <v>89.869506999999999</v>
      </c>
      <c r="I256" s="122">
        <f t="shared" si="3"/>
        <v>-3.144186464518306E-3</v>
      </c>
      <c r="J256" s="122">
        <f t="shared" si="3"/>
        <v>1.094373000889437E-4</v>
      </c>
      <c r="K256"/>
      <c r="L256"/>
      <c r="M256"/>
      <c r="N256" s="54"/>
      <c r="O256" s="54"/>
      <c r="P256" s="54"/>
      <c r="Z256"/>
    </row>
    <row r="257" spans="1:26" s="15" customFormat="1" x14ac:dyDescent="0.3">
      <c r="A257" s="17"/>
      <c r="B257"/>
      <c r="C257"/>
      <c r="D257"/>
      <c r="E257"/>
      <c r="F257" s="121">
        <v>43809</v>
      </c>
      <c r="G257" s="53">
        <v>297.422302</v>
      </c>
      <c r="H257" s="53">
        <v>89.869506999999999</v>
      </c>
      <c r="I257" s="122">
        <f t="shared" si="3"/>
        <v>-1.1151172735409665E-3</v>
      </c>
      <c r="J257" s="122">
        <f t="shared" si="3"/>
        <v>0</v>
      </c>
      <c r="K257"/>
      <c r="L257"/>
      <c r="M257"/>
      <c r="N257" s="54"/>
      <c r="O257" s="54"/>
      <c r="P257" s="54"/>
      <c r="Z257"/>
    </row>
    <row r="258" spans="1:26" s="15" customFormat="1" x14ac:dyDescent="0.3">
      <c r="A258" s="17"/>
      <c r="B258"/>
      <c r="C258"/>
      <c r="D258"/>
      <c r="E258"/>
      <c r="F258" s="121">
        <v>43810</v>
      </c>
      <c r="G258" s="53">
        <v>298.26669299999998</v>
      </c>
      <c r="H258" s="53">
        <v>89.869506999999999</v>
      </c>
      <c r="I258" s="122">
        <f t="shared" si="3"/>
        <v>2.8390305445218367E-3</v>
      </c>
      <c r="J258" s="122">
        <f t="shared" si="3"/>
        <v>0</v>
      </c>
      <c r="K258"/>
      <c r="L258"/>
      <c r="M258"/>
      <c r="N258" s="54"/>
      <c r="O258" s="54"/>
      <c r="P258" s="54"/>
      <c r="Z258"/>
    </row>
    <row r="259" spans="1:26" s="15" customFormat="1" x14ac:dyDescent="0.3">
      <c r="A259" s="17"/>
      <c r="B259"/>
      <c r="C259"/>
      <c r="D259"/>
      <c r="E259"/>
      <c r="F259" s="121">
        <v>43811</v>
      </c>
      <c r="G259" s="53">
        <v>300.83737200000002</v>
      </c>
      <c r="H259" s="53">
        <v>89.889122</v>
      </c>
      <c r="I259" s="122">
        <f t="shared" si="3"/>
        <v>8.618726328923465E-3</v>
      </c>
      <c r="J259" s="122">
        <f t="shared" si="3"/>
        <v>2.1826090578191959E-4</v>
      </c>
      <c r="K259"/>
      <c r="L259"/>
      <c r="M259"/>
      <c r="N259" s="27"/>
      <c r="O259" s="27"/>
      <c r="P259" s="27"/>
      <c r="Z259"/>
    </row>
    <row r="260" spans="1:26" s="15" customFormat="1" x14ac:dyDescent="0.3">
      <c r="A260" s="17"/>
      <c r="B260"/>
      <c r="C260"/>
      <c r="D260"/>
      <c r="E260"/>
      <c r="F260" s="121">
        <v>43812</v>
      </c>
      <c r="G260" s="53">
        <v>301.01767000000001</v>
      </c>
      <c r="H260" s="53">
        <v>89.869506999999999</v>
      </c>
      <c r="I260" s="122">
        <f t="shared" si="3"/>
        <v>5.993204860199608E-4</v>
      </c>
      <c r="J260" s="122">
        <f t="shared" si="3"/>
        <v>-2.1821327835425119E-4</v>
      </c>
      <c r="K260"/>
      <c r="L260"/>
      <c r="M260"/>
      <c r="N260" s="27"/>
      <c r="O260" s="27"/>
      <c r="P260" s="27"/>
      <c r="Z260"/>
    </row>
    <row r="261" spans="1:26" s="15" customFormat="1" x14ac:dyDescent="0.3">
      <c r="A261" s="17"/>
      <c r="B261"/>
      <c r="C261"/>
      <c r="D261"/>
      <c r="E261"/>
      <c r="F261" s="121">
        <v>43815</v>
      </c>
      <c r="G261" s="53">
        <v>303.08563199999998</v>
      </c>
      <c r="H261" s="53">
        <v>89.889122</v>
      </c>
      <c r="I261" s="122">
        <f t="shared" si="3"/>
        <v>6.8699023549014804E-3</v>
      </c>
      <c r="J261" s="122">
        <f t="shared" si="3"/>
        <v>2.1826090578191959E-4</v>
      </c>
      <c r="K261"/>
      <c r="L261"/>
      <c r="M261"/>
      <c r="N261" s="27"/>
      <c r="O261" s="27"/>
      <c r="P261" s="27"/>
      <c r="Z261"/>
    </row>
    <row r="262" spans="1:26" s="15" customFormat="1" x14ac:dyDescent="0.3">
      <c r="A262" s="17"/>
      <c r="B262"/>
      <c r="C262"/>
      <c r="D262"/>
      <c r="E262"/>
      <c r="F262" s="121">
        <v>43816</v>
      </c>
      <c r="G262" s="53">
        <v>303.15200800000002</v>
      </c>
      <c r="H262" s="53">
        <v>89.879340999999997</v>
      </c>
      <c r="I262" s="122">
        <f t="shared" si="3"/>
        <v>2.1900081360515244E-4</v>
      </c>
      <c r="J262" s="122">
        <f t="shared" si="3"/>
        <v>-1.0881183153621521E-4</v>
      </c>
      <c r="K262"/>
      <c r="L262"/>
      <c r="M262"/>
      <c r="N262" s="27"/>
      <c r="O262" s="27"/>
      <c r="P262" s="27"/>
      <c r="Z262"/>
    </row>
    <row r="263" spans="1:26" s="15" customFormat="1" x14ac:dyDescent="0.3">
      <c r="A263" s="17"/>
      <c r="B263"/>
      <c r="C263"/>
      <c r="D263"/>
      <c r="E263"/>
      <c r="F263" s="121">
        <v>43817</v>
      </c>
      <c r="G263" s="53">
        <v>303.17095899999998</v>
      </c>
      <c r="H263" s="53">
        <v>89.898964000000007</v>
      </c>
      <c r="I263" s="122">
        <f t="shared" si="3"/>
        <v>6.2513193051172422E-5</v>
      </c>
      <c r="J263" s="122">
        <f t="shared" si="3"/>
        <v>2.1832603334304146E-4</v>
      </c>
      <c r="K263"/>
      <c r="L263"/>
      <c r="M263"/>
      <c r="N263" s="27"/>
      <c r="O263" s="27"/>
      <c r="P263" s="27"/>
      <c r="Z263"/>
    </row>
    <row r="264" spans="1:26" s="15" customFormat="1" x14ac:dyDescent="0.3">
      <c r="A264" s="17"/>
      <c r="B264"/>
      <c r="C264"/>
      <c r="D264"/>
      <c r="E264"/>
      <c r="F264" s="121">
        <v>43818</v>
      </c>
      <c r="G264" s="53">
        <v>304.41366599999998</v>
      </c>
      <c r="H264" s="53">
        <v>89.908783</v>
      </c>
      <c r="I264" s="122">
        <f t="shared" si="3"/>
        <v>4.0990304747494655E-3</v>
      </c>
      <c r="J264" s="122">
        <f t="shared" si="3"/>
        <v>1.0922261573553804E-4</v>
      </c>
      <c r="K264"/>
      <c r="L264"/>
      <c r="M264"/>
      <c r="N264" s="27"/>
      <c r="O264" s="27"/>
      <c r="P264" s="27"/>
      <c r="Z264"/>
    </row>
    <row r="265" spans="1:26" s="15" customFormat="1" x14ac:dyDescent="0.3">
      <c r="A265" s="17"/>
      <c r="B265"/>
      <c r="C265"/>
      <c r="D265"/>
      <c r="E265"/>
      <c r="F265" s="121">
        <v>43819</v>
      </c>
      <c r="G265" s="53">
        <v>305.74826000000002</v>
      </c>
      <c r="H265" s="53">
        <v>89.913703999999996</v>
      </c>
      <c r="I265" s="122">
        <f t="shared" si="3"/>
        <v>4.384146144083001E-3</v>
      </c>
      <c r="J265" s="122">
        <f t="shared" si="3"/>
        <v>5.4733251144023498E-5</v>
      </c>
      <c r="K265"/>
      <c r="L265"/>
      <c r="M265"/>
      <c r="N265" s="27"/>
      <c r="O265" s="27"/>
      <c r="P265" s="27"/>
      <c r="Z265"/>
    </row>
    <row r="266" spans="1:26" s="15" customFormat="1" x14ac:dyDescent="0.3">
      <c r="A266" s="17"/>
      <c r="B266"/>
      <c r="C266"/>
      <c r="D266"/>
      <c r="E266"/>
      <c r="F266" s="121">
        <v>43822</v>
      </c>
      <c r="G266" s="53">
        <v>306.21542399999998</v>
      </c>
      <c r="H266" s="53">
        <v>89.913703999999996</v>
      </c>
      <c r="I266" s="122">
        <f t="shared" si="3"/>
        <v>1.5279367411606959E-3</v>
      </c>
      <c r="J266" s="122">
        <f t="shared" si="3"/>
        <v>0</v>
      </c>
      <c r="K266"/>
      <c r="L266"/>
      <c r="M266"/>
      <c r="N266" s="27"/>
      <c r="O266" s="27"/>
      <c r="P266" s="27"/>
      <c r="Z266"/>
    </row>
    <row r="267" spans="1:26" s="15" customFormat="1" x14ac:dyDescent="0.3">
      <c r="A267" s="17"/>
      <c r="B267"/>
      <c r="C267"/>
      <c r="D267"/>
      <c r="E267"/>
      <c r="F267" s="121">
        <v>43823</v>
      </c>
      <c r="G267" s="53">
        <v>306.22500600000001</v>
      </c>
      <c r="H267" s="53">
        <v>89.923546000000002</v>
      </c>
      <c r="I267" s="122">
        <f t="shared" si="3"/>
        <v>3.1291696136248603E-5</v>
      </c>
      <c r="J267" s="122">
        <f t="shared" si="3"/>
        <v>1.0946051115867661E-4</v>
      </c>
      <c r="K267"/>
      <c r="L267"/>
      <c r="M267"/>
      <c r="N267" s="27"/>
      <c r="O267" s="27"/>
      <c r="P267" s="27"/>
      <c r="Z267"/>
    </row>
    <row r="268" spans="1:26" s="15" customFormat="1" x14ac:dyDescent="0.3">
      <c r="A268" s="17"/>
      <c r="B268"/>
      <c r="C268"/>
      <c r="D268"/>
      <c r="E268"/>
      <c r="F268" s="121">
        <v>43825</v>
      </c>
      <c r="G268" s="53">
        <v>307.85504200000003</v>
      </c>
      <c r="H268" s="53">
        <v>89.93338</v>
      </c>
      <c r="I268" s="122">
        <f t="shared" si="3"/>
        <v>5.3230009570153225E-3</v>
      </c>
      <c r="J268" s="122">
        <f t="shared" si="3"/>
        <v>1.0935956640323319E-4</v>
      </c>
      <c r="K268"/>
      <c r="L268"/>
      <c r="M268"/>
      <c r="N268" s="27"/>
      <c r="O268" s="27"/>
      <c r="P268" s="27"/>
      <c r="Z268"/>
    </row>
    <row r="269" spans="1:26" s="15" customFormat="1" x14ac:dyDescent="0.3">
      <c r="A269" s="17"/>
      <c r="B269"/>
      <c r="C269"/>
      <c r="D269"/>
      <c r="E269"/>
      <c r="F269" s="121">
        <v>43826</v>
      </c>
      <c r="G269" s="53">
        <v>307.77877799999999</v>
      </c>
      <c r="H269" s="53">
        <v>89.923546000000002</v>
      </c>
      <c r="I269" s="122">
        <f t="shared" si="3"/>
        <v>-2.477269805444271E-4</v>
      </c>
      <c r="J269" s="122">
        <f t="shared" si="3"/>
        <v>-1.0934760819614198E-4</v>
      </c>
      <c r="K269"/>
      <c r="L269"/>
      <c r="M269"/>
      <c r="N269" s="27"/>
      <c r="O269" s="27"/>
      <c r="P269" s="27"/>
      <c r="Z269"/>
    </row>
    <row r="270" spans="1:26" s="15" customFormat="1" x14ac:dyDescent="0.3">
      <c r="A270" s="17"/>
      <c r="B270"/>
      <c r="C270"/>
      <c r="D270"/>
      <c r="E270"/>
      <c r="F270" s="121">
        <v>43829</v>
      </c>
      <c r="G270" s="53">
        <v>306.08193999999997</v>
      </c>
      <c r="H270" s="53">
        <v>89.93338</v>
      </c>
      <c r="I270" s="122">
        <f t="shared" si="3"/>
        <v>-5.5131741409409907E-3</v>
      </c>
      <c r="J270" s="122">
        <f t="shared" si="3"/>
        <v>1.0935956640323319E-4</v>
      </c>
      <c r="K270"/>
      <c r="L270"/>
      <c r="M270"/>
      <c r="N270" s="27"/>
      <c r="O270" s="27"/>
      <c r="P270" s="27"/>
      <c r="Z270"/>
    </row>
    <row r="271" spans="1:26" s="15" customFormat="1" x14ac:dyDescent="0.3">
      <c r="A271" s="17"/>
      <c r="B271"/>
      <c r="C271"/>
      <c r="D271"/>
      <c r="E271"/>
      <c r="F271" s="121">
        <v>43830</v>
      </c>
      <c r="G271" s="53">
        <v>306.82549999999998</v>
      </c>
      <c r="H271" s="53">
        <v>89.93338</v>
      </c>
      <c r="I271" s="122">
        <f t="shared" si="3"/>
        <v>2.429284132216436E-3</v>
      </c>
      <c r="J271" s="122">
        <f t="shared" si="3"/>
        <v>0</v>
      </c>
      <c r="K271"/>
      <c r="L271"/>
      <c r="M271"/>
      <c r="N271" s="27"/>
      <c r="O271" s="27"/>
      <c r="P271" s="27"/>
      <c r="Z271"/>
    </row>
    <row r="272" spans="1:26" s="15" customFormat="1" x14ac:dyDescent="0.3">
      <c r="A272" s="17"/>
      <c r="B272"/>
      <c r="C272"/>
      <c r="D272"/>
      <c r="E272"/>
      <c r="F272" s="121">
        <v>43832</v>
      </c>
      <c r="G272" s="53">
        <v>309.69491599999998</v>
      </c>
      <c r="H272" s="53">
        <v>89.962897999999996</v>
      </c>
      <c r="I272" s="122">
        <f t="shared" si="3"/>
        <v>9.3519476053978146E-3</v>
      </c>
      <c r="J272" s="122">
        <f t="shared" si="3"/>
        <v>3.2822073405891494E-4</v>
      </c>
      <c r="K272"/>
      <c r="L272"/>
      <c r="M272"/>
      <c r="N272" s="27"/>
      <c r="O272" s="27"/>
      <c r="P272" s="27"/>
      <c r="Z272"/>
    </row>
    <row r="273" spans="1:26" s="15" customFormat="1" x14ac:dyDescent="0.3">
      <c r="A273" s="17"/>
      <c r="B273"/>
      <c r="C273"/>
      <c r="D273"/>
      <c r="E273"/>
      <c r="F273" s="121">
        <v>43833</v>
      </c>
      <c r="G273" s="53">
        <v>307.34979199999998</v>
      </c>
      <c r="H273" s="53">
        <v>89.962897999999996</v>
      </c>
      <c r="I273" s="122">
        <f t="shared" si="3"/>
        <v>-7.5723684143397252E-3</v>
      </c>
      <c r="J273" s="122">
        <f t="shared" si="3"/>
        <v>0</v>
      </c>
      <c r="K273"/>
      <c r="L273"/>
      <c r="M273"/>
      <c r="N273" s="27"/>
      <c r="O273" s="27"/>
      <c r="P273" s="27"/>
      <c r="Z273"/>
    </row>
    <row r="274" spans="1:26" s="15" customFormat="1" x14ac:dyDescent="0.3">
      <c r="A274" s="17"/>
      <c r="B274"/>
      <c r="C274"/>
      <c r="D274"/>
      <c r="E274"/>
      <c r="F274" s="121">
        <v>43836</v>
      </c>
      <c r="G274" s="53">
        <v>308.52236900000003</v>
      </c>
      <c r="H274" s="53">
        <v>89.953040999999999</v>
      </c>
      <c r="I274" s="122">
        <f t="shared" si="3"/>
        <v>3.8151221524171941E-3</v>
      </c>
      <c r="J274" s="122">
        <f t="shared" si="3"/>
        <v>-1.095673907702821E-4</v>
      </c>
      <c r="K274"/>
      <c r="L274"/>
      <c r="M274"/>
      <c r="N274" s="27"/>
      <c r="O274" s="27"/>
      <c r="P274" s="27"/>
      <c r="Z274"/>
    </row>
    <row r="275" spans="1:26" s="15" customFormat="1" x14ac:dyDescent="0.3">
      <c r="A275" s="17"/>
      <c r="B275"/>
      <c r="C275"/>
      <c r="D275"/>
      <c r="E275"/>
      <c r="F275" s="121">
        <v>43837</v>
      </c>
      <c r="G275" s="53">
        <v>307.65490699999998</v>
      </c>
      <c r="H275" s="53">
        <v>89.953040999999999</v>
      </c>
      <c r="I275" s="122">
        <f t="shared" si="3"/>
        <v>-2.8116664694741722E-3</v>
      </c>
      <c r="J275" s="122">
        <f t="shared" si="3"/>
        <v>0</v>
      </c>
      <c r="K275"/>
      <c r="L275"/>
      <c r="M275"/>
      <c r="N275" s="27"/>
      <c r="O275" s="27"/>
      <c r="P275" s="27"/>
      <c r="Z275"/>
    </row>
    <row r="276" spans="1:26" s="15" customFormat="1" x14ac:dyDescent="0.3">
      <c r="A276" s="17"/>
      <c r="B276"/>
      <c r="C276"/>
      <c r="D276"/>
      <c r="E276"/>
      <c r="F276" s="121">
        <v>43838</v>
      </c>
      <c r="G276" s="53">
        <v>309.29452500000002</v>
      </c>
      <c r="H276" s="53">
        <v>89.972740000000002</v>
      </c>
      <c r="I276" s="122">
        <f t="shared" si="3"/>
        <v>5.3294063013271664E-3</v>
      </c>
      <c r="J276" s="122">
        <f t="shared" si="3"/>
        <v>2.1899204052489019E-4</v>
      </c>
      <c r="K276"/>
      <c r="L276"/>
      <c r="M276"/>
      <c r="N276" s="27"/>
      <c r="O276" s="27"/>
      <c r="P276" s="27"/>
      <c r="Z276"/>
    </row>
    <row r="277" spans="1:26" s="15" customFormat="1" x14ac:dyDescent="0.3">
      <c r="A277" s="17"/>
      <c r="B277"/>
      <c r="C277"/>
      <c r="D277"/>
      <c r="E277"/>
      <c r="F277" s="121">
        <v>43839</v>
      </c>
      <c r="G277" s="53">
        <v>311.39172400000001</v>
      </c>
      <c r="H277" s="53">
        <v>89.982567000000003</v>
      </c>
      <c r="I277" s="122">
        <f t="shared" ref="I277:J342" si="4">G277/G276-1</f>
        <v>6.7805888254892643E-3</v>
      </c>
      <c r="J277" s="122">
        <f t="shared" si="4"/>
        <v>1.092219710103759E-4</v>
      </c>
      <c r="K277"/>
      <c r="L277"/>
      <c r="M277"/>
      <c r="N277" s="27"/>
      <c r="O277" s="27"/>
      <c r="P277" s="27"/>
      <c r="Z277"/>
    </row>
    <row r="278" spans="1:26" s="15" customFormat="1" x14ac:dyDescent="0.3">
      <c r="A278" s="17"/>
      <c r="B278"/>
      <c r="C278"/>
      <c r="D278"/>
      <c r="E278"/>
      <c r="F278" s="121">
        <v>43840</v>
      </c>
      <c r="G278" s="53">
        <v>310.49566700000003</v>
      </c>
      <c r="H278" s="53">
        <v>89.982567000000003</v>
      </c>
      <c r="I278" s="122">
        <f t="shared" si="4"/>
        <v>-2.8775877164930463E-3</v>
      </c>
      <c r="J278" s="122">
        <f t="shared" si="4"/>
        <v>0</v>
      </c>
      <c r="K278"/>
      <c r="L278"/>
      <c r="M278"/>
      <c r="N278" s="27"/>
      <c r="O278" s="27"/>
      <c r="P278" s="27"/>
      <c r="Z278"/>
    </row>
    <row r="279" spans="1:26" s="15" customFormat="1" x14ac:dyDescent="0.3">
      <c r="A279" s="17"/>
      <c r="B279"/>
      <c r="C279"/>
      <c r="D279"/>
      <c r="E279"/>
      <c r="F279" s="121">
        <v>43843</v>
      </c>
      <c r="G279" s="53">
        <v>312.63104199999998</v>
      </c>
      <c r="H279" s="53">
        <v>89.982567000000003</v>
      </c>
      <c r="I279" s="122">
        <f t="shared" si="4"/>
        <v>6.8773101429462358E-3</v>
      </c>
      <c r="J279" s="122">
        <f t="shared" si="4"/>
        <v>0</v>
      </c>
      <c r="K279"/>
      <c r="L279"/>
      <c r="M279"/>
      <c r="N279" s="27"/>
      <c r="O279" s="27"/>
      <c r="P279" s="27"/>
      <c r="Z279"/>
    </row>
    <row r="280" spans="1:26" s="15" customFormat="1" x14ac:dyDescent="0.3">
      <c r="A280" s="17"/>
      <c r="B280"/>
      <c r="C280"/>
      <c r="D280"/>
      <c r="E280"/>
      <c r="F280" s="121">
        <v>43844</v>
      </c>
      <c r="G280" s="53">
        <v>312.15441900000002</v>
      </c>
      <c r="H280" s="53">
        <v>89.982567000000003</v>
      </c>
      <c r="I280" s="122">
        <f t="shared" si="4"/>
        <v>-1.5245543019364316E-3</v>
      </c>
      <c r="J280" s="122">
        <f t="shared" si="4"/>
        <v>0</v>
      </c>
      <c r="K280"/>
      <c r="L280"/>
      <c r="M280"/>
      <c r="N280" s="27"/>
      <c r="O280" s="27"/>
      <c r="P280" s="27"/>
      <c r="Z280"/>
    </row>
    <row r="281" spans="1:26" s="15" customFormat="1" x14ac:dyDescent="0.3">
      <c r="A281" s="17"/>
      <c r="B281"/>
      <c r="C281"/>
      <c r="D281"/>
      <c r="E281"/>
      <c r="F281" s="121">
        <v>43845</v>
      </c>
      <c r="G281" s="53">
        <v>312.85983299999998</v>
      </c>
      <c r="H281" s="53">
        <v>89.992401000000001</v>
      </c>
      <c r="I281" s="122">
        <f t="shared" si="4"/>
        <v>2.2598238469915266E-3</v>
      </c>
      <c r="J281" s="122">
        <f t="shared" si="4"/>
        <v>1.0928783572050627E-4</v>
      </c>
      <c r="K281"/>
      <c r="L281"/>
      <c r="M281"/>
      <c r="N281" s="27"/>
      <c r="O281" s="27"/>
      <c r="P281" s="27"/>
      <c r="Z281"/>
    </row>
    <row r="282" spans="1:26" s="15" customFormat="1" x14ac:dyDescent="0.3">
      <c r="A282" s="17"/>
      <c r="B282"/>
      <c r="C282"/>
      <c r="D282"/>
      <c r="E282"/>
      <c r="F282" s="121">
        <v>43846</v>
      </c>
      <c r="G282" s="53">
        <v>315.462311</v>
      </c>
      <c r="H282" s="53">
        <v>90.012084999999999</v>
      </c>
      <c r="I282" s="122">
        <f t="shared" si="4"/>
        <v>8.3183513046241053E-3</v>
      </c>
      <c r="J282" s="122">
        <f t="shared" si="4"/>
        <v>2.1872957917845604E-4</v>
      </c>
      <c r="K282"/>
      <c r="L282"/>
      <c r="M282"/>
      <c r="N282" s="27"/>
      <c r="O282" s="27"/>
      <c r="P282" s="27"/>
      <c r="Z282"/>
    </row>
    <row r="283" spans="1:26" s="15" customFormat="1" x14ac:dyDescent="0.3">
      <c r="A283" s="17"/>
      <c r="B283"/>
      <c r="C283"/>
      <c r="D283"/>
      <c r="E283"/>
      <c r="F283" s="121">
        <v>43847</v>
      </c>
      <c r="G283" s="53">
        <v>316.44421399999999</v>
      </c>
      <c r="H283" s="53">
        <v>90.002228000000002</v>
      </c>
      <c r="I283" s="122">
        <f t="shared" si="4"/>
        <v>3.1125841844226176E-3</v>
      </c>
      <c r="J283" s="122">
        <f t="shared" si="4"/>
        <v>-1.0950751779603696E-4</v>
      </c>
      <c r="K283"/>
      <c r="L283"/>
      <c r="M283"/>
      <c r="N283" s="27"/>
      <c r="O283" s="27"/>
      <c r="P283" s="27"/>
      <c r="Z283"/>
    </row>
    <row r="284" spans="1:26" s="15" customFormat="1" x14ac:dyDescent="0.3">
      <c r="A284" s="17"/>
      <c r="B284"/>
      <c r="C284"/>
      <c r="D284"/>
      <c r="E284"/>
      <c r="F284" s="121">
        <v>43851</v>
      </c>
      <c r="G284" s="53">
        <v>315.824524</v>
      </c>
      <c r="H284" s="53">
        <v>90.012084999999999</v>
      </c>
      <c r="I284" s="122">
        <f t="shared" si="4"/>
        <v>-1.9582914541771412E-3</v>
      </c>
      <c r="J284" s="122">
        <f t="shared" si="4"/>
        <v>1.0951951100590662E-4</v>
      </c>
      <c r="K284"/>
      <c r="L284"/>
      <c r="M284"/>
      <c r="N284" s="27"/>
      <c r="O284" s="27"/>
      <c r="P284" s="27"/>
      <c r="Z284"/>
    </row>
    <row r="285" spans="1:26" s="15" customFormat="1" x14ac:dyDescent="0.3">
      <c r="A285" s="17"/>
      <c r="B285"/>
      <c r="C285"/>
      <c r="D285"/>
      <c r="E285"/>
      <c r="F285" s="121">
        <v>43852</v>
      </c>
      <c r="G285" s="53">
        <v>315.86270100000002</v>
      </c>
      <c r="H285" s="53">
        <v>90.012084999999999</v>
      </c>
      <c r="I285" s="122">
        <f t="shared" si="4"/>
        <v>1.2088041649360726E-4</v>
      </c>
      <c r="J285" s="122">
        <f t="shared" si="4"/>
        <v>0</v>
      </c>
      <c r="K285"/>
      <c r="L285"/>
      <c r="M285"/>
      <c r="N285" s="27"/>
      <c r="O285" s="27"/>
      <c r="P285" s="27"/>
      <c r="Z285"/>
    </row>
    <row r="286" spans="1:26" s="15" customFormat="1" x14ac:dyDescent="0.3">
      <c r="A286" s="17"/>
      <c r="B286"/>
      <c r="C286"/>
      <c r="D286"/>
      <c r="E286"/>
      <c r="F286" s="121">
        <v>43853</v>
      </c>
      <c r="G286" s="53">
        <v>316.22494499999999</v>
      </c>
      <c r="H286" s="53">
        <v>90.021904000000006</v>
      </c>
      <c r="I286" s="122">
        <f t="shared" si="4"/>
        <v>1.1468400632714815E-3</v>
      </c>
      <c r="J286" s="122">
        <f t="shared" si="4"/>
        <v>1.0908535226139549E-4</v>
      </c>
      <c r="K286"/>
      <c r="L286"/>
      <c r="M286"/>
      <c r="N286" s="27"/>
      <c r="O286" s="27"/>
      <c r="P286" s="27"/>
      <c r="Z286"/>
    </row>
    <row r="287" spans="1:26" s="15" customFormat="1" x14ac:dyDescent="0.3">
      <c r="A287" s="17"/>
      <c r="B287"/>
      <c r="C287"/>
      <c r="D287"/>
      <c r="E287"/>
      <c r="F287" s="121">
        <v>43854</v>
      </c>
      <c r="G287" s="53">
        <v>313.41275000000002</v>
      </c>
      <c r="H287" s="53">
        <v>90.021904000000006</v>
      </c>
      <c r="I287" s="122">
        <f t="shared" si="4"/>
        <v>-8.893020757739345E-3</v>
      </c>
      <c r="J287" s="122">
        <f t="shared" si="4"/>
        <v>0</v>
      </c>
      <c r="K287"/>
      <c r="L287"/>
      <c r="M287"/>
      <c r="N287" s="27"/>
      <c r="O287" s="27"/>
      <c r="P287" s="27"/>
      <c r="Z287"/>
    </row>
    <row r="288" spans="1:26" s="15" customFormat="1" x14ac:dyDescent="0.3">
      <c r="A288" s="17"/>
      <c r="B288"/>
      <c r="C288"/>
      <c r="D288"/>
      <c r="E288"/>
      <c r="F288" s="121">
        <v>43857</v>
      </c>
      <c r="G288" s="53">
        <v>308.38891599999999</v>
      </c>
      <c r="H288" s="53">
        <v>90.031745999999998</v>
      </c>
      <c r="I288" s="122">
        <f t="shared" si="4"/>
        <v>-1.6029449982491228E-2</v>
      </c>
      <c r="J288" s="122">
        <f t="shared" si="4"/>
        <v>1.0932894731929821E-4</v>
      </c>
      <c r="K288"/>
      <c r="L288"/>
      <c r="M288"/>
      <c r="N288" s="27"/>
      <c r="O288" s="27"/>
      <c r="P288" s="27"/>
      <c r="Z288"/>
    </row>
    <row r="289" spans="1:26" s="15" customFormat="1" x14ac:dyDescent="0.3">
      <c r="A289" s="17"/>
      <c r="B289"/>
      <c r="C289"/>
      <c r="D289"/>
      <c r="E289"/>
      <c r="F289" s="121">
        <v>43858</v>
      </c>
      <c r="G289" s="53">
        <v>311.62057499999997</v>
      </c>
      <c r="H289" s="53">
        <v>90.031745999999998</v>
      </c>
      <c r="I289" s="122">
        <f t="shared" si="4"/>
        <v>1.0479167156578262E-2</v>
      </c>
      <c r="J289" s="122">
        <f t="shared" si="4"/>
        <v>0</v>
      </c>
      <c r="K289"/>
      <c r="L289"/>
      <c r="M289"/>
      <c r="N289" s="27"/>
      <c r="O289" s="27"/>
      <c r="P289" s="27"/>
      <c r="Z289"/>
    </row>
    <row r="290" spans="1:26" s="15" customFormat="1" x14ac:dyDescent="0.3">
      <c r="A290" s="17"/>
      <c r="B290"/>
      <c r="C290"/>
      <c r="D290"/>
      <c r="E290"/>
      <c r="F290" s="121">
        <v>43859</v>
      </c>
      <c r="G290" s="53">
        <v>311.363159</v>
      </c>
      <c r="H290" s="53">
        <v>90.041579999999996</v>
      </c>
      <c r="I290" s="122">
        <f t="shared" si="4"/>
        <v>-8.2605585334016851E-4</v>
      </c>
      <c r="J290" s="122">
        <f t="shared" si="4"/>
        <v>1.0922813826130806E-4</v>
      </c>
      <c r="K290"/>
      <c r="L290"/>
      <c r="M290"/>
      <c r="N290" s="27"/>
      <c r="O290" s="27"/>
      <c r="P290" s="27"/>
      <c r="Z290"/>
    </row>
    <row r="291" spans="1:26" s="15" customFormat="1" x14ac:dyDescent="0.3">
      <c r="A291" s="17"/>
      <c r="B291"/>
      <c r="C291"/>
      <c r="D291"/>
      <c r="E291"/>
      <c r="F291" s="121">
        <v>43860</v>
      </c>
      <c r="G291" s="53">
        <v>312.373627</v>
      </c>
      <c r="H291" s="53">
        <v>90.041579999999996</v>
      </c>
      <c r="I291" s="122">
        <f t="shared" si="4"/>
        <v>3.2453036616320041E-3</v>
      </c>
      <c r="J291" s="122">
        <f t="shared" si="4"/>
        <v>0</v>
      </c>
      <c r="K291"/>
      <c r="L291"/>
      <c r="M291"/>
      <c r="N291" s="27"/>
      <c r="O291" s="27"/>
      <c r="P291" s="27"/>
      <c r="Z291"/>
    </row>
    <row r="292" spans="1:26" s="15" customFormat="1" x14ac:dyDescent="0.3">
      <c r="A292" s="17"/>
      <c r="B292"/>
      <c r="C292"/>
      <c r="D292"/>
      <c r="E292"/>
      <c r="F292" s="121">
        <v>43861</v>
      </c>
      <c r="G292" s="53">
        <v>306.70163000000002</v>
      </c>
      <c r="H292" s="53">
        <v>90.041579999999996</v>
      </c>
      <c r="I292" s="122">
        <f t="shared" si="4"/>
        <v>-1.8157733271125243E-2</v>
      </c>
      <c r="J292" s="122">
        <f t="shared" si="4"/>
        <v>0</v>
      </c>
      <c r="K292"/>
      <c r="L292"/>
      <c r="M292"/>
      <c r="N292" s="27"/>
      <c r="O292" s="27"/>
      <c r="P292" s="27"/>
      <c r="Z292"/>
    </row>
    <row r="293" spans="1:26" s="15" customFormat="1" x14ac:dyDescent="0.3">
      <c r="A293" s="17"/>
      <c r="B293"/>
      <c r="C293"/>
      <c r="D293"/>
      <c r="E293"/>
      <c r="F293" s="121">
        <v>43864</v>
      </c>
      <c r="G293" s="53">
        <v>308.979919</v>
      </c>
      <c r="H293" s="53">
        <v>90.049476999999996</v>
      </c>
      <c r="I293" s="122">
        <f t="shared" si="4"/>
        <v>7.4283563475028291E-3</v>
      </c>
      <c r="J293" s="122">
        <f t="shared" si="4"/>
        <v>8.7703925230941948E-5</v>
      </c>
      <c r="K293"/>
      <c r="L293"/>
      <c r="M293"/>
      <c r="N293" s="27"/>
      <c r="O293" s="27"/>
      <c r="P293" s="27"/>
      <c r="Z293"/>
    </row>
    <row r="294" spans="1:26" s="15" customFormat="1" x14ac:dyDescent="0.3">
      <c r="A294" s="17"/>
      <c r="B294"/>
      <c r="C294"/>
      <c r="D294"/>
      <c r="E294"/>
      <c r="F294" s="121">
        <v>43865</v>
      </c>
      <c r="G294" s="53">
        <v>313.68920900000001</v>
      </c>
      <c r="H294" s="53">
        <v>90.049476999999996</v>
      </c>
      <c r="I294" s="122">
        <f t="shared" si="4"/>
        <v>1.5241411206402766E-2</v>
      </c>
      <c r="J294" s="122">
        <f t="shared" si="4"/>
        <v>0</v>
      </c>
      <c r="K294"/>
      <c r="L294"/>
      <c r="M294"/>
      <c r="N294" s="27"/>
      <c r="O294" s="27"/>
      <c r="P294" s="27"/>
      <c r="Z294"/>
    </row>
    <row r="295" spans="1:26" s="15" customFormat="1" x14ac:dyDescent="0.3">
      <c r="A295" s="17"/>
      <c r="B295"/>
      <c r="C295"/>
      <c r="D295"/>
      <c r="E295"/>
      <c r="F295" s="121">
        <v>43866</v>
      </c>
      <c r="G295" s="53">
        <v>317.31167599999998</v>
      </c>
      <c r="H295" s="53">
        <v>90.069159999999997</v>
      </c>
      <c r="I295" s="122">
        <f t="shared" si="4"/>
        <v>1.1547949040223271E-2</v>
      </c>
      <c r="J295" s="122">
        <f t="shared" si="4"/>
        <v>2.1857983694895111E-4</v>
      </c>
      <c r="K295"/>
      <c r="L295"/>
      <c r="M295"/>
      <c r="N295" s="27"/>
      <c r="O295" s="27"/>
      <c r="P295" s="27"/>
      <c r="Z295"/>
    </row>
    <row r="296" spans="1:26" s="15" customFormat="1" x14ac:dyDescent="0.3">
      <c r="A296" s="17"/>
      <c r="B296"/>
      <c r="C296"/>
      <c r="D296"/>
      <c r="E296"/>
      <c r="F296" s="121">
        <v>43867</v>
      </c>
      <c r="G296" s="53">
        <v>318.37933299999997</v>
      </c>
      <c r="H296" s="53">
        <v>90.079018000000005</v>
      </c>
      <c r="I296" s="122">
        <f t="shared" si="4"/>
        <v>3.3646949694974282E-3</v>
      </c>
      <c r="J296" s="122">
        <f t="shared" si="4"/>
        <v>1.0944922768252319E-4</v>
      </c>
      <c r="K296"/>
      <c r="L296"/>
      <c r="M296"/>
      <c r="N296" s="27"/>
      <c r="O296" s="27"/>
      <c r="P296" s="27"/>
      <c r="Z296"/>
    </row>
    <row r="297" spans="1:26" s="15" customFormat="1" x14ac:dyDescent="0.3">
      <c r="A297" s="17"/>
      <c r="B297"/>
      <c r="C297"/>
      <c r="D297"/>
      <c r="E297"/>
      <c r="F297" s="121">
        <v>43868</v>
      </c>
      <c r="G297" s="53">
        <v>316.68255599999998</v>
      </c>
      <c r="H297" s="53">
        <v>90.079018000000005</v>
      </c>
      <c r="I297" s="122">
        <f t="shared" si="4"/>
        <v>-5.3294194193188593E-3</v>
      </c>
      <c r="J297" s="122">
        <f t="shared" si="4"/>
        <v>0</v>
      </c>
      <c r="K297"/>
      <c r="L297"/>
      <c r="M297"/>
      <c r="N297" s="27"/>
      <c r="O297" s="27"/>
      <c r="P297" s="27"/>
      <c r="Z297"/>
    </row>
    <row r="298" spans="1:26" s="15" customFormat="1" x14ac:dyDescent="0.3">
      <c r="A298" s="17"/>
      <c r="B298"/>
      <c r="C298"/>
      <c r="D298"/>
      <c r="E298"/>
      <c r="F298" s="121">
        <v>43871</v>
      </c>
      <c r="G298" s="53">
        <v>319.04669200000001</v>
      </c>
      <c r="H298" s="53">
        <v>90.069159999999997</v>
      </c>
      <c r="I298" s="122">
        <f t="shared" si="4"/>
        <v>7.4653180454942181E-3</v>
      </c>
      <c r="J298" s="122">
        <f t="shared" si="4"/>
        <v>-1.0943724986001158E-4</v>
      </c>
      <c r="K298"/>
      <c r="L298"/>
      <c r="M298"/>
      <c r="N298" s="27"/>
      <c r="O298" s="27"/>
      <c r="P298" s="27"/>
      <c r="Z298"/>
    </row>
    <row r="299" spans="1:26" s="15" customFormat="1" x14ac:dyDescent="0.3">
      <c r="A299" s="17"/>
      <c r="B299"/>
      <c r="C299"/>
      <c r="D299"/>
      <c r="E299"/>
      <c r="F299" s="121">
        <v>43872</v>
      </c>
      <c r="G299" s="53">
        <v>319.59957900000001</v>
      </c>
      <c r="H299" s="53">
        <v>90.079018000000005</v>
      </c>
      <c r="I299" s="122">
        <f t="shared" si="4"/>
        <v>1.7329344383234524E-3</v>
      </c>
      <c r="J299" s="122">
        <f t="shared" si="4"/>
        <v>1.0944922768252319E-4</v>
      </c>
      <c r="K299"/>
      <c r="L299"/>
      <c r="M299"/>
      <c r="N299" s="27"/>
      <c r="O299" s="27"/>
      <c r="P299" s="27"/>
      <c r="Z299"/>
    </row>
    <row r="300" spans="1:26" s="15" customFormat="1" x14ac:dyDescent="0.3">
      <c r="A300" s="17"/>
      <c r="B300"/>
      <c r="C300"/>
      <c r="D300"/>
      <c r="E300"/>
      <c r="F300" s="121">
        <v>43873</v>
      </c>
      <c r="G300" s="53">
        <v>321.65872200000001</v>
      </c>
      <c r="H300" s="53">
        <v>90.088866999999993</v>
      </c>
      <c r="I300" s="122">
        <f t="shared" si="4"/>
        <v>6.442883956364609E-3</v>
      </c>
      <c r="J300" s="122">
        <f t="shared" si="4"/>
        <v>1.0933733758045072E-4</v>
      </c>
      <c r="K300"/>
      <c r="L300"/>
      <c r="M300"/>
      <c r="N300" s="27"/>
      <c r="O300" s="27"/>
      <c r="P300" s="27"/>
      <c r="Z300"/>
    </row>
    <row r="301" spans="1:26" s="15" customFormat="1" x14ac:dyDescent="0.3">
      <c r="A301" s="17"/>
      <c r="B301"/>
      <c r="C301"/>
      <c r="D301"/>
      <c r="E301"/>
      <c r="F301" s="121">
        <v>43874</v>
      </c>
      <c r="G301" s="53">
        <v>321.31549100000001</v>
      </c>
      <c r="H301" s="53">
        <v>90.098708999999999</v>
      </c>
      <c r="I301" s="122">
        <f t="shared" si="4"/>
        <v>-1.067065733103334E-3</v>
      </c>
      <c r="J301" s="122">
        <f t="shared" si="4"/>
        <v>1.0924768317943645E-4</v>
      </c>
      <c r="K301"/>
      <c r="L301"/>
      <c r="M301"/>
      <c r="N301" s="27"/>
      <c r="O301" s="27"/>
      <c r="P301" s="27"/>
      <c r="Z301"/>
    </row>
    <row r="302" spans="1:26" s="15" customFormat="1" x14ac:dyDescent="0.3">
      <c r="A302" s="17"/>
      <c r="B302"/>
      <c r="C302"/>
      <c r="D302"/>
      <c r="E302"/>
      <c r="F302" s="121">
        <v>43875</v>
      </c>
      <c r="G302" s="53">
        <v>321.83023100000003</v>
      </c>
      <c r="H302" s="53">
        <v>90.098708999999999</v>
      </c>
      <c r="I302" s="122">
        <f t="shared" si="4"/>
        <v>1.6019769180690702E-3</v>
      </c>
      <c r="J302" s="122">
        <f t="shared" si="4"/>
        <v>0</v>
      </c>
      <c r="K302"/>
      <c r="L302"/>
      <c r="M302"/>
      <c r="N302" s="27"/>
      <c r="O302" s="27"/>
      <c r="P302" s="27"/>
      <c r="Z302"/>
    </row>
    <row r="303" spans="1:26" s="15" customFormat="1" x14ac:dyDescent="0.3">
      <c r="A303" s="17"/>
      <c r="B303"/>
      <c r="C303"/>
      <c r="D303"/>
      <c r="E303"/>
      <c r="F303" s="121">
        <v>43879</v>
      </c>
      <c r="G303" s="53">
        <v>321.00088499999998</v>
      </c>
      <c r="H303" s="53">
        <v>90.108542999999997</v>
      </c>
      <c r="I303" s="122">
        <f t="shared" si="4"/>
        <v>-2.5769673576750973E-3</v>
      </c>
      <c r="J303" s="122">
        <f t="shared" si="4"/>
        <v>1.0914695792152429E-4</v>
      </c>
      <c r="K303"/>
      <c r="L303"/>
      <c r="M303"/>
      <c r="N303" s="27"/>
      <c r="O303" s="27"/>
      <c r="P303" s="27"/>
      <c r="Z303"/>
    </row>
    <row r="304" spans="1:26" s="15" customFormat="1" x14ac:dyDescent="0.3">
      <c r="A304" s="17"/>
      <c r="B304"/>
      <c r="C304"/>
      <c r="D304"/>
      <c r="E304"/>
      <c r="F304" s="121">
        <v>43880</v>
      </c>
      <c r="G304" s="53">
        <v>322.535706</v>
      </c>
      <c r="H304" s="53">
        <v>90.108542999999997</v>
      </c>
      <c r="I304" s="122">
        <f t="shared" si="4"/>
        <v>4.7813606495197281E-3</v>
      </c>
      <c r="J304" s="122">
        <f t="shared" si="4"/>
        <v>0</v>
      </c>
      <c r="K304"/>
      <c r="L304"/>
      <c r="M304"/>
      <c r="N304" s="27"/>
      <c r="O304" s="27"/>
      <c r="P304" s="27"/>
      <c r="Z304"/>
    </row>
    <row r="305" spans="1:26" s="15" customFormat="1" x14ac:dyDescent="0.3">
      <c r="A305" s="17"/>
      <c r="B305"/>
      <c r="C305"/>
      <c r="D305"/>
      <c r="E305"/>
      <c r="F305" s="121">
        <v>43881</v>
      </c>
      <c r="G305" s="53">
        <v>321.21066300000001</v>
      </c>
      <c r="H305" s="53">
        <v>90.108542999999997</v>
      </c>
      <c r="I305" s="122">
        <f t="shared" si="4"/>
        <v>-4.1082056198763484E-3</v>
      </c>
      <c r="J305" s="122">
        <f t="shared" si="4"/>
        <v>0</v>
      </c>
      <c r="K305"/>
      <c r="L305"/>
      <c r="M305"/>
      <c r="N305" s="27"/>
      <c r="O305" s="27"/>
      <c r="P305" s="27"/>
      <c r="Z305"/>
    </row>
    <row r="306" spans="1:26" s="15" customFormat="1" x14ac:dyDescent="0.3">
      <c r="A306" s="17"/>
      <c r="B306"/>
      <c r="C306"/>
      <c r="D306"/>
      <c r="E306"/>
      <c r="F306" s="121">
        <v>43882</v>
      </c>
      <c r="G306" s="53">
        <v>317.90267899999998</v>
      </c>
      <c r="H306" s="53">
        <v>90.128249999999994</v>
      </c>
      <c r="I306" s="122">
        <f t="shared" si="4"/>
        <v>-1.0298487506935738E-2</v>
      </c>
      <c r="J306" s="122">
        <f t="shared" si="4"/>
        <v>2.1870290367465017E-4</v>
      </c>
      <c r="K306"/>
      <c r="L306"/>
      <c r="M306"/>
      <c r="N306" s="27"/>
      <c r="O306" s="27"/>
      <c r="P306" s="27"/>
      <c r="Z306"/>
    </row>
    <row r="307" spans="1:26" s="15" customFormat="1" x14ac:dyDescent="0.3">
      <c r="A307" s="17"/>
      <c r="B307"/>
      <c r="C307"/>
      <c r="D307"/>
      <c r="E307"/>
      <c r="F307" s="121">
        <v>43885</v>
      </c>
      <c r="G307" s="53">
        <v>307.35934400000002</v>
      </c>
      <c r="H307" s="53">
        <v>90.118401000000006</v>
      </c>
      <c r="I307" s="122">
        <f t="shared" si="4"/>
        <v>-3.316529144442959E-2</v>
      </c>
      <c r="J307" s="122">
        <f t="shared" si="4"/>
        <v>-1.092776127350481E-4</v>
      </c>
      <c r="K307"/>
      <c r="L307"/>
      <c r="M307"/>
      <c r="N307" s="27"/>
      <c r="O307" s="27"/>
      <c r="P307" s="27"/>
      <c r="Z307"/>
    </row>
    <row r="308" spans="1:26" s="15" customFormat="1" x14ac:dyDescent="0.3">
      <c r="A308" s="17"/>
      <c r="B308"/>
      <c r="C308"/>
      <c r="D308"/>
      <c r="E308"/>
      <c r="F308" s="121">
        <v>43886</v>
      </c>
      <c r="G308" s="53">
        <v>298.04568499999999</v>
      </c>
      <c r="H308" s="53">
        <v>90.118401000000006</v>
      </c>
      <c r="I308" s="122">
        <f t="shared" si="4"/>
        <v>-3.0302182711582137E-2</v>
      </c>
      <c r="J308" s="122">
        <f t="shared" si="4"/>
        <v>0</v>
      </c>
      <c r="K308"/>
      <c r="L308"/>
      <c r="M308"/>
      <c r="N308" s="27"/>
      <c r="O308" s="27"/>
      <c r="P308" s="27"/>
      <c r="Z308"/>
    </row>
    <row r="309" spans="1:26" x14ac:dyDescent="0.3">
      <c r="F309" s="121">
        <v>43887</v>
      </c>
      <c r="G309" s="53">
        <v>296.94946299999998</v>
      </c>
      <c r="H309" s="53">
        <v>90.138084000000006</v>
      </c>
      <c r="I309" s="122">
        <f t="shared" si="4"/>
        <v>-3.67803345316009E-3</v>
      </c>
      <c r="J309" s="122">
        <f t="shared" si="4"/>
        <v>2.1841266358024747E-4</v>
      </c>
    </row>
    <row r="310" spans="1:26" x14ac:dyDescent="0.3">
      <c r="F310" s="121">
        <v>43888</v>
      </c>
      <c r="G310" s="53">
        <v>283.61294600000002</v>
      </c>
      <c r="H310" s="53">
        <v>90.157791000000003</v>
      </c>
      <c r="I310" s="122">
        <f t="shared" si="4"/>
        <v>-4.49117397460993E-2</v>
      </c>
      <c r="J310" s="122">
        <f t="shared" si="4"/>
        <v>2.1863122806120572E-4</v>
      </c>
    </row>
    <row r="311" spans="1:26" x14ac:dyDescent="0.3">
      <c r="F311" s="121">
        <v>43889</v>
      </c>
      <c r="G311" s="53">
        <v>282.421356</v>
      </c>
      <c r="H311" s="53">
        <v>90.147942</v>
      </c>
      <c r="I311" s="122">
        <f t="shared" si="4"/>
        <v>-4.2014654718900424E-3</v>
      </c>
      <c r="J311" s="122">
        <f t="shared" si="4"/>
        <v>-1.0924180695603969E-4</v>
      </c>
    </row>
    <row r="312" spans="1:26" x14ac:dyDescent="0.3">
      <c r="F312" s="121">
        <v>43892</v>
      </c>
      <c r="G312" s="53">
        <v>294.652039</v>
      </c>
      <c r="H312" s="53">
        <v>90.174567999999994</v>
      </c>
      <c r="I312" s="122">
        <f t="shared" si="4"/>
        <v>4.3306509016265649E-2</v>
      </c>
      <c r="J312" s="122">
        <f t="shared" si="4"/>
        <v>2.953589334295792E-4</v>
      </c>
    </row>
    <row r="313" spans="1:26" x14ac:dyDescent="0.3">
      <c r="F313" s="121">
        <v>43893</v>
      </c>
      <c r="G313" s="53">
        <v>286.21539300000001</v>
      </c>
      <c r="H313" s="53">
        <v>90.194282999999999</v>
      </c>
      <c r="I313" s="122">
        <f t="shared" si="4"/>
        <v>-2.863257294479471E-2</v>
      </c>
      <c r="J313" s="122">
        <f t="shared" si="4"/>
        <v>2.1863148820422396E-4</v>
      </c>
    </row>
    <row r="314" spans="1:26" x14ac:dyDescent="0.3">
      <c r="F314" s="121">
        <v>43894</v>
      </c>
      <c r="G314" s="53">
        <v>298.24594100000002</v>
      </c>
      <c r="H314" s="53">
        <v>90.233704000000003</v>
      </c>
      <c r="I314" s="122">
        <f t="shared" si="4"/>
        <v>4.2033197005585166E-2</v>
      </c>
      <c r="J314" s="122">
        <f t="shared" si="4"/>
        <v>4.370676132543494E-4</v>
      </c>
    </row>
    <row r="315" spans="1:26" x14ac:dyDescent="0.3">
      <c r="F315" s="121">
        <v>43895</v>
      </c>
      <c r="G315" s="53">
        <v>288.33175699999998</v>
      </c>
      <c r="H315" s="53">
        <v>90.253433000000001</v>
      </c>
      <c r="I315" s="122">
        <f t="shared" si="4"/>
        <v>-3.3241639322092342E-2</v>
      </c>
      <c r="J315" s="122">
        <f t="shared" si="4"/>
        <v>2.1864335747534547E-4</v>
      </c>
    </row>
    <row r="316" spans="1:26" x14ac:dyDescent="0.3">
      <c r="F316" s="121">
        <v>43896</v>
      </c>
      <c r="G316" s="53">
        <v>283.56527699999998</v>
      </c>
      <c r="H316" s="53">
        <v>90.253433000000001</v>
      </c>
      <c r="I316" s="122">
        <f t="shared" si="4"/>
        <v>-1.6531234885791668E-2</v>
      </c>
      <c r="J316" s="122">
        <f t="shared" si="4"/>
        <v>0</v>
      </c>
    </row>
    <row r="317" spans="1:26" x14ac:dyDescent="0.3">
      <c r="F317" s="121">
        <v>43899</v>
      </c>
      <c r="G317" s="53">
        <v>261.42044099999998</v>
      </c>
      <c r="H317" s="53">
        <v>90.292846999999995</v>
      </c>
      <c r="I317" s="122">
        <f t="shared" si="4"/>
        <v>-7.809431477042228E-2</v>
      </c>
      <c r="J317" s="122">
        <f t="shared" si="4"/>
        <v>4.3670360993353086E-4</v>
      </c>
    </row>
    <row r="318" spans="1:26" x14ac:dyDescent="0.3">
      <c r="F318" s="121">
        <v>43900</v>
      </c>
      <c r="G318" s="53">
        <v>274.94754</v>
      </c>
      <c r="H318" s="53">
        <v>90.273148000000006</v>
      </c>
      <c r="I318" s="122">
        <f t="shared" si="4"/>
        <v>5.1744610896743204E-2</v>
      </c>
      <c r="J318" s="122">
        <f t="shared" si="4"/>
        <v>-2.1816789097350853E-4</v>
      </c>
    </row>
    <row r="320" spans="1:26" x14ac:dyDescent="0.3">
      <c r="G320" s="1" t="s">
        <v>642</v>
      </c>
      <c r="H320" s="1" t="s">
        <v>643</v>
      </c>
      <c r="I320" s="13" t="s">
        <v>653</v>
      </c>
      <c r="J320" s="13" t="s">
        <v>654</v>
      </c>
    </row>
    <row r="321" spans="6:10" x14ac:dyDescent="0.3">
      <c r="F321" s="121">
        <v>43901</v>
      </c>
      <c r="G321" s="53">
        <v>261.54422</v>
      </c>
      <c r="H321" s="53">
        <v>90.292846999999995</v>
      </c>
      <c r="I321" s="122">
        <f>G321/G318-1</f>
        <v>-4.8748644923318873E-2</v>
      </c>
      <c r="J321" s="122">
        <f>H321/H318-1</f>
        <v>2.1821549858858091E-4</v>
      </c>
    </row>
    <row r="322" spans="6:10" x14ac:dyDescent="0.3">
      <c r="F322" s="121">
        <v>43902</v>
      </c>
      <c r="G322" s="53">
        <v>236.52046200000001</v>
      </c>
      <c r="H322" s="53">
        <v>90.302704000000006</v>
      </c>
      <c r="I322" s="122">
        <f t="shared" si="4"/>
        <v>-9.5676968124166484E-2</v>
      </c>
      <c r="J322" s="122">
        <f t="shared" si="4"/>
        <v>1.0916700854513017E-4</v>
      </c>
    </row>
    <row r="323" spans="6:10" x14ac:dyDescent="0.3">
      <c r="F323" s="121">
        <v>43903</v>
      </c>
      <c r="G323" s="53">
        <v>256.73971599999999</v>
      </c>
      <c r="H323" s="53">
        <v>90.322449000000006</v>
      </c>
      <c r="I323" s="122">
        <f t="shared" si="4"/>
        <v>8.5486278138590777E-2</v>
      </c>
      <c r="J323" s="122">
        <f t="shared" si="4"/>
        <v>2.1865347465110929E-4</v>
      </c>
    </row>
    <row r="324" spans="6:10" x14ac:dyDescent="0.3">
      <c r="F324" s="121">
        <v>43906</v>
      </c>
      <c r="G324" s="53">
        <v>228.64630099999999</v>
      </c>
      <c r="H324" s="53">
        <v>90.332283000000004</v>
      </c>
      <c r="I324" s="122">
        <f t="shared" si="4"/>
        <v>-0.10942372079277363</v>
      </c>
      <c r="J324" s="122">
        <f t="shared" si="4"/>
        <v>1.0887658725899918E-4</v>
      </c>
    </row>
    <row r="325" spans="6:10" x14ac:dyDescent="0.3">
      <c r="F325" s="121">
        <v>43907</v>
      </c>
      <c r="G325" s="53">
        <v>240.99142499999999</v>
      </c>
      <c r="H325" s="53">
        <v>90.332283000000004</v>
      </c>
      <c r="I325" s="122">
        <f t="shared" si="4"/>
        <v>5.3992231433475091E-2</v>
      </c>
      <c r="J325" s="122">
        <f t="shared" si="4"/>
        <v>0</v>
      </c>
    </row>
    <row r="326" spans="6:10" x14ac:dyDescent="0.3">
      <c r="F326" s="121">
        <v>43908</v>
      </c>
      <c r="G326" s="53">
        <v>228.789322</v>
      </c>
      <c r="H326" s="53">
        <v>90.352019999999996</v>
      </c>
      <c r="I326" s="122">
        <f t="shared" si="4"/>
        <v>-5.0632934346107938E-2</v>
      </c>
      <c r="J326" s="122">
        <f t="shared" si="4"/>
        <v>2.1849331539636196E-4</v>
      </c>
    </row>
    <row r="327" spans="6:10" x14ac:dyDescent="0.3">
      <c r="F327" s="121">
        <v>43909</v>
      </c>
      <c r="G327" s="53">
        <v>229.27546699999999</v>
      </c>
      <c r="H327" s="53">
        <v>90.332283000000004</v>
      </c>
      <c r="I327" s="122">
        <f t="shared" si="4"/>
        <v>2.1248587816524722E-3</v>
      </c>
      <c r="J327" s="122">
        <f t="shared" si="4"/>
        <v>-2.1844558649597445E-4</v>
      </c>
    </row>
    <row r="328" spans="6:10" x14ac:dyDescent="0.3">
      <c r="F328" s="121">
        <v>43910</v>
      </c>
      <c r="G328" s="53">
        <v>219.39503500000001</v>
      </c>
      <c r="H328" s="53">
        <v>90.361862000000002</v>
      </c>
      <c r="I328" s="122">
        <f t="shared" si="4"/>
        <v>-4.3094152764281524E-2</v>
      </c>
      <c r="J328" s="122">
        <f t="shared" si="4"/>
        <v>3.2744661174999301E-4</v>
      </c>
    </row>
    <row r="329" spans="6:10" x14ac:dyDescent="0.3">
      <c r="F329" s="121">
        <v>43913</v>
      </c>
      <c r="G329" s="53">
        <v>213.785492</v>
      </c>
      <c r="H329" s="53">
        <v>90.342147999999995</v>
      </c>
      <c r="I329" s="122">
        <f t="shared" si="4"/>
        <v>-2.5568231295662658E-2</v>
      </c>
      <c r="J329" s="122">
        <f t="shared" si="4"/>
        <v>-2.1816726175927226E-4</v>
      </c>
    </row>
    <row r="330" spans="6:10" x14ac:dyDescent="0.3">
      <c r="F330" s="121">
        <v>43914</v>
      </c>
      <c r="G330" s="53">
        <v>233.155136</v>
      </c>
      <c r="H330" s="53">
        <v>90.342147999999995</v>
      </c>
      <c r="I330" s="122">
        <f t="shared" si="4"/>
        <v>9.0603173390269021E-2</v>
      </c>
      <c r="J330" s="122">
        <f t="shared" si="4"/>
        <v>0</v>
      </c>
    </row>
    <row r="331" spans="6:10" x14ac:dyDescent="0.3">
      <c r="F331" s="121">
        <v>43915</v>
      </c>
      <c r="G331" s="53">
        <v>236.645554</v>
      </c>
      <c r="H331" s="53">
        <v>90.342147999999995</v>
      </c>
      <c r="I331" s="122">
        <f t="shared" si="4"/>
        <v>1.4970367197915779E-2</v>
      </c>
      <c r="J331" s="122">
        <f t="shared" si="4"/>
        <v>0</v>
      </c>
    </row>
    <row r="332" spans="6:10" x14ac:dyDescent="0.3">
      <c r="F332" s="121">
        <v>43916</v>
      </c>
      <c r="G332" s="53">
        <v>250.463211</v>
      </c>
      <c r="H332" s="53">
        <v>90.342147999999995</v>
      </c>
      <c r="I332" s="122">
        <f t="shared" si="4"/>
        <v>5.8389675049631329E-2</v>
      </c>
      <c r="J332" s="122">
        <f t="shared" si="4"/>
        <v>0</v>
      </c>
    </row>
    <row r="333" spans="6:10" x14ac:dyDescent="0.3">
      <c r="F333" s="121">
        <v>43917</v>
      </c>
      <c r="G333" s="53">
        <v>243.003006</v>
      </c>
      <c r="H333" s="53">
        <v>90.322449000000006</v>
      </c>
      <c r="I333" s="122">
        <f t="shared" si="4"/>
        <v>-2.9785631870702156E-2</v>
      </c>
      <c r="J333" s="122">
        <f t="shared" si="4"/>
        <v>-2.1804883364062722E-4</v>
      </c>
    </row>
    <row r="334" spans="6:10" x14ac:dyDescent="0.3">
      <c r="F334" s="121">
        <v>43920</v>
      </c>
      <c r="G334" s="53">
        <v>250.894699</v>
      </c>
      <c r="H334" s="53">
        <v>90.322449000000006</v>
      </c>
      <c r="I334" s="122">
        <f t="shared" si="4"/>
        <v>3.247570114420717E-2</v>
      </c>
      <c r="J334" s="122">
        <f t="shared" si="4"/>
        <v>0</v>
      </c>
    </row>
    <row r="335" spans="6:10" x14ac:dyDescent="0.3">
      <c r="F335" s="121">
        <v>43921</v>
      </c>
      <c r="G335" s="53">
        <v>247.15501399999999</v>
      </c>
      <c r="H335" s="53">
        <v>90.332283000000004</v>
      </c>
      <c r="I335" s="122">
        <f t="shared" si="4"/>
        <v>-1.4905396626175849E-2</v>
      </c>
      <c r="J335" s="122">
        <f t="shared" si="4"/>
        <v>1.0887658725899918E-4</v>
      </c>
    </row>
    <row r="336" spans="6:10" x14ac:dyDescent="0.3">
      <c r="F336" s="121">
        <v>43922</v>
      </c>
      <c r="G336" s="53">
        <v>236.03183000000001</v>
      </c>
      <c r="H336" s="53">
        <v>90.324402000000006</v>
      </c>
      <c r="I336" s="122">
        <f t="shared" si="4"/>
        <v>-4.5004889117887692E-2</v>
      </c>
      <c r="J336" s="122">
        <f t="shared" si="4"/>
        <v>-8.7244556854604305E-5</v>
      </c>
    </row>
    <row r="337" spans="6:10" x14ac:dyDescent="0.3">
      <c r="F337" s="121">
        <v>43923</v>
      </c>
      <c r="G337" s="53">
        <v>241.478363</v>
      </c>
      <c r="H337" s="53">
        <v>90.334266999999997</v>
      </c>
      <c r="I337" s="122">
        <f t="shared" si="4"/>
        <v>2.3075417412981913E-2</v>
      </c>
      <c r="J337" s="122">
        <f t="shared" si="4"/>
        <v>1.0921744048730808E-4</v>
      </c>
    </row>
    <row r="338" spans="6:10" x14ac:dyDescent="0.3">
      <c r="F338" s="121">
        <v>43924</v>
      </c>
      <c r="G338" s="53">
        <v>237.98799099999999</v>
      </c>
      <c r="H338" s="53">
        <v>90.304671999999997</v>
      </c>
      <c r="I338" s="122">
        <f t="shared" si="4"/>
        <v>-1.445418113920216E-2</v>
      </c>
      <c r="J338" s="122">
        <f t="shared" si="4"/>
        <v>-3.2761654002244622E-4</v>
      </c>
    </row>
    <row r="339" spans="6:10" x14ac:dyDescent="0.3">
      <c r="F339" s="121">
        <v>43927</v>
      </c>
      <c r="G339" s="53">
        <v>253.97271699999999</v>
      </c>
      <c r="H339" s="53">
        <v>90.314537000000001</v>
      </c>
      <c r="I339" s="122">
        <f t="shared" si="4"/>
        <v>6.7166103351828266E-2</v>
      </c>
      <c r="J339" s="122">
        <f t="shared" si="4"/>
        <v>1.0924130259848397E-4</v>
      </c>
    </row>
    <row r="340" spans="6:10" x14ac:dyDescent="0.3">
      <c r="F340" s="121">
        <v>43928</v>
      </c>
      <c r="G340" s="53">
        <v>254.23165900000001</v>
      </c>
      <c r="H340" s="53">
        <v>90.294807000000006</v>
      </c>
      <c r="I340" s="122">
        <f t="shared" si="4"/>
        <v>1.0195662079719447E-3</v>
      </c>
      <c r="J340" s="122">
        <f t="shared" si="4"/>
        <v>-2.1845874047932146E-4</v>
      </c>
    </row>
    <row r="341" spans="6:10" x14ac:dyDescent="0.3">
      <c r="F341" s="121">
        <v>43929</v>
      </c>
      <c r="G341" s="53">
        <v>262.76577800000001</v>
      </c>
      <c r="H341" s="53">
        <v>90.304671999999997</v>
      </c>
      <c r="I341" s="122">
        <f t="shared" si="4"/>
        <v>3.3568277977527483E-2</v>
      </c>
      <c r="J341" s="122">
        <f t="shared" si="4"/>
        <v>1.0925323756416638E-4</v>
      </c>
    </row>
    <row r="342" spans="6:10" x14ac:dyDescent="0.3">
      <c r="F342" s="121">
        <v>43930</v>
      </c>
      <c r="G342" s="53">
        <v>266.76443499999999</v>
      </c>
      <c r="H342" s="53">
        <v>90.284935000000004</v>
      </c>
      <c r="I342" s="122">
        <f t="shared" si="4"/>
        <v>1.521757144493896E-2</v>
      </c>
      <c r="J342" s="122">
        <f t="shared" si="4"/>
        <v>-2.185601205659804E-4</v>
      </c>
    </row>
    <row r="343" spans="6:10" x14ac:dyDescent="0.3">
      <c r="F343" s="121">
        <v>43934</v>
      </c>
      <c r="G343" s="53">
        <v>264.32876599999997</v>
      </c>
      <c r="H343" s="53">
        <v>90.304671999999997</v>
      </c>
      <c r="I343" s="122">
        <f t="shared" ref="I343:J406" si="5">G343/G342-1</f>
        <v>-9.1304112559082995E-3</v>
      </c>
      <c r="J343" s="122">
        <f t="shared" si="5"/>
        <v>2.1860789953476178E-4</v>
      </c>
    </row>
    <row r="344" spans="6:10" x14ac:dyDescent="0.3">
      <c r="F344" s="121">
        <v>43935</v>
      </c>
      <c r="G344" s="53">
        <v>272.124664</v>
      </c>
      <c r="H344" s="53">
        <v>90.314537000000001</v>
      </c>
      <c r="I344" s="122">
        <f t="shared" si="5"/>
        <v>2.949318803992762E-2</v>
      </c>
      <c r="J344" s="122">
        <f t="shared" si="5"/>
        <v>1.0924130259848397E-4</v>
      </c>
    </row>
    <row r="345" spans="6:10" x14ac:dyDescent="0.3">
      <c r="F345" s="121">
        <v>43936</v>
      </c>
      <c r="G345" s="53">
        <v>266.342468</v>
      </c>
      <c r="H345" s="53">
        <v>90.304671999999997</v>
      </c>
      <c r="I345" s="122">
        <f t="shared" si="5"/>
        <v>-2.1248334917558176E-2</v>
      </c>
      <c r="J345" s="122">
        <f t="shared" si="5"/>
        <v>-1.0922937023971624E-4</v>
      </c>
    </row>
    <row r="346" spans="6:10" x14ac:dyDescent="0.3">
      <c r="F346" s="121">
        <v>43937</v>
      </c>
      <c r="G346" s="53">
        <v>267.627411</v>
      </c>
      <c r="H346" s="53">
        <v>90.294807000000006</v>
      </c>
      <c r="I346" s="122">
        <f t="shared" si="5"/>
        <v>4.8244014919918143E-3</v>
      </c>
      <c r="J346" s="122">
        <f t="shared" si="5"/>
        <v>-1.0924130259826192E-4</v>
      </c>
    </row>
    <row r="347" spans="6:10" x14ac:dyDescent="0.3">
      <c r="F347" s="121">
        <v>43938</v>
      </c>
      <c r="G347" s="53">
        <v>274.85745200000002</v>
      </c>
      <c r="H347" s="53">
        <v>90.314537000000001</v>
      </c>
      <c r="I347" s="122">
        <f t="shared" si="5"/>
        <v>2.7015323180031192E-2</v>
      </c>
      <c r="J347" s="122">
        <f t="shared" si="5"/>
        <v>2.1850647512877686E-4</v>
      </c>
    </row>
    <row r="348" spans="6:10" x14ac:dyDescent="0.3">
      <c r="F348" s="121">
        <v>43941</v>
      </c>
      <c r="G348" s="53">
        <v>270.01504499999999</v>
      </c>
      <c r="H348" s="53">
        <v>90.304671999999997</v>
      </c>
      <c r="I348" s="122">
        <f t="shared" si="5"/>
        <v>-1.7617885070112749E-2</v>
      </c>
      <c r="J348" s="122">
        <f t="shared" si="5"/>
        <v>-1.0922937023971624E-4</v>
      </c>
    </row>
    <row r="349" spans="6:10" x14ac:dyDescent="0.3">
      <c r="F349" s="121">
        <v>43942</v>
      </c>
      <c r="G349" s="53">
        <v>261.81652800000001</v>
      </c>
      <c r="H349" s="53">
        <v>90.304671999999997</v>
      </c>
      <c r="I349" s="122">
        <f t="shared" si="5"/>
        <v>-3.0363185873587106E-2</v>
      </c>
      <c r="J349" s="122">
        <f t="shared" si="5"/>
        <v>0</v>
      </c>
    </row>
    <row r="350" spans="6:10" x14ac:dyDescent="0.3">
      <c r="F350" s="121">
        <v>43943</v>
      </c>
      <c r="G350" s="53">
        <v>267.627411</v>
      </c>
      <c r="H350" s="53">
        <v>90.304671999999997</v>
      </c>
      <c r="I350" s="122">
        <f t="shared" si="5"/>
        <v>2.2194484986830076E-2</v>
      </c>
      <c r="J350" s="122">
        <f t="shared" si="5"/>
        <v>0</v>
      </c>
    </row>
    <row r="351" spans="6:10" x14ac:dyDescent="0.3">
      <c r="F351" s="121">
        <v>43944</v>
      </c>
      <c r="G351" s="53">
        <v>267.60824600000001</v>
      </c>
      <c r="H351" s="53">
        <v>90.314537000000001</v>
      </c>
      <c r="I351" s="122">
        <f t="shared" si="5"/>
        <v>-7.1610751411377294E-5</v>
      </c>
      <c r="J351" s="122">
        <f t="shared" si="5"/>
        <v>1.0924130259848397E-4</v>
      </c>
    </row>
    <row r="352" spans="6:10" x14ac:dyDescent="0.3">
      <c r="F352" s="121">
        <v>43945</v>
      </c>
      <c r="G352" s="53">
        <v>271.338348</v>
      </c>
      <c r="H352" s="53">
        <v>90.304671999999997</v>
      </c>
      <c r="I352" s="122">
        <f t="shared" si="5"/>
        <v>1.3938666150070667E-2</v>
      </c>
      <c r="J352" s="122">
        <f t="shared" si="5"/>
        <v>-1.0922937023971624E-4</v>
      </c>
    </row>
    <row r="353" spans="6:10" x14ac:dyDescent="0.3">
      <c r="F353" s="121">
        <v>43948</v>
      </c>
      <c r="G353" s="53">
        <v>275.25064099999997</v>
      </c>
      <c r="H353" s="53">
        <v>90.304671999999997</v>
      </c>
      <c r="I353" s="122">
        <f t="shared" si="5"/>
        <v>1.4418503793647286E-2</v>
      </c>
      <c r="J353" s="122">
        <f t="shared" si="5"/>
        <v>0</v>
      </c>
    </row>
    <row r="354" spans="6:10" x14ac:dyDescent="0.3">
      <c r="F354" s="121">
        <v>43949</v>
      </c>
      <c r="G354" s="53">
        <v>273.98492399999998</v>
      </c>
      <c r="H354" s="53">
        <v>90.304671999999997</v>
      </c>
      <c r="I354" s="122">
        <f t="shared" si="5"/>
        <v>-4.5984161758955144E-3</v>
      </c>
      <c r="J354" s="122">
        <f t="shared" si="5"/>
        <v>0</v>
      </c>
    </row>
    <row r="355" spans="6:10" x14ac:dyDescent="0.3">
      <c r="F355" s="121">
        <v>43950</v>
      </c>
      <c r="G355" s="53">
        <v>281.15741000000003</v>
      </c>
      <c r="H355" s="53">
        <v>90.294807000000006</v>
      </c>
      <c r="I355" s="122">
        <f t="shared" si="5"/>
        <v>2.6178396589441766E-2</v>
      </c>
      <c r="J355" s="122">
        <f t="shared" si="5"/>
        <v>-1.0924130259826192E-4</v>
      </c>
    </row>
    <row r="356" spans="6:10" x14ac:dyDescent="0.3">
      <c r="F356" s="121">
        <v>43951</v>
      </c>
      <c r="G356" s="53">
        <v>278.53964200000001</v>
      </c>
      <c r="H356" s="53">
        <v>90.314537000000001</v>
      </c>
      <c r="I356" s="122">
        <f t="shared" si="5"/>
        <v>-9.3106847157256034E-3</v>
      </c>
      <c r="J356" s="122">
        <f t="shared" si="5"/>
        <v>2.1850647512877686E-4</v>
      </c>
    </row>
    <row r="357" spans="6:10" x14ac:dyDescent="0.3">
      <c r="F357" s="121">
        <v>43952</v>
      </c>
      <c r="G357" s="53">
        <v>271.16574100000003</v>
      </c>
      <c r="H357" s="53">
        <v>90.298743999999999</v>
      </c>
      <c r="I357" s="122">
        <f t="shared" si="5"/>
        <v>-2.6473434614380675E-2</v>
      </c>
      <c r="J357" s="122">
        <f t="shared" si="5"/>
        <v>-1.7486664411514585E-4</v>
      </c>
    </row>
    <row r="358" spans="6:10" x14ac:dyDescent="0.3">
      <c r="F358" s="121">
        <v>43955</v>
      </c>
      <c r="G358" s="53">
        <v>271.91366599999998</v>
      </c>
      <c r="H358" s="53">
        <v>90.298743999999999</v>
      </c>
      <c r="I358" s="122">
        <f t="shared" si="5"/>
        <v>2.7581839698547217E-3</v>
      </c>
      <c r="J358" s="122">
        <f t="shared" si="5"/>
        <v>0</v>
      </c>
    </row>
    <row r="359" spans="6:10" x14ac:dyDescent="0.3">
      <c r="F359" s="121">
        <v>43956</v>
      </c>
      <c r="G359" s="53">
        <v>274.42596400000002</v>
      </c>
      <c r="H359" s="53">
        <v>90.298743999999999</v>
      </c>
      <c r="I359" s="122">
        <f t="shared" si="5"/>
        <v>9.2393223075446507E-3</v>
      </c>
      <c r="J359" s="122">
        <f t="shared" si="5"/>
        <v>0</v>
      </c>
    </row>
    <row r="360" spans="6:10" x14ac:dyDescent="0.3">
      <c r="F360" s="121">
        <v>43957</v>
      </c>
      <c r="G360" s="53">
        <v>272.56573500000002</v>
      </c>
      <c r="H360" s="53">
        <v>90.308616999999998</v>
      </c>
      <c r="I360" s="122">
        <f t="shared" si="5"/>
        <v>-6.7786188044510753E-3</v>
      </c>
      <c r="J360" s="122">
        <f t="shared" si="5"/>
        <v>1.0933706896287809E-4</v>
      </c>
    </row>
    <row r="361" spans="6:10" x14ac:dyDescent="0.3">
      <c r="F361" s="121">
        <v>43958</v>
      </c>
      <c r="G361" s="53">
        <v>275.85470600000002</v>
      </c>
      <c r="H361" s="53">
        <v>90.298743999999999</v>
      </c>
      <c r="I361" s="122">
        <f t="shared" si="5"/>
        <v>1.2066707504521768E-2</v>
      </c>
      <c r="J361" s="122">
        <f t="shared" si="5"/>
        <v>-1.0932511567529613E-4</v>
      </c>
    </row>
    <row r="362" spans="6:10" x14ac:dyDescent="0.3">
      <c r="F362" s="121">
        <v>43959</v>
      </c>
      <c r="G362" s="53">
        <v>280.41906699999998</v>
      </c>
      <c r="H362" s="53">
        <v>90.298743999999999</v>
      </c>
      <c r="I362" s="122">
        <f t="shared" si="5"/>
        <v>1.6546250256828987E-2</v>
      </c>
      <c r="J362" s="122">
        <f t="shared" si="5"/>
        <v>0</v>
      </c>
    </row>
    <row r="363" spans="6:10" x14ac:dyDescent="0.3">
      <c r="F363" s="121">
        <v>43962</v>
      </c>
      <c r="G363" s="53">
        <v>280.47662400000002</v>
      </c>
      <c r="H363" s="53">
        <v>90.308616999999998</v>
      </c>
      <c r="I363" s="122">
        <f t="shared" si="5"/>
        <v>2.0525351794287161E-4</v>
      </c>
      <c r="J363" s="122">
        <f t="shared" si="5"/>
        <v>1.0933706896287809E-4</v>
      </c>
    </row>
    <row r="364" spans="6:10" x14ac:dyDescent="0.3">
      <c r="F364" s="121">
        <v>43963</v>
      </c>
      <c r="G364" s="53">
        <v>274.88623000000001</v>
      </c>
      <c r="H364" s="53">
        <v>90.308616999999998</v>
      </c>
      <c r="I364" s="122">
        <f t="shared" si="5"/>
        <v>-1.9931764438237076E-2</v>
      </c>
      <c r="J364" s="122">
        <f t="shared" si="5"/>
        <v>0</v>
      </c>
    </row>
    <row r="365" spans="6:10" x14ac:dyDescent="0.3">
      <c r="F365" s="121">
        <v>43964</v>
      </c>
      <c r="G365" s="53">
        <v>270.02462800000001</v>
      </c>
      <c r="H365" s="53">
        <v>90.308616999999998</v>
      </c>
      <c r="I365" s="122">
        <f t="shared" si="5"/>
        <v>-1.7685869532278908E-2</v>
      </c>
      <c r="J365" s="122">
        <f t="shared" si="5"/>
        <v>0</v>
      </c>
    </row>
    <row r="366" spans="6:10" x14ac:dyDescent="0.3">
      <c r="F366" s="121">
        <v>43965</v>
      </c>
      <c r="G366" s="53">
        <v>273.25613399999997</v>
      </c>
      <c r="H366" s="53">
        <v>90.318481000000006</v>
      </c>
      <c r="I366" s="122">
        <f t="shared" si="5"/>
        <v>1.1967449132084251E-2</v>
      </c>
      <c r="J366" s="122">
        <f t="shared" si="5"/>
        <v>1.0922545741132161E-4</v>
      </c>
    </row>
    <row r="367" spans="6:10" x14ac:dyDescent="0.3">
      <c r="F367" s="121">
        <v>43966</v>
      </c>
      <c r="G367" s="53">
        <v>274.51226800000001</v>
      </c>
      <c r="H367" s="53">
        <v>90.298743999999999</v>
      </c>
      <c r="I367" s="122">
        <f t="shared" si="5"/>
        <v>4.5969105308356628E-3</v>
      </c>
      <c r="J367" s="122">
        <f t="shared" si="5"/>
        <v>-2.1852670440736244E-4</v>
      </c>
    </row>
    <row r="368" spans="6:10" x14ac:dyDescent="0.3">
      <c r="F368" s="121">
        <v>43969</v>
      </c>
      <c r="G368" s="53">
        <v>282.87383999999997</v>
      </c>
      <c r="H368" s="53">
        <v>90.298743999999999</v>
      </c>
      <c r="I368" s="122">
        <f t="shared" si="5"/>
        <v>3.0459738870395325E-2</v>
      </c>
      <c r="J368" s="122">
        <f t="shared" si="5"/>
        <v>0</v>
      </c>
    </row>
    <row r="369" spans="6:10" x14ac:dyDescent="0.3">
      <c r="F369" s="121">
        <v>43970</v>
      </c>
      <c r="G369" s="53">
        <v>279.968323</v>
      </c>
      <c r="H369" s="53">
        <v>90.298743999999999</v>
      </c>
      <c r="I369" s="122">
        <f t="shared" si="5"/>
        <v>-1.0271423472739571E-2</v>
      </c>
      <c r="J369" s="122">
        <f t="shared" si="5"/>
        <v>0</v>
      </c>
    </row>
    <row r="370" spans="6:10" x14ac:dyDescent="0.3">
      <c r="F370" s="121">
        <v>43971</v>
      </c>
      <c r="G370" s="53">
        <v>284.72451799999999</v>
      </c>
      <c r="H370" s="53">
        <v>90.298743999999999</v>
      </c>
      <c r="I370" s="122">
        <f t="shared" si="5"/>
        <v>1.6988332640760939E-2</v>
      </c>
      <c r="J370" s="122">
        <f t="shared" si="5"/>
        <v>0</v>
      </c>
    </row>
    <row r="371" spans="6:10" x14ac:dyDescent="0.3">
      <c r="F371" s="121">
        <v>43972</v>
      </c>
      <c r="G371" s="53">
        <v>282.75878899999998</v>
      </c>
      <c r="H371" s="53">
        <v>90.308616999999998</v>
      </c>
      <c r="I371" s="122">
        <f t="shared" si="5"/>
        <v>-6.9039681366674932E-3</v>
      </c>
      <c r="J371" s="122">
        <f t="shared" si="5"/>
        <v>1.0933706896287809E-4</v>
      </c>
    </row>
    <row r="372" spans="6:10" x14ac:dyDescent="0.3">
      <c r="F372" s="121">
        <v>43973</v>
      </c>
      <c r="G372" s="53">
        <v>283.29580700000002</v>
      </c>
      <c r="H372" s="53">
        <v>90.298743999999999</v>
      </c>
      <c r="I372" s="122">
        <f t="shared" si="5"/>
        <v>1.8992088695075626E-3</v>
      </c>
      <c r="J372" s="122">
        <f t="shared" si="5"/>
        <v>-1.0932511567529613E-4</v>
      </c>
    </row>
    <row r="373" spans="6:10" x14ac:dyDescent="0.3">
      <c r="F373" s="121">
        <v>43977</v>
      </c>
      <c r="G373" s="53">
        <v>286.78610200000003</v>
      </c>
      <c r="H373" s="53">
        <v>90.308616999999998</v>
      </c>
      <c r="I373" s="122">
        <f t="shared" si="5"/>
        <v>1.232032001094896E-2</v>
      </c>
      <c r="J373" s="122">
        <f t="shared" si="5"/>
        <v>1.0933706896287809E-4</v>
      </c>
    </row>
    <row r="374" spans="6:10" x14ac:dyDescent="0.3">
      <c r="F374" s="121">
        <v>43978</v>
      </c>
      <c r="G374" s="53">
        <v>291.05319200000002</v>
      </c>
      <c r="H374" s="53">
        <v>90.298743999999999</v>
      </c>
      <c r="I374" s="122">
        <f t="shared" si="5"/>
        <v>1.4878998564581858E-2</v>
      </c>
      <c r="J374" s="122">
        <f t="shared" si="5"/>
        <v>-1.0932511567529613E-4</v>
      </c>
    </row>
    <row r="375" spans="6:10" x14ac:dyDescent="0.3">
      <c r="F375" s="121">
        <v>43979</v>
      </c>
      <c r="G375" s="53">
        <v>290.51623499999999</v>
      </c>
      <c r="H375" s="53">
        <v>90.298743999999999</v>
      </c>
      <c r="I375" s="122">
        <f t="shared" si="5"/>
        <v>-1.84487583286852E-3</v>
      </c>
      <c r="J375" s="122">
        <f t="shared" si="5"/>
        <v>0</v>
      </c>
    </row>
    <row r="376" spans="6:10" x14ac:dyDescent="0.3">
      <c r="F376" s="121">
        <v>43980</v>
      </c>
      <c r="G376" s="53">
        <v>291.810699</v>
      </c>
      <c r="H376" s="53">
        <v>90.298743999999999</v>
      </c>
      <c r="I376" s="122">
        <f t="shared" si="5"/>
        <v>4.4557372155122899E-3</v>
      </c>
      <c r="J376" s="122">
        <f t="shared" si="5"/>
        <v>0</v>
      </c>
    </row>
    <row r="377" spans="6:10" x14ac:dyDescent="0.3">
      <c r="F377" s="121">
        <v>43983</v>
      </c>
      <c r="G377" s="53">
        <v>292.99017300000003</v>
      </c>
      <c r="H377" s="53">
        <v>90.308616999999998</v>
      </c>
      <c r="I377" s="122">
        <f t="shared" si="5"/>
        <v>4.0419148579609043E-3</v>
      </c>
      <c r="J377" s="122">
        <f t="shared" si="5"/>
        <v>1.0933706896287809E-4</v>
      </c>
    </row>
    <row r="378" spans="6:10" x14ac:dyDescent="0.3">
      <c r="F378" s="121">
        <v>43984</v>
      </c>
      <c r="G378" s="53">
        <v>295.41610700000001</v>
      </c>
      <c r="H378" s="53">
        <v>90.308616999999998</v>
      </c>
      <c r="I378" s="122">
        <f t="shared" si="5"/>
        <v>8.279915927419168E-3</v>
      </c>
      <c r="J378" s="122">
        <f t="shared" si="5"/>
        <v>0</v>
      </c>
    </row>
    <row r="379" spans="6:10" x14ac:dyDescent="0.3">
      <c r="F379" s="121">
        <v>43985</v>
      </c>
      <c r="G379" s="53">
        <v>299.34765599999997</v>
      </c>
      <c r="H379" s="53">
        <v>90.308616999999998</v>
      </c>
      <c r="I379" s="122">
        <f t="shared" si="5"/>
        <v>1.3308512660076266E-2</v>
      </c>
      <c r="J379" s="122">
        <f t="shared" si="5"/>
        <v>0</v>
      </c>
    </row>
    <row r="380" spans="6:10" x14ac:dyDescent="0.3">
      <c r="F380" s="121">
        <v>43986</v>
      </c>
      <c r="G380" s="53">
        <v>298.56133999999997</v>
      </c>
      <c r="H380" s="53">
        <v>90.308616999999998</v>
      </c>
      <c r="I380" s="122">
        <f t="shared" si="5"/>
        <v>-2.6267651816855864E-3</v>
      </c>
      <c r="J380" s="122">
        <f t="shared" si="5"/>
        <v>0</v>
      </c>
    </row>
    <row r="381" spans="6:10" x14ac:dyDescent="0.3">
      <c r="F381" s="121">
        <v>43987</v>
      </c>
      <c r="G381" s="53">
        <v>306.213348</v>
      </c>
      <c r="H381" s="53">
        <v>90.288887000000003</v>
      </c>
      <c r="I381" s="122">
        <f t="shared" si="5"/>
        <v>2.5629600938956276E-2</v>
      </c>
      <c r="J381" s="122">
        <f t="shared" si="5"/>
        <v>-2.1847306110334141E-4</v>
      </c>
    </row>
    <row r="382" spans="6:10" x14ac:dyDescent="0.3">
      <c r="F382" s="121">
        <v>43990</v>
      </c>
      <c r="G382" s="53">
        <v>309.91467299999999</v>
      </c>
      <c r="H382" s="53">
        <v>90.298743999999999</v>
      </c>
      <c r="I382" s="122">
        <f t="shared" si="5"/>
        <v>1.2087405804400042E-2</v>
      </c>
      <c r="J382" s="122">
        <f t="shared" si="5"/>
        <v>1.0917179652469855E-4</v>
      </c>
    </row>
    <row r="383" spans="6:10" x14ac:dyDescent="0.3">
      <c r="F383" s="121">
        <v>43991</v>
      </c>
      <c r="G383" s="53">
        <v>307.60376000000002</v>
      </c>
      <c r="H383" s="53">
        <v>90.298743999999999</v>
      </c>
      <c r="I383" s="122">
        <f t="shared" si="5"/>
        <v>-7.4566104845250614E-3</v>
      </c>
      <c r="J383" s="122">
        <f t="shared" si="5"/>
        <v>0</v>
      </c>
    </row>
    <row r="384" spans="6:10" x14ac:dyDescent="0.3">
      <c r="F384" s="121">
        <v>43992</v>
      </c>
      <c r="G384" s="53">
        <v>305.88732900000002</v>
      </c>
      <c r="H384" s="53">
        <v>90.308616999999998</v>
      </c>
      <c r="I384" s="122">
        <f t="shared" si="5"/>
        <v>-5.5800065642890306E-3</v>
      </c>
      <c r="J384" s="122">
        <f t="shared" si="5"/>
        <v>1.0933706896287809E-4</v>
      </c>
    </row>
    <row r="385" spans="6:10" x14ac:dyDescent="0.3">
      <c r="F385" s="121">
        <v>43993</v>
      </c>
      <c r="G385" s="53">
        <v>288.25320399999998</v>
      </c>
      <c r="H385" s="53">
        <v>90.288887000000003</v>
      </c>
      <c r="I385" s="122">
        <f t="shared" si="5"/>
        <v>-5.7649086209779044E-2</v>
      </c>
      <c r="J385" s="122">
        <f t="shared" si="5"/>
        <v>-2.1847306110334141E-4</v>
      </c>
    </row>
    <row r="386" spans="6:10" x14ac:dyDescent="0.3">
      <c r="F386" s="121">
        <v>43994</v>
      </c>
      <c r="G386" s="53">
        <v>291.70526100000001</v>
      </c>
      <c r="H386" s="53">
        <v>90.308616999999998</v>
      </c>
      <c r="I386" s="122">
        <f t="shared" si="5"/>
        <v>1.1975780154728222E-2</v>
      </c>
      <c r="J386" s="122">
        <f t="shared" si="5"/>
        <v>2.1852080201179014E-4</v>
      </c>
    </row>
    <row r="387" spans="6:10" x14ac:dyDescent="0.3">
      <c r="F387" s="121">
        <v>43997</v>
      </c>
      <c r="G387" s="53">
        <v>294.42852800000003</v>
      </c>
      <c r="H387" s="53">
        <v>90.308616999999998</v>
      </c>
      <c r="I387" s="122">
        <f t="shared" si="5"/>
        <v>9.3356800993726896E-3</v>
      </c>
      <c r="J387" s="122">
        <f t="shared" si="5"/>
        <v>0</v>
      </c>
    </row>
    <row r="388" spans="6:10" x14ac:dyDescent="0.3">
      <c r="F388" s="121">
        <v>43998</v>
      </c>
      <c r="G388" s="53">
        <v>300.09558099999998</v>
      </c>
      <c r="H388" s="53">
        <v>90.308616999999998</v>
      </c>
      <c r="I388" s="122">
        <f t="shared" si="5"/>
        <v>1.92476355416209E-2</v>
      </c>
      <c r="J388" s="122">
        <f t="shared" si="5"/>
        <v>0</v>
      </c>
    </row>
    <row r="389" spans="6:10" x14ac:dyDescent="0.3">
      <c r="F389" s="121">
        <v>43999</v>
      </c>
      <c r="G389" s="53">
        <v>298.84903000000003</v>
      </c>
      <c r="H389" s="53">
        <v>90.308616999999998</v>
      </c>
      <c r="I389" s="122">
        <f t="shared" si="5"/>
        <v>-4.1538465706363326E-3</v>
      </c>
      <c r="J389" s="122">
        <f t="shared" si="5"/>
        <v>0</v>
      </c>
    </row>
    <row r="390" spans="6:10" x14ac:dyDescent="0.3">
      <c r="F390" s="121">
        <v>44000</v>
      </c>
      <c r="G390" s="53">
        <v>298.96404999999999</v>
      </c>
      <c r="H390" s="53">
        <v>90.298743999999999</v>
      </c>
      <c r="I390" s="122">
        <f t="shared" si="5"/>
        <v>3.8487660475250429E-4</v>
      </c>
      <c r="J390" s="122">
        <f t="shared" si="5"/>
        <v>-1.0932511567529613E-4</v>
      </c>
    </row>
    <row r="391" spans="6:10" x14ac:dyDescent="0.3">
      <c r="F391" s="121">
        <v>44001</v>
      </c>
      <c r="G391" s="53">
        <v>297.25552399999998</v>
      </c>
      <c r="H391" s="53">
        <v>90.298743999999999</v>
      </c>
      <c r="I391" s="122">
        <f t="shared" si="5"/>
        <v>-5.7148208956896429E-3</v>
      </c>
      <c r="J391" s="122">
        <f t="shared" si="5"/>
        <v>0</v>
      </c>
    </row>
    <row r="392" spans="6:10" x14ac:dyDescent="0.3">
      <c r="F392" s="121">
        <v>44004</v>
      </c>
      <c r="G392" s="53">
        <v>299.16253699999999</v>
      </c>
      <c r="H392" s="53">
        <v>90.298743999999999</v>
      </c>
      <c r="I392" s="122">
        <f t="shared" si="5"/>
        <v>6.4153997017057929E-3</v>
      </c>
      <c r="J392" s="122">
        <f t="shared" si="5"/>
        <v>0</v>
      </c>
    </row>
    <row r="393" spans="6:10" x14ac:dyDescent="0.3">
      <c r="F393" s="121">
        <v>44005</v>
      </c>
      <c r="G393" s="53">
        <v>300.53970299999997</v>
      </c>
      <c r="H393" s="53">
        <v>90.298743999999999</v>
      </c>
      <c r="I393" s="122">
        <f t="shared" si="5"/>
        <v>4.6034039348983313E-3</v>
      </c>
      <c r="J393" s="122">
        <f t="shared" si="5"/>
        <v>0</v>
      </c>
    </row>
    <row r="394" spans="6:10" x14ac:dyDescent="0.3">
      <c r="F394" s="121">
        <v>44006</v>
      </c>
      <c r="G394" s="53">
        <v>292.87329099999999</v>
      </c>
      <c r="H394" s="53">
        <v>90.298743999999999</v>
      </c>
      <c r="I394" s="122">
        <f t="shared" si="5"/>
        <v>-2.5508816051501793E-2</v>
      </c>
      <c r="J394" s="122">
        <f t="shared" si="5"/>
        <v>0</v>
      </c>
    </row>
    <row r="395" spans="6:10" x14ac:dyDescent="0.3">
      <c r="F395" s="121">
        <v>44007</v>
      </c>
      <c r="G395" s="53">
        <v>296.01306199999999</v>
      </c>
      <c r="H395" s="53">
        <v>90.308616999999998</v>
      </c>
      <c r="I395" s="122">
        <f t="shared" si="5"/>
        <v>1.0720578135614334E-2</v>
      </c>
      <c r="J395" s="122">
        <f t="shared" si="5"/>
        <v>1.0933706896287809E-4</v>
      </c>
    </row>
    <row r="396" spans="6:10" x14ac:dyDescent="0.3">
      <c r="F396" s="121">
        <v>44008</v>
      </c>
      <c r="G396" s="53">
        <v>288.98236100000003</v>
      </c>
      <c r="H396" s="53">
        <v>90.298743999999999</v>
      </c>
      <c r="I396" s="122">
        <f t="shared" si="5"/>
        <v>-2.375132013600123E-2</v>
      </c>
      <c r="J396" s="122">
        <f t="shared" si="5"/>
        <v>-1.0932511567529613E-4</v>
      </c>
    </row>
    <row r="397" spans="6:10" x14ac:dyDescent="0.3">
      <c r="F397" s="121">
        <v>44011</v>
      </c>
      <c r="G397" s="53">
        <v>293.22967499999999</v>
      </c>
      <c r="H397" s="53">
        <v>90.298743999999999</v>
      </c>
      <c r="I397" s="122">
        <f t="shared" si="5"/>
        <v>1.4697485290460222E-2</v>
      </c>
      <c r="J397" s="122">
        <f t="shared" si="5"/>
        <v>0</v>
      </c>
    </row>
    <row r="398" spans="6:10" x14ac:dyDescent="0.3">
      <c r="F398" s="121">
        <v>44012</v>
      </c>
      <c r="G398" s="53">
        <v>296.98577899999998</v>
      </c>
      <c r="H398" s="53">
        <v>90.298743999999999</v>
      </c>
      <c r="I398" s="122">
        <f t="shared" si="5"/>
        <v>1.2809426603906937E-2</v>
      </c>
      <c r="J398" s="122">
        <f t="shared" si="5"/>
        <v>0</v>
      </c>
    </row>
    <row r="399" spans="6:10" x14ac:dyDescent="0.3">
      <c r="F399" s="121">
        <v>44013</v>
      </c>
      <c r="G399" s="53">
        <v>299.06616200000002</v>
      </c>
      <c r="H399" s="53">
        <v>90.298743999999999</v>
      </c>
      <c r="I399" s="122">
        <f t="shared" si="5"/>
        <v>7.0049919797676719E-3</v>
      </c>
      <c r="J399" s="122">
        <f t="shared" si="5"/>
        <v>0</v>
      </c>
    </row>
    <row r="400" spans="6:10" x14ac:dyDescent="0.3">
      <c r="F400" s="121">
        <v>44014</v>
      </c>
      <c r="G400" s="53">
        <v>300.71310399999999</v>
      </c>
      <c r="H400" s="53">
        <v>90.308616999999998</v>
      </c>
      <c r="I400" s="122">
        <f t="shared" si="5"/>
        <v>5.5069486597416617E-3</v>
      </c>
      <c r="J400" s="122">
        <f t="shared" si="5"/>
        <v>1.0933706896287809E-4</v>
      </c>
    </row>
    <row r="401" spans="6:10" x14ac:dyDescent="0.3">
      <c r="F401" s="121">
        <v>44018</v>
      </c>
      <c r="G401" s="53">
        <v>305.35528599999998</v>
      </c>
      <c r="H401" s="53">
        <v>90.298743999999999</v>
      </c>
      <c r="I401" s="122">
        <f t="shared" si="5"/>
        <v>1.5437245461707549E-2</v>
      </c>
      <c r="J401" s="122">
        <f t="shared" si="5"/>
        <v>-1.0932511567529613E-4</v>
      </c>
    </row>
    <row r="402" spans="6:10" x14ac:dyDescent="0.3">
      <c r="F402" s="121">
        <v>44019</v>
      </c>
      <c r="G402" s="53">
        <v>302.20593300000002</v>
      </c>
      <c r="H402" s="53">
        <v>90.298743999999999</v>
      </c>
      <c r="I402" s="122">
        <f t="shared" si="5"/>
        <v>-1.0313733360423849E-2</v>
      </c>
      <c r="J402" s="122">
        <f t="shared" si="5"/>
        <v>0</v>
      </c>
    </row>
    <row r="403" spans="6:10" x14ac:dyDescent="0.3">
      <c r="F403" s="121">
        <v>44020</v>
      </c>
      <c r="G403" s="53">
        <v>304.517426</v>
      </c>
      <c r="H403" s="53">
        <v>90.298743999999999</v>
      </c>
      <c r="I403" s="122">
        <f t="shared" si="5"/>
        <v>7.6487346792095678E-3</v>
      </c>
      <c r="J403" s="122">
        <f t="shared" si="5"/>
        <v>0</v>
      </c>
    </row>
    <row r="404" spans="6:10" x14ac:dyDescent="0.3">
      <c r="F404" s="121">
        <v>44021</v>
      </c>
      <c r="G404" s="53">
        <v>302.78381300000001</v>
      </c>
      <c r="H404" s="53">
        <v>90.298743999999999</v>
      </c>
      <c r="I404" s="122">
        <f t="shared" si="5"/>
        <v>-5.6929845453245198E-3</v>
      </c>
      <c r="J404" s="122">
        <f t="shared" si="5"/>
        <v>0</v>
      </c>
    </row>
    <row r="405" spans="6:10" x14ac:dyDescent="0.3">
      <c r="F405" s="121">
        <v>44022</v>
      </c>
      <c r="G405" s="53">
        <v>305.87536599999999</v>
      </c>
      <c r="H405" s="53">
        <v>90.308616999999998</v>
      </c>
      <c r="I405" s="122">
        <f t="shared" si="5"/>
        <v>1.0210430238554391E-2</v>
      </c>
      <c r="J405" s="122">
        <f t="shared" si="5"/>
        <v>1.0933706896287809E-4</v>
      </c>
    </row>
    <row r="406" spans="6:10" x14ac:dyDescent="0.3">
      <c r="F406" s="121">
        <v>44025</v>
      </c>
      <c r="G406" s="53">
        <v>303.22680700000001</v>
      </c>
      <c r="H406" s="53">
        <v>90.308616999999998</v>
      </c>
      <c r="I406" s="122">
        <f t="shared" si="5"/>
        <v>-8.658948363955421E-3</v>
      </c>
      <c r="J406" s="122">
        <f t="shared" si="5"/>
        <v>0</v>
      </c>
    </row>
    <row r="407" spans="6:10" x14ac:dyDescent="0.3">
      <c r="F407" s="121">
        <v>44026</v>
      </c>
      <c r="G407" s="53">
        <v>307.156342</v>
      </c>
      <c r="H407" s="53">
        <v>90.308616999999998</v>
      </c>
      <c r="I407" s="122">
        <f t="shared" ref="I407:J470" si="6">G407/G406-1</f>
        <v>1.295906202646524E-2</v>
      </c>
      <c r="J407" s="122">
        <f t="shared" si="6"/>
        <v>0</v>
      </c>
    </row>
    <row r="408" spans="6:10" x14ac:dyDescent="0.3">
      <c r="F408" s="121">
        <v>44027</v>
      </c>
      <c r="G408" s="53">
        <v>309.97827100000001</v>
      </c>
      <c r="H408" s="53">
        <v>90.308616999999998</v>
      </c>
      <c r="I408" s="122">
        <f t="shared" si="6"/>
        <v>9.1872724542343409E-3</v>
      </c>
      <c r="J408" s="122">
        <f t="shared" si="6"/>
        <v>0</v>
      </c>
    </row>
    <row r="409" spans="6:10" x14ac:dyDescent="0.3">
      <c r="F409" s="121">
        <v>44028</v>
      </c>
      <c r="G409" s="53">
        <v>308.95739700000001</v>
      </c>
      <c r="H409" s="53">
        <v>90.298743999999999</v>
      </c>
      <c r="I409" s="122">
        <f t="shared" si="6"/>
        <v>-3.2933727796681245E-3</v>
      </c>
      <c r="J409" s="122">
        <f t="shared" si="6"/>
        <v>-1.0932511567529613E-4</v>
      </c>
    </row>
    <row r="410" spans="6:10" x14ac:dyDescent="0.3">
      <c r="F410" s="121">
        <v>44029</v>
      </c>
      <c r="G410" s="53">
        <v>309.853027</v>
      </c>
      <c r="H410" s="53">
        <v>90.308616999999998</v>
      </c>
      <c r="I410" s="122">
        <f t="shared" si="6"/>
        <v>2.8988786437762482E-3</v>
      </c>
      <c r="J410" s="122">
        <f t="shared" si="6"/>
        <v>1.0933706896287809E-4</v>
      </c>
    </row>
    <row r="411" spans="6:10" x14ac:dyDescent="0.3">
      <c r="F411" s="121">
        <v>44032</v>
      </c>
      <c r="G411" s="53">
        <v>312.35711700000002</v>
      </c>
      <c r="H411" s="53">
        <v>90.308616999999998</v>
      </c>
      <c r="I411" s="122">
        <f t="shared" si="6"/>
        <v>8.0815411882357857E-3</v>
      </c>
      <c r="J411" s="122">
        <f t="shared" si="6"/>
        <v>0</v>
      </c>
    </row>
    <row r="412" spans="6:10" x14ac:dyDescent="0.3">
      <c r="F412" s="121">
        <v>44033</v>
      </c>
      <c r="G412" s="53">
        <v>313.02175899999997</v>
      </c>
      <c r="H412" s="53">
        <v>90.308616999999998</v>
      </c>
      <c r="I412" s="122">
        <f t="shared" si="6"/>
        <v>2.1278272971125833E-3</v>
      </c>
      <c r="J412" s="122">
        <f t="shared" si="6"/>
        <v>0</v>
      </c>
    </row>
    <row r="413" spans="6:10" x14ac:dyDescent="0.3">
      <c r="F413" s="121">
        <v>44034</v>
      </c>
      <c r="G413" s="53">
        <v>314.80343599999998</v>
      </c>
      <c r="H413" s="53">
        <v>90.298743999999999</v>
      </c>
      <c r="I413" s="122">
        <f t="shared" si="6"/>
        <v>5.6918631014402088E-3</v>
      </c>
      <c r="J413" s="122">
        <f t="shared" si="6"/>
        <v>-1.0932511567529613E-4</v>
      </c>
    </row>
    <row r="414" spans="6:10" x14ac:dyDescent="0.3">
      <c r="F414" s="121">
        <v>44035</v>
      </c>
      <c r="G414" s="53">
        <v>311.047302</v>
      </c>
      <c r="H414" s="53">
        <v>90.308616999999998</v>
      </c>
      <c r="I414" s="122">
        <f t="shared" si="6"/>
        <v>-1.193168044074322E-2</v>
      </c>
      <c r="J414" s="122">
        <f t="shared" si="6"/>
        <v>1.0933706896287809E-4</v>
      </c>
    </row>
    <row r="415" spans="6:10" x14ac:dyDescent="0.3">
      <c r="F415" s="121">
        <v>44036</v>
      </c>
      <c r="G415" s="53">
        <v>309.04406699999998</v>
      </c>
      <c r="H415" s="53">
        <v>90.298743999999999</v>
      </c>
      <c r="I415" s="122">
        <f t="shared" si="6"/>
        <v>-6.4402905510494435E-3</v>
      </c>
      <c r="J415" s="122">
        <f t="shared" si="6"/>
        <v>-1.0932511567529613E-4</v>
      </c>
    </row>
    <row r="416" spans="6:10" x14ac:dyDescent="0.3">
      <c r="F416" s="121">
        <v>44039</v>
      </c>
      <c r="G416" s="53">
        <v>311.297729</v>
      </c>
      <c r="H416" s="53">
        <v>90.298743999999999</v>
      </c>
      <c r="I416" s="122">
        <f t="shared" si="6"/>
        <v>7.292364554599251E-3</v>
      </c>
      <c r="J416" s="122">
        <f t="shared" si="6"/>
        <v>0</v>
      </c>
    </row>
    <row r="417" spans="6:10" x14ac:dyDescent="0.3">
      <c r="F417" s="121">
        <v>44040</v>
      </c>
      <c r="G417" s="53">
        <v>309.32330300000001</v>
      </c>
      <c r="H417" s="53">
        <v>90.308616999999998</v>
      </c>
      <c r="I417" s="122">
        <f t="shared" si="6"/>
        <v>-6.3425647412930219E-3</v>
      </c>
      <c r="J417" s="122">
        <f t="shared" si="6"/>
        <v>1.0933706896287809E-4</v>
      </c>
    </row>
    <row r="418" spans="6:10" x14ac:dyDescent="0.3">
      <c r="F418" s="121">
        <v>44041</v>
      </c>
      <c r="G418" s="53">
        <v>313.12759399999999</v>
      </c>
      <c r="H418" s="53">
        <v>90.308616999999998</v>
      </c>
      <c r="I418" s="122">
        <f t="shared" si="6"/>
        <v>1.2298753320890254E-2</v>
      </c>
      <c r="J418" s="122">
        <f t="shared" si="6"/>
        <v>0</v>
      </c>
    </row>
    <row r="419" spans="6:10" x14ac:dyDescent="0.3">
      <c r="F419" s="121">
        <v>44042</v>
      </c>
      <c r="G419" s="53">
        <v>312.01043700000002</v>
      </c>
      <c r="H419" s="53">
        <v>90.298743999999999</v>
      </c>
      <c r="I419" s="122">
        <f t="shared" si="6"/>
        <v>-3.5677373103053522E-3</v>
      </c>
      <c r="J419" s="122">
        <f t="shared" si="6"/>
        <v>-1.0932511567529613E-4</v>
      </c>
    </row>
    <row r="420" spans="6:10" x14ac:dyDescent="0.3">
      <c r="F420" s="121">
        <v>44043</v>
      </c>
      <c r="G420" s="53">
        <v>314.47592200000003</v>
      </c>
      <c r="H420" s="53">
        <v>90.308616999999998</v>
      </c>
      <c r="I420" s="122">
        <f t="shared" si="6"/>
        <v>7.9019311780266221E-3</v>
      </c>
      <c r="J420" s="122">
        <f t="shared" si="6"/>
        <v>1.0933706896287809E-4</v>
      </c>
    </row>
    <row r="421" spans="6:10" x14ac:dyDescent="0.3">
      <c r="F421" s="121">
        <v>44046</v>
      </c>
      <c r="G421" s="53">
        <v>316.66229199999998</v>
      </c>
      <c r="H421" s="53">
        <v>90.298743999999999</v>
      </c>
      <c r="I421" s="122">
        <f t="shared" si="6"/>
        <v>6.952424166833282E-3</v>
      </c>
      <c r="J421" s="122">
        <f t="shared" si="6"/>
        <v>-1.0932511567529613E-4</v>
      </c>
    </row>
    <row r="422" spans="6:10" x14ac:dyDescent="0.3">
      <c r="F422" s="121">
        <v>44047</v>
      </c>
      <c r="G422" s="53">
        <v>317.88537600000001</v>
      </c>
      <c r="H422" s="53">
        <v>90.308616999999998</v>
      </c>
      <c r="I422" s="122">
        <f t="shared" si="6"/>
        <v>3.8624238846853842E-3</v>
      </c>
      <c r="J422" s="122">
        <f t="shared" si="6"/>
        <v>1.0933706896287809E-4</v>
      </c>
    </row>
    <row r="423" spans="6:10" x14ac:dyDescent="0.3">
      <c r="F423" s="121">
        <v>44048</v>
      </c>
      <c r="G423" s="53">
        <v>319.85983299999998</v>
      </c>
      <c r="H423" s="53">
        <v>90.298743999999999</v>
      </c>
      <c r="I423" s="122">
        <f t="shared" si="6"/>
        <v>6.2112231296855835E-3</v>
      </c>
      <c r="J423" s="122">
        <f t="shared" si="6"/>
        <v>-1.0932511567529613E-4</v>
      </c>
    </row>
    <row r="424" spans="6:10" x14ac:dyDescent="0.3">
      <c r="F424" s="121">
        <v>44049</v>
      </c>
      <c r="G424" s="53">
        <v>321.99789399999997</v>
      </c>
      <c r="H424" s="53">
        <v>90.298743999999999</v>
      </c>
      <c r="I424" s="122">
        <f t="shared" si="6"/>
        <v>6.6843685246342766E-3</v>
      </c>
      <c r="J424" s="122">
        <f t="shared" si="6"/>
        <v>0</v>
      </c>
    </row>
    <row r="425" spans="6:10" x14ac:dyDescent="0.3">
      <c r="F425" s="121">
        <v>44050</v>
      </c>
      <c r="G425" s="53">
        <v>322.22903400000001</v>
      </c>
      <c r="H425" s="53">
        <v>90.308616999999998</v>
      </c>
      <c r="I425" s="122">
        <f t="shared" si="6"/>
        <v>7.1783078183740301E-4</v>
      </c>
      <c r="J425" s="122">
        <f t="shared" si="6"/>
        <v>1.0933706896287809E-4</v>
      </c>
    </row>
    <row r="426" spans="6:10" x14ac:dyDescent="0.3">
      <c r="F426" s="121">
        <v>44053</v>
      </c>
      <c r="G426" s="53">
        <v>323.19216899999998</v>
      </c>
      <c r="H426" s="53">
        <v>90.308616999999998</v>
      </c>
      <c r="I426" s="122">
        <f t="shared" si="6"/>
        <v>2.9889764682098363E-3</v>
      </c>
      <c r="J426" s="122">
        <f t="shared" si="6"/>
        <v>0</v>
      </c>
    </row>
    <row r="427" spans="6:10" x14ac:dyDescent="0.3">
      <c r="F427" s="121">
        <v>44054</v>
      </c>
      <c r="G427" s="53">
        <v>320.52435300000002</v>
      </c>
      <c r="H427" s="53">
        <v>90.298743999999999</v>
      </c>
      <c r="I427" s="122">
        <f t="shared" si="6"/>
        <v>-8.2545811931474811E-3</v>
      </c>
      <c r="J427" s="122">
        <f t="shared" si="6"/>
        <v>-1.0932511567529613E-4</v>
      </c>
    </row>
    <row r="428" spans="6:10" x14ac:dyDescent="0.3">
      <c r="F428" s="121">
        <v>44055</v>
      </c>
      <c r="G428" s="53">
        <v>324.99316399999998</v>
      </c>
      <c r="H428" s="53">
        <v>90.298743999999999</v>
      </c>
      <c r="I428" s="122">
        <f t="shared" si="6"/>
        <v>1.3942188661090427E-2</v>
      </c>
      <c r="J428" s="122">
        <f t="shared" si="6"/>
        <v>0</v>
      </c>
    </row>
    <row r="429" spans="6:10" x14ac:dyDescent="0.3">
      <c r="F429" s="121">
        <v>44056</v>
      </c>
      <c r="G429" s="53">
        <v>324.40566999999999</v>
      </c>
      <c r="H429" s="53">
        <v>90.308616999999998</v>
      </c>
      <c r="I429" s="122">
        <f t="shared" si="6"/>
        <v>-1.8077118692871874E-3</v>
      </c>
      <c r="J429" s="122">
        <f t="shared" si="6"/>
        <v>1.0933706896287809E-4</v>
      </c>
    </row>
    <row r="430" spans="6:10" x14ac:dyDescent="0.3">
      <c r="F430" s="121">
        <v>44057</v>
      </c>
      <c r="G430" s="53">
        <v>324.41531400000002</v>
      </c>
      <c r="H430" s="53">
        <v>90.298743999999999</v>
      </c>
      <c r="I430" s="122">
        <f t="shared" si="6"/>
        <v>2.9728210360957519E-5</v>
      </c>
      <c r="J430" s="122">
        <f t="shared" si="6"/>
        <v>-1.0932511567529613E-4</v>
      </c>
    </row>
    <row r="431" spans="6:10" x14ac:dyDescent="0.3">
      <c r="F431" s="121">
        <v>44060</v>
      </c>
      <c r="G431" s="53">
        <v>325.44589200000001</v>
      </c>
      <c r="H431" s="53">
        <v>90.298743999999999</v>
      </c>
      <c r="I431" s="122">
        <f t="shared" si="6"/>
        <v>3.1767242652422922E-3</v>
      </c>
      <c r="J431" s="122">
        <f t="shared" si="6"/>
        <v>0</v>
      </c>
    </row>
    <row r="432" spans="6:10" x14ac:dyDescent="0.3">
      <c r="F432" s="121">
        <v>44061</v>
      </c>
      <c r="G432" s="53">
        <v>326.14898699999998</v>
      </c>
      <c r="H432" s="53">
        <v>90.308616999999998</v>
      </c>
      <c r="I432" s="122">
        <f t="shared" si="6"/>
        <v>2.1604052080028691E-3</v>
      </c>
      <c r="J432" s="122">
        <f t="shared" si="6"/>
        <v>1.0933706896287809E-4</v>
      </c>
    </row>
    <row r="433" spans="6:10" x14ac:dyDescent="0.3">
      <c r="F433" s="121">
        <v>44062</v>
      </c>
      <c r="G433" s="53">
        <v>324.790955</v>
      </c>
      <c r="H433" s="53">
        <v>90.308616999999998</v>
      </c>
      <c r="I433" s="122">
        <f t="shared" si="6"/>
        <v>-4.1638393928231654E-3</v>
      </c>
      <c r="J433" s="122">
        <f t="shared" si="6"/>
        <v>0</v>
      </c>
    </row>
    <row r="434" spans="6:10" x14ac:dyDescent="0.3">
      <c r="F434" s="121">
        <v>44063</v>
      </c>
      <c r="G434" s="53">
        <v>325.80221599999999</v>
      </c>
      <c r="H434" s="53">
        <v>90.308616999999998</v>
      </c>
      <c r="I434" s="122">
        <f t="shared" si="6"/>
        <v>3.1135750070379054E-3</v>
      </c>
      <c r="J434" s="122">
        <f t="shared" si="6"/>
        <v>0</v>
      </c>
    </row>
    <row r="435" spans="6:10" x14ac:dyDescent="0.3">
      <c r="F435" s="121">
        <v>44064</v>
      </c>
      <c r="G435" s="53">
        <v>326.95794699999999</v>
      </c>
      <c r="H435" s="53">
        <v>90.308616999999998</v>
      </c>
      <c r="I435" s="122">
        <f t="shared" si="6"/>
        <v>3.5473392851324004E-3</v>
      </c>
      <c r="J435" s="122">
        <f t="shared" si="6"/>
        <v>0</v>
      </c>
    </row>
    <row r="436" spans="6:10" x14ac:dyDescent="0.3">
      <c r="F436" s="121">
        <v>44067</v>
      </c>
      <c r="G436" s="53">
        <v>330.271118</v>
      </c>
      <c r="H436" s="53">
        <v>90.308616999999998</v>
      </c>
      <c r="I436" s="122">
        <f t="shared" si="6"/>
        <v>1.0133324577059399E-2</v>
      </c>
      <c r="J436" s="122">
        <f t="shared" si="6"/>
        <v>0</v>
      </c>
    </row>
    <row r="437" spans="6:10" x14ac:dyDescent="0.3">
      <c r="F437" s="121">
        <v>44068</v>
      </c>
      <c r="G437" s="53">
        <v>331.42681900000002</v>
      </c>
      <c r="H437" s="53">
        <v>90.298743999999999</v>
      </c>
      <c r="I437" s="122">
        <f t="shared" si="6"/>
        <v>3.4992493651837542E-3</v>
      </c>
      <c r="J437" s="122">
        <f t="shared" si="6"/>
        <v>-1.0932511567529613E-4</v>
      </c>
    </row>
    <row r="438" spans="6:10" x14ac:dyDescent="0.3">
      <c r="F438" s="121">
        <v>44069</v>
      </c>
      <c r="G438" s="53">
        <v>334.749573</v>
      </c>
      <c r="H438" s="53">
        <v>90.298743999999999</v>
      </c>
      <c r="I438" s="122">
        <f t="shared" si="6"/>
        <v>1.0025603872449329E-2</v>
      </c>
      <c r="J438" s="122">
        <f t="shared" si="6"/>
        <v>0</v>
      </c>
    </row>
    <row r="439" spans="6:10" x14ac:dyDescent="0.3">
      <c r="F439" s="121">
        <v>44070</v>
      </c>
      <c r="G439" s="53">
        <v>335.48150600000002</v>
      </c>
      <c r="H439" s="53">
        <v>90.298743999999999</v>
      </c>
      <c r="I439" s="122">
        <f t="shared" si="6"/>
        <v>2.1865091370856238E-3</v>
      </c>
      <c r="J439" s="122">
        <f t="shared" si="6"/>
        <v>0</v>
      </c>
    </row>
    <row r="440" spans="6:10" x14ac:dyDescent="0.3">
      <c r="F440" s="121">
        <v>44071</v>
      </c>
      <c r="G440" s="53">
        <v>337.64849900000002</v>
      </c>
      <c r="H440" s="53">
        <v>90.308616999999998</v>
      </c>
      <c r="I440" s="122">
        <f t="shared" si="6"/>
        <v>6.4593515923945244E-3</v>
      </c>
      <c r="J440" s="122">
        <f t="shared" si="6"/>
        <v>1.0933706896287809E-4</v>
      </c>
    </row>
    <row r="441" spans="6:10" x14ac:dyDescent="0.3">
      <c r="F441" s="121">
        <v>44074</v>
      </c>
      <c r="G441" s="53">
        <v>336.42535400000003</v>
      </c>
      <c r="H441" s="53">
        <v>90.308616999999998</v>
      </c>
      <c r="I441" s="122">
        <f t="shared" si="6"/>
        <v>-3.6225394267189737E-3</v>
      </c>
      <c r="J441" s="122">
        <f t="shared" si="6"/>
        <v>0</v>
      </c>
    </row>
    <row r="442" spans="6:10" x14ac:dyDescent="0.3">
      <c r="F442" s="121">
        <v>44075</v>
      </c>
      <c r="G442" s="53">
        <v>339.59396400000003</v>
      </c>
      <c r="H442" s="53">
        <v>90.308616999999998</v>
      </c>
      <c r="I442" s="122">
        <f t="shared" si="6"/>
        <v>9.4184637463441412E-3</v>
      </c>
      <c r="J442" s="122">
        <f t="shared" si="6"/>
        <v>0</v>
      </c>
    </row>
    <row r="443" spans="6:10" x14ac:dyDescent="0.3">
      <c r="F443" s="121">
        <v>44076</v>
      </c>
      <c r="G443" s="53">
        <v>344.50589000000002</v>
      </c>
      <c r="H443" s="53">
        <v>90.308616999999998</v>
      </c>
      <c r="I443" s="122">
        <f t="shared" si="6"/>
        <v>1.4464114562413144E-2</v>
      </c>
      <c r="J443" s="122">
        <f t="shared" si="6"/>
        <v>0</v>
      </c>
    </row>
    <row r="444" spans="6:10" x14ac:dyDescent="0.3">
      <c r="F444" s="121">
        <v>44077</v>
      </c>
      <c r="G444" s="53">
        <v>332.64996300000001</v>
      </c>
      <c r="H444" s="53">
        <v>90.298743999999999</v>
      </c>
      <c r="I444" s="122">
        <f t="shared" si="6"/>
        <v>-3.4414294048789706E-2</v>
      </c>
      <c r="J444" s="122">
        <f t="shared" si="6"/>
        <v>-1.0932511567529613E-4</v>
      </c>
    </row>
    <row r="445" spans="6:10" x14ac:dyDescent="0.3">
      <c r="F445" s="121">
        <v>44078</v>
      </c>
      <c r="G445" s="53">
        <v>329.93396000000001</v>
      </c>
      <c r="H445" s="53">
        <v>90.308616999999998</v>
      </c>
      <c r="I445" s="122">
        <f t="shared" si="6"/>
        <v>-8.1647476389468121E-3</v>
      </c>
      <c r="J445" s="122">
        <f t="shared" si="6"/>
        <v>1.0933706896287809E-4</v>
      </c>
    </row>
    <row r="446" spans="6:10" x14ac:dyDescent="0.3">
      <c r="F446" s="121">
        <v>44082</v>
      </c>
      <c r="G446" s="53">
        <v>320.91924999999998</v>
      </c>
      <c r="H446" s="53">
        <v>90.308616999999998</v>
      </c>
      <c r="I446" s="122">
        <f t="shared" si="6"/>
        <v>-2.7322770896333393E-2</v>
      </c>
      <c r="J446" s="122">
        <f t="shared" si="6"/>
        <v>0</v>
      </c>
    </row>
    <row r="447" spans="6:10" x14ac:dyDescent="0.3">
      <c r="F447" s="121">
        <v>44083</v>
      </c>
      <c r="G447" s="53">
        <v>327.25650000000002</v>
      </c>
      <c r="H447" s="53">
        <v>90.298743999999999</v>
      </c>
      <c r="I447" s="122">
        <f t="shared" si="6"/>
        <v>1.9747179391700787E-2</v>
      </c>
      <c r="J447" s="122">
        <f t="shared" si="6"/>
        <v>-1.0932511567529613E-4</v>
      </c>
    </row>
    <row r="448" spans="6:10" x14ac:dyDescent="0.3">
      <c r="F448" s="121">
        <v>44084</v>
      </c>
      <c r="G448" s="53">
        <v>321.57415800000001</v>
      </c>
      <c r="H448" s="53">
        <v>90.298743999999999</v>
      </c>
      <c r="I448" s="122">
        <f t="shared" si="6"/>
        <v>-1.7363572610475275E-2</v>
      </c>
      <c r="J448" s="122">
        <f t="shared" si="6"/>
        <v>0</v>
      </c>
    </row>
    <row r="449" spans="6:10" x14ac:dyDescent="0.3">
      <c r="F449" s="121">
        <v>44085</v>
      </c>
      <c r="G449" s="53">
        <v>321.73791499999999</v>
      </c>
      <c r="H449" s="53">
        <v>90.288887000000003</v>
      </c>
      <c r="I449" s="122">
        <f t="shared" si="6"/>
        <v>5.0923557109960882E-4</v>
      </c>
      <c r="J449" s="122">
        <f t="shared" si="6"/>
        <v>-1.0915987934445592E-4</v>
      </c>
    </row>
    <row r="450" spans="6:10" x14ac:dyDescent="0.3">
      <c r="F450" s="121">
        <v>44088</v>
      </c>
      <c r="G450" s="53">
        <v>325.97558600000002</v>
      </c>
      <c r="H450" s="53">
        <v>90.308616999999998</v>
      </c>
      <c r="I450" s="122">
        <f t="shared" si="6"/>
        <v>1.3171189351432355E-2</v>
      </c>
      <c r="J450" s="122">
        <f t="shared" si="6"/>
        <v>2.1852080201179014E-4</v>
      </c>
    </row>
    <row r="451" spans="6:10" x14ac:dyDescent="0.3">
      <c r="F451" s="121">
        <v>44089</v>
      </c>
      <c r="G451" s="53">
        <v>327.622589</v>
      </c>
      <c r="H451" s="53">
        <v>90.288887000000003</v>
      </c>
      <c r="I451" s="122">
        <f t="shared" si="6"/>
        <v>5.0525348238807943E-3</v>
      </c>
      <c r="J451" s="122">
        <f t="shared" si="6"/>
        <v>-2.1847306110334141E-4</v>
      </c>
    </row>
    <row r="452" spans="6:10" x14ac:dyDescent="0.3">
      <c r="F452" s="121">
        <v>44090</v>
      </c>
      <c r="G452" s="53">
        <v>326.32229599999999</v>
      </c>
      <c r="H452" s="53">
        <v>90.308616999999998</v>
      </c>
      <c r="I452" s="122">
        <f t="shared" si="6"/>
        <v>-3.9688746858660418E-3</v>
      </c>
      <c r="J452" s="122">
        <f t="shared" si="6"/>
        <v>2.1852080201179014E-4</v>
      </c>
    </row>
    <row r="453" spans="6:10" x14ac:dyDescent="0.3">
      <c r="F453" s="121">
        <v>44091</v>
      </c>
      <c r="G453" s="53">
        <v>323.452179</v>
      </c>
      <c r="H453" s="53">
        <v>90.308616999999998</v>
      </c>
      <c r="I453" s="122">
        <f t="shared" si="6"/>
        <v>-8.79534446521546E-3</v>
      </c>
      <c r="J453" s="122">
        <f t="shared" si="6"/>
        <v>0</v>
      </c>
    </row>
    <row r="454" spans="6:10" x14ac:dyDescent="0.3">
      <c r="F454" s="121">
        <v>44092</v>
      </c>
      <c r="G454" s="53">
        <v>319.72839399999998</v>
      </c>
      <c r="H454" s="53">
        <v>90.288887000000003</v>
      </c>
      <c r="I454" s="122">
        <f t="shared" si="6"/>
        <v>-1.151262919765339E-2</v>
      </c>
      <c r="J454" s="122">
        <f t="shared" si="6"/>
        <v>-2.1847306110334141E-4</v>
      </c>
    </row>
    <row r="455" spans="6:10" x14ac:dyDescent="0.3">
      <c r="F455" s="121">
        <v>44095</v>
      </c>
      <c r="G455" s="53">
        <v>316.17001299999998</v>
      </c>
      <c r="H455" s="53">
        <v>90.288887000000003</v>
      </c>
      <c r="I455" s="122">
        <f t="shared" si="6"/>
        <v>-1.1129386900808003E-2</v>
      </c>
      <c r="J455" s="122">
        <f t="shared" si="6"/>
        <v>0</v>
      </c>
    </row>
    <row r="456" spans="6:10" x14ac:dyDescent="0.3">
      <c r="F456" s="121">
        <v>44096</v>
      </c>
      <c r="G456" s="53">
        <v>319.38998400000003</v>
      </c>
      <c r="H456" s="53">
        <v>90.288887000000003</v>
      </c>
      <c r="I456" s="122">
        <f t="shared" si="6"/>
        <v>1.0184302329772299E-2</v>
      </c>
      <c r="J456" s="122">
        <f t="shared" si="6"/>
        <v>0</v>
      </c>
    </row>
    <row r="457" spans="6:10" x14ac:dyDescent="0.3">
      <c r="F457" s="121">
        <v>44097</v>
      </c>
      <c r="G457" s="53">
        <v>311.98303199999998</v>
      </c>
      <c r="H457" s="53">
        <v>90.288887000000003</v>
      </c>
      <c r="I457" s="122">
        <f t="shared" si="6"/>
        <v>-2.3190933877250353E-2</v>
      </c>
      <c r="J457" s="122">
        <f t="shared" si="6"/>
        <v>0</v>
      </c>
    </row>
    <row r="458" spans="6:10" x14ac:dyDescent="0.3">
      <c r="F458" s="121">
        <v>44098</v>
      </c>
      <c r="G458" s="53">
        <v>312.81454500000001</v>
      </c>
      <c r="H458" s="53">
        <v>90.298743999999999</v>
      </c>
      <c r="I458" s="122">
        <f t="shared" si="6"/>
        <v>2.6652507178661633E-3</v>
      </c>
      <c r="J458" s="122">
        <f t="shared" si="6"/>
        <v>1.0917179652469855E-4</v>
      </c>
    </row>
    <row r="459" spans="6:10" x14ac:dyDescent="0.3">
      <c r="F459" s="121">
        <v>44099</v>
      </c>
      <c r="G459" s="53">
        <v>317.871826</v>
      </c>
      <c r="H459" s="53">
        <v>90.288887000000003</v>
      </c>
      <c r="I459" s="122">
        <f t="shared" si="6"/>
        <v>1.6167026376602722E-2</v>
      </c>
      <c r="J459" s="122">
        <f t="shared" si="6"/>
        <v>-1.0915987934445592E-4</v>
      </c>
    </row>
    <row r="460" spans="6:10" x14ac:dyDescent="0.3">
      <c r="F460" s="121">
        <v>44102</v>
      </c>
      <c r="G460" s="53">
        <v>323.15145899999999</v>
      </c>
      <c r="H460" s="53">
        <v>90.298743999999999</v>
      </c>
      <c r="I460" s="122">
        <f t="shared" si="6"/>
        <v>1.6609314095046512E-2</v>
      </c>
      <c r="J460" s="122">
        <f t="shared" si="6"/>
        <v>1.0917179652469855E-4</v>
      </c>
    </row>
    <row r="461" spans="6:10" x14ac:dyDescent="0.3">
      <c r="F461" s="121">
        <v>44103</v>
      </c>
      <c r="G461" s="53">
        <v>321.391571</v>
      </c>
      <c r="H461" s="53">
        <v>90.298743999999999</v>
      </c>
      <c r="I461" s="122">
        <f t="shared" si="6"/>
        <v>-5.4460159500625549E-3</v>
      </c>
      <c r="J461" s="122">
        <f t="shared" si="6"/>
        <v>0</v>
      </c>
    </row>
    <row r="462" spans="6:10" x14ac:dyDescent="0.3">
      <c r="F462" s="121">
        <v>44104</v>
      </c>
      <c r="G462" s="53">
        <v>323.82833900000003</v>
      </c>
      <c r="H462" s="53">
        <v>90.288887000000003</v>
      </c>
      <c r="I462" s="122">
        <f t="shared" si="6"/>
        <v>7.581928774354818E-3</v>
      </c>
      <c r="J462" s="122">
        <f t="shared" si="6"/>
        <v>-1.0915987934445592E-4</v>
      </c>
    </row>
    <row r="463" spans="6:10" x14ac:dyDescent="0.3">
      <c r="F463" s="121">
        <v>44105</v>
      </c>
      <c r="G463" s="53">
        <v>325.90731799999998</v>
      </c>
      <c r="H463" s="53">
        <v>90.288887000000003</v>
      </c>
      <c r="I463" s="122">
        <f t="shared" si="6"/>
        <v>6.4200032845178612E-3</v>
      </c>
      <c r="J463" s="122">
        <f t="shared" si="6"/>
        <v>0</v>
      </c>
    </row>
    <row r="464" spans="6:10" x14ac:dyDescent="0.3">
      <c r="F464" s="121">
        <v>44106</v>
      </c>
      <c r="G464" s="53">
        <v>322.813019</v>
      </c>
      <c r="H464" s="53">
        <v>90.288887000000003</v>
      </c>
      <c r="I464" s="122">
        <f t="shared" si="6"/>
        <v>-9.4944139916489645E-3</v>
      </c>
      <c r="J464" s="122">
        <f t="shared" si="6"/>
        <v>0</v>
      </c>
    </row>
    <row r="465" spans="6:10" x14ac:dyDescent="0.3">
      <c r="F465" s="121">
        <v>44109</v>
      </c>
      <c r="G465" s="53">
        <v>328.53750600000001</v>
      </c>
      <c r="H465" s="53">
        <v>90.288887000000003</v>
      </c>
      <c r="I465" s="122">
        <f t="shared" si="6"/>
        <v>1.7733135478033457E-2</v>
      </c>
      <c r="J465" s="122">
        <f t="shared" si="6"/>
        <v>0</v>
      </c>
    </row>
    <row r="466" spans="6:10" x14ac:dyDescent="0.3">
      <c r="F466" s="121">
        <v>44110</v>
      </c>
      <c r="G466" s="53">
        <v>323.86706500000003</v>
      </c>
      <c r="H466" s="53">
        <v>90.298743999999999</v>
      </c>
      <c r="I466" s="122">
        <f t="shared" si="6"/>
        <v>-1.4215853333956918E-2</v>
      </c>
      <c r="J466" s="122">
        <f t="shared" si="6"/>
        <v>1.0917179652469855E-4</v>
      </c>
    </row>
    <row r="467" spans="6:10" x14ac:dyDescent="0.3">
      <c r="F467" s="121">
        <v>44111</v>
      </c>
      <c r="G467" s="53">
        <v>329.504456</v>
      </c>
      <c r="H467" s="53">
        <v>90.288887000000003</v>
      </c>
      <c r="I467" s="122">
        <f t="shared" si="6"/>
        <v>1.740649670567751E-2</v>
      </c>
      <c r="J467" s="122">
        <f t="shared" si="6"/>
        <v>-1.0915987934445592E-4</v>
      </c>
    </row>
    <row r="468" spans="6:10" x14ac:dyDescent="0.3">
      <c r="F468" s="121">
        <v>44112</v>
      </c>
      <c r="G468" s="53">
        <v>332.42477400000001</v>
      </c>
      <c r="H468" s="53">
        <v>90.288887000000003</v>
      </c>
      <c r="I468" s="122">
        <f t="shared" si="6"/>
        <v>8.8627572308157543E-3</v>
      </c>
      <c r="J468" s="122">
        <f t="shared" si="6"/>
        <v>0</v>
      </c>
    </row>
    <row r="469" spans="6:10" x14ac:dyDescent="0.3">
      <c r="F469" s="121">
        <v>44113</v>
      </c>
      <c r="G469" s="53">
        <v>335.39328</v>
      </c>
      <c r="H469" s="53">
        <v>90.288887000000003</v>
      </c>
      <c r="I469" s="122">
        <f t="shared" si="6"/>
        <v>8.9298579172683024E-3</v>
      </c>
      <c r="J469" s="122">
        <f t="shared" si="6"/>
        <v>0</v>
      </c>
    </row>
    <row r="470" spans="6:10" x14ac:dyDescent="0.3">
      <c r="F470" s="121">
        <v>44116</v>
      </c>
      <c r="G470" s="53">
        <v>340.788971</v>
      </c>
      <c r="H470" s="53">
        <v>90.298743999999999</v>
      </c>
      <c r="I470" s="122">
        <f t="shared" si="6"/>
        <v>1.608765387308897E-2</v>
      </c>
      <c r="J470" s="122">
        <f t="shared" si="6"/>
        <v>1.0917179652469855E-4</v>
      </c>
    </row>
    <row r="471" spans="6:10" x14ac:dyDescent="0.3">
      <c r="F471" s="121">
        <v>44117</v>
      </c>
      <c r="G471" s="53">
        <v>338.56500199999999</v>
      </c>
      <c r="H471" s="53">
        <v>90.288887000000003</v>
      </c>
      <c r="I471" s="122">
        <f t="shared" ref="I471:J526" si="7">G471/G470-1</f>
        <v>-6.5259418269143499E-3</v>
      </c>
      <c r="J471" s="122">
        <f t="shared" si="7"/>
        <v>-1.0915987934445592E-4</v>
      </c>
    </row>
    <row r="472" spans="6:10" x14ac:dyDescent="0.3">
      <c r="F472" s="121">
        <v>44118</v>
      </c>
      <c r="G472" s="53">
        <v>336.43765300000001</v>
      </c>
      <c r="H472" s="53">
        <v>90.288887000000003</v>
      </c>
      <c r="I472" s="122">
        <f t="shared" si="7"/>
        <v>-6.2834285511884636E-3</v>
      </c>
      <c r="J472" s="122">
        <f t="shared" si="7"/>
        <v>0</v>
      </c>
    </row>
    <row r="473" spans="6:10" x14ac:dyDescent="0.3">
      <c r="F473" s="121">
        <v>44119</v>
      </c>
      <c r="G473" s="53">
        <v>336.02181999999999</v>
      </c>
      <c r="H473" s="53">
        <v>90.288887000000003</v>
      </c>
      <c r="I473" s="122">
        <f t="shared" si="7"/>
        <v>-1.2359882917148957E-3</v>
      </c>
      <c r="J473" s="122">
        <f t="shared" si="7"/>
        <v>0</v>
      </c>
    </row>
    <row r="474" spans="6:10" x14ac:dyDescent="0.3">
      <c r="F474" s="121">
        <v>44120</v>
      </c>
      <c r="G474" s="53">
        <v>335.81875600000001</v>
      </c>
      <c r="H474" s="53">
        <v>90.298743999999999</v>
      </c>
      <c r="I474" s="122">
        <f t="shared" si="7"/>
        <v>-6.0431789816506321E-4</v>
      </c>
      <c r="J474" s="122">
        <f t="shared" si="7"/>
        <v>1.0917179652469855E-4</v>
      </c>
    </row>
    <row r="475" spans="6:10" x14ac:dyDescent="0.3">
      <c r="F475" s="121">
        <v>44123</v>
      </c>
      <c r="G475" s="53">
        <v>330.71319599999998</v>
      </c>
      <c r="H475" s="53">
        <v>90.298743999999999</v>
      </c>
      <c r="I475" s="122">
        <f t="shared" si="7"/>
        <v>-1.5203319971800577E-2</v>
      </c>
      <c r="J475" s="122">
        <f t="shared" si="7"/>
        <v>0</v>
      </c>
    </row>
    <row r="476" spans="6:10" x14ac:dyDescent="0.3">
      <c r="F476" s="121">
        <v>44124</v>
      </c>
      <c r="G476" s="53">
        <v>332.03793300000001</v>
      </c>
      <c r="H476" s="53">
        <v>90.288887000000003</v>
      </c>
      <c r="I476" s="122">
        <f t="shared" si="7"/>
        <v>4.0056974321642791E-3</v>
      </c>
      <c r="J476" s="122">
        <f t="shared" si="7"/>
        <v>-1.0915987934445592E-4</v>
      </c>
    </row>
    <row r="477" spans="6:10" x14ac:dyDescent="0.3">
      <c r="F477" s="121">
        <v>44125</v>
      </c>
      <c r="G477" s="53">
        <v>331.40936299999998</v>
      </c>
      <c r="H477" s="53">
        <v>90.288887000000003</v>
      </c>
      <c r="I477" s="122">
        <f t="shared" si="7"/>
        <v>-1.8930668382398652E-3</v>
      </c>
      <c r="J477" s="122">
        <f t="shared" si="7"/>
        <v>0</v>
      </c>
    </row>
    <row r="478" spans="6:10" x14ac:dyDescent="0.3">
      <c r="F478" s="121">
        <v>44126</v>
      </c>
      <c r="G478" s="53">
        <v>333.22726399999999</v>
      </c>
      <c r="H478" s="53">
        <v>90.298743999999999</v>
      </c>
      <c r="I478" s="122">
        <f t="shared" si="7"/>
        <v>5.4853640330010389E-3</v>
      </c>
      <c r="J478" s="122">
        <f t="shared" si="7"/>
        <v>1.0917179652469855E-4</v>
      </c>
    </row>
    <row r="479" spans="6:10" x14ac:dyDescent="0.3">
      <c r="F479" s="121">
        <v>44127</v>
      </c>
      <c r="G479" s="53">
        <v>334.35870399999999</v>
      </c>
      <c r="H479" s="53">
        <v>90.298743999999999</v>
      </c>
      <c r="I479" s="122">
        <f t="shared" si="7"/>
        <v>3.3954004435843288E-3</v>
      </c>
      <c r="J479" s="122">
        <f t="shared" si="7"/>
        <v>0</v>
      </c>
    </row>
    <row r="480" spans="6:10" x14ac:dyDescent="0.3">
      <c r="F480" s="121">
        <v>44130</v>
      </c>
      <c r="G480" s="53">
        <v>328.17974900000002</v>
      </c>
      <c r="H480" s="53">
        <v>90.298743999999999</v>
      </c>
      <c r="I480" s="122">
        <f t="shared" si="7"/>
        <v>-1.8480018393658981E-2</v>
      </c>
      <c r="J480" s="122">
        <f t="shared" si="7"/>
        <v>0</v>
      </c>
    </row>
    <row r="481" spans="6:10" x14ac:dyDescent="0.3">
      <c r="F481" s="121">
        <v>44131</v>
      </c>
      <c r="G481" s="53">
        <v>327.04840100000001</v>
      </c>
      <c r="H481" s="53">
        <v>90.288887000000003</v>
      </c>
      <c r="I481" s="122">
        <f t="shared" si="7"/>
        <v>-3.4473425110700395E-3</v>
      </c>
      <c r="J481" s="122">
        <f t="shared" si="7"/>
        <v>-1.0915987934445592E-4</v>
      </c>
    </row>
    <row r="482" spans="6:10" x14ac:dyDescent="0.3">
      <c r="F482" s="121">
        <v>44132</v>
      </c>
      <c r="G482" s="53">
        <v>315.87023900000003</v>
      </c>
      <c r="H482" s="53">
        <v>90.288887000000003</v>
      </c>
      <c r="I482" s="122">
        <f t="shared" si="7"/>
        <v>-3.4178922648210652E-2</v>
      </c>
      <c r="J482" s="122">
        <f t="shared" si="7"/>
        <v>0</v>
      </c>
    </row>
    <row r="483" spans="6:10" x14ac:dyDescent="0.3">
      <c r="F483" s="121">
        <v>44133</v>
      </c>
      <c r="G483" s="53">
        <v>319.08056599999998</v>
      </c>
      <c r="H483" s="53">
        <v>90.298743999999999</v>
      </c>
      <c r="I483" s="122">
        <f t="shared" si="7"/>
        <v>1.0163436131759074E-2</v>
      </c>
      <c r="J483" s="122">
        <f t="shared" si="7"/>
        <v>1.0917179652469855E-4</v>
      </c>
    </row>
    <row r="484" spans="6:10" x14ac:dyDescent="0.3">
      <c r="F484" s="121">
        <v>44134</v>
      </c>
      <c r="G484" s="53">
        <v>315.75418100000002</v>
      </c>
      <c r="H484" s="53">
        <v>90.298743999999999</v>
      </c>
      <c r="I484" s="122">
        <f t="shared" si="7"/>
        <v>-1.042490629153503E-2</v>
      </c>
      <c r="J484" s="122">
        <f t="shared" si="7"/>
        <v>0</v>
      </c>
    </row>
    <row r="485" spans="6:10" x14ac:dyDescent="0.3">
      <c r="F485" s="121">
        <v>44137</v>
      </c>
      <c r="G485" s="53">
        <v>319.29330399999998</v>
      </c>
      <c r="H485" s="53">
        <v>90.298743999999999</v>
      </c>
      <c r="I485" s="122">
        <f t="shared" si="7"/>
        <v>1.1208475494422609E-2</v>
      </c>
      <c r="J485" s="122">
        <f t="shared" si="7"/>
        <v>0</v>
      </c>
    </row>
    <row r="486" spans="6:10" x14ac:dyDescent="0.3">
      <c r="F486" s="121">
        <v>44138</v>
      </c>
      <c r="G486" s="53">
        <v>324.930725</v>
      </c>
      <c r="H486" s="53">
        <v>90.298743999999999</v>
      </c>
      <c r="I486" s="122">
        <f t="shared" si="7"/>
        <v>1.7655932427571353E-2</v>
      </c>
      <c r="J486" s="122">
        <f t="shared" si="7"/>
        <v>0</v>
      </c>
    </row>
    <row r="487" spans="6:10" x14ac:dyDescent="0.3">
      <c r="F487" s="121">
        <v>44139</v>
      </c>
      <c r="G487" s="53">
        <v>332.192657</v>
      </c>
      <c r="H487" s="53">
        <v>90.288887000000003</v>
      </c>
      <c r="I487" s="122">
        <f t="shared" si="7"/>
        <v>2.2349169965382609E-2</v>
      </c>
      <c r="J487" s="122">
        <f t="shared" si="7"/>
        <v>-1.0915987934445592E-4</v>
      </c>
    </row>
    <row r="488" spans="6:10" x14ac:dyDescent="0.3">
      <c r="F488" s="121">
        <v>44140</v>
      </c>
      <c r="G488" s="53">
        <v>338.67138699999998</v>
      </c>
      <c r="H488" s="53">
        <v>90.298743999999999</v>
      </c>
      <c r="I488" s="122">
        <f t="shared" si="7"/>
        <v>1.9502929590644147E-2</v>
      </c>
      <c r="J488" s="122">
        <f t="shared" si="7"/>
        <v>1.0917179652469855E-4</v>
      </c>
    </row>
    <row r="489" spans="6:10" x14ac:dyDescent="0.3">
      <c r="F489" s="121">
        <v>44141</v>
      </c>
      <c r="G489" s="53">
        <v>338.59399400000001</v>
      </c>
      <c r="H489" s="53">
        <v>90.288887000000003</v>
      </c>
      <c r="I489" s="122">
        <f t="shared" si="7"/>
        <v>-2.2851945269286578E-4</v>
      </c>
      <c r="J489" s="122">
        <f t="shared" si="7"/>
        <v>-1.0915987934445592E-4</v>
      </c>
    </row>
    <row r="490" spans="6:10" x14ac:dyDescent="0.3">
      <c r="F490" s="121">
        <v>44144</v>
      </c>
      <c r="G490" s="53">
        <v>342.84863300000001</v>
      </c>
      <c r="H490" s="53">
        <v>90.298743999999999</v>
      </c>
      <c r="I490" s="122">
        <f t="shared" si="7"/>
        <v>1.2565606819357811E-2</v>
      </c>
      <c r="J490" s="122">
        <f t="shared" si="7"/>
        <v>1.0917179652469855E-4</v>
      </c>
    </row>
    <row r="491" spans="6:10" x14ac:dyDescent="0.3">
      <c r="F491" s="121">
        <v>44145</v>
      </c>
      <c r="G491" s="53">
        <v>342.34582499999999</v>
      </c>
      <c r="H491" s="53">
        <v>90.288887000000003</v>
      </c>
      <c r="I491" s="122">
        <f t="shared" si="7"/>
        <v>-1.4665597339570402E-3</v>
      </c>
      <c r="J491" s="122">
        <f t="shared" si="7"/>
        <v>-1.0915987934445592E-4</v>
      </c>
    </row>
    <row r="492" spans="6:10" x14ac:dyDescent="0.3">
      <c r="F492" s="121">
        <v>44146</v>
      </c>
      <c r="G492" s="53">
        <v>344.88897700000001</v>
      </c>
      <c r="H492" s="53">
        <v>90.288887000000003</v>
      </c>
      <c r="I492" s="122">
        <f t="shared" si="7"/>
        <v>7.4286052707084327E-3</v>
      </c>
      <c r="J492" s="122">
        <f t="shared" si="7"/>
        <v>0</v>
      </c>
    </row>
    <row r="493" spans="6:10" x14ac:dyDescent="0.3">
      <c r="F493" s="121">
        <v>44147</v>
      </c>
      <c r="G493" s="53">
        <v>341.54321299999998</v>
      </c>
      <c r="H493" s="53">
        <v>90.288887000000003</v>
      </c>
      <c r="I493" s="122">
        <f t="shared" si="7"/>
        <v>-9.700988501003982E-3</v>
      </c>
      <c r="J493" s="122">
        <f t="shared" si="7"/>
        <v>0</v>
      </c>
    </row>
    <row r="494" spans="6:10" x14ac:dyDescent="0.3">
      <c r="F494" s="121">
        <v>44148</v>
      </c>
      <c r="G494" s="53">
        <v>346.27172899999999</v>
      </c>
      <c r="H494" s="53">
        <v>90.298743999999999</v>
      </c>
      <c r="I494" s="122">
        <f t="shared" si="7"/>
        <v>1.3844561449388282E-2</v>
      </c>
      <c r="J494" s="122">
        <f t="shared" si="7"/>
        <v>1.0917179652469855E-4</v>
      </c>
    </row>
    <row r="495" spans="6:10" x14ac:dyDescent="0.3">
      <c r="F495" s="121">
        <v>44151</v>
      </c>
      <c r="G495" s="53">
        <v>350.594086</v>
      </c>
      <c r="H495" s="53">
        <v>90.298743999999999</v>
      </c>
      <c r="I495" s="122">
        <f t="shared" si="7"/>
        <v>1.2482558170378466E-2</v>
      </c>
      <c r="J495" s="122">
        <f t="shared" si="7"/>
        <v>0</v>
      </c>
    </row>
    <row r="496" spans="6:10" x14ac:dyDescent="0.3">
      <c r="F496" s="121">
        <v>44152</v>
      </c>
      <c r="G496" s="53">
        <v>348.70843500000001</v>
      </c>
      <c r="H496" s="53">
        <v>90.298743999999999</v>
      </c>
      <c r="I496" s="122">
        <f t="shared" si="7"/>
        <v>-5.3784449746822061E-3</v>
      </c>
      <c r="J496" s="122">
        <f t="shared" si="7"/>
        <v>0</v>
      </c>
    </row>
    <row r="497" spans="6:10" x14ac:dyDescent="0.3">
      <c r="F497" s="121">
        <v>44153</v>
      </c>
      <c r="G497" s="53">
        <v>344.511841</v>
      </c>
      <c r="H497" s="53">
        <v>90.298743999999999</v>
      </c>
      <c r="I497" s="122">
        <f t="shared" si="7"/>
        <v>-1.2034678771105756E-2</v>
      </c>
      <c r="J497" s="122">
        <f t="shared" si="7"/>
        <v>0</v>
      </c>
    </row>
    <row r="498" spans="6:10" x14ac:dyDescent="0.3">
      <c r="F498" s="121">
        <v>44154</v>
      </c>
      <c r="G498" s="53">
        <v>345.962311</v>
      </c>
      <c r="H498" s="53">
        <v>90.298743999999999</v>
      </c>
      <c r="I498" s="122">
        <f t="shared" si="7"/>
        <v>4.2102181329668475E-3</v>
      </c>
      <c r="J498" s="122">
        <f t="shared" si="7"/>
        <v>0</v>
      </c>
    </row>
    <row r="499" spans="6:10" x14ac:dyDescent="0.3">
      <c r="F499" s="121">
        <v>44155</v>
      </c>
      <c r="G499" s="53">
        <v>343.59320100000002</v>
      </c>
      <c r="H499" s="53">
        <v>90.298743999999999</v>
      </c>
      <c r="I499" s="122">
        <f t="shared" si="7"/>
        <v>-6.847884652961489E-3</v>
      </c>
      <c r="J499" s="122">
        <f t="shared" si="7"/>
        <v>0</v>
      </c>
    </row>
    <row r="500" spans="6:10" x14ac:dyDescent="0.3">
      <c r="F500" s="121">
        <v>44158</v>
      </c>
      <c r="G500" s="53">
        <v>345.65289300000001</v>
      </c>
      <c r="H500" s="53">
        <v>90.298743999999999</v>
      </c>
      <c r="I500" s="122">
        <f t="shared" si="7"/>
        <v>5.994565649161343E-3</v>
      </c>
      <c r="J500" s="122">
        <f t="shared" si="7"/>
        <v>0</v>
      </c>
    </row>
    <row r="501" spans="6:10" x14ac:dyDescent="0.3">
      <c r="F501" s="121">
        <v>44159</v>
      </c>
      <c r="G501" s="53">
        <v>351.22262599999999</v>
      </c>
      <c r="H501" s="53">
        <v>90.298743999999999</v>
      </c>
      <c r="I501" s="122">
        <f t="shared" si="7"/>
        <v>1.611365943348253E-2</v>
      </c>
      <c r="J501" s="122">
        <f t="shared" si="7"/>
        <v>0</v>
      </c>
    </row>
    <row r="502" spans="6:10" x14ac:dyDescent="0.3">
      <c r="F502" s="121">
        <v>44160</v>
      </c>
      <c r="G502" s="53">
        <v>350.68112200000002</v>
      </c>
      <c r="H502" s="53">
        <v>90.288887000000003</v>
      </c>
      <c r="I502" s="122">
        <f t="shared" si="7"/>
        <v>-1.5417685533732906E-3</v>
      </c>
      <c r="J502" s="122">
        <f t="shared" si="7"/>
        <v>-1.0915987934445592E-4</v>
      </c>
    </row>
    <row r="503" spans="6:10" x14ac:dyDescent="0.3">
      <c r="F503" s="121">
        <v>44162</v>
      </c>
      <c r="G503" s="53">
        <v>351.65780599999999</v>
      </c>
      <c r="H503" s="53">
        <v>90.298743999999999</v>
      </c>
      <c r="I503" s="122">
        <f t="shared" si="7"/>
        <v>2.7851057234840049E-3</v>
      </c>
      <c r="J503" s="122">
        <f t="shared" si="7"/>
        <v>1.0917179652469855E-4</v>
      </c>
    </row>
    <row r="504" spans="6:10" x14ac:dyDescent="0.3">
      <c r="F504" s="121">
        <v>44165</v>
      </c>
      <c r="G504" s="53">
        <v>350.10095200000001</v>
      </c>
      <c r="H504" s="53">
        <v>90.288887000000003</v>
      </c>
      <c r="I504" s="122">
        <f t="shared" si="7"/>
        <v>-4.4271845340466687E-3</v>
      </c>
      <c r="J504" s="122">
        <f t="shared" si="7"/>
        <v>-1.0915987934445592E-4</v>
      </c>
    </row>
    <row r="505" spans="6:10" x14ac:dyDescent="0.3">
      <c r="F505" s="121">
        <v>44166</v>
      </c>
      <c r="G505" s="53">
        <v>353.93008400000002</v>
      </c>
      <c r="H505" s="53">
        <v>90.281981999999999</v>
      </c>
      <c r="I505" s="122">
        <f t="shared" si="7"/>
        <v>1.0937222472905406E-2</v>
      </c>
      <c r="J505" s="122">
        <f t="shared" si="7"/>
        <v>-7.6476742924103114E-5</v>
      </c>
    </row>
    <row r="506" spans="6:10" x14ac:dyDescent="0.3">
      <c r="F506" s="121">
        <v>44167</v>
      </c>
      <c r="G506" s="53">
        <v>354.67468300000002</v>
      </c>
      <c r="H506" s="53">
        <v>90.291847000000004</v>
      </c>
      <c r="I506" s="122">
        <f t="shared" si="7"/>
        <v>2.1038025125887927E-3</v>
      </c>
      <c r="J506" s="122">
        <f t="shared" si="7"/>
        <v>1.0926875752459431E-4</v>
      </c>
    </row>
    <row r="507" spans="6:10" x14ac:dyDescent="0.3">
      <c r="F507" s="121">
        <v>44168</v>
      </c>
      <c r="G507" s="53">
        <v>354.57797199999999</v>
      </c>
      <c r="H507" s="53">
        <v>90.291847000000004</v>
      </c>
      <c r="I507" s="122">
        <f t="shared" si="7"/>
        <v>-2.7267522785101583E-4</v>
      </c>
      <c r="J507" s="122">
        <f t="shared" si="7"/>
        <v>0</v>
      </c>
    </row>
    <row r="508" spans="6:10" x14ac:dyDescent="0.3">
      <c r="F508" s="121">
        <v>44169</v>
      </c>
      <c r="G508" s="53">
        <v>357.633667</v>
      </c>
      <c r="H508" s="53">
        <v>90.301711999999995</v>
      </c>
      <c r="I508" s="122">
        <f t="shared" si="7"/>
        <v>8.6178365304656612E-3</v>
      </c>
      <c r="J508" s="122">
        <f t="shared" si="7"/>
        <v>1.0925681916762464E-4</v>
      </c>
    </row>
    <row r="509" spans="6:10" x14ac:dyDescent="0.3">
      <c r="F509" s="121">
        <v>44172</v>
      </c>
      <c r="G509" s="53">
        <v>356.89871199999999</v>
      </c>
      <c r="H509" s="53">
        <v>90.281981999999999</v>
      </c>
      <c r="I509" s="122">
        <f t="shared" si="7"/>
        <v>-2.0550498116275184E-3</v>
      </c>
      <c r="J509" s="122">
        <f t="shared" si="7"/>
        <v>-2.1848976683846999E-4</v>
      </c>
    </row>
    <row r="510" spans="6:10" x14ac:dyDescent="0.3">
      <c r="F510" s="121">
        <v>44173</v>
      </c>
      <c r="G510" s="53">
        <v>357.94305400000002</v>
      </c>
      <c r="H510" s="53">
        <v>90.281981999999999</v>
      </c>
      <c r="I510" s="122">
        <f t="shared" si="7"/>
        <v>2.9261579402954929E-3</v>
      </c>
      <c r="J510" s="122">
        <f t="shared" si="7"/>
        <v>0</v>
      </c>
    </row>
    <row r="511" spans="6:10" x14ac:dyDescent="0.3">
      <c r="F511" s="121">
        <v>44174</v>
      </c>
      <c r="G511" s="53">
        <v>354.73272700000001</v>
      </c>
      <c r="H511" s="53">
        <v>90.281981999999999</v>
      </c>
      <c r="I511" s="122">
        <f t="shared" si="7"/>
        <v>-8.9688204984695874E-3</v>
      </c>
      <c r="J511" s="122">
        <f t="shared" si="7"/>
        <v>0</v>
      </c>
    </row>
    <row r="512" spans="6:10" x14ac:dyDescent="0.3">
      <c r="F512" s="121">
        <v>44175</v>
      </c>
      <c r="G512" s="53">
        <v>354.61663800000002</v>
      </c>
      <c r="H512" s="53">
        <v>90.281981999999999</v>
      </c>
      <c r="I512" s="122">
        <f t="shared" si="7"/>
        <v>-3.2725765390118067E-4</v>
      </c>
      <c r="J512" s="122">
        <f t="shared" si="7"/>
        <v>0</v>
      </c>
    </row>
    <row r="513" spans="6:10" x14ac:dyDescent="0.3">
      <c r="F513" s="121">
        <v>44176</v>
      </c>
      <c r="G513" s="53">
        <v>354.200897</v>
      </c>
      <c r="H513" s="53">
        <v>90.291847000000004</v>
      </c>
      <c r="I513" s="122">
        <f t="shared" si="7"/>
        <v>-1.1723674397928763E-3</v>
      </c>
      <c r="J513" s="122">
        <f t="shared" si="7"/>
        <v>1.0926875752459431E-4</v>
      </c>
    </row>
    <row r="514" spans="6:10" x14ac:dyDescent="0.3">
      <c r="F514" s="121">
        <v>44179</v>
      </c>
      <c r="G514" s="53">
        <v>352.61508199999997</v>
      </c>
      <c r="H514" s="53">
        <v>90.281981999999999</v>
      </c>
      <c r="I514" s="122">
        <f t="shared" si="7"/>
        <v>-4.4771625747747068E-3</v>
      </c>
      <c r="J514" s="122">
        <f t="shared" si="7"/>
        <v>-1.0925681916784669E-4</v>
      </c>
    </row>
    <row r="515" spans="6:10" x14ac:dyDescent="0.3">
      <c r="F515" s="121">
        <v>44180</v>
      </c>
      <c r="G515" s="53">
        <v>357.38220200000001</v>
      </c>
      <c r="H515" s="53">
        <v>90.281981999999999</v>
      </c>
      <c r="I515" s="122">
        <f t="shared" si="7"/>
        <v>1.351933097405067E-2</v>
      </c>
      <c r="J515" s="122">
        <f t="shared" si="7"/>
        <v>0</v>
      </c>
    </row>
    <row r="516" spans="6:10" x14ac:dyDescent="0.3">
      <c r="F516" s="121">
        <v>44181</v>
      </c>
      <c r="G516" s="53">
        <v>357.94305400000002</v>
      </c>
      <c r="H516" s="53">
        <v>90.291847000000004</v>
      </c>
      <c r="I516" s="122">
        <f t="shared" si="7"/>
        <v>1.5693338864144479E-3</v>
      </c>
      <c r="J516" s="122">
        <f t="shared" si="7"/>
        <v>1.0926875752459431E-4</v>
      </c>
    </row>
    <row r="517" spans="6:10" x14ac:dyDescent="0.3">
      <c r="F517" s="121">
        <v>44182</v>
      </c>
      <c r="G517" s="53">
        <v>359.94464099999999</v>
      </c>
      <c r="H517" s="53">
        <v>90.291847000000004</v>
      </c>
      <c r="I517" s="122">
        <f t="shared" si="7"/>
        <v>5.5919146289677979E-3</v>
      </c>
      <c r="J517" s="122">
        <f t="shared" si="7"/>
        <v>0</v>
      </c>
    </row>
    <row r="518" spans="6:10" x14ac:dyDescent="0.3">
      <c r="F518" s="121">
        <v>44183</v>
      </c>
      <c r="G518" s="53">
        <v>358.50741599999998</v>
      </c>
      <c r="H518" s="53">
        <v>90.291847000000004</v>
      </c>
      <c r="I518" s="122">
        <f t="shared" si="7"/>
        <v>-3.9929056757369574E-3</v>
      </c>
      <c r="J518" s="122">
        <f t="shared" si="7"/>
        <v>0</v>
      </c>
    </row>
    <row r="519" spans="6:10" x14ac:dyDescent="0.3">
      <c r="F519" s="121">
        <v>44186</v>
      </c>
      <c r="G519" s="53">
        <v>357.22555499999999</v>
      </c>
      <c r="H519" s="53">
        <v>90.291847000000004</v>
      </c>
      <c r="I519" s="122">
        <f t="shared" si="7"/>
        <v>-3.5755494664578835E-3</v>
      </c>
      <c r="J519" s="122">
        <f t="shared" si="7"/>
        <v>0</v>
      </c>
    </row>
    <row r="520" spans="6:10" x14ac:dyDescent="0.3">
      <c r="F520" s="121">
        <v>44187</v>
      </c>
      <c r="G520" s="53">
        <v>356.62350500000002</v>
      </c>
      <c r="H520" s="53">
        <v>90.291847000000004</v>
      </c>
      <c r="I520" s="122">
        <f t="shared" si="7"/>
        <v>-1.6853497505238124E-3</v>
      </c>
      <c r="J520" s="122">
        <f t="shared" si="7"/>
        <v>0</v>
      </c>
    </row>
    <row r="521" spans="6:10" x14ac:dyDescent="0.3">
      <c r="F521" s="121">
        <v>44188</v>
      </c>
      <c r="G521" s="53">
        <v>356.94400000000002</v>
      </c>
      <c r="H521" s="53">
        <v>90.281981999999999</v>
      </c>
      <c r="I521" s="122">
        <f t="shared" si="7"/>
        <v>8.9869286658483816E-4</v>
      </c>
      <c r="J521" s="122">
        <f t="shared" si="7"/>
        <v>-1.0925681916784669E-4</v>
      </c>
    </row>
    <row r="522" spans="6:10" x14ac:dyDescent="0.3">
      <c r="F522" s="121">
        <v>44189</v>
      </c>
      <c r="G522" s="53">
        <v>358.33264200000002</v>
      </c>
      <c r="H522" s="53">
        <v>90.291847000000004</v>
      </c>
      <c r="I522" s="122">
        <f t="shared" si="7"/>
        <v>3.8903637545384395E-3</v>
      </c>
      <c r="J522" s="122">
        <f t="shared" si="7"/>
        <v>1.0926875752459431E-4</v>
      </c>
    </row>
    <row r="523" spans="6:10" x14ac:dyDescent="0.3">
      <c r="F523" s="121">
        <v>44193</v>
      </c>
      <c r="G523" s="53">
        <v>361.41101099999997</v>
      </c>
      <c r="H523" s="53">
        <v>90.291847000000004</v>
      </c>
      <c r="I523" s="122">
        <f t="shared" si="7"/>
        <v>8.5908137835792875E-3</v>
      </c>
      <c r="J523" s="122">
        <f t="shared" si="7"/>
        <v>0</v>
      </c>
    </row>
    <row r="524" spans="6:10" x14ac:dyDescent="0.3">
      <c r="F524" s="121">
        <v>44194</v>
      </c>
      <c r="G524" s="53">
        <v>360.72155800000002</v>
      </c>
      <c r="H524" s="53">
        <v>90.291847000000004</v>
      </c>
      <c r="I524" s="122">
        <f t="shared" si="7"/>
        <v>-1.9076701567345422E-3</v>
      </c>
      <c r="J524" s="122">
        <f t="shared" si="7"/>
        <v>0</v>
      </c>
    </row>
    <row r="525" spans="6:10" x14ac:dyDescent="0.3">
      <c r="F525" s="121">
        <v>44195</v>
      </c>
      <c r="G525" s="53">
        <v>361.236176</v>
      </c>
      <c r="H525" s="53">
        <v>90.281981999999999</v>
      </c>
      <c r="I525" s="122">
        <f t="shared" si="7"/>
        <v>1.4266350002845041E-3</v>
      </c>
      <c r="J525" s="122">
        <f t="shared" si="7"/>
        <v>-1.0925681916784669E-4</v>
      </c>
    </row>
    <row r="526" spans="6:10" x14ac:dyDescent="0.3">
      <c r="F526" s="121">
        <v>44196</v>
      </c>
      <c r="G526" s="53">
        <v>363.07156400000002</v>
      </c>
      <c r="H526" s="53">
        <v>90.291847000000004</v>
      </c>
      <c r="I526" s="122">
        <f t="shared" si="7"/>
        <v>5.0808532531914086E-3</v>
      </c>
      <c r="J526" s="122">
        <f t="shared" si="7"/>
        <v>1.0926875752459431E-4</v>
      </c>
    </row>
  </sheetData>
  <mergeCells count="1">
    <mergeCell ref="D22:D23"/>
  </mergeCells>
  <pageMargins left="0.511811024" right="0.511811024" top="0.78740157499999996" bottom="0.78740157499999996" header="0.31496062000000002" footer="0.31496062000000002"/>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060B0-139A-4A11-AC9E-86511715EF5A}">
  <sheetPr codeName="Planilha68">
    <tabColor theme="9" tint="0.59999389629810485"/>
  </sheetPr>
  <dimension ref="A1:Z526"/>
  <sheetViews>
    <sheetView showGridLines="0" topLeftCell="A2" zoomScale="85" zoomScaleNormal="85" workbookViewId="0">
      <selection activeCell="B16" sqref="B16"/>
    </sheetView>
  </sheetViews>
  <sheetFormatPr defaultColWidth="8.85546875" defaultRowHeight="18.75" x14ac:dyDescent="0.3"/>
  <cols>
    <col min="1" max="1" width="18.5703125" style="17" customWidth="1"/>
    <col min="2" max="2" width="49" customWidth="1"/>
    <col min="4" max="4" width="8.5703125" bestFit="1" customWidth="1"/>
    <col min="5" max="5" width="4.5703125" customWidth="1"/>
    <col min="6" max="6" width="8.7109375" bestFit="1" customWidth="1"/>
    <col min="7" max="10" width="17" bestFit="1" customWidth="1"/>
    <col min="11" max="12" width="12.85546875" bestFit="1" customWidth="1"/>
    <col min="14" max="16" width="9" style="15" customWidth="1"/>
    <col min="17" max="25" width="8.85546875" style="15"/>
  </cols>
  <sheetData>
    <row r="1" spans="1:25" x14ac:dyDescent="0.3">
      <c r="A1" s="16" t="s">
        <v>671</v>
      </c>
      <c r="N1" s="14"/>
      <c r="O1" s="14"/>
      <c r="P1" s="14"/>
      <c r="Q1" s="14"/>
      <c r="R1" s="14"/>
      <c r="S1" s="14"/>
      <c r="T1" s="14"/>
      <c r="U1" s="14"/>
      <c r="V1" s="14"/>
      <c r="W1" s="14"/>
      <c r="X1" s="14"/>
      <c r="Y1" s="14"/>
    </row>
    <row r="2" spans="1:25" x14ac:dyDescent="0.3">
      <c r="A2" s="17" t="s">
        <v>672</v>
      </c>
      <c r="N2" s="14"/>
      <c r="O2" s="14"/>
      <c r="P2" s="14"/>
      <c r="Q2" s="14"/>
      <c r="R2" s="14"/>
      <c r="S2" s="14"/>
      <c r="T2" s="14"/>
      <c r="U2" s="14"/>
      <c r="V2" s="14"/>
      <c r="W2" s="14"/>
      <c r="X2" s="14"/>
      <c r="Y2" s="14"/>
    </row>
    <row r="3" spans="1:25" ht="15" x14ac:dyDescent="0.25">
      <c r="A3" s="120" t="s">
        <v>650</v>
      </c>
      <c r="N3" s="14"/>
      <c r="O3" s="14"/>
      <c r="P3" s="14"/>
      <c r="Q3" s="14"/>
      <c r="R3" s="14"/>
      <c r="S3" s="14"/>
      <c r="T3" s="14"/>
      <c r="U3" s="14"/>
      <c r="V3" s="14"/>
      <c r="W3" s="14"/>
      <c r="X3" s="14"/>
      <c r="Y3" s="14"/>
    </row>
    <row r="4" spans="1:25" ht="15" x14ac:dyDescent="0.25">
      <c r="A4" s="120" t="s">
        <v>647</v>
      </c>
      <c r="N4" s="14"/>
      <c r="O4" s="14"/>
      <c r="P4" s="14"/>
      <c r="Q4" s="14"/>
      <c r="R4" s="14"/>
      <c r="S4" s="14"/>
      <c r="T4" s="14"/>
      <c r="U4" s="14"/>
      <c r="V4" s="14"/>
      <c r="W4" s="14"/>
      <c r="X4" s="14"/>
      <c r="Y4" s="14"/>
    </row>
    <row r="5" spans="1:25" ht="15" x14ac:dyDescent="0.25">
      <c r="A5" s="120" t="s">
        <v>648</v>
      </c>
      <c r="N5" s="14"/>
      <c r="O5" s="14"/>
      <c r="P5" s="14"/>
      <c r="Q5" s="14"/>
      <c r="R5" s="14"/>
      <c r="S5" s="14"/>
      <c r="T5" s="14"/>
      <c r="U5" s="14"/>
      <c r="V5" s="14"/>
      <c r="W5" s="14"/>
      <c r="X5" s="14"/>
      <c r="Y5" s="14"/>
    </row>
    <row r="6" spans="1:25" ht="15" x14ac:dyDescent="0.25">
      <c r="A6" s="120" t="s">
        <v>663</v>
      </c>
      <c r="N6" s="14"/>
      <c r="O6" s="14"/>
      <c r="P6" s="14"/>
      <c r="Q6" s="14"/>
      <c r="R6" s="14"/>
      <c r="S6" s="14"/>
      <c r="T6" s="14"/>
      <c r="U6" s="14"/>
      <c r="V6" s="14"/>
      <c r="W6" s="14"/>
      <c r="X6" s="14"/>
      <c r="Y6" s="14"/>
    </row>
    <row r="7" spans="1:25" ht="15" x14ac:dyDescent="0.25">
      <c r="A7" s="120"/>
      <c r="N7" s="14"/>
      <c r="O7" s="14"/>
      <c r="P7" s="14"/>
      <c r="Q7" s="14"/>
      <c r="R7" s="14"/>
      <c r="S7" s="14"/>
      <c r="T7" s="14"/>
      <c r="U7" s="14"/>
      <c r="V7" s="14"/>
      <c r="W7" s="14"/>
      <c r="X7" s="14"/>
      <c r="Y7" s="14"/>
    </row>
    <row r="8" spans="1:25" x14ac:dyDescent="0.3">
      <c r="A8" s="17" t="s">
        <v>673</v>
      </c>
      <c r="N8" s="14"/>
      <c r="O8" s="14"/>
      <c r="P8" s="14"/>
      <c r="Q8" s="14"/>
      <c r="R8" s="14"/>
      <c r="S8" s="14"/>
      <c r="T8" s="14"/>
      <c r="U8" s="14"/>
      <c r="V8" s="14"/>
      <c r="W8" s="14"/>
      <c r="X8" s="14"/>
      <c r="Y8" s="14"/>
    </row>
    <row r="10" spans="1:25" ht="15.75" x14ac:dyDescent="0.25">
      <c r="A10" s="2" t="s">
        <v>15</v>
      </c>
      <c r="B10" s="2" t="s">
        <v>16</v>
      </c>
    </row>
    <row r="11" spans="1:25" ht="15.75" x14ac:dyDescent="0.25">
      <c r="A11" s="23" t="s">
        <v>651</v>
      </c>
      <c r="B11" s="24" t="s">
        <v>655</v>
      </c>
    </row>
    <row r="12" spans="1:25" ht="15.75" x14ac:dyDescent="0.25">
      <c r="A12" s="23" t="s">
        <v>652</v>
      </c>
      <c r="B12" s="24" t="s">
        <v>656</v>
      </c>
    </row>
    <row r="13" spans="1:25" ht="15.75" x14ac:dyDescent="0.25">
      <c r="A13" s="23" t="s">
        <v>653</v>
      </c>
      <c r="B13" s="24" t="s">
        <v>657</v>
      </c>
    </row>
    <row r="14" spans="1:25" ht="15.75" x14ac:dyDescent="0.25">
      <c r="A14" s="23" t="s">
        <v>654</v>
      </c>
      <c r="B14" s="24" t="s">
        <v>658</v>
      </c>
    </row>
    <row r="15" spans="1:25" ht="31.5" x14ac:dyDescent="0.25">
      <c r="A15" s="23" t="s">
        <v>246</v>
      </c>
      <c r="B15" s="24" t="s">
        <v>824</v>
      </c>
    </row>
    <row r="16" spans="1:25" ht="47.25" x14ac:dyDescent="0.25">
      <c r="A16" s="23" t="s">
        <v>667</v>
      </c>
      <c r="B16" s="24" t="s">
        <v>823</v>
      </c>
    </row>
    <row r="17" spans="1:26" ht="15.75" x14ac:dyDescent="0.25">
      <c r="A17" s="23"/>
      <c r="B17" s="24"/>
      <c r="I17" t="s">
        <v>644</v>
      </c>
      <c r="J17" t="s">
        <v>645</v>
      </c>
    </row>
    <row r="18" spans="1:26" x14ac:dyDescent="0.3">
      <c r="D18" s="1" t="s">
        <v>17</v>
      </c>
      <c r="G18" s="1" t="s">
        <v>642</v>
      </c>
      <c r="H18" s="1" t="s">
        <v>643</v>
      </c>
      <c r="I18" s="13" t="s">
        <v>651</v>
      </c>
      <c r="J18" s="13" t="s">
        <v>652</v>
      </c>
      <c r="K18" s="13" t="s">
        <v>246</v>
      </c>
      <c r="L18" s="13" t="s">
        <v>667</v>
      </c>
      <c r="N18" s="15" t="s">
        <v>661</v>
      </c>
      <c r="P18" s="15" t="s">
        <v>662</v>
      </c>
    </row>
    <row r="19" spans="1:26" x14ac:dyDescent="0.3">
      <c r="F19" s="121">
        <v>43465</v>
      </c>
      <c r="G19" s="53">
        <v>233.81840500000001</v>
      </c>
      <c r="H19" s="53">
        <v>88.142380000000003</v>
      </c>
      <c r="I19" s="102"/>
      <c r="J19" s="102"/>
      <c r="K19" s="55" t="b">
        <v>0</v>
      </c>
      <c r="L19" s="55" t="b">
        <v>0</v>
      </c>
      <c r="N19" s="123" cm="1">
        <f t="array" ref="N19">_xlfn.LAMBDA(_xlpm.sampleNonCrisis_1,_xlpm.sampleNonCrisis_2,_xlpm.sampleCrisis_1,_xlpm.sampleCrisis_2,_xlop.returnPValue,_xlop.returnInverse,_xlfn.LET(
    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
            1 + (_xlpm.volCrisis_1 ^ 2 - _xlpm.volNonCrisis_1 ^ 2) / (_xlpm.volNonCrisis_1 ^ 2) * (1 - _xlpm.corrCrisis ^ 2)
        ),
    _xlpm.coSkewNonCrisis_1_2, AVERAGE(
        (_xlpm.sampleNonCrisis_1 - _xlpm.meanNonCrisis_1) / _xlpm.volNonCrisis_1 *
            ((_xlpm.sampleNonCrisis_2 - _xlpm.meanNonCrisis_2) / _xlpm.volNonCrisis_2) ^ 2
    ),
    _xlpm.coSkewCrisis_1_2, AVERAGE(
        (_xlpm.sampleCrisis_1 - _xlpm.meanCrisis_1) / _xlpm.volCrisis_1 *
            ((_xlpm.sampleCrisis_2 - _xlpm.meanCrisis_2) / _xlpm.volCrisis_2) ^ 2
    ),
    _xlpm.coSkewNonCrisis_2_1, AVERAGE(
        ((_xlpm.sampleNonCrisis_1 - _xlpm.meanNonCrisis_1) / _xlpm.volNonCrisis_1) ^ 2 *
            ((_xlpm.sampleNonCrisis_2 - _xlpm.meanNonCrisis_2) / _xlpm.volNonCrisis_2)
    ),
    _xlpm.coSkewCrisis_2_1, AVERAGE(
        ((_xlpm.sampleCrisis_1 - _xlpm.meanCrisis_1) / _xlpm.volCrisis_1) ^ 2 *
            ((_xlpm.sampleCrisis_2 - _xlpm.meanCrisis_2) / _xlpm.volCrisis_2)
    ),
    _xlpm.chiSquared_1_2, (
        (_xlpm.coSkewCrisis_1_2 - _xlpm.coSkewNonCrisis_1_2) /
            SQRT(
                (4 * _xlpm.corrCrisisAdj ^ 2 + 2) / _xlpm.nCrisis_1 + (4 * _xlpm.corrNonCrisis ^ 2 + 2) / _xlpm.nNonCrisis_1
            )
    ) ^ 2,
    _xlpm.chiSquared_2_1, (
        (_xlpm.coSkewCrisis_2_1 - _xlpm.coSkewNonCrisis_2_1) /
            SQRT(
                (4 * _xlpm.corrCrisisAdj ^ 2 + 2) / _xlpm.nCrisis_1 + (4 * _xlpm.corrNonCrisis ^ 2 + 2) / _xlpm.nNonCrisis_1
            )
    ) ^ 2,
    _xlpm.pTest_1_3, _xlfn.CHISQ.DIST.RT(_xlpm.chiSquared_1_2, 1),
    _xlpm.pTest_3_1, _xlfn.CHISQ.DIST.RT(_xlpm.chiSquared_2_1, 1),
    IF(
        OR(_xlfn.ISOMITTED(_xlpm.returnInverse), _xlpm.returnInverse = FALSE),
        IF(OR(_xlfn.ISOMITTED(_xlpm.returnPValue), _xlpm.returnPValue = FALSE), _xlpm.chiSquared_1_2, _xlpm.pTest_1_3),
        IF(OR(_xlfn.ISOMITTED(_xlpm.returnPValue), _xlpm.returnPValue = FALSE), _xlpm.chiSquared_2_1, _xlpm.pTest_3_1)
    )
))(I20:I318,J20:J318,I321:I526,J321:J526,K19,L19)</f>
        <v>3.5996011665822265</v>
      </c>
      <c r="O19" s="54"/>
      <c r="P19" s="27" cm="1">
        <f t="array" ref="P19">CONTAGION_COSKEWNESS(I20:I318,J20:J318,I321:I526,J321:J526,K19,L19)</f>
        <v>3.5996011665822265</v>
      </c>
    </row>
    <row r="20" spans="1:26" x14ac:dyDescent="0.3">
      <c r="F20" s="121">
        <v>43467</v>
      </c>
      <c r="G20" s="53">
        <v>234.0616</v>
      </c>
      <c r="H20" s="53">
        <v>88.132744000000002</v>
      </c>
      <c r="I20" s="122">
        <f>G20/G19-1</f>
        <v>1.0401020398713712E-3</v>
      </c>
      <c r="J20" s="122">
        <f>H20/H19-1</f>
        <v>-1.0932312016076473E-4</v>
      </c>
      <c r="N20" s="54"/>
      <c r="O20" s="54"/>
      <c r="P20" s="54"/>
    </row>
    <row r="21" spans="1:26" x14ac:dyDescent="0.3">
      <c r="F21" s="121">
        <v>43468</v>
      </c>
      <c r="G21" s="53">
        <v>228.476257</v>
      </c>
      <c r="H21" s="53">
        <v>88.161666999999994</v>
      </c>
      <c r="I21" s="122">
        <f t="shared" ref="I21:J84" si="0">G21/G20-1</f>
        <v>-2.3862705373286275E-2</v>
      </c>
      <c r="J21" s="122">
        <f t="shared" si="0"/>
        <v>3.2817541684604379E-4</v>
      </c>
      <c r="N21" s="54"/>
      <c r="O21" s="54"/>
      <c r="P21" s="54"/>
    </row>
    <row r="22" spans="1:26" ht="18.75" customHeight="1" x14ac:dyDescent="0.3">
      <c r="D22" s="134"/>
      <c r="F22" s="121">
        <v>43469</v>
      </c>
      <c r="G22" s="53">
        <v>236.129257</v>
      </c>
      <c r="H22" s="53">
        <v>88.171302999999995</v>
      </c>
      <c r="I22" s="122">
        <f t="shared" si="0"/>
        <v>3.3495821843755103E-2</v>
      </c>
      <c r="J22" s="122">
        <f t="shared" si="0"/>
        <v>1.0929920370039703E-4</v>
      </c>
      <c r="N22" s="54"/>
      <c r="O22" s="54"/>
      <c r="P22" s="54"/>
    </row>
    <row r="23" spans="1:26" x14ac:dyDescent="0.3">
      <c r="D23" s="134"/>
      <c r="F23" s="121">
        <v>43472</v>
      </c>
      <c r="G23" s="53">
        <v>237.991028</v>
      </c>
      <c r="H23" s="53">
        <v>88.171302999999995</v>
      </c>
      <c r="I23" s="122">
        <f t="shared" si="0"/>
        <v>7.8845418126225475E-3</v>
      </c>
      <c r="J23" s="122">
        <f t="shared" si="0"/>
        <v>0</v>
      </c>
      <c r="N23" s="54"/>
      <c r="O23" s="54"/>
      <c r="P23" s="54"/>
    </row>
    <row r="24" spans="1:26" x14ac:dyDescent="0.3">
      <c r="D24" s="47"/>
      <c r="F24" s="121">
        <v>43473</v>
      </c>
      <c r="G24" s="53">
        <v>240.22705099999999</v>
      </c>
      <c r="H24" s="53">
        <v>88.171302999999995</v>
      </c>
      <c r="I24" s="122">
        <f t="shared" si="0"/>
        <v>9.3954088050747231E-3</v>
      </c>
      <c r="J24" s="122">
        <f t="shared" si="0"/>
        <v>0</v>
      </c>
      <c r="N24" s="54"/>
      <c r="O24" s="54"/>
      <c r="P24" s="54"/>
    </row>
    <row r="25" spans="1:26" x14ac:dyDescent="0.3">
      <c r="F25" s="121">
        <v>43474</v>
      </c>
      <c r="G25" s="53">
        <v>241.349762</v>
      </c>
      <c r="H25" s="53">
        <v>88.171302999999995</v>
      </c>
      <c r="I25" s="122">
        <f t="shared" si="0"/>
        <v>4.6735411159004592E-3</v>
      </c>
      <c r="J25" s="122">
        <f t="shared" si="0"/>
        <v>0</v>
      </c>
      <c r="N25" s="54"/>
      <c r="O25" s="54"/>
      <c r="P25" s="54"/>
    </row>
    <row r="26" spans="1:26" x14ac:dyDescent="0.3">
      <c r="F26" s="121">
        <v>43475</v>
      </c>
      <c r="G26" s="53">
        <v>242.20112599999999</v>
      </c>
      <c r="H26" s="53">
        <v>88.180938999999995</v>
      </c>
      <c r="I26" s="122">
        <f t="shared" si="0"/>
        <v>3.5275112473489578E-3</v>
      </c>
      <c r="J26" s="122">
        <f t="shared" si="0"/>
        <v>1.0928725869008282E-4</v>
      </c>
      <c r="N26" s="54"/>
      <c r="O26" s="54"/>
      <c r="P26" s="54"/>
    </row>
    <row r="27" spans="1:26" x14ac:dyDescent="0.3">
      <c r="F27" s="121">
        <v>43476</v>
      </c>
      <c r="G27" s="53">
        <v>242.294647</v>
      </c>
      <c r="H27" s="53">
        <v>88.200203000000002</v>
      </c>
      <c r="I27" s="122">
        <f t="shared" si="0"/>
        <v>3.8612950131367008E-4</v>
      </c>
      <c r="J27" s="122">
        <f t="shared" si="0"/>
        <v>2.1845991002655829E-4</v>
      </c>
      <c r="N27" s="54"/>
      <c r="O27" s="54"/>
      <c r="P27" s="54"/>
    </row>
    <row r="28" spans="1:26" s="15" customFormat="1" x14ac:dyDescent="0.3">
      <c r="A28" s="17"/>
      <c r="B28"/>
      <c r="C28"/>
      <c r="D28"/>
      <c r="E28"/>
      <c r="F28" s="121">
        <v>43479</v>
      </c>
      <c r="G28" s="53">
        <v>240.816452</v>
      </c>
      <c r="H28" s="53">
        <v>88.190574999999995</v>
      </c>
      <c r="I28" s="122">
        <f t="shared" si="0"/>
        <v>-6.1008157559502285E-3</v>
      </c>
      <c r="J28" s="122">
        <f t="shared" si="0"/>
        <v>-1.0916074648947838E-4</v>
      </c>
      <c r="K28"/>
      <c r="L28"/>
      <c r="M28"/>
      <c r="N28" s="54"/>
      <c r="O28" s="54"/>
      <c r="P28" s="54"/>
      <c r="Z28"/>
    </row>
    <row r="29" spans="1:26" s="15" customFormat="1" x14ac:dyDescent="0.3">
      <c r="A29" s="17"/>
      <c r="B29"/>
      <c r="C29"/>
      <c r="D29"/>
      <c r="E29"/>
      <c r="F29" s="121">
        <v>43480</v>
      </c>
      <c r="G29" s="53">
        <v>243.57638499999999</v>
      </c>
      <c r="H29" s="53">
        <v>88.209868999999998</v>
      </c>
      <c r="I29" s="122">
        <f t="shared" si="0"/>
        <v>1.146073275757753E-2</v>
      </c>
      <c r="J29" s="122">
        <f t="shared" si="0"/>
        <v>2.1877621276433779E-4</v>
      </c>
      <c r="K29"/>
      <c r="L29"/>
      <c r="M29"/>
      <c r="N29" s="54"/>
      <c r="O29" s="54"/>
      <c r="P29" s="54"/>
      <c r="Z29"/>
    </row>
    <row r="30" spans="1:26" s="15" customFormat="1" x14ac:dyDescent="0.3">
      <c r="A30" s="17"/>
      <c r="B30"/>
      <c r="C30"/>
      <c r="D30"/>
      <c r="E30"/>
      <c r="F30" s="121">
        <v>43481</v>
      </c>
      <c r="G30" s="53">
        <v>244.16583299999999</v>
      </c>
      <c r="H30" s="53">
        <v>88.219466999999995</v>
      </c>
      <c r="I30" s="122">
        <f t="shared" si="0"/>
        <v>2.4199718704258633E-3</v>
      </c>
      <c r="J30" s="122">
        <f t="shared" si="0"/>
        <v>1.0880868670137822E-4</v>
      </c>
      <c r="K30"/>
      <c r="L30"/>
      <c r="M30"/>
      <c r="N30" s="54"/>
      <c r="O30" s="54"/>
      <c r="P30" s="54"/>
      <c r="Z30"/>
    </row>
    <row r="31" spans="1:26" s="15" customFormat="1" x14ac:dyDescent="0.3">
      <c r="A31" s="17"/>
      <c r="B31"/>
      <c r="C31"/>
      <c r="D31"/>
      <c r="E31"/>
      <c r="F31" s="121">
        <v>43482</v>
      </c>
      <c r="G31" s="53">
        <v>246.01823400000001</v>
      </c>
      <c r="H31" s="53">
        <v>88.238761999999994</v>
      </c>
      <c r="I31" s="122">
        <f t="shared" si="0"/>
        <v>7.5866511593374319E-3</v>
      </c>
      <c r="J31" s="122">
        <f t="shared" si="0"/>
        <v>2.1871589861222063E-4</v>
      </c>
      <c r="K31"/>
      <c r="L31"/>
      <c r="M31"/>
      <c r="N31" s="54"/>
      <c r="O31" s="54"/>
      <c r="P31" s="54"/>
      <c r="Z31"/>
    </row>
    <row r="32" spans="1:26" s="15" customFormat="1" x14ac:dyDescent="0.3">
      <c r="A32" s="17"/>
      <c r="B32"/>
      <c r="C32"/>
      <c r="D32"/>
      <c r="E32"/>
      <c r="F32" s="121">
        <v>43483</v>
      </c>
      <c r="G32" s="53">
        <v>249.29276999999999</v>
      </c>
      <c r="H32" s="53">
        <v>88.238761999999994</v>
      </c>
      <c r="I32" s="122">
        <f t="shared" si="0"/>
        <v>1.3310135378014287E-2</v>
      </c>
      <c r="J32" s="122">
        <f t="shared" si="0"/>
        <v>0</v>
      </c>
      <c r="K32"/>
      <c r="L32"/>
      <c r="M32"/>
      <c r="N32" s="54"/>
      <c r="O32" s="54"/>
      <c r="P32" s="54"/>
      <c r="Z32"/>
    </row>
    <row r="33" spans="1:26" s="15" customFormat="1" x14ac:dyDescent="0.3">
      <c r="A33" s="17"/>
      <c r="B33"/>
      <c r="C33"/>
      <c r="D33"/>
      <c r="E33"/>
      <c r="F33" s="121">
        <v>43487</v>
      </c>
      <c r="G33" s="53">
        <v>245.92463699999999</v>
      </c>
      <c r="H33" s="53">
        <v>88.248405000000005</v>
      </c>
      <c r="I33" s="122">
        <f t="shared" si="0"/>
        <v>-1.3510752838921114E-2</v>
      </c>
      <c r="J33" s="122">
        <f t="shared" si="0"/>
        <v>1.0928303821855501E-4</v>
      </c>
      <c r="K33"/>
      <c r="L33"/>
      <c r="M33"/>
      <c r="N33" s="54"/>
      <c r="O33" s="54"/>
      <c r="P33" s="54"/>
      <c r="Z33"/>
    </row>
    <row r="34" spans="1:26" s="15" customFormat="1" x14ac:dyDescent="0.3">
      <c r="A34" s="17"/>
      <c r="B34"/>
      <c r="C34"/>
      <c r="D34"/>
      <c r="E34"/>
      <c r="F34" s="121">
        <v>43488</v>
      </c>
      <c r="G34" s="53">
        <v>246.439255</v>
      </c>
      <c r="H34" s="53">
        <v>88.248405000000005</v>
      </c>
      <c r="I34" s="122">
        <f t="shared" si="0"/>
        <v>2.0925841602441597E-3</v>
      </c>
      <c r="J34" s="122">
        <f t="shared" si="0"/>
        <v>0</v>
      </c>
      <c r="K34"/>
      <c r="L34"/>
      <c r="M34"/>
      <c r="N34" s="54"/>
      <c r="O34" s="54"/>
      <c r="P34" s="54"/>
      <c r="Z34"/>
    </row>
    <row r="35" spans="1:26" s="15" customFormat="1" x14ac:dyDescent="0.3">
      <c r="A35" s="17"/>
      <c r="B35"/>
      <c r="C35"/>
      <c r="D35"/>
      <c r="E35"/>
      <c r="F35" s="121">
        <v>43489</v>
      </c>
      <c r="G35" s="53">
        <v>246.57023599999999</v>
      </c>
      <c r="H35" s="53">
        <v>88.277289999999994</v>
      </c>
      <c r="I35" s="122">
        <f t="shared" si="0"/>
        <v>5.3149405925601023E-4</v>
      </c>
      <c r="J35" s="122">
        <f t="shared" si="0"/>
        <v>3.2731469764235577E-4</v>
      </c>
      <c r="K35"/>
      <c r="L35"/>
      <c r="M35"/>
      <c r="N35" s="54"/>
      <c r="O35" s="54"/>
      <c r="P35" s="54"/>
      <c r="Z35"/>
    </row>
    <row r="36" spans="1:26" s="15" customFormat="1" x14ac:dyDescent="0.3">
      <c r="A36" s="17"/>
      <c r="B36"/>
      <c r="C36"/>
      <c r="D36"/>
      <c r="E36"/>
      <c r="F36" s="121">
        <v>43490</v>
      </c>
      <c r="G36" s="53">
        <v>248.65656999999999</v>
      </c>
      <c r="H36" s="53">
        <v>88.267669999999995</v>
      </c>
      <c r="I36" s="122">
        <f t="shared" si="0"/>
        <v>8.4614186766645005E-3</v>
      </c>
      <c r="J36" s="122">
        <f t="shared" si="0"/>
        <v>-1.0897479974747437E-4</v>
      </c>
      <c r="K36"/>
      <c r="L36"/>
      <c r="M36"/>
      <c r="N36" s="54"/>
      <c r="O36" s="54"/>
      <c r="P36" s="54"/>
      <c r="Z36"/>
    </row>
    <row r="37" spans="1:26" s="15" customFormat="1" x14ac:dyDescent="0.3">
      <c r="A37" s="17"/>
      <c r="B37"/>
      <c r="C37"/>
      <c r="D37"/>
      <c r="E37"/>
      <c r="F37" s="121">
        <v>43493</v>
      </c>
      <c r="G37" s="53">
        <v>246.76676900000001</v>
      </c>
      <c r="H37" s="53">
        <v>88.277289999999994</v>
      </c>
      <c r="I37" s="122">
        <f t="shared" si="0"/>
        <v>-7.6000445111905623E-3</v>
      </c>
      <c r="J37" s="122">
        <f t="shared" si="0"/>
        <v>1.0898667654868355E-4</v>
      </c>
      <c r="K37"/>
      <c r="L37"/>
      <c r="M37"/>
      <c r="N37" s="54"/>
      <c r="O37" s="54"/>
      <c r="P37" s="54"/>
      <c r="Z37"/>
    </row>
    <row r="38" spans="1:26" s="15" customFormat="1" x14ac:dyDescent="0.3">
      <c r="A38" s="17"/>
      <c r="B38"/>
      <c r="C38"/>
      <c r="D38"/>
      <c r="E38"/>
      <c r="F38" s="121">
        <v>43494</v>
      </c>
      <c r="G38" s="53">
        <v>246.439255</v>
      </c>
      <c r="H38" s="53">
        <v>88.277289999999994</v>
      </c>
      <c r="I38" s="122">
        <f t="shared" si="0"/>
        <v>-1.3272208463369628E-3</v>
      </c>
      <c r="J38" s="122">
        <f t="shared" si="0"/>
        <v>0</v>
      </c>
      <c r="K38"/>
      <c r="L38"/>
      <c r="M38"/>
      <c r="N38" s="54"/>
      <c r="O38" s="54"/>
      <c r="P38" s="54"/>
      <c r="Z38"/>
    </row>
    <row r="39" spans="1:26" s="15" customFormat="1" x14ac:dyDescent="0.3">
      <c r="A39" s="17"/>
      <c r="B39"/>
      <c r="C39"/>
      <c r="D39"/>
      <c r="E39"/>
      <c r="F39" s="121">
        <v>43495</v>
      </c>
      <c r="G39" s="53">
        <v>250.34056100000001</v>
      </c>
      <c r="H39" s="53">
        <v>88.296570000000003</v>
      </c>
      <c r="I39" s="122">
        <f t="shared" si="0"/>
        <v>1.5830700348449023E-2</v>
      </c>
      <c r="J39" s="122">
        <f t="shared" si="0"/>
        <v>2.1840271716544457E-4</v>
      </c>
      <c r="K39"/>
      <c r="L39"/>
      <c r="M39"/>
      <c r="N39" s="54"/>
      <c r="O39" s="54"/>
      <c r="P39" s="54"/>
      <c r="Z39"/>
    </row>
    <row r="40" spans="1:26" s="15" customFormat="1" x14ac:dyDescent="0.3">
      <c r="A40" s="17"/>
      <c r="B40"/>
      <c r="C40"/>
      <c r="D40"/>
      <c r="E40"/>
      <c r="F40" s="121">
        <v>43496</v>
      </c>
      <c r="G40" s="53">
        <v>252.539185</v>
      </c>
      <c r="H40" s="53">
        <v>88.296570000000003</v>
      </c>
      <c r="I40" s="122">
        <f t="shared" si="0"/>
        <v>8.7825320484122837E-3</v>
      </c>
      <c r="J40" s="122">
        <f t="shared" si="0"/>
        <v>0</v>
      </c>
      <c r="K40"/>
      <c r="L40"/>
      <c r="M40"/>
      <c r="N40" s="54"/>
      <c r="O40" s="54"/>
      <c r="P40" s="54"/>
      <c r="Z40"/>
    </row>
    <row r="41" spans="1:26" s="15" customFormat="1" x14ac:dyDescent="0.3">
      <c r="A41" s="17"/>
      <c r="B41"/>
      <c r="C41"/>
      <c r="D41"/>
      <c r="E41"/>
      <c r="F41" s="121">
        <v>43497</v>
      </c>
      <c r="G41" s="53">
        <v>252.660751</v>
      </c>
      <c r="H41" s="53">
        <v>88.305267000000001</v>
      </c>
      <c r="I41" s="122">
        <f t="shared" si="0"/>
        <v>4.8137480130061583E-4</v>
      </c>
      <c r="J41" s="122">
        <f t="shared" si="0"/>
        <v>9.8497597358582212E-5</v>
      </c>
      <c r="K41"/>
      <c r="L41"/>
      <c r="M41"/>
      <c r="N41" s="54"/>
      <c r="O41" s="54"/>
      <c r="P41" s="54"/>
      <c r="Z41"/>
    </row>
    <row r="42" spans="1:26" s="15" customFormat="1" x14ac:dyDescent="0.3">
      <c r="A42" s="17"/>
      <c r="B42"/>
      <c r="C42"/>
      <c r="D42"/>
      <c r="E42"/>
      <c r="F42" s="121">
        <v>43500</v>
      </c>
      <c r="G42" s="53">
        <v>254.43838500000001</v>
      </c>
      <c r="H42" s="53">
        <v>88.314933999999994</v>
      </c>
      <c r="I42" s="122">
        <f t="shared" si="0"/>
        <v>7.0356554904722479E-3</v>
      </c>
      <c r="J42" s="122">
        <f t="shared" si="0"/>
        <v>1.094725187795742E-4</v>
      </c>
      <c r="K42"/>
      <c r="L42"/>
      <c r="M42"/>
      <c r="N42" s="54"/>
      <c r="O42" s="54"/>
      <c r="P42" s="54"/>
      <c r="Z42"/>
    </row>
    <row r="43" spans="1:26" s="15" customFormat="1" x14ac:dyDescent="0.3">
      <c r="A43" s="17"/>
      <c r="B43"/>
      <c r="C43"/>
      <c r="D43"/>
      <c r="E43"/>
      <c r="F43" s="121">
        <v>43501</v>
      </c>
      <c r="G43" s="53">
        <v>255.504974</v>
      </c>
      <c r="H43" s="53">
        <v>88.314933999999994</v>
      </c>
      <c r="I43" s="122">
        <f t="shared" si="0"/>
        <v>4.191934326261304E-3</v>
      </c>
      <c r="J43" s="122">
        <f t="shared" si="0"/>
        <v>0</v>
      </c>
      <c r="K43"/>
      <c r="L43"/>
      <c r="M43"/>
      <c r="N43" s="54"/>
      <c r="O43" s="54"/>
      <c r="P43" s="54"/>
      <c r="Z43"/>
    </row>
    <row r="44" spans="1:26" s="15" customFormat="1" x14ac:dyDescent="0.3">
      <c r="A44" s="17"/>
      <c r="B44"/>
      <c r="C44"/>
      <c r="D44"/>
      <c r="E44"/>
      <c r="F44" s="121">
        <v>43502</v>
      </c>
      <c r="G44" s="53">
        <v>255.16816700000001</v>
      </c>
      <c r="H44" s="53">
        <v>88.334259000000003</v>
      </c>
      <c r="I44" s="122">
        <f t="shared" si="0"/>
        <v>-1.3182013435087958E-3</v>
      </c>
      <c r="J44" s="122">
        <f t="shared" si="0"/>
        <v>2.1881916369892451E-4</v>
      </c>
      <c r="K44"/>
      <c r="L44"/>
      <c r="M44"/>
      <c r="N44" s="54"/>
      <c r="O44" s="54"/>
      <c r="P44" s="54"/>
      <c r="Z44"/>
    </row>
    <row r="45" spans="1:26" s="15" customFormat="1" x14ac:dyDescent="0.3">
      <c r="A45" s="17"/>
      <c r="B45"/>
      <c r="C45"/>
      <c r="D45"/>
      <c r="E45"/>
      <c r="F45" s="121">
        <v>43503</v>
      </c>
      <c r="G45" s="53">
        <v>252.735657</v>
      </c>
      <c r="H45" s="53">
        <v>88.334259000000003</v>
      </c>
      <c r="I45" s="122">
        <f t="shared" si="0"/>
        <v>-9.5329681151019585E-3</v>
      </c>
      <c r="J45" s="122">
        <f t="shared" si="0"/>
        <v>0</v>
      </c>
      <c r="K45"/>
      <c r="L45"/>
      <c r="M45"/>
      <c r="N45" s="54"/>
      <c r="O45" s="54"/>
      <c r="P45" s="54"/>
      <c r="Z45"/>
    </row>
    <row r="46" spans="1:26" s="15" customFormat="1" x14ac:dyDescent="0.3">
      <c r="A46" s="17"/>
      <c r="B46"/>
      <c r="C46"/>
      <c r="D46"/>
      <c r="E46"/>
      <c r="F46" s="121">
        <v>43504</v>
      </c>
      <c r="G46" s="53">
        <v>253.04437300000001</v>
      </c>
      <c r="H46" s="53">
        <v>88.353545999999994</v>
      </c>
      <c r="I46" s="122">
        <f t="shared" si="0"/>
        <v>1.22149760609358E-3</v>
      </c>
      <c r="J46" s="122">
        <f t="shared" si="0"/>
        <v>2.18341108176201E-4</v>
      </c>
      <c r="K46"/>
      <c r="L46"/>
      <c r="M46"/>
      <c r="N46" s="54"/>
      <c r="O46" s="54"/>
      <c r="P46" s="54"/>
      <c r="Z46"/>
    </row>
    <row r="47" spans="1:26" s="15" customFormat="1" x14ac:dyDescent="0.3">
      <c r="A47" s="17"/>
      <c r="B47"/>
      <c r="C47"/>
      <c r="D47"/>
      <c r="E47"/>
      <c r="F47" s="121">
        <v>43507</v>
      </c>
      <c r="G47" s="53">
        <v>253.184753</v>
      </c>
      <c r="H47" s="53">
        <v>88.343886999999995</v>
      </c>
      <c r="I47" s="122">
        <f t="shared" si="0"/>
        <v>5.5476436142676278E-4</v>
      </c>
      <c r="J47" s="122">
        <f t="shared" si="0"/>
        <v>-1.0932215442716053E-4</v>
      </c>
      <c r="K47"/>
      <c r="L47"/>
      <c r="M47"/>
      <c r="N47" s="54"/>
      <c r="O47" s="54"/>
      <c r="P47" s="54"/>
      <c r="Z47"/>
    </row>
    <row r="48" spans="1:26" s="15" customFormat="1" x14ac:dyDescent="0.3">
      <c r="A48" s="17"/>
      <c r="B48"/>
      <c r="C48"/>
      <c r="D48"/>
      <c r="E48"/>
      <c r="F48" s="121">
        <v>43508</v>
      </c>
      <c r="G48" s="53">
        <v>256.44058200000001</v>
      </c>
      <c r="H48" s="53">
        <v>88.363213000000002</v>
      </c>
      <c r="I48" s="122">
        <f t="shared" si="0"/>
        <v>1.2859498691850657E-2</v>
      </c>
      <c r="J48" s="122">
        <f t="shared" si="0"/>
        <v>2.1875876935339988E-4</v>
      </c>
      <c r="K48"/>
      <c r="L48"/>
      <c r="M48"/>
      <c r="N48" s="54"/>
      <c r="O48" s="54"/>
      <c r="P48" s="54"/>
      <c r="Z48"/>
    </row>
    <row r="49" spans="1:26" s="15" customFormat="1" x14ac:dyDescent="0.3">
      <c r="A49" s="17"/>
      <c r="B49"/>
      <c r="C49"/>
      <c r="D49"/>
      <c r="E49"/>
      <c r="F49" s="121">
        <v>43509</v>
      </c>
      <c r="G49" s="53">
        <v>257.27319299999999</v>
      </c>
      <c r="H49" s="53">
        <v>88.363213000000002</v>
      </c>
      <c r="I49" s="122">
        <f t="shared" si="0"/>
        <v>3.2467989017432863E-3</v>
      </c>
      <c r="J49" s="122">
        <f t="shared" si="0"/>
        <v>0</v>
      </c>
      <c r="K49"/>
      <c r="L49"/>
      <c r="M49"/>
      <c r="N49" s="54"/>
      <c r="O49" s="54"/>
      <c r="P49" s="54"/>
      <c r="Z49"/>
    </row>
    <row r="50" spans="1:26" s="15" customFormat="1" x14ac:dyDescent="0.3">
      <c r="A50" s="17"/>
      <c r="B50"/>
      <c r="C50"/>
      <c r="D50"/>
      <c r="E50"/>
      <c r="F50" s="121">
        <v>43510</v>
      </c>
      <c r="G50" s="53">
        <v>256.70248400000003</v>
      </c>
      <c r="H50" s="53">
        <v>88.382544999999993</v>
      </c>
      <c r="I50" s="122">
        <f t="shared" si="0"/>
        <v>-2.2182995178979814E-3</v>
      </c>
      <c r="J50" s="122">
        <f t="shared" si="0"/>
        <v>2.1877882598042575E-4</v>
      </c>
      <c r="K50"/>
      <c r="L50"/>
      <c r="M50"/>
      <c r="N50" s="54"/>
      <c r="O50" s="54"/>
      <c r="P50" s="54"/>
      <c r="Z50"/>
    </row>
    <row r="51" spans="1:26" s="15" customFormat="1" x14ac:dyDescent="0.3">
      <c r="A51" s="17"/>
      <c r="B51"/>
      <c r="C51"/>
      <c r="D51"/>
      <c r="E51"/>
      <c r="F51" s="121">
        <v>43511</v>
      </c>
      <c r="G51" s="53">
        <v>259.49987800000002</v>
      </c>
      <c r="H51" s="53">
        <v>88.382544999999993</v>
      </c>
      <c r="I51" s="122">
        <f t="shared" si="0"/>
        <v>1.0897416949031236E-2</v>
      </c>
      <c r="J51" s="122">
        <f t="shared" si="0"/>
        <v>0</v>
      </c>
      <c r="K51"/>
      <c r="L51"/>
      <c r="M51"/>
      <c r="N51" s="54"/>
      <c r="O51" s="54"/>
      <c r="P51" s="54"/>
      <c r="Z51"/>
    </row>
    <row r="52" spans="1:26" s="15" customFormat="1" x14ac:dyDescent="0.3">
      <c r="A52" s="17"/>
      <c r="B52"/>
      <c r="C52"/>
      <c r="D52"/>
      <c r="E52"/>
      <c r="F52" s="121">
        <v>43515</v>
      </c>
      <c r="G52" s="53">
        <v>259.94894399999998</v>
      </c>
      <c r="H52" s="53">
        <v>88.401840000000007</v>
      </c>
      <c r="I52" s="122">
        <f t="shared" si="0"/>
        <v>1.7305056305265687E-3</v>
      </c>
      <c r="J52" s="122">
        <f t="shared" si="0"/>
        <v>2.183123375776308E-4</v>
      </c>
      <c r="K52"/>
      <c r="L52"/>
      <c r="M52"/>
      <c r="N52" s="54"/>
      <c r="O52" s="54"/>
      <c r="P52" s="54"/>
      <c r="Z52"/>
    </row>
    <row r="53" spans="1:26" s="15" customFormat="1" x14ac:dyDescent="0.3">
      <c r="A53" s="17"/>
      <c r="B53"/>
      <c r="C53"/>
      <c r="D53"/>
      <c r="E53"/>
      <c r="F53" s="121">
        <v>43516</v>
      </c>
      <c r="G53" s="53">
        <v>260.47283900000002</v>
      </c>
      <c r="H53" s="53">
        <v>88.401840000000007</v>
      </c>
      <c r="I53" s="122">
        <f t="shared" si="0"/>
        <v>2.0153765271693214E-3</v>
      </c>
      <c r="J53" s="122">
        <f t="shared" si="0"/>
        <v>0</v>
      </c>
      <c r="K53"/>
      <c r="L53"/>
      <c r="M53"/>
      <c r="N53" s="54"/>
      <c r="O53" s="54"/>
      <c r="P53" s="54"/>
      <c r="Z53"/>
    </row>
    <row r="54" spans="1:26" s="15" customFormat="1" x14ac:dyDescent="0.3">
      <c r="A54" s="17"/>
      <c r="B54"/>
      <c r="C54"/>
      <c r="D54"/>
      <c r="E54"/>
      <c r="F54" s="121">
        <v>43517</v>
      </c>
      <c r="G54" s="53">
        <v>259.54660000000001</v>
      </c>
      <c r="H54" s="53">
        <v>88.411484000000002</v>
      </c>
      <c r="I54" s="122">
        <f t="shared" si="0"/>
        <v>-3.5559907265417801E-3</v>
      </c>
      <c r="J54" s="122">
        <f t="shared" si="0"/>
        <v>1.0909275191561818E-4</v>
      </c>
      <c r="K54"/>
      <c r="L54"/>
      <c r="M54"/>
      <c r="N54" s="54"/>
      <c r="O54" s="54"/>
      <c r="P54" s="54"/>
      <c r="Z54"/>
    </row>
    <row r="55" spans="1:26" s="15" customFormat="1" x14ac:dyDescent="0.3">
      <c r="A55" s="17"/>
      <c r="B55"/>
      <c r="C55"/>
      <c r="D55"/>
      <c r="E55"/>
      <c r="F55" s="121">
        <v>43518</v>
      </c>
      <c r="G55" s="53">
        <v>261.155823</v>
      </c>
      <c r="H55" s="53">
        <v>88.430817000000005</v>
      </c>
      <c r="I55" s="122">
        <f t="shared" si="0"/>
        <v>6.2001313059003582E-3</v>
      </c>
      <c r="J55" s="122">
        <f t="shared" si="0"/>
        <v>2.1867068762237984E-4</v>
      </c>
      <c r="K55"/>
      <c r="L55"/>
      <c r="M55"/>
      <c r="N55" s="54"/>
      <c r="O55" s="54"/>
      <c r="P55" s="54"/>
      <c r="Z55"/>
    </row>
    <row r="56" spans="1:26" s="15" customFormat="1" x14ac:dyDescent="0.3">
      <c r="A56" s="17"/>
      <c r="B56"/>
      <c r="C56"/>
      <c r="D56"/>
      <c r="E56"/>
      <c r="F56" s="121">
        <v>43521</v>
      </c>
      <c r="G56" s="53">
        <v>261.51129200000003</v>
      </c>
      <c r="H56" s="53">
        <v>88.421149999999997</v>
      </c>
      <c r="I56" s="122">
        <f t="shared" si="0"/>
        <v>1.3611375611564114E-3</v>
      </c>
      <c r="J56" s="122">
        <f t="shared" si="0"/>
        <v>-1.0931709474093498E-4</v>
      </c>
      <c r="K56"/>
      <c r="L56"/>
      <c r="M56"/>
      <c r="N56" s="54"/>
      <c r="O56" s="54"/>
      <c r="P56" s="54"/>
      <c r="Z56"/>
    </row>
    <row r="57" spans="1:26" s="15" customFormat="1" x14ac:dyDescent="0.3">
      <c r="A57" s="17"/>
      <c r="B57"/>
      <c r="C57"/>
      <c r="D57"/>
      <c r="E57"/>
      <c r="F57" s="121">
        <v>43522</v>
      </c>
      <c r="G57" s="53">
        <v>261.32421900000003</v>
      </c>
      <c r="H57" s="53">
        <v>88.430817000000005</v>
      </c>
      <c r="I57" s="122">
        <f t="shared" si="0"/>
        <v>-7.1535343108619642E-4</v>
      </c>
      <c r="J57" s="122">
        <f t="shared" si="0"/>
        <v>1.0932904627458662E-4</v>
      </c>
      <c r="K57"/>
      <c r="L57"/>
      <c r="M57"/>
      <c r="N57" s="54"/>
      <c r="O57" s="54"/>
      <c r="P57" s="54"/>
      <c r="Z57"/>
    </row>
    <row r="58" spans="1:26" s="15" customFormat="1" x14ac:dyDescent="0.3">
      <c r="A58" s="17"/>
      <c r="B58"/>
      <c r="C58"/>
      <c r="D58"/>
      <c r="E58"/>
      <c r="F58" s="121">
        <v>43523</v>
      </c>
      <c r="G58" s="53">
        <v>261.21200599999997</v>
      </c>
      <c r="H58" s="53">
        <v>88.440453000000005</v>
      </c>
      <c r="I58" s="122">
        <f t="shared" si="0"/>
        <v>-4.2940145551551012E-4</v>
      </c>
      <c r="J58" s="122">
        <f t="shared" si="0"/>
        <v>1.0896653821479418E-4</v>
      </c>
      <c r="K58"/>
      <c r="L58"/>
      <c r="M58"/>
      <c r="N58" s="54"/>
      <c r="O58" s="54"/>
      <c r="P58" s="54"/>
      <c r="Z58"/>
    </row>
    <row r="59" spans="1:26" s="15" customFormat="1" x14ac:dyDescent="0.3">
      <c r="A59" s="17"/>
      <c r="B59"/>
      <c r="C59"/>
      <c r="D59"/>
      <c r="E59"/>
      <c r="F59" s="121">
        <v>43524</v>
      </c>
      <c r="G59" s="53">
        <v>260.72543300000001</v>
      </c>
      <c r="H59" s="53">
        <v>88.459770000000006</v>
      </c>
      <c r="I59" s="122">
        <f t="shared" si="0"/>
        <v>-1.8627512856356221E-3</v>
      </c>
      <c r="J59" s="122">
        <f t="shared" si="0"/>
        <v>2.1841814853673647E-4</v>
      </c>
      <c r="K59"/>
      <c r="L59"/>
      <c r="M59"/>
      <c r="N59" s="54"/>
      <c r="O59" s="54"/>
      <c r="P59" s="54"/>
      <c r="Z59"/>
    </row>
    <row r="60" spans="1:26" s="15" customFormat="1" x14ac:dyDescent="0.3">
      <c r="A60" s="17"/>
      <c r="B60"/>
      <c r="C60"/>
      <c r="D60"/>
      <c r="E60"/>
      <c r="F60" s="121">
        <v>43525</v>
      </c>
      <c r="G60" s="53">
        <v>262.35327100000001</v>
      </c>
      <c r="H60" s="53">
        <v>88.469436999999999</v>
      </c>
      <c r="I60" s="122">
        <f t="shared" si="0"/>
        <v>6.2434952404508692E-3</v>
      </c>
      <c r="J60" s="122">
        <f t="shared" si="0"/>
        <v>1.092813151106764E-4</v>
      </c>
      <c r="K60"/>
      <c r="L60"/>
      <c r="M60"/>
      <c r="N60" s="54"/>
      <c r="O60" s="54"/>
      <c r="P60" s="54"/>
      <c r="Z60"/>
    </row>
    <row r="61" spans="1:26" s="15" customFormat="1" x14ac:dyDescent="0.3">
      <c r="A61" s="17"/>
      <c r="B61"/>
      <c r="C61"/>
      <c r="D61"/>
      <c r="E61"/>
      <c r="F61" s="121">
        <v>43528</v>
      </c>
      <c r="G61" s="53">
        <v>261.39904799999999</v>
      </c>
      <c r="H61" s="53">
        <v>88.459762999999995</v>
      </c>
      <c r="I61" s="122">
        <f t="shared" si="0"/>
        <v>-3.6371682973985742E-3</v>
      </c>
      <c r="J61" s="122">
        <f t="shared" si="0"/>
        <v>-1.0934849737997965E-4</v>
      </c>
      <c r="K61"/>
      <c r="L61"/>
      <c r="M61"/>
      <c r="N61" s="54"/>
      <c r="O61" s="54"/>
      <c r="P61" s="54"/>
      <c r="Z61"/>
    </row>
    <row r="62" spans="1:26" s="15" customFormat="1" x14ac:dyDescent="0.3">
      <c r="A62" s="17"/>
      <c r="B62"/>
      <c r="C62"/>
      <c r="D62"/>
      <c r="E62"/>
      <c r="F62" s="121">
        <v>43529</v>
      </c>
      <c r="G62" s="53">
        <v>261.04351800000001</v>
      </c>
      <c r="H62" s="53">
        <v>88.469436999999999</v>
      </c>
      <c r="I62" s="122">
        <f t="shared" si="0"/>
        <v>-1.3601044178247479E-3</v>
      </c>
      <c r="J62" s="122">
        <f t="shared" si="0"/>
        <v>1.0936045578158193E-4</v>
      </c>
      <c r="K62"/>
      <c r="L62"/>
      <c r="M62"/>
      <c r="N62" s="54"/>
      <c r="O62" s="54"/>
      <c r="P62" s="54"/>
      <c r="Z62"/>
    </row>
    <row r="63" spans="1:26" s="15" customFormat="1" x14ac:dyDescent="0.3">
      <c r="A63" s="17"/>
      <c r="B63"/>
      <c r="C63"/>
      <c r="D63"/>
      <c r="E63"/>
      <c r="F63" s="121">
        <v>43530</v>
      </c>
      <c r="G63" s="53">
        <v>259.46246300000001</v>
      </c>
      <c r="H63" s="53">
        <v>88.479111000000003</v>
      </c>
      <c r="I63" s="122">
        <f t="shared" si="0"/>
        <v>-6.0566721292807379E-3</v>
      </c>
      <c r="J63" s="122">
        <f t="shared" si="0"/>
        <v>1.0934849737997965E-4</v>
      </c>
      <c r="K63"/>
      <c r="L63"/>
      <c r="M63"/>
      <c r="N63" s="54"/>
      <c r="O63" s="54"/>
      <c r="P63" s="54"/>
      <c r="Z63"/>
    </row>
    <row r="64" spans="1:26" s="15" customFormat="1" x14ac:dyDescent="0.3">
      <c r="A64" s="17"/>
      <c r="B64"/>
      <c r="C64"/>
      <c r="D64"/>
      <c r="E64"/>
      <c r="F64" s="121">
        <v>43531</v>
      </c>
      <c r="G64" s="53">
        <v>257.29187000000002</v>
      </c>
      <c r="H64" s="53">
        <v>88.498474000000002</v>
      </c>
      <c r="I64" s="122">
        <f t="shared" si="0"/>
        <v>-8.3657303445855424E-3</v>
      </c>
      <c r="J64" s="122">
        <f t="shared" si="0"/>
        <v>2.1884261472737698E-4</v>
      </c>
      <c r="K64"/>
      <c r="L64"/>
      <c r="M64"/>
      <c r="N64" s="54"/>
      <c r="O64" s="54"/>
      <c r="P64" s="54"/>
      <c r="Z64"/>
    </row>
    <row r="65" spans="1:26" s="15" customFormat="1" x14ac:dyDescent="0.3">
      <c r="A65" s="17"/>
      <c r="B65"/>
      <c r="C65"/>
      <c r="D65"/>
      <c r="E65"/>
      <c r="F65" s="121">
        <v>43532</v>
      </c>
      <c r="G65" s="53">
        <v>256.77737400000001</v>
      </c>
      <c r="H65" s="53">
        <v>88.508156</v>
      </c>
      <c r="I65" s="122">
        <f t="shared" si="0"/>
        <v>-1.9996589865043379E-3</v>
      </c>
      <c r="J65" s="122">
        <f t="shared" si="0"/>
        <v>1.0940301637285543E-4</v>
      </c>
      <c r="K65"/>
      <c r="L65"/>
      <c r="M65"/>
      <c r="N65" s="54"/>
      <c r="O65" s="54"/>
      <c r="P65" s="54"/>
      <c r="Z65"/>
    </row>
    <row r="66" spans="1:26" s="15" customFormat="1" x14ac:dyDescent="0.3">
      <c r="A66" s="17"/>
      <c r="B66"/>
      <c r="C66"/>
      <c r="D66"/>
      <c r="E66"/>
      <c r="F66" s="121">
        <v>43535</v>
      </c>
      <c r="G66" s="53">
        <v>260.50091600000002</v>
      </c>
      <c r="H66" s="53">
        <v>88.508156</v>
      </c>
      <c r="I66" s="122">
        <f t="shared" si="0"/>
        <v>1.4501051794384434E-2</v>
      </c>
      <c r="J66" s="122">
        <f t="shared" si="0"/>
        <v>0</v>
      </c>
      <c r="K66"/>
      <c r="L66"/>
      <c r="M66"/>
      <c r="N66" s="54"/>
      <c r="O66" s="54"/>
      <c r="P66" s="54"/>
      <c r="Z66"/>
    </row>
    <row r="67" spans="1:26" s="15" customFormat="1" x14ac:dyDescent="0.3">
      <c r="A67" s="17"/>
      <c r="B67"/>
      <c r="C67"/>
      <c r="D67"/>
      <c r="E67"/>
      <c r="F67" s="121">
        <v>43536</v>
      </c>
      <c r="G67" s="53">
        <v>261.48327599999999</v>
      </c>
      <c r="H67" s="53">
        <v>88.517821999999995</v>
      </c>
      <c r="I67" s="122">
        <f t="shared" si="0"/>
        <v>3.7710424020158673E-3</v>
      </c>
      <c r="J67" s="122">
        <f t="shared" si="0"/>
        <v>1.0921027436161523E-4</v>
      </c>
      <c r="K67"/>
      <c r="L67"/>
      <c r="M67"/>
      <c r="N67" s="54"/>
      <c r="O67" s="54"/>
      <c r="P67" s="54"/>
      <c r="Z67"/>
    </row>
    <row r="68" spans="1:26" s="15" customFormat="1" x14ac:dyDescent="0.3">
      <c r="A68" s="17"/>
      <c r="B68"/>
      <c r="C68"/>
      <c r="D68"/>
      <c r="E68"/>
      <c r="F68" s="121">
        <v>43537</v>
      </c>
      <c r="G68" s="53">
        <v>263.214111</v>
      </c>
      <c r="H68" s="53">
        <v>88.527495999999999</v>
      </c>
      <c r="I68" s="122">
        <f t="shared" si="0"/>
        <v>6.6192952240662351E-3</v>
      </c>
      <c r="J68" s="122">
        <f t="shared" si="0"/>
        <v>1.0928872606030815E-4</v>
      </c>
      <c r="K68"/>
      <c r="L68"/>
      <c r="M68"/>
      <c r="N68" s="54"/>
      <c r="O68" s="54"/>
      <c r="P68" s="54"/>
      <c r="Z68"/>
    </row>
    <row r="69" spans="1:26" s="15" customFormat="1" x14ac:dyDescent="0.3">
      <c r="A69" s="17"/>
      <c r="B69"/>
      <c r="C69"/>
      <c r="D69"/>
      <c r="E69"/>
      <c r="F69" s="121">
        <v>43538</v>
      </c>
      <c r="G69" s="53">
        <v>263.04562399999998</v>
      </c>
      <c r="H69" s="53">
        <v>88.527495999999999</v>
      </c>
      <c r="I69" s="122">
        <f t="shared" si="0"/>
        <v>-6.4011385772566598E-4</v>
      </c>
      <c r="J69" s="122">
        <f t="shared" si="0"/>
        <v>0</v>
      </c>
      <c r="K69"/>
      <c r="L69"/>
      <c r="M69"/>
      <c r="N69" s="54"/>
      <c r="O69" s="54"/>
      <c r="P69" s="54"/>
      <c r="Z69"/>
    </row>
    <row r="70" spans="1:26" s="15" customFormat="1" x14ac:dyDescent="0.3">
      <c r="A70" s="17"/>
      <c r="B70"/>
      <c r="C70"/>
      <c r="D70"/>
      <c r="E70"/>
      <c r="F70" s="121">
        <v>43539</v>
      </c>
      <c r="G70" s="53">
        <v>264.34527600000001</v>
      </c>
      <c r="H70" s="53">
        <v>88.537139999999994</v>
      </c>
      <c r="I70" s="122">
        <f t="shared" si="0"/>
        <v>4.9407854813812158E-3</v>
      </c>
      <c r="J70" s="122">
        <f t="shared" si="0"/>
        <v>1.0893790557453542E-4</v>
      </c>
      <c r="K70"/>
      <c r="L70"/>
      <c r="M70"/>
      <c r="N70" s="54"/>
      <c r="O70" s="54"/>
      <c r="P70" s="54"/>
      <c r="Z70"/>
    </row>
    <row r="71" spans="1:26" s="15" customFormat="1" x14ac:dyDescent="0.3">
      <c r="A71" s="17"/>
      <c r="B71"/>
      <c r="C71"/>
      <c r="D71"/>
      <c r="E71"/>
      <c r="F71" s="121">
        <v>43542</v>
      </c>
      <c r="G71" s="53">
        <v>265.30377199999998</v>
      </c>
      <c r="H71" s="53">
        <v>88.546852000000001</v>
      </c>
      <c r="I71" s="122">
        <f t="shared" si="0"/>
        <v>3.6259244519276645E-3</v>
      </c>
      <c r="J71" s="122">
        <f t="shared" si="0"/>
        <v>1.0969407866578962E-4</v>
      </c>
      <c r="K71"/>
      <c r="L71"/>
      <c r="M71"/>
      <c r="N71" s="54"/>
      <c r="O71" s="54"/>
      <c r="P71" s="54"/>
      <c r="Z71"/>
    </row>
    <row r="72" spans="1:26" s="15" customFormat="1" x14ac:dyDescent="0.3">
      <c r="A72" s="17"/>
      <c r="B72"/>
      <c r="C72"/>
      <c r="D72"/>
      <c r="E72"/>
      <c r="F72" s="121">
        <v>43543</v>
      </c>
      <c r="G72" s="53">
        <v>265.369507</v>
      </c>
      <c r="H72" s="53">
        <v>88.546852000000001</v>
      </c>
      <c r="I72" s="122">
        <f t="shared" si="0"/>
        <v>2.4777257972807831E-4</v>
      </c>
      <c r="J72" s="122">
        <f t="shared" si="0"/>
        <v>0</v>
      </c>
      <c r="K72"/>
      <c r="L72"/>
      <c r="M72"/>
      <c r="N72" s="54"/>
      <c r="O72" s="54"/>
      <c r="P72" s="54"/>
      <c r="Z72"/>
    </row>
    <row r="73" spans="1:26" s="15" customFormat="1" x14ac:dyDescent="0.3">
      <c r="A73" s="17"/>
      <c r="B73"/>
      <c r="C73"/>
      <c r="D73"/>
      <c r="E73"/>
      <c r="F73" s="121">
        <v>43544</v>
      </c>
      <c r="G73" s="53">
        <v>264.57080100000002</v>
      </c>
      <c r="H73" s="53">
        <v>88.546852000000001</v>
      </c>
      <c r="I73" s="122">
        <f t="shared" si="0"/>
        <v>-3.0097881592702214E-3</v>
      </c>
      <c r="J73" s="122">
        <f t="shared" si="0"/>
        <v>0</v>
      </c>
      <c r="K73"/>
      <c r="L73"/>
      <c r="M73"/>
      <c r="N73" s="54"/>
      <c r="O73" s="54"/>
      <c r="P73" s="54"/>
      <c r="Z73"/>
    </row>
    <row r="74" spans="1:26" s="15" customFormat="1" x14ac:dyDescent="0.3">
      <c r="A74" s="17"/>
      <c r="B74"/>
      <c r="C74"/>
      <c r="D74"/>
      <c r="E74"/>
      <c r="F74" s="121">
        <v>43545</v>
      </c>
      <c r="G74" s="53">
        <v>267.55898999999999</v>
      </c>
      <c r="H74" s="53">
        <v>88.575858999999994</v>
      </c>
      <c r="I74" s="122">
        <f t="shared" si="0"/>
        <v>1.1294477654773205E-2</v>
      </c>
      <c r="J74" s="122">
        <f t="shared" si="0"/>
        <v>3.27589285726404E-4</v>
      </c>
      <c r="K74"/>
      <c r="L74"/>
      <c r="M74"/>
      <c r="N74" s="54"/>
      <c r="O74" s="54"/>
      <c r="P74" s="54"/>
      <c r="Z74"/>
    </row>
    <row r="75" spans="1:26" s="15" customFormat="1" x14ac:dyDescent="0.3">
      <c r="A75" s="17"/>
      <c r="B75"/>
      <c r="C75"/>
      <c r="D75"/>
      <c r="E75"/>
      <c r="F75" s="121">
        <v>43546</v>
      </c>
      <c r="G75" s="53">
        <v>262.40948500000002</v>
      </c>
      <c r="H75" s="53">
        <v>88.575858999999994</v>
      </c>
      <c r="I75" s="122">
        <f t="shared" si="0"/>
        <v>-1.9246241735327185E-2</v>
      </c>
      <c r="J75" s="122">
        <f t="shared" si="0"/>
        <v>0</v>
      </c>
      <c r="K75"/>
      <c r="L75"/>
      <c r="M75"/>
      <c r="N75" s="54"/>
      <c r="O75" s="54"/>
      <c r="P75" s="54"/>
      <c r="Z75"/>
    </row>
    <row r="76" spans="1:26" s="15" customFormat="1" x14ac:dyDescent="0.3">
      <c r="A76" s="17"/>
      <c r="B76"/>
      <c r="C76"/>
      <c r="D76"/>
      <c r="E76"/>
      <c r="F76" s="121">
        <v>43549</v>
      </c>
      <c r="G76" s="53">
        <v>262.21212800000001</v>
      </c>
      <c r="H76" s="53">
        <v>88.575858999999994</v>
      </c>
      <c r="I76" s="122">
        <f t="shared" si="0"/>
        <v>-7.520955273396801E-4</v>
      </c>
      <c r="J76" s="122">
        <f t="shared" si="0"/>
        <v>0</v>
      </c>
      <c r="K76"/>
      <c r="L76"/>
      <c r="M76"/>
      <c r="N76" s="54"/>
      <c r="O76" s="54"/>
      <c r="P76" s="54"/>
      <c r="Z76"/>
    </row>
    <row r="77" spans="1:26" s="15" customFormat="1" x14ac:dyDescent="0.3">
      <c r="A77" s="17"/>
      <c r="B77"/>
      <c r="C77"/>
      <c r="D77"/>
      <c r="E77"/>
      <c r="F77" s="121">
        <v>43550</v>
      </c>
      <c r="G77" s="53">
        <v>264.16674799999998</v>
      </c>
      <c r="H77" s="53">
        <v>88.585548000000003</v>
      </c>
      <c r="I77" s="122">
        <f t="shared" si="0"/>
        <v>7.4543462764620205E-3</v>
      </c>
      <c r="J77" s="122">
        <f t="shared" si="0"/>
        <v>1.0938646386726703E-4</v>
      </c>
      <c r="K77"/>
      <c r="L77"/>
      <c r="M77"/>
      <c r="N77" s="54"/>
      <c r="O77" s="54"/>
      <c r="P77" s="54"/>
      <c r="Z77"/>
    </row>
    <row r="78" spans="1:26" s="15" customFormat="1" x14ac:dyDescent="0.3">
      <c r="A78" s="17"/>
      <c r="B78"/>
      <c r="C78"/>
      <c r="D78"/>
      <c r="E78"/>
      <c r="F78" s="121">
        <v>43551</v>
      </c>
      <c r="G78" s="53">
        <v>262.78539999999998</v>
      </c>
      <c r="H78" s="53">
        <v>88.595191999999997</v>
      </c>
      <c r="I78" s="122">
        <f t="shared" si="0"/>
        <v>-5.22907599256206E-3</v>
      </c>
      <c r="J78" s="122">
        <f t="shared" si="0"/>
        <v>1.0886651624031352E-4</v>
      </c>
      <c r="K78"/>
      <c r="L78"/>
      <c r="M78"/>
      <c r="N78" s="54"/>
      <c r="O78" s="54"/>
      <c r="P78" s="54"/>
      <c r="Z78"/>
    </row>
    <row r="79" spans="1:26" s="15" customFormat="1" x14ac:dyDescent="0.3">
      <c r="A79" s="17"/>
      <c r="B79"/>
      <c r="C79"/>
      <c r="D79"/>
      <c r="E79"/>
      <c r="F79" s="121">
        <v>43552</v>
      </c>
      <c r="G79" s="53">
        <v>263.78146400000003</v>
      </c>
      <c r="H79" s="53">
        <v>88.614554999999996</v>
      </c>
      <c r="I79" s="122">
        <f t="shared" si="0"/>
        <v>3.7904084473492361E-3</v>
      </c>
      <c r="J79" s="122">
        <f t="shared" si="0"/>
        <v>2.1855587829189282E-4</v>
      </c>
      <c r="K79"/>
      <c r="L79"/>
      <c r="M79"/>
      <c r="N79" s="54"/>
      <c r="O79" s="54"/>
      <c r="P79" s="54"/>
      <c r="Z79"/>
    </row>
    <row r="80" spans="1:26" s="15" customFormat="1" x14ac:dyDescent="0.3">
      <c r="A80" s="17"/>
      <c r="B80"/>
      <c r="C80"/>
      <c r="D80"/>
      <c r="E80"/>
      <c r="F80" s="121">
        <v>43553</v>
      </c>
      <c r="G80" s="53">
        <v>265.44473299999999</v>
      </c>
      <c r="H80" s="53">
        <v>88.614554999999996</v>
      </c>
      <c r="I80" s="122">
        <f t="shared" si="0"/>
        <v>6.3054809643483534E-3</v>
      </c>
      <c r="J80" s="122">
        <f t="shared" si="0"/>
        <v>0</v>
      </c>
      <c r="K80"/>
      <c r="L80"/>
      <c r="M80"/>
      <c r="N80" s="54"/>
      <c r="O80" s="54"/>
      <c r="P80" s="54"/>
      <c r="Z80"/>
    </row>
    <row r="81" spans="1:26" s="15" customFormat="1" x14ac:dyDescent="0.3">
      <c r="A81" s="17"/>
      <c r="B81"/>
      <c r="C81"/>
      <c r="D81"/>
      <c r="E81"/>
      <c r="F81" s="121">
        <v>43556</v>
      </c>
      <c r="G81" s="53">
        <v>268.59265099999999</v>
      </c>
      <c r="H81" s="53">
        <v>88.630081000000004</v>
      </c>
      <c r="I81" s="122">
        <f t="shared" si="0"/>
        <v>1.1859033571406385E-2</v>
      </c>
      <c r="J81" s="122">
        <f t="shared" si="0"/>
        <v>1.7520823751815406E-4</v>
      </c>
      <c r="K81"/>
      <c r="L81"/>
      <c r="M81"/>
      <c r="N81" s="54"/>
      <c r="O81" s="54"/>
      <c r="P81" s="54"/>
      <c r="Z81"/>
    </row>
    <row r="82" spans="1:26" s="15" customFormat="1" x14ac:dyDescent="0.3">
      <c r="A82" s="17"/>
      <c r="B82"/>
      <c r="C82"/>
      <c r="D82"/>
      <c r="E82"/>
      <c r="F82" s="121">
        <v>43557</v>
      </c>
      <c r="G82" s="53">
        <v>268.724243</v>
      </c>
      <c r="H82" s="53">
        <v>88.620377000000005</v>
      </c>
      <c r="I82" s="122">
        <f t="shared" si="0"/>
        <v>4.8993149853537865E-4</v>
      </c>
      <c r="J82" s="122">
        <f t="shared" si="0"/>
        <v>-1.0948878631844572E-4</v>
      </c>
      <c r="K82"/>
      <c r="L82"/>
      <c r="M82"/>
      <c r="N82" s="54"/>
      <c r="O82" s="54"/>
      <c r="P82" s="54"/>
      <c r="Z82"/>
    </row>
    <row r="83" spans="1:26" s="15" customFormat="1" x14ac:dyDescent="0.3">
      <c r="A83" s="17"/>
      <c r="B83"/>
      <c r="C83"/>
      <c r="D83"/>
      <c r="E83"/>
      <c r="F83" s="121">
        <v>43558</v>
      </c>
      <c r="G83" s="53">
        <v>269.14718599999998</v>
      </c>
      <c r="H83" s="53">
        <v>88.630081000000004</v>
      </c>
      <c r="I83" s="122">
        <f t="shared" si="0"/>
        <v>1.5738922371808517E-3</v>
      </c>
      <c r="J83" s="122">
        <f t="shared" si="0"/>
        <v>1.095007754254862E-4</v>
      </c>
      <c r="K83"/>
      <c r="L83"/>
      <c r="M83"/>
      <c r="N83" s="54"/>
      <c r="O83" s="54"/>
      <c r="P83" s="54"/>
      <c r="Z83"/>
    </row>
    <row r="84" spans="1:26" s="15" customFormat="1" x14ac:dyDescent="0.3">
      <c r="A84" s="17"/>
      <c r="B84"/>
      <c r="C84"/>
      <c r="D84"/>
      <c r="E84"/>
      <c r="F84" s="121">
        <v>43559</v>
      </c>
      <c r="G84" s="53">
        <v>269.861267</v>
      </c>
      <c r="H84" s="53">
        <v>88.659142000000003</v>
      </c>
      <c r="I84" s="122">
        <f t="shared" si="0"/>
        <v>2.6531245249579172E-3</v>
      </c>
      <c r="J84" s="122">
        <f t="shared" si="0"/>
        <v>3.2789093355334309E-4</v>
      </c>
      <c r="K84"/>
      <c r="L84"/>
      <c r="M84"/>
      <c r="N84" s="54"/>
      <c r="O84" s="54"/>
      <c r="P84" s="54"/>
      <c r="Z84"/>
    </row>
    <row r="85" spans="1:26" s="15" customFormat="1" x14ac:dyDescent="0.3">
      <c r="A85" s="17"/>
      <c r="B85"/>
      <c r="C85"/>
      <c r="D85"/>
      <c r="E85"/>
      <c r="F85" s="121">
        <v>43560</v>
      </c>
      <c r="G85" s="53">
        <v>271.16744999999997</v>
      </c>
      <c r="H85" s="53">
        <v>88.659142000000003</v>
      </c>
      <c r="I85" s="122">
        <f t="shared" ref="I85:J148" si="1">G85/G84-1</f>
        <v>4.8402018360047538E-3</v>
      </c>
      <c r="J85" s="122">
        <f t="shared" si="1"/>
        <v>0</v>
      </c>
      <c r="K85"/>
      <c r="L85"/>
      <c r="M85"/>
      <c r="N85" s="54"/>
      <c r="O85" s="54"/>
      <c r="P85" s="54"/>
      <c r="Z85"/>
    </row>
    <row r="86" spans="1:26" s="15" customFormat="1" x14ac:dyDescent="0.3">
      <c r="A86" s="17"/>
      <c r="B86"/>
      <c r="C86"/>
      <c r="D86"/>
      <c r="E86"/>
      <c r="F86" s="121">
        <v>43563</v>
      </c>
      <c r="G86" s="53">
        <v>271.374146</v>
      </c>
      <c r="H86" s="53">
        <v>88.659142000000003</v>
      </c>
      <c r="I86" s="122">
        <f t="shared" si="1"/>
        <v>7.6224487857978751E-4</v>
      </c>
      <c r="J86" s="122">
        <f t="shared" si="1"/>
        <v>0</v>
      </c>
      <c r="K86"/>
      <c r="L86"/>
      <c r="M86"/>
      <c r="N86" s="54"/>
      <c r="O86" s="54"/>
      <c r="P86" s="54"/>
      <c r="Z86"/>
    </row>
    <row r="87" spans="1:26" s="15" customFormat="1" x14ac:dyDescent="0.3">
      <c r="A87" s="17"/>
      <c r="B87"/>
      <c r="C87"/>
      <c r="D87"/>
      <c r="E87"/>
      <c r="F87" s="121">
        <v>43564</v>
      </c>
      <c r="G87" s="53">
        <v>269.98345899999998</v>
      </c>
      <c r="H87" s="53">
        <v>88.668846000000002</v>
      </c>
      <c r="I87" s="122">
        <f t="shared" si="1"/>
        <v>-5.1246112442856484E-3</v>
      </c>
      <c r="J87" s="122">
        <f t="shared" si="1"/>
        <v>1.0945289770569744E-4</v>
      </c>
      <c r="K87"/>
      <c r="L87"/>
      <c r="M87"/>
      <c r="N87" s="54"/>
      <c r="O87" s="54"/>
      <c r="P87" s="54"/>
      <c r="Z87"/>
    </row>
    <row r="88" spans="1:26" s="15" customFormat="1" x14ac:dyDescent="0.3">
      <c r="A88" s="17"/>
      <c r="B88"/>
      <c r="C88"/>
      <c r="D88"/>
      <c r="E88"/>
      <c r="F88" s="121">
        <v>43565</v>
      </c>
      <c r="G88" s="53">
        <v>270.904358</v>
      </c>
      <c r="H88" s="53">
        <v>88.668846000000002</v>
      </c>
      <c r="I88" s="122">
        <f t="shared" si="1"/>
        <v>3.4109460016957804E-3</v>
      </c>
      <c r="J88" s="122">
        <f t="shared" si="1"/>
        <v>0</v>
      </c>
      <c r="K88"/>
      <c r="L88"/>
      <c r="M88"/>
      <c r="N88" s="54"/>
      <c r="O88" s="54"/>
      <c r="P88" s="54"/>
      <c r="Z88"/>
    </row>
    <row r="89" spans="1:26" s="15" customFormat="1" x14ac:dyDescent="0.3">
      <c r="A89" s="17"/>
      <c r="B89"/>
      <c r="C89"/>
      <c r="D89"/>
      <c r="E89"/>
      <c r="F89" s="121">
        <v>43566</v>
      </c>
      <c r="G89" s="53">
        <v>270.82913200000002</v>
      </c>
      <c r="H89" s="53">
        <v>88.697906000000003</v>
      </c>
      <c r="I89" s="122">
        <f t="shared" si="1"/>
        <v>-2.7768471705424957E-4</v>
      </c>
      <c r="J89" s="122">
        <f t="shared" si="1"/>
        <v>3.2773630548876831E-4</v>
      </c>
      <c r="K89"/>
      <c r="L89"/>
      <c r="M89"/>
      <c r="N89" s="54"/>
      <c r="O89" s="54"/>
      <c r="P89" s="54"/>
      <c r="Z89"/>
    </row>
    <row r="90" spans="1:26" s="15" customFormat="1" x14ac:dyDescent="0.3">
      <c r="A90" s="17"/>
      <c r="B90"/>
      <c r="C90"/>
      <c r="D90"/>
      <c r="E90"/>
      <c r="F90" s="121">
        <v>43567</v>
      </c>
      <c r="G90" s="53">
        <v>272.66162100000003</v>
      </c>
      <c r="H90" s="53">
        <v>88.697906000000003</v>
      </c>
      <c r="I90" s="122">
        <f t="shared" si="1"/>
        <v>6.7662181925096654E-3</v>
      </c>
      <c r="J90" s="122">
        <f t="shared" si="1"/>
        <v>0</v>
      </c>
      <c r="K90"/>
      <c r="L90"/>
      <c r="M90"/>
      <c r="N90" s="54"/>
      <c r="O90" s="54"/>
      <c r="P90" s="54"/>
      <c r="Z90"/>
    </row>
    <row r="91" spans="1:26" s="15" customFormat="1" x14ac:dyDescent="0.3">
      <c r="A91" s="17"/>
      <c r="B91"/>
      <c r="C91"/>
      <c r="D91"/>
      <c r="E91"/>
      <c r="F91" s="121">
        <v>43570</v>
      </c>
      <c r="G91" s="53">
        <v>272.48303199999998</v>
      </c>
      <c r="H91" s="53">
        <v>88.707611</v>
      </c>
      <c r="I91" s="122">
        <f t="shared" si="1"/>
        <v>-6.5498400304764282E-4</v>
      </c>
      <c r="J91" s="122">
        <f t="shared" si="1"/>
        <v>1.0941633729211198E-4</v>
      </c>
      <c r="K91"/>
      <c r="L91"/>
      <c r="M91"/>
      <c r="N91" s="54"/>
      <c r="O91" s="54"/>
      <c r="P91" s="54"/>
      <c r="Z91"/>
    </row>
    <row r="92" spans="1:26" s="15" customFormat="1" x14ac:dyDescent="0.3">
      <c r="A92" s="17"/>
      <c r="B92"/>
      <c r="C92"/>
      <c r="D92"/>
      <c r="E92"/>
      <c r="F92" s="121">
        <v>43571</v>
      </c>
      <c r="G92" s="53">
        <v>272.66162100000003</v>
      </c>
      <c r="H92" s="53">
        <v>88.707611</v>
      </c>
      <c r="I92" s="122">
        <f t="shared" si="1"/>
        <v>6.554132882667929E-4</v>
      </c>
      <c r="J92" s="122">
        <f t="shared" si="1"/>
        <v>0</v>
      </c>
      <c r="K92"/>
      <c r="L92"/>
      <c r="M92"/>
      <c r="N92" s="54"/>
      <c r="O92" s="54"/>
      <c r="P92" s="54"/>
      <c r="Z92"/>
    </row>
    <row r="93" spans="1:26" s="15" customFormat="1" x14ac:dyDescent="0.3">
      <c r="A93" s="17"/>
      <c r="B93"/>
      <c r="C93"/>
      <c r="D93"/>
      <c r="E93"/>
      <c r="F93" s="121">
        <v>43572</v>
      </c>
      <c r="G93" s="53">
        <v>271.99438500000002</v>
      </c>
      <c r="H93" s="53">
        <v>88.726982000000007</v>
      </c>
      <c r="I93" s="122">
        <f t="shared" si="1"/>
        <v>-2.4471210783273412E-3</v>
      </c>
      <c r="J93" s="122">
        <f t="shared" si="1"/>
        <v>2.1836908672923094E-4</v>
      </c>
      <c r="K93"/>
      <c r="L93"/>
      <c r="M93"/>
      <c r="N93" s="54"/>
      <c r="O93" s="54"/>
      <c r="P93" s="54"/>
      <c r="Z93"/>
    </row>
    <row r="94" spans="1:26" s="15" customFormat="1" x14ac:dyDescent="0.3">
      <c r="A94" s="17"/>
      <c r="B94"/>
      <c r="C94"/>
      <c r="D94"/>
      <c r="E94"/>
      <c r="F94" s="121">
        <v>43573</v>
      </c>
      <c r="G94" s="53">
        <v>272.529968</v>
      </c>
      <c r="H94" s="53">
        <v>88.736716999999999</v>
      </c>
      <c r="I94" s="122">
        <f t="shared" si="1"/>
        <v>1.969095795856024E-3</v>
      </c>
      <c r="J94" s="122">
        <f t="shared" si="1"/>
        <v>1.0971859721320421E-4</v>
      </c>
      <c r="K94"/>
      <c r="L94"/>
      <c r="M94"/>
      <c r="N94" s="54"/>
      <c r="O94" s="54"/>
      <c r="P94" s="54"/>
      <c r="Z94"/>
    </row>
    <row r="95" spans="1:26" s="15" customFormat="1" x14ac:dyDescent="0.3">
      <c r="A95" s="17"/>
      <c r="B95"/>
      <c r="C95"/>
      <c r="D95"/>
      <c r="E95"/>
      <c r="F95" s="121">
        <v>43577</v>
      </c>
      <c r="G95" s="53">
        <v>272.76492300000001</v>
      </c>
      <c r="H95" s="53">
        <v>88.736716999999999</v>
      </c>
      <c r="I95" s="122">
        <f t="shared" si="1"/>
        <v>8.6212537184171545E-4</v>
      </c>
      <c r="J95" s="122">
        <f t="shared" si="1"/>
        <v>0</v>
      </c>
      <c r="K95"/>
      <c r="L95"/>
      <c r="M95"/>
      <c r="N95" s="54"/>
      <c r="O95" s="54"/>
      <c r="P95" s="54"/>
      <c r="Z95"/>
    </row>
    <row r="96" spans="1:26" s="15" customFormat="1" x14ac:dyDescent="0.3">
      <c r="A96" s="17"/>
      <c r="B96"/>
      <c r="C96"/>
      <c r="D96"/>
      <c r="E96"/>
      <c r="F96" s="121">
        <v>43578</v>
      </c>
      <c r="G96" s="53">
        <v>275.21755999999999</v>
      </c>
      <c r="H96" s="53">
        <v>88.736716999999999</v>
      </c>
      <c r="I96" s="122">
        <f t="shared" si="1"/>
        <v>8.9917610117338231E-3</v>
      </c>
      <c r="J96" s="122">
        <f t="shared" si="1"/>
        <v>0</v>
      </c>
      <c r="K96"/>
      <c r="L96"/>
      <c r="M96"/>
      <c r="N96" s="54"/>
      <c r="O96" s="54"/>
      <c r="P96" s="54"/>
      <c r="Z96"/>
    </row>
    <row r="97" spans="1:26" s="15" customFormat="1" x14ac:dyDescent="0.3">
      <c r="A97" s="17"/>
      <c r="B97"/>
      <c r="C97"/>
      <c r="D97"/>
      <c r="E97"/>
      <c r="F97" s="121">
        <v>43579</v>
      </c>
      <c r="G97" s="53">
        <v>274.60674999999998</v>
      </c>
      <c r="H97" s="53">
        <v>88.756073000000001</v>
      </c>
      <c r="I97" s="122">
        <f t="shared" si="1"/>
        <v>-2.2193714674311193E-3</v>
      </c>
      <c r="J97" s="122">
        <f t="shared" si="1"/>
        <v>2.1812842140644939E-4</v>
      </c>
      <c r="K97"/>
      <c r="L97"/>
      <c r="M97"/>
      <c r="N97" s="54"/>
      <c r="O97" s="54"/>
      <c r="P97" s="54"/>
      <c r="Z97"/>
    </row>
    <row r="98" spans="1:26" s="15" customFormat="1" x14ac:dyDescent="0.3">
      <c r="A98" s="17"/>
      <c r="B98"/>
      <c r="C98"/>
      <c r="D98"/>
      <c r="E98"/>
      <c r="F98" s="121">
        <v>43580</v>
      </c>
      <c r="G98" s="53">
        <v>274.43753099999998</v>
      </c>
      <c r="H98" s="53">
        <v>88.775435999999999</v>
      </c>
      <c r="I98" s="122">
        <f t="shared" si="1"/>
        <v>-6.1622301709629568E-4</v>
      </c>
      <c r="J98" s="122">
        <f t="shared" si="1"/>
        <v>2.181597196171392E-4</v>
      </c>
      <c r="K98"/>
      <c r="L98"/>
      <c r="M98"/>
      <c r="N98" s="54"/>
      <c r="O98" s="54"/>
      <c r="P98" s="54"/>
      <c r="Z98"/>
    </row>
    <row r="99" spans="1:26" s="15" customFormat="1" x14ac:dyDescent="0.3">
      <c r="A99" s="17"/>
      <c r="B99"/>
      <c r="C99"/>
      <c r="D99"/>
      <c r="E99"/>
      <c r="F99" s="121">
        <v>43581</v>
      </c>
      <c r="G99" s="53">
        <v>275.71554600000002</v>
      </c>
      <c r="H99" s="53">
        <v>88.765761999999995</v>
      </c>
      <c r="I99" s="122">
        <f t="shared" si="1"/>
        <v>4.6568521271241892E-3</v>
      </c>
      <c r="J99" s="122">
        <f t="shared" si="1"/>
        <v>-1.0897158533818008E-4</v>
      </c>
      <c r="K99"/>
      <c r="L99"/>
      <c r="M99"/>
      <c r="N99" s="54"/>
      <c r="O99" s="54"/>
      <c r="P99" s="54"/>
      <c r="Z99"/>
    </row>
    <row r="100" spans="1:26" s="15" customFormat="1" x14ac:dyDescent="0.3">
      <c r="A100" s="17"/>
      <c r="B100"/>
      <c r="C100"/>
      <c r="D100"/>
      <c r="E100"/>
      <c r="F100" s="121">
        <v>43584</v>
      </c>
      <c r="G100" s="53">
        <v>276.14782700000001</v>
      </c>
      <c r="H100" s="53">
        <v>88.775435999999999</v>
      </c>
      <c r="I100" s="122">
        <f t="shared" si="1"/>
        <v>1.5678513825985174E-3</v>
      </c>
      <c r="J100" s="122">
        <f t="shared" si="1"/>
        <v>1.089834614387275E-4</v>
      </c>
      <c r="K100"/>
      <c r="L100"/>
      <c r="M100"/>
      <c r="N100" s="54"/>
      <c r="O100" s="54"/>
      <c r="P100" s="54"/>
      <c r="Z100"/>
    </row>
    <row r="101" spans="1:26" s="15" customFormat="1" x14ac:dyDescent="0.3">
      <c r="A101" s="17"/>
      <c r="B101"/>
      <c r="C101"/>
      <c r="D101"/>
      <c r="E101"/>
      <c r="F101" s="121">
        <v>43585</v>
      </c>
      <c r="G101" s="53">
        <v>276.28872699999999</v>
      </c>
      <c r="H101" s="53">
        <v>88.785149000000004</v>
      </c>
      <c r="I101" s="122">
        <f t="shared" si="1"/>
        <v>5.1023396247829034E-4</v>
      </c>
      <c r="J101" s="122">
        <f t="shared" si="1"/>
        <v>1.0941089605021048E-4</v>
      </c>
      <c r="K101"/>
      <c r="L101"/>
      <c r="M101"/>
      <c r="N101" s="54"/>
      <c r="O101" s="54"/>
      <c r="P101" s="54"/>
      <c r="Z101"/>
    </row>
    <row r="102" spans="1:26" s="15" customFormat="1" x14ac:dyDescent="0.3">
      <c r="A102" s="17"/>
      <c r="B102"/>
      <c r="C102"/>
      <c r="D102"/>
      <c r="E102"/>
      <c r="F102" s="121">
        <v>43586</v>
      </c>
      <c r="G102" s="53">
        <v>274.21206699999999</v>
      </c>
      <c r="H102" s="53">
        <v>88.789023999999998</v>
      </c>
      <c r="I102" s="122">
        <f t="shared" si="1"/>
        <v>-7.5162675746810459E-3</v>
      </c>
      <c r="J102" s="122">
        <f t="shared" si="1"/>
        <v>4.3644686567922975E-5</v>
      </c>
      <c r="K102"/>
      <c r="L102"/>
      <c r="M102"/>
      <c r="N102" s="54"/>
      <c r="O102" s="54"/>
      <c r="P102" s="54"/>
      <c r="Z102"/>
    </row>
    <row r="103" spans="1:26" s="15" customFormat="1" x14ac:dyDescent="0.3">
      <c r="A103" s="17"/>
      <c r="B103"/>
      <c r="C103"/>
      <c r="D103"/>
      <c r="E103"/>
      <c r="F103" s="121">
        <v>43587</v>
      </c>
      <c r="G103" s="53">
        <v>273.620026</v>
      </c>
      <c r="H103" s="53">
        <v>88.798766999999998</v>
      </c>
      <c r="I103" s="122">
        <f t="shared" si="1"/>
        <v>-2.1590625331597835E-3</v>
      </c>
      <c r="J103" s="122">
        <f t="shared" si="1"/>
        <v>1.0973203174291513E-4</v>
      </c>
      <c r="K103"/>
      <c r="L103"/>
      <c r="M103"/>
      <c r="N103" s="54"/>
      <c r="O103" s="54"/>
      <c r="P103" s="54"/>
      <c r="Z103"/>
    </row>
    <row r="104" spans="1:26" s="15" customFormat="1" x14ac:dyDescent="0.3">
      <c r="A104" s="17"/>
      <c r="B104"/>
      <c r="C104"/>
      <c r="D104"/>
      <c r="E104"/>
      <c r="F104" s="121">
        <v>43588</v>
      </c>
      <c r="G104" s="53">
        <v>276.29818699999998</v>
      </c>
      <c r="H104" s="53">
        <v>88.808456000000007</v>
      </c>
      <c r="I104" s="122">
        <f t="shared" si="1"/>
        <v>9.7878837274871788E-3</v>
      </c>
      <c r="J104" s="122">
        <f t="shared" si="1"/>
        <v>1.0911187539353051E-4</v>
      </c>
      <c r="K104"/>
      <c r="L104"/>
      <c r="M104"/>
      <c r="N104" s="54"/>
      <c r="O104" s="54"/>
      <c r="P104" s="54"/>
      <c r="Z104"/>
    </row>
    <row r="105" spans="1:26" s="15" customFormat="1" x14ac:dyDescent="0.3">
      <c r="A105" s="17"/>
      <c r="B105"/>
      <c r="C105"/>
      <c r="D105"/>
      <c r="E105"/>
      <c r="F105" s="121">
        <v>43591</v>
      </c>
      <c r="G105" s="53">
        <v>275.16110200000003</v>
      </c>
      <c r="H105" s="53">
        <v>88.818152999999995</v>
      </c>
      <c r="I105" s="122">
        <f t="shared" si="1"/>
        <v>-4.1154269318457448E-3</v>
      </c>
      <c r="J105" s="122">
        <f t="shared" si="1"/>
        <v>1.0919005280296545E-4</v>
      </c>
      <c r="K105"/>
      <c r="L105"/>
      <c r="M105"/>
      <c r="N105" s="54"/>
      <c r="O105" s="54"/>
      <c r="P105" s="54"/>
      <c r="Z105"/>
    </row>
    <row r="106" spans="1:26" s="15" customFormat="1" x14ac:dyDescent="0.3">
      <c r="A106" s="17"/>
      <c r="B106"/>
      <c r="C106"/>
      <c r="D106"/>
      <c r="E106"/>
      <c r="F106" s="121">
        <v>43592</v>
      </c>
      <c r="G106" s="53">
        <v>270.56607100000002</v>
      </c>
      <c r="H106" s="53">
        <v>88.827866</v>
      </c>
      <c r="I106" s="122">
        <f t="shared" si="1"/>
        <v>-1.6699420690646893E-2</v>
      </c>
      <c r="J106" s="122">
        <f t="shared" si="1"/>
        <v>1.0935827499136686E-4</v>
      </c>
      <c r="K106"/>
      <c r="L106"/>
      <c r="M106"/>
      <c r="N106" s="54"/>
      <c r="O106" s="54"/>
      <c r="P106" s="54"/>
      <c r="Z106"/>
    </row>
    <row r="107" spans="1:26" s="15" customFormat="1" x14ac:dyDescent="0.3">
      <c r="A107" s="17"/>
      <c r="B107"/>
      <c r="C107"/>
      <c r="D107"/>
      <c r="E107"/>
      <c r="F107" s="121">
        <v>43593</v>
      </c>
      <c r="G107" s="53">
        <v>270.190155</v>
      </c>
      <c r="H107" s="53">
        <v>88.827866</v>
      </c>
      <c r="I107" s="122">
        <f t="shared" si="1"/>
        <v>-1.3893685879040607E-3</v>
      </c>
      <c r="J107" s="122">
        <f t="shared" si="1"/>
        <v>0</v>
      </c>
      <c r="K107"/>
      <c r="L107"/>
      <c r="M107"/>
      <c r="N107" s="54"/>
      <c r="O107" s="54"/>
      <c r="P107" s="54"/>
      <c r="Z107"/>
    </row>
    <row r="108" spans="1:26" s="15" customFormat="1" x14ac:dyDescent="0.3">
      <c r="A108" s="17"/>
      <c r="B108"/>
      <c r="C108"/>
      <c r="D108"/>
      <c r="E108"/>
      <c r="F108" s="121">
        <v>43594</v>
      </c>
      <c r="G108" s="53">
        <v>269.372589</v>
      </c>
      <c r="H108" s="53">
        <v>88.837585000000004</v>
      </c>
      <c r="I108" s="122">
        <f t="shared" si="1"/>
        <v>-3.0258911543242784E-3</v>
      </c>
      <c r="J108" s="122">
        <f t="shared" si="1"/>
        <v>1.094138634378794E-4</v>
      </c>
      <c r="K108"/>
      <c r="L108"/>
      <c r="M108"/>
      <c r="N108" s="54"/>
      <c r="O108" s="54"/>
      <c r="P108" s="54"/>
      <c r="Z108"/>
    </row>
    <row r="109" spans="1:26" s="15" customFormat="1" x14ac:dyDescent="0.3">
      <c r="A109" s="17"/>
      <c r="B109"/>
      <c r="C109"/>
      <c r="D109"/>
      <c r="E109"/>
      <c r="F109" s="121">
        <v>43595</v>
      </c>
      <c r="G109" s="53">
        <v>270.72582999999997</v>
      </c>
      <c r="H109" s="53">
        <v>88.857017999999997</v>
      </c>
      <c r="I109" s="122">
        <f t="shared" si="1"/>
        <v>5.0236774462599776E-3</v>
      </c>
      <c r="J109" s="122">
        <f t="shared" si="1"/>
        <v>2.187475042234599E-4</v>
      </c>
      <c r="K109"/>
      <c r="L109"/>
      <c r="M109"/>
      <c r="N109" s="54"/>
      <c r="O109" s="54"/>
      <c r="P109" s="54"/>
      <c r="Z109"/>
    </row>
    <row r="110" spans="1:26" s="15" customFormat="1" x14ac:dyDescent="0.3">
      <c r="A110" s="17"/>
      <c r="B110"/>
      <c r="C110"/>
      <c r="D110"/>
      <c r="E110"/>
      <c r="F110" s="121">
        <v>43598</v>
      </c>
      <c r="G110" s="53">
        <v>263.92233299999998</v>
      </c>
      <c r="H110" s="53">
        <v>88.847282000000007</v>
      </c>
      <c r="I110" s="122">
        <f t="shared" si="1"/>
        <v>-2.5130579523941265E-2</v>
      </c>
      <c r="J110" s="122">
        <f t="shared" si="1"/>
        <v>-1.0956928579342051E-4</v>
      </c>
      <c r="K110"/>
      <c r="L110"/>
      <c r="M110"/>
      <c r="N110" s="54"/>
      <c r="O110" s="54"/>
      <c r="P110" s="54"/>
      <c r="Z110"/>
    </row>
    <row r="111" spans="1:26" s="15" customFormat="1" x14ac:dyDescent="0.3">
      <c r="A111" s="17"/>
      <c r="B111"/>
      <c r="C111"/>
      <c r="D111"/>
      <c r="E111"/>
      <c r="F111" s="121">
        <v>43599</v>
      </c>
      <c r="G111" s="53">
        <v>266.309235</v>
      </c>
      <c r="H111" s="53">
        <v>88.857017999999997</v>
      </c>
      <c r="I111" s="122">
        <f t="shared" si="1"/>
        <v>9.0439561247741551E-3</v>
      </c>
      <c r="J111" s="122">
        <f t="shared" si="1"/>
        <v>1.0958129253735294E-4</v>
      </c>
      <c r="K111"/>
      <c r="L111"/>
      <c r="M111"/>
      <c r="N111" s="54"/>
      <c r="O111" s="54"/>
      <c r="P111" s="54"/>
      <c r="Z111"/>
    </row>
    <row r="112" spans="1:26" s="15" customFormat="1" x14ac:dyDescent="0.3">
      <c r="A112" s="17"/>
      <c r="B112"/>
      <c r="C112"/>
      <c r="D112"/>
      <c r="E112"/>
      <c r="F112" s="121">
        <v>43600</v>
      </c>
      <c r="G112" s="53">
        <v>267.86910999999998</v>
      </c>
      <c r="H112" s="53">
        <v>88.866721999999996</v>
      </c>
      <c r="I112" s="122">
        <f t="shared" si="1"/>
        <v>5.8573823021945692E-3</v>
      </c>
      <c r="J112" s="122">
        <f t="shared" si="1"/>
        <v>1.0920915667012032E-4</v>
      </c>
      <c r="K112"/>
      <c r="L112"/>
      <c r="M112"/>
      <c r="N112" s="54"/>
      <c r="O112" s="54"/>
      <c r="P112" s="54"/>
      <c r="Z112"/>
    </row>
    <row r="113" spans="1:26" s="15" customFormat="1" x14ac:dyDescent="0.3">
      <c r="A113" s="17"/>
      <c r="B113"/>
      <c r="C113"/>
      <c r="D113"/>
      <c r="E113"/>
      <c r="F113" s="121">
        <v>43601</v>
      </c>
      <c r="G113" s="53">
        <v>270.34988399999997</v>
      </c>
      <c r="H113" s="53">
        <v>88.876434000000003</v>
      </c>
      <c r="I113" s="122">
        <f t="shared" si="1"/>
        <v>9.2611425035160622E-3</v>
      </c>
      <c r="J113" s="122">
        <f t="shared" si="1"/>
        <v>1.0928725378223092E-4</v>
      </c>
      <c r="K113"/>
      <c r="L113"/>
      <c r="M113"/>
      <c r="N113" s="54"/>
      <c r="O113" s="54"/>
      <c r="P113" s="54"/>
      <c r="Z113"/>
    </row>
    <row r="114" spans="1:26" s="15" customFormat="1" x14ac:dyDescent="0.3">
      <c r="A114" s="17"/>
      <c r="B114"/>
      <c r="C114"/>
      <c r="D114"/>
      <c r="E114"/>
      <c r="F114" s="121">
        <v>43602</v>
      </c>
      <c r="G114" s="53">
        <v>268.602081</v>
      </c>
      <c r="H114" s="53">
        <v>88.886168999999995</v>
      </c>
      <c r="I114" s="122">
        <f t="shared" si="1"/>
        <v>-6.4649667095842966E-3</v>
      </c>
      <c r="J114" s="122">
        <f t="shared" si="1"/>
        <v>1.0953409764380417E-4</v>
      </c>
      <c r="K114"/>
      <c r="L114"/>
      <c r="M114"/>
      <c r="N114" s="54"/>
      <c r="O114" s="54"/>
      <c r="P114" s="54"/>
      <c r="Z114"/>
    </row>
    <row r="115" spans="1:26" s="15" customFormat="1" x14ac:dyDescent="0.3">
      <c r="A115" s="17"/>
      <c r="B115"/>
      <c r="C115"/>
      <c r="D115"/>
      <c r="E115"/>
      <c r="F115" s="121">
        <v>43605</v>
      </c>
      <c r="G115" s="53">
        <v>266.82607999999999</v>
      </c>
      <c r="H115" s="53">
        <v>88.895843999999997</v>
      </c>
      <c r="I115" s="122">
        <f t="shared" si="1"/>
        <v>-6.6120150424300306E-3</v>
      </c>
      <c r="J115" s="122">
        <f t="shared" si="1"/>
        <v>1.0884708058456205E-4</v>
      </c>
      <c r="K115"/>
      <c r="L115"/>
      <c r="M115"/>
      <c r="N115" s="54"/>
      <c r="O115" s="54"/>
      <c r="P115" s="54"/>
      <c r="Z115"/>
    </row>
    <row r="116" spans="1:26" s="15" customFormat="1" x14ac:dyDescent="0.3">
      <c r="A116" s="17"/>
      <c r="B116"/>
      <c r="C116"/>
      <c r="D116"/>
      <c r="E116"/>
      <c r="F116" s="121">
        <v>43606</v>
      </c>
      <c r="G116" s="53">
        <v>269.23172</v>
      </c>
      <c r="H116" s="53">
        <v>88.895843999999997</v>
      </c>
      <c r="I116" s="122">
        <f t="shared" si="1"/>
        <v>9.0157603784457585E-3</v>
      </c>
      <c r="J116" s="122">
        <f t="shared" si="1"/>
        <v>0</v>
      </c>
      <c r="K116"/>
      <c r="L116"/>
      <c r="M116"/>
      <c r="N116" s="54"/>
      <c r="O116" s="54"/>
      <c r="P116" s="54"/>
      <c r="Z116"/>
    </row>
    <row r="117" spans="1:26" s="15" customFormat="1" x14ac:dyDescent="0.3">
      <c r="A117" s="17"/>
      <c r="B117"/>
      <c r="C117"/>
      <c r="D117"/>
      <c r="E117"/>
      <c r="F117" s="121">
        <v>43607</v>
      </c>
      <c r="G117" s="53">
        <v>268.404785</v>
      </c>
      <c r="H117" s="53">
        <v>88.915276000000006</v>
      </c>
      <c r="I117" s="122">
        <f t="shared" si="1"/>
        <v>-3.0714620104941304E-3</v>
      </c>
      <c r="J117" s="122">
        <f t="shared" si="1"/>
        <v>2.185928961988548E-4</v>
      </c>
      <c r="K117"/>
      <c r="L117"/>
      <c r="M117"/>
      <c r="N117" s="54"/>
      <c r="O117" s="54"/>
      <c r="P117" s="54"/>
      <c r="Z117"/>
    </row>
    <row r="118" spans="1:26" s="15" customFormat="1" x14ac:dyDescent="0.3">
      <c r="A118" s="17"/>
      <c r="B118"/>
      <c r="C118"/>
      <c r="D118"/>
      <c r="E118"/>
      <c r="F118" s="121">
        <v>43608</v>
      </c>
      <c r="G118" s="53">
        <v>265.12527499999999</v>
      </c>
      <c r="H118" s="53">
        <v>88.934700000000007</v>
      </c>
      <c r="I118" s="122">
        <f t="shared" si="1"/>
        <v>-1.221852285532099E-2</v>
      </c>
      <c r="J118" s="122">
        <f t="shared" si="1"/>
        <v>2.1845515049623287E-4</v>
      </c>
      <c r="K118"/>
      <c r="L118"/>
      <c r="M118"/>
      <c r="N118" s="54"/>
      <c r="O118" s="54"/>
      <c r="P118" s="54"/>
      <c r="Z118"/>
    </row>
    <row r="119" spans="1:26" s="15" customFormat="1" x14ac:dyDescent="0.3">
      <c r="A119" s="17"/>
      <c r="B119"/>
      <c r="C119"/>
      <c r="D119"/>
      <c r="E119"/>
      <c r="F119" s="121">
        <v>43609</v>
      </c>
      <c r="G119" s="53">
        <v>265.726563</v>
      </c>
      <c r="H119" s="53">
        <v>88.934700000000007</v>
      </c>
      <c r="I119" s="122">
        <f t="shared" si="1"/>
        <v>2.2679391845987773E-3</v>
      </c>
      <c r="J119" s="122">
        <f t="shared" si="1"/>
        <v>0</v>
      </c>
      <c r="K119"/>
      <c r="L119"/>
      <c r="M119"/>
      <c r="N119" s="54"/>
      <c r="O119" s="54"/>
      <c r="P119" s="54"/>
      <c r="Z119"/>
    </row>
    <row r="120" spans="1:26" s="15" customFormat="1" x14ac:dyDescent="0.3">
      <c r="A120" s="17"/>
      <c r="B120"/>
      <c r="C120"/>
      <c r="D120"/>
      <c r="E120"/>
      <c r="F120" s="121">
        <v>43613</v>
      </c>
      <c r="G120" s="53">
        <v>263.25521900000001</v>
      </c>
      <c r="H120" s="53">
        <v>88.944382000000004</v>
      </c>
      <c r="I120" s="122">
        <f t="shared" si="1"/>
        <v>-9.3003272691258854E-3</v>
      </c>
      <c r="J120" s="122">
        <f t="shared" si="1"/>
        <v>1.0886639298268719E-4</v>
      </c>
      <c r="K120"/>
      <c r="L120"/>
      <c r="M120"/>
      <c r="N120" s="54"/>
      <c r="O120" s="54"/>
      <c r="P120" s="54"/>
      <c r="Z120"/>
    </row>
    <row r="121" spans="1:26" s="15" customFormat="1" x14ac:dyDescent="0.3">
      <c r="A121" s="17"/>
      <c r="B121"/>
      <c r="C121"/>
      <c r="D121"/>
      <c r="E121"/>
      <c r="F121" s="121">
        <v>43614</v>
      </c>
      <c r="G121" s="53">
        <v>261.488586</v>
      </c>
      <c r="H121" s="53">
        <v>88.944382000000004</v>
      </c>
      <c r="I121" s="122">
        <f t="shared" si="1"/>
        <v>-6.7107235583429015E-3</v>
      </c>
      <c r="J121" s="122">
        <f t="shared" si="1"/>
        <v>0</v>
      </c>
      <c r="K121"/>
      <c r="L121"/>
      <c r="M121"/>
      <c r="N121" s="54"/>
      <c r="O121" s="54"/>
      <c r="P121" s="54"/>
      <c r="Z121"/>
    </row>
    <row r="122" spans="1:26" s="15" customFormat="1" x14ac:dyDescent="0.3">
      <c r="A122" s="17"/>
      <c r="B122"/>
      <c r="C122"/>
      <c r="D122"/>
      <c r="E122"/>
      <c r="F122" s="121">
        <v>43615</v>
      </c>
      <c r="G122" s="53">
        <v>262.20281999999997</v>
      </c>
      <c r="H122" s="53">
        <v>88.973549000000006</v>
      </c>
      <c r="I122" s="122">
        <f t="shared" si="1"/>
        <v>2.7314155884416991E-3</v>
      </c>
      <c r="J122" s="122">
        <f t="shared" si="1"/>
        <v>3.279240278493134E-4</v>
      </c>
      <c r="K122"/>
      <c r="L122"/>
      <c r="M122"/>
      <c r="N122" s="54"/>
      <c r="O122" s="54"/>
      <c r="P122" s="54"/>
      <c r="Z122"/>
    </row>
    <row r="123" spans="1:26" s="15" customFormat="1" x14ac:dyDescent="0.3">
      <c r="A123" s="17"/>
      <c r="B123"/>
      <c r="C123"/>
      <c r="D123"/>
      <c r="E123"/>
      <c r="F123" s="121">
        <v>43616</v>
      </c>
      <c r="G123" s="53">
        <v>258.669556</v>
      </c>
      <c r="H123" s="53">
        <v>88.973549000000006</v>
      </c>
      <c r="I123" s="122">
        <f t="shared" si="1"/>
        <v>-1.3475308923069473E-2</v>
      </c>
      <c r="J123" s="122">
        <f t="shared" si="1"/>
        <v>0</v>
      </c>
      <c r="K123"/>
      <c r="L123"/>
      <c r="M123"/>
      <c r="N123" s="54"/>
      <c r="O123" s="54"/>
      <c r="P123" s="54"/>
      <c r="Z123"/>
    </row>
    <row r="124" spans="1:26" s="15" customFormat="1" x14ac:dyDescent="0.3">
      <c r="A124" s="17"/>
      <c r="B124"/>
      <c r="C124"/>
      <c r="D124"/>
      <c r="E124"/>
      <c r="F124" s="121">
        <v>43619</v>
      </c>
      <c r="G124" s="53">
        <v>258.01174900000001</v>
      </c>
      <c r="H124" s="53">
        <v>88.969673</v>
      </c>
      <c r="I124" s="122">
        <f t="shared" si="1"/>
        <v>-2.5430398929512377E-3</v>
      </c>
      <c r="J124" s="122">
        <f t="shared" si="1"/>
        <v>-4.3563508970612119E-5</v>
      </c>
      <c r="K124"/>
      <c r="L124"/>
      <c r="M124"/>
      <c r="N124" s="54"/>
      <c r="O124" s="54"/>
      <c r="P124" s="54"/>
      <c r="Z124"/>
    </row>
    <row r="125" spans="1:26" s="15" customFormat="1" x14ac:dyDescent="0.3">
      <c r="A125" s="17"/>
      <c r="B125"/>
      <c r="C125"/>
      <c r="D125"/>
      <c r="E125"/>
      <c r="F125" s="121">
        <v>43620</v>
      </c>
      <c r="G125" s="53">
        <v>263.61230499999999</v>
      </c>
      <c r="H125" s="53">
        <v>88.989104999999995</v>
      </c>
      <c r="I125" s="122">
        <f t="shared" si="1"/>
        <v>2.1706592904030764E-2</v>
      </c>
      <c r="J125" s="122">
        <f t="shared" si="1"/>
        <v>2.184115029848499E-4</v>
      </c>
      <c r="K125"/>
      <c r="L125"/>
      <c r="M125"/>
      <c r="N125" s="54"/>
      <c r="O125" s="54"/>
      <c r="P125" s="54"/>
      <c r="Z125"/>
    </row>
    <row r="126" spans="1:26" s="15" customFormat="1" x14ac:dyDescent="0.3">
      <c r="A126" s="17"/>
      <c r="B126"/>
      <c r="C126"/>
      <c r="D126"/>
      <c r="E126"/>
      <c r="F126" s="121">
        <v>43621</v>
      </c>
      <c r="G126" s="53">
        <v>265.89575200000002</v>
      </c>
      <c r="H126" s="53">
        <v>88.989104999999995</v>
      </c>
      <c r="I126" s="122">
        <f t="shared" si="1"/>
        <v>8.6621411697758166E-3</v>
      </c>
      <c r="J126" s="122">
        <f t="shared" si="1"/>
        <v>0</v>
      </c>
      <c r="K126"/>
      <c r="L126"/>
      <c r="M126"/>
      <c r="N126" s="54"/>
      <c r="O126" s="54"/>
      <c r="P126" s="54"/>
      <c r="Z126"/>
    </row>
    <row r="127" spans="1:26" s="15" customFormat="1" x14ac:dyDescent="0.3">
      <c r="A127" s="17"/>
      <c r="B127"/>
      <c r="C127"/>
      <c r="D127"/>
      <c r="E127"/>
      <c r="F127" s="121">
        <v>43622</v>
      </c>
      <c r="G127" s="53">
        <v>267.62481700000001</v>
      </c>
      <c r="H127" s="53">
        <v>89.018294999999995</v>
      </c>
      <c r="I127" s="122">
        <f t="shared" si="1"/>
        <v>6.5027928689886938E-3</v>
      </c>
      <c r="J127" s="122">
        <f t="shared" si="1"/>
        <v>3.2801768261414566E-4</v>
      </c>
      <c r="K127"/>
      <c r="L127"/>
      <c r="M127"/>
      <c r="N127" s="54"/>
      <c r="O127" s="54"/>
      <c r="P127" s="54"/>
      <c r="Z127"/>
    </row>
    <row r="128" spans="1:26" s="15" customFormat="1" x14ac:dyDescent="0.3">
      <c r="A128" s="17"/>
      <c r="B128"/>
      <c r="C128"/>
      <c r="D128"/>
      <c r="E128"/>
      <c r="F128" s="121">
        <v>43623</v>
      </c>
      <c r="G128" s="53">
        <v>270.30291699999998</v>
      </c>
      <c r="H128" s="53">
        <v>89.008567999999997</v>
      </c>
      <c r="I128" s="122">
        <f t="shared" si="1"/>
        <v>1.0006919500294309E-2</v>
      </c>
      <c r="J128" s="122">
        <f t="shared" si="1"/>
        <v>-1.0926967316093883E-4</v>
      </c>
      <c r="K128"/>
      <c r="L128"/>
      <c r="M128"/>
      <c r="N128" s="54"/>
      <c r="O128" s="54"/>
      <c r="P128" s="54"/>
      <c r="Z128"/>
    </row>
    <row r="129" spans="1:26" s="15" customFormat="1" x14ac:dyDescent="0.3">
      <c r="A129" s="17"/>
      <c r="B129"/>
      <c r="C129"/>
      <c r="D129"/>
      <c r="E129"/>
      <c r="F129" s="121">
        <v>43626</v>
      </c>
      <c r="G129" s="53">
        <v>271.54330399999998</v>
      </c>
      <c r="H129" s="53">
        <v>89.028037999999995</v>
      </c>
      <c r="I129" s="122">
        <f t="shared" si="1"/>
        <v>4.5888775961673289E-3</v>
      </c>
      <c r="J129" s="122">
        <f t="shared" si="1"/>
        <v>2.1874298663027147E-4</v>
      </c>
      <c r="K129"/>
      <c r="L129"/>
      <c r="M129"/>
      <c r="N129" s="54"/>
      <c r="O129" s="54"/>
      <c r="P129" s="54"/>
      <c r="Z129"/>
    </row>
    <row r="130" spans="1:26" s="15" customFormat="1" x14ac:dyDescent="0.3">
      <c r="A130" s="17"/>
      <c r="B130"/>
      <c r="C130"/>
      <c r="D130"/>
      <c r="E130"/>
      <c r="F130" s="121">
        <v>43627</v>
      </c>
      <c r="G130" s="53">
        <v>271.47757000000001</v>
      </c>
      <c r="H130" s="53">
        <v>89.018294999999995</v>
      </c>
      <c r="I130" s="122">
        <f t="shared" si="1"/>
        <v>-2.4207556964828125E-4</v>
      </c>
      <c r="J130" s="122">
        <f t="shared" si="1"/>
        <v>-1.0943743363189817E-4</v>
      </c>
      <c r="K130"/>
      <c r="L130"/>
      <c r="M130"/>
      <c r="N130" s="54"/>
      <c r="O130" s="54"/>
      <c r="P130" s="54"/>
      <c r="Z130"/>
    </row>
    <row r="131" spans="1:26" s="15" customFormat="1" x14ac:dyDescent="0.3">
      <c r="A131" s="17"/>
      <c r="B131"/>
      <c r="C131"/>
      <c r="D131"/>
      <c r="E131"/>
      <c r="F131" s="121">
        <v>43628</v>
      </c>
      <c r="G131" s="53">
        <v>270.99829099999999</v>
      </c>
      <c r="H131" s="53">
        <v>89.028037999999995</v>
      </c>
      <c r="I131" s="122">
        <f t="shared" si="1"/>
        <v>-1.7654460366652858E-3</v>
      </c>
      <c r="J131" s="122">
        <f t="shared" si="1"/>
        <v>1.0944941149459986E-4</v>
      </c>
      <c r="K131"/>
      <c r="L131"/>
      <c r="M131"/>
      <c r="N131" s="54"/>
      <c r="O131" s="54"/>
      <c r="P131" s="54"/>
      <c r="Z131"/>
    </row>
    <row r="132" spans="1:26" s="15" customFormat="1" x14ac:dyDescent="0.3">
      <c r="A132" s="17"/>
      <c r="B132"/>
      <c r="C132"/>
      <c r="D132"/>
      <c r="E132"/>
      <c r="F132" s="121">
        <v>43629</v>
      </c>
      <c r="G132" s="53">
        <v>272.11648600000001</v>
      </c>
      <c r="H132" s="53">
        <v>89.057243</v>
      </c>
      <c r="I132" s="122">
        <f t="shared" si="1"/>
        <v>4.1262068327951873E-3</v>
      </c>
      <c r="J132" s="122">
        <f t="shared" si="1"/>
        <v>3.2804272290043457E-4</v>
      </c>
      <c r="K132"/>
      <c r="L132"/>
      <c r="M132"/>
      <c r="N132" s="54"/>
      <c r="O132" s="54"/>
      <c r="P132" s="54"/>
      <c r="Z132"/>
    </row>
    <row r="133" spans="1:26" s="15" customFormat="1" x14ac:dyDescent="0.3">
      <c r="A133" s="17"/>
      <c r="B133"/>
      <c r="C133"/>
      <c r="D133"/>
      <c r="E133"/>
      <c r="F133" s="121">
        <v>43630</v>
      </c>
      <c r="G133" s="53">
        <v>271.81585699999999</v>
      </c>
      <c r="H133" s="53">
        <v>89.066940000000002</v>
      </c>
      <c r="I133" s="122">
        <f t="shared" si="1"/>
        <v>-1.1047805460784321E-3</v>
      </c>
      <c r="J133" s="122">
        <f t="shared" si="1"/>
        <v>1.0888502353489926E-4</v>
      </c>
      <c r="K133"/>
      <c r="L133"/>
      <c r="M133"/>
      <c r="N133" s="54"/>
      <c r="O133" s="54"/>
      <c r="P133" s="54"/>
      <c r="Z133"/>
    </row>
    <row r="134" spans="1:26" s="15" customFormat="1" x14ac:dyDescent="0.3">
      <c r="A134" s="17"/>
      <c r="B134"/>
      <c r="C134"/>
      <c r="D134"/>
      <c r="E134"/>
      <c r="F134" s="121">
        <v>43633</v>
      </c>
      <c r="G134" s="53">
        <v>271.91915899999998</v>
      </c>
      <c r="H134" s="53">
        <v>89.066940000000002</v>
      </c>
      <c r="I134" s="122">
        <f t="shared" si="1"/>
        <v>3.8004405313252221E-4</v>
      </c>
      <c r="J134" s="122">
        <f t="shared" si="1"/>
        <v>0</v>
      </c>
      <c r="K134"/>
      <c r="L134"/>
      <c r="M134"/>
      <c r="N134" s="54"/>
      <c r="O134" s="54"/>
      <c r="P134" s="54"/>
      <c r="Z134"/>
    </row>
    <row r="135" spans="1:26" s="15" customFormat="1" x14ac:dyDescent="0.3">
      <c r="A135" s="17"/>
      <c r="B135"/>
      <c r="C135"/>
      <c r="D135"/>
      <c r="E135"/>
      <c r="F135" s="121">
        <v>43634</v>
      </c>
      <c r="G135" s="53">
        <v>274.76641799999999</v>
      </c>
      <c r="H135" s="53">
        <v>89.066940000000002</v>
      </c>
      <c r="I135" s="122">
        <f t="shared" si="1"/>
        <v>1.0470976044758995E-2</v>
      </c>
      <c r="J135" s="122">
        <f t="shared" si="1"/>
        <v>0</v>
      </c>
      <c r="K135"/>
      <c r="L135"/>
      <c r="M135"/>
      <c r="N135" s="54"/>
      <c r="O135" s="54"/>
      <c r="P135" s="54"/>
      <c r="Z135"/>
    </row>
    <row r="136" spans="1:26" s="15" customFormat="1" x14ac:dyDescent="0.3">
      <c r="A136" s="17"/>
      <c r="B136"/>
      <c r="C136"/>
      <c r="D136"/>
      <c r="E136"/>
      <c r="F136" s="121">
        <v>43635</v>
      </c>
      <c r="G136" s="53">
        <v>275.38662699999998</v>
      </c>
      <c r="H136" s="53">
        <v>89.086417999999995</v>
      </c>
      <c r="I136" s="122">
        <f t="shared" si="1"/>
        <v>2.2572227148951463E-3</v>
      </c>
      <c r="J136" s="122">
        <f t="shared" si="1"/>
        <v>2.1868944863268069E-4</v>
      </c>
      <c r="K136"/>
      <c r="L136"/>
      <c r="M136"/>
      <c r="N136" s="54"/>
      <c r="O136" s="54"/>
      <c r="P136" s="54"/>
      <c r="Z136"/>
    </row>
    <row r="137" spans="1:26" s="15" customFormat="1" x14ac:dyDescent="0.3">
      <c r="A137" s="17"/>
      <c r="B137"/>
      <c r="C137"/>
      <c r="D137"/>
      <c r="E137"/>
      <c r="F137" s="121">
        <v>43636</v>
      </c>
      <c r="G137" s="53">
        <v>278.01776100000001</v>
      </c>
      <c r="H137" s="53">
        <v>89.096130000000002</v>
      </c>
      <c r="I137" s="122">
        <f t="shared" si="1"/>
        <v>9.5543274147442681E-3</v>
      </c>
      <c r="J137" s="122">
        <f t="shared" si="1"/>
        <v>1.0901774050453561E-4</v>
      </c>
      <c r="K137"/>
      <c r="L137"/>
      <c r="M137"/>
      <c r="N137" s="54"/>
      <c r="O137" s="54"/>
      <c r="P137" s="54"/>
      <c r="Z137"/>
    </row>
    <row r="138" spans="1:26" s="15" customFormat="1" x14ac:dyDescent="0.3">
      <c r="A138" s="17"/>
      <c r="B138"/>
      <c r="C138"/>
      <c r="D138"/>
      <c r="E138"/>
      <c r="F138" s="121">
        <v>43637</v>
      </c>
      <c r="G138" s="53">
        <v>277.61370799999997</v>
      </c>
      <c r="H138" s="53">
        <v>89.096130000000002</v>
      </c>
      <c r="I138" s="122">
        <f t="shared" si="1"/>
        <v>-1.4533352061634197E-3</v>
      </c>
      <c r="J138" s="122">
        <f t="shared" si="1"/>
        <v>0</v>
      </c>
      <c r="K138"/>
      <c r="L138"/>
      <c r="M138"/>
      <c r="N138" s="54"/>
      <c r="O138" s="54"/>
      <c r="P138" s="54"/>
      <c r="Z138"/>
    </row>
    <row r="139" spans="1:26" s="15" customFormat="1" x14ac:dyDescent="0.3">
      <c r="A139" s="17"/>
      <c r="B139"/>
      <c r="C139"/>
      <c r="D139"/>
      <c r="E139"/>
      <c r="F139" s="121">
        <v>43640</v>
      </c>
      <c r="G139" s="53">
        <v>277.27377300000001</v>
      </c>
      <c r="H139" s="53">
        <v>89.105864999999994</v>
      </c>
      <c r="I139" s="122">
        <f t="shared" si="1"/>
        <v>-1.2244892460424595E-3</v>
      </c>
      <c r="J139" s="122">
        <f t="shared" si="1"/>
        <v>1.0926400506949818E-4</v>
      </c>
      <c r="K139"/>
      <c r="L139"/>
      <c r="M139"/>
      <c r="N139" s="54"/>
      <c r="O139" s="54"/>
      <c r="P139" s="54"/>
      <c r="Z139"/>
    </row>
    <row r="140" spans="1:26" s="15" customFormat="1" x14ac:dyDescent="0.3">
      <c r="A140" s="17"/>
      <c r="B140"/>
      <c r="C140"/>
      <c r="D140"/>
      <c r="E140"/>
      <c r="F140" s="121">
        <v>43641</v>
      </c>
      <c r="G140" s="53">
        <v>274.55429099999998</v>
      </c>
      <c r="H140" s="53">
        <v>89.105864999999994</v>
      </c>
      <c r="I140" s="122">
        <f t="shared" si="1"/>
        <v>-9.8079308784824182E-3</v>
      </c>
      <c r="J140" s="122">
        <f t="shared" si="1"/>
        <v>0</v>
      </c>
      <c r="K140"/>
      <c r="L140"/>
      <c r="M140"/>
      <c r="N140" s="54"/>
      <c r="O140" s="54"/>
      <c r="P140" s="54"/>
      <c r="Z140"/>
    </row>
    <row r="141" spans="1:26" s="15" customFormat="1" x14ac:dyDescent="0.3">
      <c r="A141" s="17"/>
      <c r="B141"/>
      <c r="C141"/>
      <c r="D141"/>
      <c r="E141"/>
      <c r="F141" s="121">
        <v>43642</v>
      </c>
      <c r="G141" s="53">
        <v>274.28042599999998</v>
      </c>
      <c r="H141" s="53">
        <v>89.125327999999996</v>
      </c>
      <c r="I141" s="122">
        <f t="shared" si="1"/>
        <v>-9.9748941822219717E-4</v>
      </c>
      <c r="J141" s="122">
        <f t="shared" si="1"/>
        <v>2.1842557726148293E-4</v>
      </c>
      <c r="K141"/>
      <c r="L141"/>
      <c r="M141"/>
      <c r="N141" s="54"/>
      <c r="O141" s="54"/>
      <c r="P141" s="54"/>
      <c r="Z141"/>
    </row>
    <row r="142" spans="1:26" s="15" customFormat="1" x14ac:dyDescent="0.3">
      <c r="A142" s="17"/>
      <c r="B142"/>
      <c r="C142"/>
      <c r="D142"/>
      <c r="E142"/>
      <c r="F142" s="121">
        <v>43643</v>
      </c>
      <c r="G142" s="53">
        <v>275.25302099999999</v>
      </c>
      <c r="H142" s="53">
        <v>89.125327999999996</v>
      </c>
      <c r="I142" s="122">
        <f t="shared" si="1"/>
        <v>3.5459876382137878E-3</v>
      </c>
      <c r="J142" s="122">
        <f t="shared" si="1"/>
        <v>0</v>
      </c>
      <c r="K142"/>
      <c r="L142"/>
      <c r="M142"/>
      <c r="N142" s="54"/>
      <c r="O142" s="54"/>
      <c r="P142" s="54"/>
      <c r="Z142"/>
    </row>
    <row r="143" spans="1:26" s="15" customFormat="1" x14ac:dyDescent="0.3">
      <c r="A143" s="17"/>
      <c r="B143"/>
      <c r="C143"/>
      <c r="D143"/>
      <c r="E143"/>
      <c r="F143" s="121">
        <v>43644</v>
      </c>
      <c r="G143" s="53">
        <v>276.669464</v>
      </c>
      <c r="H143" s="53">
        <v>89.135047999999998</v>
      </c>
      <c r="I143" s="122">
        <f t="shared" si="1"/>
        <v>5.1459671354525671E-3</v>
      </c>
      <c r="J143" s="122">
        <f t="shared" si="1"/>
        <v>1.0905990719045633E-4</v>
      </c>
      <c r="K143"/>
      <c r="L143"/>
      <c r="M143"/>
      <c r="N143" s="54"/>
      <c r="O143" s="54"/>
      <c r="P143" s="54"/>
      <c r="Z143"/>
    </row>
    <row r="144" spans="1:26" s="15" customFormat="1" x14ac:dyDescent="0.3">
      <c r="A144" s="17"/>
      <c r="B144"/>
      <c r="C144"/>
      <c r="D144"/>
      <c r="E144"/>
      <c r="F144" s="121">
        <v>43647</v>
      </c>
      <c r="G144" s="53">
        <v>279.181152</v>
      </c>
      <c r="H144" s="53">
        <v>89.130211000000003</v>
      </c>
      <c r="I144" s="122">
        <f t="shared" si="1"/>
        <v>9.0782985721908904E-3</v>
      </c>
      <c r="J144" s="122">
        <f t="shared" si="1"/>
        <v>-5.4265971786926492E-5</v>
      </c>
      <c r="K144"/>
      <c r="L144"/>
      <c r="M144"/>
      <c r="N144" s="54"/>
      <c r="O144" s="54"/>
      <c r="P144" s="54"/>
      <c r="Z144"/>
    </row>
    <row r="145" spans="1:26" s="15" customFormat="1" x14ac:dyDescent="0.3">
      <c r="A145" s="17"/>
      <c r="B145"/>
      <c r="C145"/>
      <c r="D145"/>
      <c r="E145"/>
      <c r="F145" s="121">
        <v>43648</v>
      </c>
      <c r="G145" s="53">
        <v>279.90823399999999</v>
      </c>
      <c r="H145" s="53">
        <v>89.139938000000001</v>
      </c>
      <c r="I145" s="122">
        <f t="shared" si="1"/>
        <v>2.6043377025681824E-3</v>
      </c>
      <c r="J145" s="122">
        <f t="shared" si="1"/>
        <v>1.0913246912425123E-4</v>
      </c>
      <c r="K145"/>
      <c r="L145"/>
      <c r="M145"/>
      <c r="N145" s="54"/>
      <c r="O145" s="54"/>
      <c r="P145" s="54"/>
      <c r="Z145"/>
    </row>
    <row r="146" spans="1:26" s="15" customFormat="1" x14ac:dyDescent="0.3">
      <c r="A146" s="17"/>
      <c r="B146"/>
      <c r="C146"/>
      <c r="D146"/>
      <c r="E146"/>
      <c r="F146" s="121">
        <v>43649</v>
      </c>
      <c r="G146" s="53">
        <v>282.14605699999998</v>
      </c>
      <c r="H146" s="53">
        <v>89.169182000000006</v>
      </c>
      <c r="I146" s="122">
        <f t="shared" si="1"/>
        <v>7.9948451963010037E-3</v>
      </c>
      <c r="J146" s="122">
        <f t="shared" si="1"/>
        <v>3.2806843549759712E-4</v>
      </c>
      <c r="K146"/>
      <c r="L146"/>
      <c r="M146"/>
      <c r="N146" s="54"/>
      <c r="O146" s="54"/>
      <c r="P146" s="54"/>
      <c r="Z146"/>
    </row>
    <row r="147" spans="1:26" s="15" customFormat="1" x14ac:dyDescent="0.3">
      <c r="A147" s="17"/>
      <c r="B147"/>
      <c r="C147"/>
      <c r="D147"/>
      <c r="E147"/>
      <c r="F147" s="121">
        <v>43651</v>
      </c>
      <c r="G147" s="53">
        <v>281.82510400000001</v>
      </c>
      <c r="H147" s="53">
        <v>89.159415999999993</v>
      </c>
      <c r="I147" s="122">
        <f t="shared" si="1"/>
        <v>-1.1375420355421717E-3</v>
      </c>
      <c r="J147" s="122">
        <f t="shared" si="1"/>
        <v>-1.0952214409698513E-4</v>
      </c>
      <c r="K147"/>
      <c r="L147"/>
      <c r="M147"/>
      <c r="N147" s="54"/>
      <c r="O147" s="54"/>
      <c r="P147" s="54"/>
      <c r="Z147"/>
    </row>
    <row r="148" spans="1:26" s="15" customFormat="1" x14ac:dyDescent="0.3">
      <c r="A148" s="17"/>
      <c r="B148"/>
      <c r="C148"/>
      <c r="D148"/>
      <c r="E148"/>
      <c r="F148" s="121">
        <v>43654</v>
      </c>
      <c r="G148" s="53">
        <v>280.27648900000003</v>
      </c>
      <c r="H148" s="53">
        <v>89.159415999999993</v>
      </c>
      <c r="I148" s="122">
        <f t="shared" si="1"/>
        <v>-5.4949505137057431E-3</v>
      </c>
      <c r="J148" s="122">
        <f t="shared" si="1"/>
        <v>0</v>
      </c>
      <c r="K148"/>
      <c r="L148"/>
      <c r="M148"/>
      <c r="N148" s="54"/>
      <c r="O148" s="54"/>
      <c r="P148" s="54"/>
      <c r="Z148"/>
    </row>
    <row r="149" spans="1:26" s="15" customFormat="1" x14ac:dyDescent="0.3">
      <c r="A149" s="17"/>
      <c r="B149"/>
      <c r="C149"/>
      <c r="D149"/>
      <c r="E149"/>
      <c r="F149" s="121">
        <v>43655</v>
      </c>
      <c r="G149" s="53">
        <v>280.625854</v>
      </c>
      <c r="H149" s="53">
        <v>89.169182000000006</v>
      </c>
      <c r="I149" s="122">
        <f t="shared" ref="I149:J212" si="2">G149/G148-1</f>
        <v>1.2465012718207991E-3</v>
      </c>
      <c r="J149" s="122">
        <f t="shared" si="2"/>
        <v>1.0953414051084742E-4</v>
      </c>
      <c r="K149"/>
      <c r="L149"/>
      <c r="M149"/>
      <c r="N149" s="54"/>
      <c r="O149" s="54"/>
      <c r="P149" s="54"/>
      <c r="Z149"/>
    </row>
    <row r="150" spans="1:26" s="15" customFormat="1" x14ac:dyDescent="0.3">
      <c r="A150" s="17"/>
      <c r="B150"/>
      <c r="C150"/>
      <c r="D150"/>
      <c r="E150"/>
      <c r="F150" s="121">
        <v>43656</v>
      </c>
      <c r="G150" s="53">
        <v>281.96673600000003</v>
      </c>
      <c r="H150" s="53">
        <v>89.178932000000003</v>
      </c>
      <c r="I150" s="122">
        <f t="shared" si="2"/>
        <v>4.7781841226932631E-3</v>
      </c>
      <c r="J150" s="122">
        <f t="shared" si="2"/>
        <v>1.0934270990614614E-4</v>
      </c>
      <c r="K150"/>
      <c r="L150"/>
      <c r="M150"/>
      <c r="N150" s="54"/>
      <c r="O150" s="54"/>
      <c r="P150" s="54"/>
      <c r="Z150"/>
    </row>
    <row r="151" spans="1:26" s="15" customFormat="1" x14ac:dyDescent="0.3">
      <c r="A151" s="17"/>
      <c r="B151"/>
      <c r="C151"/>
      <c r="D151"/>
      <c r="E151"/>
      <c r="F151" s="121">
        <v>43657</v>
      </c>
      <c r="G151" s="53">
        <v>282.627655</v>
      </c>
      <c r="H151" s="53">
        <v>89.198409999999996</v>
      </c>
      <c r="I151" s="122">
        <f t="shared" si="2"/>
        <v>2.3439608848043747E-3</v>
      </c>
      <c r="J151" s="122">
        <f t="shared" si="2"/>
        <v>2.1841481573248167E-4</v>
      </c>
      <c r="K151"/>
      <c r="L151"/>
      <c r="M151"/>
      <c r="N151" s="54"/>
      <c r="O151" s="54"/>
      <c r="P151" s="54"/>
      <c r="Z151"/>
    </row>
    <row r="152" spans="1:26" s="15" customFormat="1" x14ac:dyDescent="0.3">
      <c r="A152" s="17"/>
      <c r="B152"/>
      <c r="C152"/>
      <c r="D152"/>
      <c r="E152"/>
      <c r="F152" s="121">
        <v>43658</v>
      </c>
      <c r="G152" s="53">
        <v>283.89306599999998</v>
      </c>
      <c r="H152" s="53">
        <v>89.208175999999995</v>
      </c>
      <c r="I152" s="122">
        <f t="shared" si="2"/>
        <v>4.477307785043072E-3</v>
      </c>
      <c r="J152" s="122">
        <f t="shared" si="2"/>
        <v>1.0948625653761646E-4</v>
      </c>
      <c r="K152"/>
      <c r="L152"/>
      <c r="M152"/>
      <c r="N152" s="54"/>
      <c r="O152" s="54"/>
      <c r="P152" s="54"/>
      <c r="Z152"/>
    </row>
    <row r="153" spans="1:26" s="15" customFormat="1" x14ac:dyDescent="0.3">
      <c r="A153" s="17"/>
      <c r="B153"/>
      <c r="C153"/>
      <c r="D153"/>
      <c r="E153"/>
      <c r="F153" s="121">
        <v>43661</v>
      </c>
      <c r="G153" s="53">
        <v>283.98748799999998</v>
      </c>
      <c r="H153" s="53">
        <v>89.208175999999995</v>
      </c>
      <c r="I153" s="122">
        <f t="shared" si="2"/>
        <v>3.3259706314914261E-4</v>
      </c>
      <c r="J153" s="122">
        <f t="shared" si="2"/>
        <v>0</v>
      </c>
      <c r="K153"/>
      <c r="L153"/>
      <c r="M153"/>
      <c r="N153" s="54"/>
      <c r="O153" s="54"/>
      <c r="P153" s="54"/>
      <c r="Z153"/>
    </row>
    <row r="154" spans="1:26" s="15" customFormat="1" x14ac:dyDescent="0.3">
      <c r="A154" s="17"/>
      <c r="B154"/>
      <c r="C154"/>
      <c r="D154"/>
      <c r="E154"/>
      <c r="F154" s="121">
        <v>43662</v>
      </c>
      <c r="G154" s="53">
        <v>283.07153299999999</v>
      </c>
      <c r="H154" s="53">
        <v>89.217934</v>
      </c>
      <c r="I154" s="122">
        <f t="shared" si="2"/>
        <v>-3.2253357584542952E-3</v>
      </c>
      <c r="J154" s="122">
        <f t="shared" si="2"/>
        <v>1.0938459273068801E-4</v>
      </c>
      <c r="K154"/>
      <c r="L154"/>
      <c r="M154"/>
      <c r="N154" s="54"/>
      <c r="O154" s="54"/>
      <c r="P154" s="54"/>
      <c r="Z154"/>
    </row>
    <row r="155" spans="1:26" s="15" customFormat="1" x14ac:dyDescent="0.3">
      <c r="A155" s="17"/>
      <c r="B155"/>
      <c r="C155"/>
      <c r="D155"/>
      <c r="E155"/>
      <c r="F155" s="121">
        <v>43663</v>
      </c>
      <c r="G155" s="53">
        <v>281.14520299999998</v>
      </c>
      <c r="H155" s="53">
        <v>89.217934</v>
      </c>
      <c r="I155" s="122">
        <f t="shared" si="2"/>
        <v>-6.8050996848206813E-3</v>
      </c>
      <c r="J155" s="122">
        <f t="shared" si="2"/>
        <v>0</v>
      </c>
      <c r="K155"/>
      <c r="L155"/>
      <c r="M155"/>
      <c r="N155" s="54"/>
      <c r="O155" s="54"/>
      <c r="P155" s="54"/>
      <c r="Z155"/>
    </row>
    <row r="156" spans="1:26" s="15" customFormat="1" x14ac:dyDescent="0.3">
      <c r="A156" s="17"/>
      <c r="B156"/>
      <c r="C156"/>
      <c r="D156"/>
      <c r="E156"/>
      <c r="F156" s="121">
        <v>43664</v>
      </c>
      <c r="G156" s="53">
        <v>282.17446899999999</v>
      </c>
      <c r="H156" s="53">
        <v>89.247153999999995</v>
      </c>
      <c r="I156" s="122">
        <f t="shared" si="2"/>
        <v>3.6609765666177907E-3</v>
      </c>
      <c r="J156" s="122">
        <f t="shared" si="2"/>
        <v>3.2751262767405365E-4</v>
      </c>
      <c r="K156"/>
      <c r="L156"/>
      <c r="M156"/>
      <c r="N156" s="54"/>
      <c r="O156" s="54"/>
      <c r="P156" s="54"/>
      <c r="Z156"/>
    </row>
    <row r="157" spans="1:26" s="15" customFormat="1" x14ac:dyDescent="0.3">
      <c r="A157" s="17"/>
      <c r="B157"/>
      <c r="C157"/>
      <c r="D157"/>
      <c r="E157"/>
      <c r="F157" s="121">
        <v>43665</v>
      </c>
      <c r="G157" s="53">
        <v>280.60699499999998</v>
      </c>
      <c r="H157" s="53">
        <v>89.247153999999995</v>
      </c>
      <c r="I157" s="122">
        <f t="shared" si="2"/>
        <v>-5.5549816592371792E-3</v>
      </c>
      <c r="J157" s="122">
        <f t="shared" si="2"/>
        <v>0</v>
      </c>
      <c r="K157"/>
      <c r="L157"/>
      <c r="M157"/>
      <c r="N157" s="54"/>
      <c r="O157" s="54"/>
      <c r="P157" s="54"/>
      <c r="Z157"/>
    </row>
    <row r="158" spans="1:26" s="15" customFormat="1" x14ac:dyDescent="0.3">
      <c r="A158" s="17"/>
      <c r="B158"/>
      <c r="C158"/>
      <c r="D158"/>
      <c r="E158"/>
      <c r="F158" s="121">
        <v>43668</v>
      </c>
      <c r="G158" s="53">
        <v>281.29629499999999</v>
      </c>
      <c r="H158" s="53">
        <v>89.247153999999995</v>
      </c>
      <c r="I158" s="122">
        <f t="shared" si="2"/>
        <v>2.4564605027042052E-3</v>
      </c>
      <c r="J158" s="122">
        <f t="shared" si="2"/>
        <v>0</v>
      </c>
      <c r="K158"/>
      <c r="L158"/>
      <c r="M158"/>
      <c r="N158" s="54"/>
      <c r="O158" s="54"/>
      <c r="P158" s="54"/>
      <c r="Z158"/>
    </row>
    <row r="159" spans="1:26" s="15" customFormat="1" x14ac:dyDescent="0.3">
      <c r="A159" s="17"/>
      <c r="B159"/>
      <c r="C159"/>
      <c r="D159"/>
      <c r="E159"/>
      <c r="F159" s="121">
        <v>43669</v>
      </c>
      <c r="G159" s="53">
        <v>283.30755599999998</v>
      </c>
      <c r="H159" s="53">
        <v>89.237426999999997</v>
      </c>
      <c r="I159" s="122">
        <f t="shared" si="2"/>
        <v>7.149973304838575E-3</v>
      </c>
      <c r="J159" s="122">
        <f t="shared" si="2"/>
        <v>-1.0898946984905233E-4</v>
      </c>
      <c r="K159"/>
      <c r="L159"/>
      <c r="M159"/>
      <c r="N159" s="54"/>
      <c r="O159" s="54"/>
      <c r="P159" s="54"/>
      <c r="Z159"/>
    </row>
    <row r="160" spans="1:26" s="15" customFormat="1" x14ac:dyDescent="0.3">
      <c r="A160" s="17"/>
      <c r="B160"/>
      <c r="C160"/>
      <c r="D160"/>
      <c r="E160"/>
      <c r="F160" s="121">
        <v>43670</v>
      </c>
      <c r="G160" s="53">
        <v>284.63897700000001</v>
      </c>
      <c r="H160" s="53">
        <v>89.256889000000001</v>
      </c>
      <c r="I160" s="122">
        <f t="shared" si="2"/>
        <v>4.6995605016622033E-3</v>
      </c>
      <c r="J160" s="122">
        <f t="shared" si="2"/>
        <v>2.1809234818026546E-4</v>
      </c>
      <c r="K160"/>
      <c r="L160"/>
      <c r="M160"/>
      <c r="N160" s="54"/>
      <c r="O160" s="54"/>
      <c r="P160" s="54"/>
      <c r="Z160"/>
    </row>
    <row r="161" spans="1:26" s="15" customFormat="1" x14ac:dyDescent="0.3">
      <c r="A161" s="17"/>
      <c r="B161"/>
      <c r="C161"/>
      <c r="D161"/>
      <c r="E161"/>
      <c r="F161" s="121">
        <v>43671</v>
      </c>
      <c r="G161" s="53">
        <v>283.27926600000001</v>
      </c>
      <c r="H161" s="53">
        <v>89.276381999999998</v>
      </c>
      <c r="I161" s="122">
        <f t="shared" si="2"/>
        <v>-4.7769669998497521E-3</v>
      </c>
      <c r="J161" s="122">
        <f t="shared" si="2"/>
        <v>2.1839210640650641E-4</v>
      </c>
      <c r="K161"/>
      <c r="L161"/>
      <c r="M161"/>
      <c r="N161" s="54"/>
      <c r="O161" s="54"/>
      <c r="P161" s="54"/>
      <c r="Z161"/>
    </row>
    <row r="162" spans="1:26" s="15" customFormat="1" x14ac:dyDescent="0.3">
      <c r="A162" s="17"/>
      <c r="B162"/>
      <c r="C162"/>
      <c r="D162"/>
      <c r="E162"/>
      <c r="F162" s="121">
        <v>43672</v>
      </c>
      <c r="G162" s="53">
        <v>285.17721599999999</v>
      </c>
      <c r="H162" s="53">
        <v>89.266655</v>
      </c>
      <c r="I162" s="122">
        <f t="shared" si="2"/>
        <v>6.6999255780335609E-3</v>
      </c>
      <c r="J162" s="122">
        <f t="shared" si="2"/>
        <v>-1.0895378802422417E-4</v>
      </c>
      <c r="K162"/>
      <c r="L162"/>
      <c r="M162"/>
      <c r="N162" s="54"/>
      <c r="O162" s="54"/>
      <c r="P162" s="54"/>
      <c r="Z162"/>
    </row>
    <row r="163" spans="1:26" s="15" customFormat="1" x14ac:dyDescent="0.3">
      <c r="A163" s="17"/>
      <c r="B163"/>
      <c r="C163"/>
      <c r="D163"/>
      <c r="E163"/>
      <c r="F163" s="121">
        <v>43675</v>
      </c>
      <c r="G163" s="53">
        <v>284.65789799999999</v>
      </c>
      <c r="H163" s="53">
        <v>89.286140000000003</v>
      </c>
      <c r="I163" s="122">
        <f t="shared" si="2"/>
        <v>-1.8210360816482973E-3</v>
      </c>
      <c r="J163" s="122">
        <f t="shared" si="2"/>
        <v>2.1827859462186794E-4</v>
      </c>
      <c r="K163"/>
      <c r="L163"/>
      <c r="M163"/>
      <c r="N163" s="54"/>
      <c r="O163" s="54"/>
      <c r="P163" s="54"/>
      <c r="Z163"/>
    </row>
    <row r="164" spans="1:26" s="15" customFormat="1" x14ac:dyDescent="0.3">
      <c r="A164" s="17"/>
      <c r="B164"/>
      <c r="C164"/>
      <c r="D164"/>
      <c r="E164"/>
      <c r="F164" s="121">
        <v>43676</v>
      </c>
      <c r="G164" s="53">
        <v>283.959137</v>
      </c>
      <c r="H164" s="53">
        <v>89.286140000000003</v>
      </c>
      <c r="I164" s="122">
        <f t="shared" si="2"/>
        <v>-2.4547395484526557E-3</v>
      </c>
      <c r="J164" s="122">
        <f t="shared" si="2"/>
        <v>0</v>
      </c>
      <c r="K164"/>
      <c r="L164"/>
      <c r="M164"/>
      <c r="N164" s="54"/>
      <c r="O164" s="54"/>
      <c r="P164" s="54"/>
      <c r="Z164"/>
    </row>
    <row r="165" spans="1:26" s="15" customFormat="1" x14ac:dyDescent="0.3">
      <c r="A165" s="17"/>
      <c r="B165"/>
      <c r="C165"/>
      <c r="D165"/>
      <c r="E165"/>
      <c r="F165" s="121">
        <v>43677</v>
      </c>
      <c r="G165" s="53">
        <v>280.852509</v>
      </c>
      <c r="H165" s="53">
        <v>89.295876000000007</v>
      </c>
      <c r="I165" s="122">
        <f t="shared" si="2"/>
        <v>-1.0940405133010422E-2</v>
      </c>
      <c r="J165" s="122">
        <f t="shared" si="2"/>
        <v>1.0904268008449236E-4</v>
      </c>
      <c r="K165"/>
      <c r="L165"/>
      <c r="M165"/>
      <c r="N165" s="54"/>
      <c r="O165" s="54"/>
      <c r="P165" s="54"/>
      <c r="Z165"/>
    </row>
    <row r="166" spans="1:26" s="15" customFormat="1" x14ac:dyDescent="0.3">
      <c r="A166" s="17"/>
      <c r="B166"/>
      <c r="C166"/>
      <c r="D166"/>
      <c r="E166"/>
      <c r="F166" s="121">
        <v>43678</v>
      </c>
      <c r="G166" s="53">
        <v>278.40683000000001</v>
      </c>
      <c r="H166" s="53">
        <v>89.320312999999999</v>
      </c>
      <c r="I166" s="122">
        <f t="shared" si="2"/>
        <v>-8.7080546608183651E-3</v>
      </c>
      <c r="J166" s="122">
        <f t="shared" si="2"/>
        <v>2.7366325405653313E-4</v>
      </c>
      <c r="K166"/>
      <c r="L166"/>
      <c r="M166"/>
      <c r="N166" s="54"/>
      <c r="O166" s="54"/>
      <c r="P166" s="54"/>
      <c r="Z166"/>
    </row>
    <row r="167" spans="1:26" s="15" customFormat="1" x14ac:dyDescent="0.3">
      <c r="A167" s="17"/>
      <c r="B167"/>
      <c r="C167"/>
      <c r="D167"/>
      <c r="E167"/>
      <c r="F167" s="121">
        <v>43679</v>
      </c>
      <c r="G167" s="53">
        <v>276.31057700000002</v>
      </c>
      <c r="H167" s="53">
        <v>89.320312999999999</v>
      </c>
      <c r="I167" s="122">
        <f t="shared" si="2"/>
        <v>-7.5294596759712951E-3</v>
      </c>
      <c r="J167" s="122">
        <f t="shared" si="2"/>
        <v>0</v>
      </c>
      <c r="K167"/>
      <c r="L167"/>
      <c r="M167"/>
      <c r="N167" s="54"/>
      <c r="O167" s="54"/>
      <c r="P167" s="54"/>
      <c r="Z167"/>
    </row>
    <row r="168" spans="1:26" s="15" customFormat="1" x14ac:dyDescent="0.3">
      <c r="A168" s="17"/>
      <c r="B168"/>
      <c r="C168"/>
      <c r="D168"/>
      <c r="E168"/>
      <c r="F168" s="121">
        <v>43682</v>
      </c>
      <c r="G168" s="53">
        <v>268.00100700000002</v>
      </c>
      <c r="H168" s="53">
        <v>89.310531999999995</v>
      </c>
      <c r="I168" s="122">
        <f t="shared" si="2"/>
        <v>-3.0073296832209273E-2</v>
      </c>
      <c r="J168" s="122">
        <f t="shared" si="2"/>
        <v>-1.0950476628990291E-4</v>
      </c>
      <c r="K168"/>
      <c r="L168"/>
      <c r="M168"/>
      <c r="N168" s="54"/>
      <c r="O168" s="54"/>
      <c r="P168" s="54"/>
      <c r="Z168"/>
    </row>
    <row r="169" spans="1:26" s="15" customFormat="1" x14ac:dyDescent="0.3">
      <c r="A169" s="17"/>
      <c r="B169"/>
      <c r="C169"/>
      <c r="D169"/>
      <c r="E169"/>
      <c r="F169" s="121">
        <v>43683</v>
      </c>
      <c r="G169" s="53">
        <v>271.75924700000002</v>
      </c>
      <c r="H169" s="53">
        <v>89.320312999999999</v>
      </c>
      <c r="I169" s="122">
        <f t="shared" si="2"/>
        <v>1.4023230890322758E-2</v>
      </c>
      <c r="J169" s="122">
        <f t="shared" si="2"/>
        <v>1.0951675889692147E-4</v>
      </c>
      <c r="K169"/>
      <c r="L169"/>
      <c r="M169"/>
      <c r="N169" s="54"/>
      <c r="O169" s="54"/>
      <c r="P169" s="54"/>
      <c r="Z169"/>
    </row>
    <row r="170" spans="1:26" s="15" customFormat="1" x14ac:dyDescent="0.3">
      <c r="A170" s="17"/>
      <c r="B170"/>
      <c r="C170"/>
      <c r="D170"/>
      <c r="E170"/>
      <c r="F170" s="121">
        <v>43684</v>
      </c>
      <c r="G170" s="53">
        <v>271.91970800000001</v>
      </c>
      <c r="H170" s="53">
        <v>89.339827999999997</v>
      </c>
      <c r="I170" s="122">
        <f t="shared" si="2"/>
        <v>5.9045276939562186E-4</v>
      </c>
      <c r="J170" s="122">
        <f t="shared" si="2"/>
        <v>2.1848333648355478E-4</v>
      </c>
      <c r="K170"/>
      <c r="L170"/>
      <c r="M170"/>
      <c r="N170" s="54"/>
      <c r="O170" s="54"/>
      <c r="P170" s="54"/>
      <c r="Z170"/>
    </row>
    <row r="171" spans="1:26" s="15" customFormat="1" x14ac:dyDescent="0.3">
      <c r="A171" s="17"/>
      <c r="B171"/>
      <c r="C171"/>
      <c r="D171"/>
      <c r="E171"/>
      <c r="F171" s="121">
        <v>43685</v>
      </c>
      <c r="G171" s="53">
        <v>277.25491299999999</v>
      </c>
      <c r="H171" s="53">
        <v>89.349586000000002</v>
      </c>
      <c r="I171" s="122">
        <f t="shared" si="2"/>
        <v>1.9620516067926808E-2</v>
      </c>
      <c r="J171" s="122">
        <f t="shared" si="2"/>
        <v>1.0922340257923935E-4</v>
      </c>
      <c r="K171"/>
      <c r="L171"/>
      <c r="M171"/>
      <c r="N171" s="54"/>
      <c r="O171" s="54"/>
      <c r="P171" s="54"/>
      <c r="Z171"/>
    </row>
    <row r="172" spans="1:26" s="15" customFormat="1" x14ac:dyDescent="0.3">
      <c r="A172" s="17"/>
      <c r="B172"/>
      <c r="C172"/>
      <c r="D172"/>
      <c r="E172"/>
      <c r="F172" s="121">
        <v>43686</v>
      </c>
      <c r="G172" s="53">
        <v>275.366333</v>
      </c>
      <c r="H172" s="53">
        <v>89.339827999999997</v>
      </c>
      <c r="I172" s="122">
        <f t="shared" si="2"/>
        <v>-6.8117097712169228E-3</v>
      </c>
      <c r="J172" s="122">
        <f t="shared" si="2"/>
        <v>-1.0921147413045507E-4</v>
      </c>
      <c r="K172"/>
      <c r="L172"/>
      <c r="M172"/>
      <c r="N172" s="54"/>
      <c r="O172" s="54"/>
      <c r="P172" s="54"/>
      <c r="Z172"/>
    </row>
    <row r="173" spans="1:26" s="15" customFormat="1" x14ac:dyDescent="0.3">
      <c r="A173" s="17"/>
      <c r="B173"/>
      <c r="C173"/>
      <c r="D173"/>
      <c r="E173"/>
      <c r="F173" s="121">
        <v>43689</v>
      </c>
      <c r="G173" s="53">
        <v>272.01416</v>
      </c>
      <c r="H173" s="53">
        <v>89.359367000000006</v>
      </c>
      <c r="I173" s="122">
        <f t="shared" si="2"/>
        <v>-1.2173503432607369E-2</v>
      </c>
      <c r="J173" s="122">
        <f t="shared" si="2"/>
        <v>2.1870424912839859E-4</v>
      </c>
      <c r="K173"/>
      <c r="L173"/>
      <c r="M173"/>
      <c r="N173" s="54"/>
      <c r="O173" s="54"/>
      <c r="P173" s="54"/>
      <c r="Z173"/>
    </row>
    <row r="174" spans="1:26" s="15" customFormat="1" x14ac:dyDescent="0.3">
      <c r="A174" s="17"/>
      <c r="B174"/>
      <c r="C174"/>
      <c r="D174"/>
      <c r="E174"/>
      <c r="F174" s="121">
        <v>43690</v>
      </c>
      <c r="G174" s="53">
        <v>276.244415</v>
      </c>
      <c r="H174" s="53">
        <v>89.369140999999999</v>
      </c>
      <c r="I174" s="122">
        <f t="shared" si="2"/>
        <v>1.5551598490313845E-2</v>
      </c>
      <c r="J174" s="122">
        <f t="shared" si="2"/>
        <v>1.0937857247794724E-4</v>
      </c>
      <c r="K174"/>
      <c r="L174"/>
      <c r="M174"/>
      <c r="N174" s="54"/>
      <c r="O174" s="54"/>
      <c r="P174" s="54"/>
      <c r="Z174"/>
    </row>
    <row r="175" spans="1:26" s="15" customFormat="1" x14ac:dyDescent="0.3">
      <c r="A175" s="17"/>
      <c r="B175"/>
      <c r="C175"/>
      <c r="D175"/>
      <c r="E175"/>
      <c r="F175" s="121">
        <v>43691</v>
      </c>
      <c r="G175" s="53">
        <v>268.07656900000001</v>
      </c>
      <c r="H175" s="53">
        <v>89.359367000000006</v>
      </c>
      <c r="I175" s="122">
        <f t="shared" si="2"/>
        <v>-2.956746111953068E-2</v>
      </c>
      <c r="J175" s="122">
        <f t="shared" si="2"/>
        <v>-1.0936661011429205E-4</v>
      </c>
      <c r="K175"/>
      <c r="L175"/>
      <c r="M175"/>
      <c r="N175" s="54"/>
      <c r="O175" s="54"/>
      <c r="P175" s="54"/>
      <c r="Z175"/>
    </row>
    <row r="176" spans="1:26" s="15" customFormat="1" x14ac:dyDescent="0.3">
      <c r="A176" s="17"/>
      <c r="B176"/>
      <c r="C176"/>
      <c r="D176"/>
      <c r="E176"/>
      <c r="F176" s="121">
        <v>43692</v>
      </c>
      <c r="G176" s="53">
        <v>268.78478999999999</v>
      </c>
      <c r="H176" s="53">
        <v>89.398398999999998</v>
      </c>
      <c r="I176" s="122">
        <f t="shared" si="2"/>
        <v>2.6418608781879627E-3</v>
      </c>
      <c r="J176" s="122">
        <f t="shared" si="2"/>
        <v>4.3679808072050186E-4</v>
      </c>
      <c r="K176"/>
      <c r="L176"/>
      <c r="M176"/>
      <c r="N176" s="54"/>
      <c r="O176" s="54"/>
      <c r="P176" s="54"/>
      <c r="Z176"/>
    </row>
    <row r="177" spans="1:26" s="15" customFormat="1" x14ac:dyDescent="0.3">
      <c r="A177" s="17"/>
      <c r="B177"/>
      <c r="C177"/>
      <c r="D177"/>
      <c r="E177"/>
      <c r="F177" s="121">
        <v>43693</v>
      </c>
      <c r="G177" s="53">
        <v>272.75070199999999</v>
      </c>
      <c r="H177" s="53">
        <v>89.388656999999995</v>
      </c>
      <c r="I177" s="122">
        <f t="shared" si="2"/>
        <v>1.4754971812207085E-2</v>
      </c>
      <c r="J177" s="122">
        <f t="shared" si="2"/>
        <v>-1.089728687423408E-4</v>
      </c>
      <c r="K177"/>
      <c r="L177"/>
      <c r="M177"/>
      <c r="N177" s="54"/>
      <c r="O177" s="54"/>
      <c r="P177" s="54"/>
      <c r="Z177"/>
    </row>
    <row r="178" spans="1:26" s="15" customFormat="1" x14ac:dyDescent="0.3">
      <c r="A178" s="17"/>
      <c r="B178"/>
      <c r="C178"/>
      <c r="D178"/>
      <c r="E178"/>
      <c r="F178" s="121">
        <v>43696</v>
      </c>
      <c r="G178" s="53">
        <v>276.03668199999998</v>
      </c>
      <c r="H178" s="53">
        <v>89.388656999999995</v>
      </c>
      <c r="I178" s="122">
        <f t="shared" si="2"/>
        <v>1.2047558359721489E-2</v>
      </c>
      <c r="J178" s="122">
        <f t="shared" si="2"/>
        <v>0</v>
      </c>
      <c r="K178"/>
      <c r="L178"/>
      <c r="M178"/>
      <c r="N178" s="54"/>
      <c r="O178" s="54"/>
      <c r="P178" s="54"/>
      <c r="Z178"/>
    </row>
    <row r="179" spans="1:26" s="15" customFormat="1" x14ac:dyDescent="0.3">
      <c r="A179" s="17"/>
      <c r="B179"/>
      <c r="C179"/>
      <c r="D179"/>
      <c r="E179"/>
      <c r="F179" s="121">
        <v>43697</v>
      </c>
      <c r="G179" s="53">
        <v>273.92156999999997</v>
      </c>
      <c r="H179" s="53">
        <v>89.398398999999998</v>
      </c>
      <c r="I179" s="122">
        <f t="shared" si="2"/>
        <v>-7.6624308938766372E-3</v>
      </c>
      <c r="J179" s="122">
        <f t="shared" si="2"/>
        <v>1.0898474512277545E-4</v>
      </c>
      <c r="K179"/>
      <c r="L179"/>
      <c r="M179"/>
      <c r="N179" s="54"/>
      <c r="O179" s="54"/>
      <c r="P179" s="54"/>
      <c r="Z179"/>
    </row>
    <row r="180" spans="1:26" s="15" customFormat="1" x14ac:dyDescent="0.3">
      <c r="A180" s="17"/>
      <c r="B180"/>
      <c r="C180"/>
      <c r="D180"/>
      <c r="E180"/>
      <c r="F180" s="121">
        <v>43698</v>
      </c>
      <c r="G180" s="53">
        <v>276.15011600000003</v>
      </c>
      <c r="H180" s="53">
        <v>89.388656999999995</v>
      </c>
      <c r="I180" s="122">
        <f t="shared" si="2"/>
        <v>8.1357083343238656E-3</v>
      </c>
      <c r="J180" s="122">
        <f t="shared" si="2"/>
        <v>-1.089728687423408E-4</v>
      </c>
      <c r="K180"/>
      <c r="L180"/>
      <c r="M180"/>
      <c r="N180" s="54"/>
      <c r="O180" s="54"/>
      <c r="P180" s="54"/>
      <c r="Z180"/>
    </row>
    <row r="181" spans="1:26" s="15" customFormat="1" x14ac:dyDescent="0.3">
      <c r="A181" s="17"/>
      <c r="B181"/>
      <c r="C181"/>
      <c r="D181"/>
      <c r="E181"/>
      <c r="F181" s="121">
        <v>43699</v>
      </c>
      <c r="G181" s="53">
        <v>276.06506300000001</v>
      </c>
      <c r="H181" s="53">
        <v>89.417946000000001</v>
      </c>
      <c r="I181" s="122">
        <f t="shared" si="2"/>
        <v>-3.0799552515858863E-4</v>
      </c>
      <c r="J181" s="122">
        <f t="shared" si="2"/>
        <v>3.2765902277742676E-4</v>
      </c>
      <c r="K181"/>
      <c r="L181"/>
      <c r="M181"/>
      <c r="N181" s="54"/>
      <c r="O181" s="54"/>
      <c r="P181" s="54"/>
      <c r="Z181"/>
    </row>
    <row r="182" spans="1:26" s="15" customFormat="1" x14ac:dyDescent="0.3">
      <c r="A182" s="17"/>
      <c r="B182"/>
      <c r="C182"/>
      <c r="D182"/>
      <c r="E182"/>
      <c r="F182" s="121">
        <v>43700</v>
      </c>
      <c r="G182" s="53">
        <v>268.97363300000001</v>
      </c>
      <c r="H182" s="53">
        <v>89.408173000000005</v>
      </c>
      <c r="I182" s="122">
        <f t="shared" si="2"/>
        <v>-2.5687531493255311E-2</v>
      </c>
      <c r="J182" s="122">
        <f t="shared" si="2"/>
        <v>-1.0929573354323541E-4</v>
      </c>
      <c r="K182"/>
      <c r="L182"/>
      <c r="M182"/>
      <c r="N182" s="54"/>
      <c r="O182" s="54"/>
      <c r="P182" s="54"/>
      <c r="Z182"/>
    </row>
    <row r="183" spans="1:26" s="15" customFormat="1" x14ac:dyDescent="0.3">
      <c r="A183" s="17"/>
      <c r="B183"/>
      <c r="C183"/>
      <c r="D183"/>
      <c r="E183"/>
      <c r="F183" s="121">
        <v>43703</v>
      </c>
      <c r="G183" s="53">
        <v>271.94802900000002</v>
      </c>
      <c r="H183" s="53">
        <v>89.417946000000001</v>
      </c>
      <c r="I183" s="122">
        <f t="shared" si="2"/>
        <v>1.1058318121464294E-2</v>
      </c>
      <c r="J183" s="122">
        <f t="shared" si="2"/>
        <v>1.0930768040640082E-4</v>
      </c>
      <c r="K183"/>
      <c r="L183"/>
      <c r="M183"/>
      <c r="N183" s="54"/>
      <c r="O183" s="54"/>
      <c r="P183" s="54"/>
      <c r="Z183"/>
    </row>
    <row r="184" spans="1:26" s="15" customFormat="1" x14ac:dyDescent="0.3">
      <c r="A184" s="17"/>
      <c r="B184"/>
      <c r="C184"/>
      <c r="D184"/>
      <c r="E184"/>
      <c r="F184" s="121">
        <v>43704</v>
      </c>
      <c r="G184" s="53">
        <v>270.88110399999999</v>
      </c>
      <c r="H184" s="53">
        <v>89.427689000000001</v>
      </c>
      <c r="I184" s="122">
        <f t="shared" si="2"/>
        <v>-3.9232680005929499E-3</v>
      </c>
      <c r="J184" s="122">
        <f t="shared" si="2"/>
        <v>1.0896023042183955E-4</v>
      </c>
      <c r="K184"/>
      <c r="L184"/>
      <c r="M184"/>
      <c r="N184" s="54"/>
      <c r="O184" s="54"/>
      <c r="P184" s="54"/>
      <c r="Z184"/>
    </row>
    <row r="185" spans="1:26" s="15" customFormat="1" x14ac:dyDescent="0.3">
      <c r="A185" s="17"/>
      <c r="B185"/>
      <c r="C185"/>
      <c r="D185"/>
      <c r="E185"/>
      <c r="F185" s="121">
        <v>43705</v>
      </c>
      <c r="G185" s="53">
        <v>272.78851300000002</v>
      </c>
      <c r="H185" s="53">
        <v>89.417946000000001</v>
      </c>
      <c r="I185" s="122">
        <f t="shared" si="2"/>
        <v>7.0414989153324559E-3</v>
      </c>
      <c r="J185" s="122">
        <f t="shared" si="2"/>
        <v>-1.0894835938346503E-4</v>
      </c>
      <c r="K185"/>
      <c r="L185"/>
      <c r="M185"/>
      <c r="N185" s="54"/>
      <c r="O185" s="54"/>
      <c r="P185" s="54"/>
      <c r="Z185"/>
    </row>
    <row r="186" spans="1:26" s="15" customFormat="1" x14ac:dyDescent="0.3">
      <c r="A186" s="17"/>
      <c r="B186"/>
      <c r="C186"/>
      <c r="D186"/>
      <c r="E186"/>
      <c r="F186" s="121">
        <v>43706</v>
      </c>
      <c r="G186" s="53">
        <v>276.27279700000003</v>
      </c>
      <c r="H186" s="53">
        <v>89.437461999999996</v>
      </c>
      <c r="I186" s="122">
        <f t="shared" si="2"/>
        <v>1.2772839888606224E-2</v>
      </c>
      <c r="J186" s="122">
        <f t="shared" si="2"/>
        <v>2.1825596396496394E-4</v>
      </c>
      <c r="K186"/>
      <c r="L186"/>
      <c r="M186"/>
      <c r="N186" s="54"/>
      <c r="O186" s="54"/>
      <c r="P186" s="54"/>
      <c r="Z186"/>
    </row>
    <row r="187" spans="1:26" s="15" customFormat="1" x14ac:dyDescent="0.3">
      <c r="A187" s="17"/>
      <c r="B187"/>
      <c r="C187"/>
      <c r="D187"/>
      <c r="E187"/>
      <c r="F187" s="121">
        <v>43707</v>
      </c>
      <c r="G187" s="53">
        <v>276.15011600000003</v>
      </c>
      <c r="H187" s="53">
        <v>89.447211999999993</v>
      </c>
      <c r="I187" s="122">
        <f t="shared" si="2"/>
        <v>-4.4405747265807705E-4</v>
      </c>
      <c r="J187" s="122">
        <f t="shared" si="2"/>
        <v>1.0901472137025969E-4</v>
      </c>
      <c r="K187"/>
      <c r="L187"/>
      <c r="M187"/>
      <c r="N187" s="54"/>
      <c r="O187" s="54"/>
      <c r="P187" s="54"/>
      <c r="Z187"/>
    </row>
    <row r="188" spans="1:26" s="15" customFormat="1" x14ac:dyDescent="0.3">
      <c r="A188" s="17"/>
      <c r="B188"/>
      <c r="C188"/>
      <c r="D188"/>
      <c r="E188"/>
      <c r="F188" s="121">
        <v>43711</v>
      </c>
      <c r="G188" s="53">
        <v>274.53533900000002</v>
      </c>
      <c r="H188" s="53">
        <v>89.464850999999996</v>
      </c>
      <c r="I188" s="122">
        <f t="shared" si="2"/>
        <v>-5.8474608788504634E-3</v>
      </c>
      <c r="J188" s="122">
        <f t="shared" si="2"/>
        <v>1.9720010949031419E-4</v>
      </c>
      <c r="K188"/>
      <c r="L188"/>
      <c r="M188"/>
      <c r="N188" s="54"/>
      <c r="O188" s="54"/>
      <c r="P188" s="54"/>
      <c r="Z188"/>
    </row>
    <row r="189" spans="1:26" s="15" customFormat="1" x14ac:dyDescent="0.3">
      <c r="A189" s="17"/>
      <c r="B189"/>
      <c r="C189"/>
      <c r="D189"/>
      <c r="E189"/>
      <c r="F189" s="121">
        <v>43712</v>
      </c>
      <c r="G189" s="53">
        <v>277.65145899999999</v>
      </c>
      <c r="H189" s="53">
        <v>89.455062999999996</v>
      </c>
      <c r="I189" s="122">
        <f t="shared" si="2"/>
        <v>1.1350524166945153E-2</v>
      </c>
      <c r="J189" s="122">
        <f t="shared" si="2"/>
        <v>-1.0940609513787614E-4</v>
      </c>
      <c r="K189"/>
      <c r="L189"/>
      <c r="M189"/>
      <c r="N189" s="54"/>
      <c r="O189" s="54"/>
      <c r="P189" s="54"/>
      <c r="Z189"/>
    </row>
    <row r="190" spans="1:26" s="15" customFormat="1" x14ac:dyDescent="0.3">
      <c r="A190" s="17"/>
      <c r="B190"/>
      <c r="C190"/>
      <c r="D190"/>
      <c r="E190"/>
      <c r="F190" s="121">
        <v>43713</v>
      </c>
      <c r="G190" s="53">
        <v>281.22076399999997</v>
      </c>
      <c r="H190" s="53">
        <v>89.464850999999996</v>
      </c>
      <c r="I190" s="122">
        <f t="shared" si="2"/>
        <v>1.2855343936802432E-2</v>
      </c>
      <c r="J190" s="122">
        <f t="shared" si="2"/>
        <v>1.0941806614117588E-4</v>
      </c>
      <c r="K190"/>
      <c r="L190"/>
      <c r="M190"/>
      <c r="N190" s="54"/>
      <c r="O190" s="54"/>
      <c r="P190" s="54"/>
      <c r="Z190"/>
    </row>
    <row r="191" spans="1:26" s="15" customFormat="1" x14ac:dyDescent="0.3">
      <c r="A191" s="17"/>
      <c r="B191"/>
      <c r="C191"/>
      <c r="D191"/>
      <c r="E191"/>
      <c r="F191" s="121">
        <v>43714</v>
      </c>
      <c r="G191" s="53">
        <v>281.43789700000002</v>
      </c>
      <c r="H191" s="53">
        <v>89.474632</v>
      </c>
      <c r="I191" s="122">
        <f t="shared" si="2"/>
        <v>7.7210870531607689E-4</v>
      </c>
      <c r="J191" s="122">
        <f t="shared" si="2"/>
        <v>1.0932785211936746E-4</v>
      </c>
      <c r="K191"/>
      <c r="L191"/>
      <c r="M191"/>
      <c r="N191" s="54"/>
      <c r="O191" s="54"/>
      <c r="P191" s="54"/>
      <c r="Z191"/>
    </row>
    <row r="192" spans="1:26" s="15" customFormat="1" x14ac:dyDescent="0.3">
      <c r="A192" s="17"/>
      <c r="B192"/>
      <c r="C192"/>
      <c r="D192"/>
      <c r="E192"/>
      <c r="F192" s="121">
        <v>43717</v>
      </c>
      <c r="G192" s="53">
        <v>281.579498</v>
      </c>
      <c r="H192" s="53">
        <v>89.474632</v>
      </c>
      <c r="I192" s="122">
        <f t="shared" si="2"/>
        <v>5.0313408929425485E-4</v>
      </c>
      <c r="J192" s="122">
        <f t="shared" si="2"/>
        <v>0</v>
      </c>
      <c r="K192"/>
      <c r="L192"/>
      <c r="M192"/>
      <c r="N192" s="54"/>
      <c r="O192" s="54"/>
      <c r="P192" s="54"/>
      <c r="Z192"/>
    </row>
    <row r="193" spans="1:26" s="15" customFormat="1" x14ac:dyDescent="0.3">
      <c r="A193" s="17"/>
      <c r="B193"/>
      <c r="C193"/>
      <c r="D193"/>
      <c r="E193"/>
      <c r="F193" s="121">
        <v>43718</v>
      </c>
      <c r="G193" s="53">
        <v>281.51348899999999</v>
      </c>
      <c r="H193" s="53">
        <v>89.494193999999993</v>
      </c>
      <c r="I193" s="122">
        <f t="shared" si="2"/>
        <v>-2.3442402756190805E-4</v>
      </c>
      <c r="J193" s="122">
        <f t="shared" si="2"/>
        <v>2.1863180169323648E-4</v>
      </c>
      <c r="K193"/>
      <c r="L193"/>
      <c r="M193"/>
      <c r="N193" s="54"/>
      <c r="O193" s="54"/>
      <c r="P193" s="54"/>
      <c r="Z193"/>
    </row>
    <row r="194" spans="1:26" s="15" customFormat="1" x14ac:dyDescent="0.3">
      <c r="A194" s="17"/>
      <c r="B194"/>
      <c r="C194"/>
      <c r="D194"/>
      <c r="E194"/>
      <c r="F194" s="121">
        <v>43719</v>
      </c>
      <c r="G194" s="53">
        <v>283.51535000000001</v>
      </c>
      <c r="H194" s="53">
        <v>89.484413000000004</v>
      </c>
      <c r="I194" s="122">
        <f t="shared" si="2"/>
        <v>7.1110659993987024E-3</v>
      </c>
      <c r="J194" s="122">
        <f t="shared" si="2"/>
        <v>-1.0929200613829515E-4</v>
      </c>
      <c r="K194"/>
      <c r="L194"/>
      <c r="M194"/>
      <c r="N194" s="54"/>
      <c r="O194" s="54"/>
      <c r="P194" s="54"/>
      <c r="Z194"/>
    </row>
    <row r="195" spans="1:26" s="15" customFormat="1" x14ac:dyDescent="0.3">
      <c r="A195" s="17"/>
      <c r="B195"/>
      <c r="C195"/>
      <c r="D195"/>
      <c r="E195"/>
      <c r="F195" s="121">
        <v>43720</v>
      </c>
      <c r="G195" s="53">
        <v>284.497345</v>
      </c>
      <c r="H195" s="53">
        <v>89.503951999999998</v>
      </c>
      <c r="I195" s="122">
        <f t="shared" si="2"/>
        <v>3.4636396230398603E-3</v>
      </c>
      <c r="J195" s="122">
        <f t="shared" si="2"/>
        <v>2.1835087636978834E-4</v>
      </c>
      <c r="K195"/>
      <c r="L195"/>
      <c r="M195"/>
      <c r="N195" s="54"/>
      <c r="O195" s="54"/>
      <c r="P195" s="54"/>
      <c r="Z195"/>
    </row>
    <row r="196" spans="1:26" s="15" customFormat="1" x14ac:dyDescent="0.3">
      <c r="A196" s="17"/>
      <c r="B196"/>
      <c r="C196"/>
      <c r="D196"/>
      <c r="E196"/>
      <c r="F196" s="121">
        <v>43721</v>
      </c>
      <c r="G196" s="53">
        <v>284.30850199999998</v>
      </c>
      <c r="H196" s="53">
        <v>89.503951999999998</v>
      </c>
      <c r="I196" s="122">
        <f t="shared" si="2"/>
        <v>-6.6377772347936403E-4</v>
      </c>
      <c r="J196" s="122">
        <f t="shared" si="2"/>
        <v>0</v>
      </c>
      <c r="K196"/>
      <c r="L196"/>
      <c r="M196"/>
      <c r="N196" s="54"/>
      <c r="O196" s="54"/>
      <c r="P196" s="54"/>
      <c r="Z196"/>
    </row>
    <row r="197" spans="1:26" s="15" customFormat="1" x14ac:dyDescent="0.3">
      <c r="A197" s="17"/>
      <c r="B197"/>
      <c r="C197"/>
      <c r="D197"/>
      <c r="E197"/>
      <c r="F197" s="121">
        <v>43724</v>
      </c>
      <c r="G197" s="53">
        <v>283.43032799999997</v>
      </c>
      <c r="H197" s="53">
        <v>89.503951999999998</v>
      </c>
      <c r="I197" s="122">
        <f t="shared" si="2"/>
        <v>-3.0888066794428903E-3</v>
      </c>
      <c r="J197" s="122">
        <f t="shared" si="2"/>
        <v>0</v>
      </c>
      <c r="K197"/>
      <c r="L197"/>
      <c r="M197"/>
      <c r="N197" s="54"/>
      <c r="O197" s="54"/>
      <c r="P197" s="54"/>
      <c r="Z197"/>
    </row>
    <row r="198" spans="1:26" s="15" customFormat="1" x14ac:dyDescent="0.3">
      <c r="A198" s="17"/>
      <c r="B198"/>
      <c r="C198"/>
      <c r="D198"/>
      <c r="E198"/>
      <c r="F198" s="121">
        <v>43725</v>
      </c>
      <c r="G198" s="53">
        <v>284.14798000000002</v>
      </c>
      <c r="H198" s="53">
        <v>89.513756000000001</v>
      </c>
      <c r="I198" s="122">
        <f t="shared" si="2"/>
        <v>2.5320226140375102E-3</v>
      </c>
      <c r="J198" s="122">
        <f t="shared" si="2"/>
        <v>1.0953706267624597E-4</v>
      </c>
      <c r="K198"/>
      <c r="L198"/>
      <c r="M198"/>
      <c r="N198" s="54"/>
      <c r="O198" s="54"/>
      <c r="P198" s="54"/>
      <c r="Z198"/>
    </row>
    <row r="199" spans="1:26" s="15" customFormat="1" x14ac:dyDescent="0.3">
      <c r="A199" s="17"/>
      <c r="B199"/>
      <c r="C199"/>
      <c r="D199"/>
      <c r="E199"/>
      <c r="F199" s="121">
        <v>43726</v>
      </c>
      <c r="G199" s="53">
        <v>284.317993</v>
      </c>
      <c r="H199" s="53">
        <v>89.53331</v>
      </c>
      <c r="I199" s="122">
        <f t="shared" si="2"/>
        <v>5.9832556261696368E-4</v>
      </c>
      <c r="J199" s="122">
        <f t="shared" si="2"/>
        <v>2.1844687200922586E-4</v>
      </c>
      <c r="K199"/>
      <c r="L199"/>
      <c r="M199"/>
      <c r="N199" s="54"/>
      <c r="O199" s="54"/>
      <c r="P199" s="54"/>
      <c r="Z199"/>
    </row>
    <row r="200" spans="1:26" s="15" customFormat="1" x14ac:dyDescent="0.3">
      <c r="A200" s="17"/>
      <c r="B200"/>
      <c r="C200"/>
      <c r="D200"/>
      <c r="E200"/>
      <c r="F200" s="121">
        <v>43727</v>
      </c>
      <c r="G200" s="53">
        <v>284.29904199999999</v>
      </c>
      <c r="H200" s="53">
        <v>89.53331</v>
      </c>
      <c r="I200" s="122">
        <f t="shared" si="2"/>
        <v>-6.665424090834815E-5</v>
      </c>
      <c r="J200" s="122">
        <f t="shared" si="2"/>
        <v>0</v>
      </c>
      <c r="K200"/>
      <c r="L200"/>
      <c r="M200"/>
      <c r="N200" s="54"/>
      <c r="O200" s="54"/>
      <c r="P200" s="54"/>
      <c r="Z200"/>
    </row>
    <row r="201" spans="1:26" s="15" customFormat="1" x14ac:dyDescent="0.3">
      <c r="A201" s="17"/>
      <c r="B201"/>
      <c r="C201"/>
      <c r="D201"/>
      <c r="E201"/>
      <c r="F201" s="121">
        <v>43728</v>
      </c>
      <c r="G201" s="53">
        <v>282.95584100000002</v>
      </c>
      <c r="H201" s="53">
        <v>89.543098000000001</v>
      </c>
      <c r="I201" s="122">
        <f t="shared" si="2"/>
        <v>-4.7246061420072039E-3</v>
      </c>
      <c r="J201" s="122">
        <f t="shared" si="2"/>
        <v>1.0932244099981503E-4</v>
      </c>
      <c r="K201"/>
      <c r="L201"/>
      <c r="M201"/>
      <c r="N201" s="54"/>
      <c r="O201" s="54"/>
      <c r="P201" s="54"/>
      <c r="Z201"/>
    </row>
    <row r="202" spans="1:26" s="15" customFormat="1" x14ac:dyDescent="0.3">
      <c r="A202" s="17"/>
      <c r="B202"/>
      <c r="C202"/>
      <c r="D202"/>
      <c r="E202"/>
      <c r="F202" s="121">
        <v>43731</v>
      </c>
      <c r="G202" s="53">
        <v>282.88937399999998</v>
      </c>
      <c r="H202" s="53">
        <v>89.562652999999997</v>
      </c>
      <c r="I202" s="122">
        <f t="shared" si="2"/>
        <v>-2.3490237828327487E-4</v>
      </c>
      <c r="J202" s="122">
        <f t="shared" si="2"/>
        <v>2.1838645788196942E-4</v>
      </c>
      <c r="K202"/>
      <c r="L202"/>
      <c r="M202"/>
      <c r="N202" s="54"/>
      <c r="O202" s="54"/>
      <c r="P202" s="54"/>
      <c r="Z202"/>
    </row>
    <row r="203" spans="1:26" s="15" customFormat="1" x14ac:dyDescent="0.3">
      <c r="A203" s="17"/>
      <c r="B203"/>
      <c r="C203"/>
      <c r="D203"/>
      <c r="E203"/>
      <c r="F203" s="121">
        <v>43732</v>
      </c>
      <c r="G203" s="53">
        <v>280.66961700000002</v>
      </c>
      <c r="H203" s="53">
        <v>89.562652999999997</v>
      </c>
      <c r="I203" s="122">
        <f t="shared" si="2"/>
        <v>-7.8467316343948657E-3</v>
      </c>
      <c r="J203" s="122">
        <f t="shared" si="2"/>
        <v>0</v>
      </c>
      <c r="K203"/>
      <c r="L203"/>
      <c r="M203"/>
      <c r="N203" s="54"/>
      <c r="O203" s="54"/>
      <c r="P203" s="54"/>
      <c r="Z203"/>
    </row>
    <row r="204" spans="1:26" s="15" customFormat="1" x14ac:dyDescent="0.3">
      <c r="A204" s="17"/>
      <c r="B204"/>
      <c r="C204"/>
      <c r="D204"/>
      <c r="E204"/>
      <c r="F204" s="121">
        <v>43733</v>
      </c>
      <c r="G204" s="53">
        <v>282.32974200000001</v>
      </c>
      <c r="H204" s="53">
        <v>89.562652999999997</v>
      </c>
      <c r="I204" s="122">
        <f t="shared" si="2"/>
        <v>5.914872502925661E-3</v>
      </c>
      <c r="J204" s="122">
        <f t="shared" si="2"/>
        <v>0</v>
      </c>
      <c r="K204"/>
      <c r="L204"/>
      <c r="M204"/>
      <c r="N204" s="54"/>
      <c r="O204" s="54"/>
      <c r="P204" s="54"/>
      <c r="Z204"/>
    </row>
    <row r="205" spans="1:26" s="15" customFormat="1" x14ac:dyDescent="0.3">
      <c r="A205" s="17"/>
      <c r="B205"/>
      <c r="C205"/>
      <c r="D205"/>
      <c r="E205"/>
      <c r="F205" s="121">
        <v>43734</v>
      </c>
      <c r="G205" s="53">
        <v>281.74154700000003</v>
      </c>
      <c r="H205" s="53">
        <v>89.582222000000002</v>
      </c>
      <c r="I205" s="122">
        <f t="shared" si="2"/>
        <v>-2.0833618018182287E-3</v>
      </c>
      <c r="J205" s="122">
        <f t="shared" si="2"/>
        <v>2.1849509080529295E-4</v>
      </c>
      <c r="K205"/>
      <c r="L205"/>
      <c r="M205"/>
      <c r="N205" s="54"/>
      <c r="O205" s="54"/>
      <c r="P205" s="54"/>
      <c r="Z205"/>
    </row>
    <row r="206" spans="1:26" s="15" customFormat="1" x14ac:dyDescent="0.3">
      <c r="A206" s="17"/>
      <c r="B206"/>
      <c r="C206"/>
      <c r="D206"/>
      <c r="E206"/>
      <c r="F206" s="121">
        <v>43735</v>
      </c>
      <c r="G206" s="53">
        <v>280.223724</v>
      </c>
      <c r="H206" s="53">
        <v>89.582222000000002</v>
      </c>
      <c r="I206" s="122">
        <f t="shared" si="2"/>
        <v>-5.3872885137526971E-3</v>
      </c>
      <c r="J206" s="122">
        <f t="shared" si="2"/>
        <v>0</v>
      </c>
      <c r="K206"/>
      <c r="L206"/>
      <c r="M206"/>
      <c r="N206" s="54"/>
      <c r="O206" s="54"/>
      <c r="P206" s="54"/>
      <c r="Z206"/>
    </row>
    <row r="207" spans="1:26" s="15" customFormat="1" x14ac:dyDescent="0.3">
      <c r="A207" s="17"/>
      <c r="B207"/>
      <c r="C207"/>
      <c r="D207"/>
      <c r="E207"/>
      <c r="F207" s="121">
        <v>43738</v>
      </c>
      <c r="G207" s="53">
        <v>281.52337599999998</v>
      </c>
      <c r="H207" s="53">
        <v>89.591994999999997</v>
      </c>
      <c r="I207" s="122">
        <f t="shared" si="2"/>
        <v>4.6379085305425782E-3</v>
      </c>
      <c r="J207" s="122">
        <f t="shared" si="2"/>
        <v>1.0909530687897018E-4</v>
      </c>
      <c r="K207"/>
      <c r="L207"/>
      <c r="M207"/>
      <c r="N207" s="54"/>
      <c r="O207" s="54"/>
      <c r="P207" s="54"/>
      <c r="Z207"/>
    </row>
    <row r="208" spans="1:26" s="15" customFormat="1" x14ac:dyDescent="0.3">
      <c r="A208" s="17"/>
      <c r="B208"/>
      <c r="C208"/>
      <c r="D208"/>
      <c r="E208"/>
      <c r="F208" s="121">
        <v>43739</v>
      </c>
      <c r="G208" s="53">
        <v>278.17474399999998</v>
      </c>
      <c r="H208" s="53">
        <v>89.58905</v>
      </c>
      <c r="I208" s="122">
        <f t="shared" si="2"/>
        <v>-1.1894685434576502E-2</v>
      </c>
      <c r="J208" s="122">
        <f t="shared" si="2"/>
        <v>-3.2871240337906116E-5</v>
      </c>
      <c r="K208"/>
      <c r="L208"/>
      <c r="M208"/>
      <c r="N208" s="54"/>
      <c r="O208" s="54"/>
      <c r="P208" s="54"/>
      <c r="Z208"/>
    </row>
    <row r="209" spans="1:26" s="15" customFormat="1" x14ac:dyDescent="0.3">
      <c r="A209" s="17"/>
      <c r="B209"/>
      <c r="C209"/>
      <c r="D209"/>
      <c r="E209"/>
      <c r="F209" s="121">
        <v>43740</v>
      </c>
      <c r="G209" s="53">
        <v>273.26086400000003</v>
      </c>
      <c r="H209" s="53">
        <v>89.58905</v>
      </c>
      <c r="I209" s="122">
        <f t="shared" si="2"/>
        <v>-1.7664723724882592E-2</v>
      </c>
      <c r="J209" s="122">
        <f t="shared" si="2"/>
        <v>0</v>
      </c>
      <c r="K209"/>
      <c r="L209"/>
      <c r="M209"/>
      <c r="N209" s="54"/>
      <c r="O209" s="54"/>
      <c r="P209" s="54"/>
      <c r="Z209"/>
    </row>
    <row r="210" spans="1:26" s="15" customFormat="1" x14ac:dyDescent="0.3">
      <c r="A210" s="17"/>
      <c r="B210"/>
      <c r="C210"/>
      <c r="D210"/>
      <c r="E210"/>
      <c r="F210" s="121">
        <v>43741</v>
      </c>
      <c r="G210" s="53">
        <v>275.49960299999998</v>
      </c>
      <c r="H210" s="53">
        <v>89.618454</v>
      </c>
      <c r="I210" s="122">
        <f t="shared" si="2"/>
        <v>8.19268067600043E-3</v>
      </c>
      <c r="J210" s="122">
        <f t="shared" si="2"/>
        <v>3.2820975331238067E-4</v>
      </c>
      <c r="K210"/>
      <c r="L210"/>
      <c r="M210"/>
      <c r="N210" s="54"/>
      <c r="O210" s="54"/>
      <c r="P210" s="54"/>
      <c r="Z210"/>
    </row>
    <row r="211" spans="1:26" s="15" customFormat="1" x14ac:dyDescent="0.3">
      <c r="A211" s="17"/>
      <c r="B211"/>
      <c r="C211"/>
      <c r="D211"/>
      <c r="E211"/>
      <c r="F211" s="121">
        <v>43742</v>
      </c>
      <c r="G211" s="53">
        <v>279.22778299999999</v>
      </c>
      <c r="H211" s="53">
        <v>89.618454</v>
      </c>
      <c r="I211" s="122">
        <f t="shared" si="2"/>
        <v>1.3532433293560908E-2</v>
      </c>
      <c r="J211" s="122">
        <f t="shared" si="2"/>
        <v>0</v>
      </c>
      <c r="K211"/>
      <c r="L211"/>
      <c r="M211"/>
      <c r="N211" s="54"/>
      <c r="O211" s="54"/>
      <c r="P211" s="54"/>
      <c r="Z211"/>
    </row>
    <row r="212" spans="1:26" s="15" customFormat="1" x14ac:dyDescent="0.3">
      <c r="A212" s="17"/>
      <c r="B212"/>
      <c r="C212"/>
      <c r="D212"/>
      <c r="E212"/>
      <c r="F212" s="121">
        <v>43745</v>
      </c>
      <c r="G212" s="53">
        <v>278.022919</v>
      </c>
      <c r="H212" s="53">
        <v>89.628264999999999</v>
      </c>
      <c r="I212" s="122">
        <f t="shared" si="2"/>
        <v>-4.3149860914807325E-3</v>
      </c>
      <c r="J212" s="122">
        <f t="shared" si="2"/>
        <v>1.094752203603111E-4</v>
      </c>
      <c r="K212"/>
      <c r="L212"/>
      <c r="M212"/>
      <c r="N212" s="54"/>
      <c r="O212" s="54"/>
      <c r="P212" s="54"/>
      <c r="Z212"/>
    </row>
    <row r="213" spans="1:26" s="15" customFormat="1" x14ac:dyDescent="0.3">
      <c r="A213" s="17"/>
      <c r="B213"/>
      <c r="C213"/>
      <c r="D213"/>
      <c r="E213"/>
      <c r="F213" s="121">
        <v>43746</v>
      </c>
      <c r="G213" s="53">
        <v>273.706726</v>
      </c>
      <c r="H213" s="53">
        <v>89.628264999999999</v>
      </c>
      <c r="I213" s="122">
        <f t="shared" ref="I213:J276" si="3">G213/G212-1</f>
        <v>-1.5524594215198473E-2</v>
      </c>
      <c r="J213" s="122">
        <f t="shared" si="3"/>
        <v>0</v>
      </c>
      <c r="K213"/>
      <c r="L213"/>
      <c r="M213"/>
      <c r="N213" s="54"/>
      <c r="O213" s="54"/>
      <c r="P213" s="54"/>
      <c r="Z213"/>
    </row>
    <row r="214" spans="1:26" s="15" customFormat="1" x14ac:dyDescent="0.3">
      <c r="A214" s="17"/>
      <c r="B214"/>
      <c r="C214"/>
      <c r="D214"/>
      <c r="E214"/>
      <c r="F214" s="121">
        <v>43747</v>
      </c>
      <c r="G214" s="53">
        <v>276.30590799999999</v>
      </c>
      <c r="H214" s="53">
        <v>89.628264999999999</v>
      </c>
      <c r="I214" s="122">
        <f t="shared" si="3"/>
        <v>9.4962299172727249E-3</v>
      </c>
      <c r="J214" s="122">
        <f t="shared" si="3"/>
        <v>0</v>
      </c>
      <c r="K214"/>
      <c r="L214"/>
      <c r="M214"/>
      <c r="N214" s="54"/>
      <c r="O214" s="54"/>
      <c r="P214" s="54"/>
      <c r="Z214"/>
    </row>
    <row r="215" spans="1:26" s="15" customFormat="1" x14ac:dyDescent="0.3">
      <c r="A215" s="17"/>
      <c r="B215"/>
      <c r="C215"/>
      <c r="D215"/>
      <c r="E215"/>
      <c r="F215" s="121">
        <v>43748</v>
      </c>
      <c r="G215" s="53">
        <v>278.17474399999998</v>
      </c>
      <c r="H215" s="53">
        <v>89.647841999999997</v>
      </c>
      <c r="I215" s="122">
        <f t="shared" si="3"/>
        <v>6.7636483545621129E-3</v>
      </c>
      <c r="J215" s="122">
        <f t="shared" si="3"/>
        <v>2.1842439993680074E-4</v>
      </c>
      <c r="K215"/>
      <c r="L215"/>
      <c r="M215"/>
      <c r="N215" s="54"/>
      <c r="O215" s="54"/>
      <c r="P215" s="54"/>
      <c r="Z215"/>
    </row>
    <row r="216" spans="1:26" s="15" customFormat="1" x14ac:dyDescent="0.3">
      <c r="A216" s="17"/>
      <c r="B216"/>
      <c r="C216"/>
      <c r="D216"/>
      <c r="E216"/>
      <c r="F216" s="121">
        <v>43749</v>
      </c>
      <c r="G216" s="53">
        <v>281.05856299999999</v>
      </c>
      <c r="H216" s="53">
        <v>89.657639000000003</v>
      </c>
      <c r="I216" s="122">
        <f t="shared" si="3"/>
        <v>1.0366933239633003E-2</v>
      </c>
      <c r="J216" s="122">
        <f t="shared" si="3"/>
        <v>1.0928316601321875E-4</v>
      </c>
      <c r="K216"/>
      <c r="L216"/>
      <c r="M216"/>
      <c r="N216" s="54"/>
      <c r="O216" s="54"/>
      <c r="P216" s="54"/>
      <c r="Z216"/>
    </row>
    <row r="217" spans="1:26" s="15" customFormat="1" x14ac:dyDescent="0.3">
      <c r="A217" s="17"/>
      <c r="B217"/>
      <c r="C217"/>
      <c r="D217"/>
      <c r="E217"/>
      <c r="F217" s="121">
        <v>43752</v>
      </c>
      <c r="G217" s="53">
        <v>280.745544</v>
      </c>
      <c r="H217" s="53">
        <v>89.647841999999997</v>
      </c>
      <c r="I217" s="122">
        <f t="shared" si="3"/>
        <v>-1.1137145108082169E-3</v>
      </c>
      <c r="J217" s="122">
        <f t="shared" si="3"/>
        <v>-1.0927122450776761E-4</v>
      </c>
      <c r="K217"/>
      <c r="L217"/>
      <c r="M217"/>
      <c r="N217" s="54"/>
      <c r="O217" s="54"/>
      <c r="P217" s="54"/>
      <c r="Z217"/>
    </row>
    <row r="218" spans="1:26" s="15" customFormat="1" x14ac:dyDescent="0.3">
      <c r="A218" s="17"/>
      <c r="B218"/>
      <c r="C218"/>
      <c r="D218"/>
      <c r="E218"/>
      <c r="F218" s="121">
        <v>43753</v>
      </c>
      <c r="G218" s="53">
        <v>283.52499399999999</v>
      </c>
      <c r="H218" s="53">
        <v>89.657639000000003</v>
      </c>
      <c r="I218" s="122">
        <f t="shared" si="3"/>
        <v>9.9002461816455334E-3</v>
      </c>
      <c r="J218" s="122">
        <f t="shared" si="3"/>
        <v>1.0928316601321875E-4</v>
      </c>
      <c r="K218"/>
      <c r="L218"/>
      <c r="M218"/>
      <c r="N218" s="54"/>
      <c r="O218" s="54"/>
      <c r="P218" s="54"/>
      <c r="Z218"/>
    </row>
    <row r="219" spans="1:26" s="15" customFormat="1" x14ac:dyDescent="0.3">
      <c r="A219" s="17"/>
      <c r="B219"/>
      <c r="C219"/>
      <c r="D219"/>
      <c r="E219"/>
      <c r="F219" s="121">
        <v>43754</v>
      </c>
      <c r="G219" s="53">
        <v>283.06964099999999</v>
      </c>
      <c r="H219" s="53">
        <v>89.667434999999998</v>
      </c>
      <c r="I219" s="122">
        <f t="shared" si="3"/>
        <v>-1.6060418292435097E-3</v>
      </c>
      <c r="J219" s="122">
        <f t="shared" si="3"/>
        <v>1.0926007096845325E-4</v>
      </c>
      <c r="K219"/>
      <c r="L219"/>
      <c r="M219"/>
      <c r="N219" s="54"/>
      <c r="O219" s="54"/>
      <c r="P219" s="54"/>
      <c r="Z219"/>
    </row>
    <row r="220" spans="1:26" s="15" customFormat="1" x14ac:dyDescent="0.3">
      <c r="A220" s="17"/>
      <c r="B220"/>
      <c r="C220"/>
      <c r="D220"/>
      <c r="E220"/>
      <c r="F220" s="121">
        <v>43755</v>
      </c>
      <c r="G220" s="53">
        <v>283.904449</v>
      </c>
      <c r="H220" s="53">
        <v>89.677238000000003</v>
      </c>
      <c r="I220" s="122">
        <f t="shared" si="3"/>
        <v>2.9491258654614771E-3</v>
      </c>
      <c r="J220" s="122">
        <f t="shared" si="3"/>
        <v>1.0932620075521093E-4</v>
      </c>
      <c r="K220"/>
      <c r="L220"/>
      <c r="M220"/>
      <c r="N220" s="54"/>
      <c r="O220" s="54"/>
      <c r="P220" s="54"/>
      <c r="Z220"/>
    </row>
    <row r="221" spans="1:26" s="15" customFormat="1" x14ac:dyDescent="0.3">
      <c r="A221" s="17"/>
      <c r="B221"/>
      <c r="C221"/>
      <c r="D221"/>
      <c r="E221"/>
      <c r="F221" s="121">
        <v>43756</v>
      </c>
      <c r="G221" s="53">
        <v>282.66171300000002</v>
      </c>
      <c r="H221" s="53">
        <v>89.677238000000003</v>
      </c>
      <c r="I221" s="122">
        <f t="shared" si="3"/>
        <v>-4.377303717420733E-3</v>
      </c>
      <c r="J221" s="122">
        <f t="shared" si="3"/>
        <v>0</v>
      </c>
      <c r="K221"/>
      <c r="L221"/>
      <c r="M221"/>
      <c r="N221" s="54"/>
      <c r="O221" s="54"/>
      <c r="P221" s="54"/>
      <c r="Z221"/>
    </row>
    <row r="222" spans="1:26" s="15" customFormat="1" x14ac:dyDescent="0.3">
      <c r="A222" s="17"/>
      <c r="B222"/>
      <c r="C222"/>
      <c r="D222"/>
      <c r="E222"/>
      <c r="F222" s="121">
        <v>43759</v>
      </c>
      <c r="G222" s="53">
        <v>284.57794200000001</v>
      </c>
      <c r="H222" s="53">
        <v>89.687034999999995</v>
      </c>
      <c r="I222" s="122">
        <f t="shared" si="3"/>
        <v>6.7792308327232487E-3</v>
      </c>
      <c r="J222" s="122">
        <f t="shared" si="3"/>
        <v>1.0924734323314311E-4</v>
      </c>
      <c r="K222"/>
      <c r="L222"/>
      <c r="M222"/>
      <c r="N222" s="54"/>
      <c r="O222" s="54"/>
      <c r="P222" s="54"/>
      <c r="Z222"/>
    </row>
    <row r="223" spans="1:26" s="15" customFormat="1" x14ac:dyDescent="0.3">
      <c r="A223" s="17"/>
      <c r="B223"/>
      <c r="C223"/>
      <c r="D223"/>
      <c r="E223"/>
      <c r="F223" s="121">
        <v>43760</v>
      </c>
      <c r="G223" s="53">
        <v>283.64828499999999</v>
      </c>
      <c r="H223" s="53">
        <v>89.687034999999995</v>
      </c>
      <c r="I223" s="122">
        <f t="shared" si="3"/>
        <v>-3.2667921957212354E-3</v>
      </c>
      <c r="J223" s="122">
        <f t="shared" si="3"/>
        <v>0</v>
      </c>
      <c r="K223"/>
      <c r="L223"/>
      <c r="M223"/>
      <c r="N223" s="54"/>
      <c r="O223" s="54"/>
      <c r="P223" s="54"/>
      <c r="Z223"/>
    </row>
    <row r="224" spans="1:26" s="15" customFormat="1" x14ac:dyDescent="0.3">
      <c r="A224" s="17"/>
      <c r="B224"/>
      <c r="C224"/>
      <c r="D224"/>
      <c r="E224"/>
      <c r="F224" s="121">
        <v>43761</v>
      </c>
      <c r="G224" s="53">
        <v>284.47366299999999</v>
      </c>
      <c r="H224" s="53">
        <v>89.687034999999995</v>
      </c>
      <c r="I224" s="122">
        <f t="shared" si="3"/>
        <v>2.9098642355620541E-3</v>
      </c>
      <c r="J224" s="122">
        <f t="shared" si="3"/>
        <v>0</v>
      </c>
      <c r="K224"/>
      <c r="L224"/>
      <c r="M224"/>
      <c r="N224" s="54"/>
      <c r="O224" s="54"/>
      <c r="P224" s="54"/>
      <c r="Z224"/>
    </row>
    <row r="225" spans="1:26" s="15" customFormat="1" x14ac:dyDescent="0.3">
      <c r="A225" s="17"/>
      <c r="B225"/>
      <c r="C225"/>
      <c r="D225"/>
      <c r="E225"/>
      <c r="F225" s="121">
        <v>43762</v>
      </c>
      <c r="G225" s="53">
        <v>284.938446</v>
      </c>
      <c r="H225" s="53">
        <v>89.706619000000003</v>
      </c>
      <c r="I225" s="122">
        <f t="shared" si="3"/>
        <v>1.6338349044284772E-3</v>
      </c>
      <c r="J225" s="122">
        <f t="shared" si="3"/>
        <v>2.1835932027425287E-4</v>
      </c>
      <c r="K225"/>
      <c r="L225"/>
      <c r="M225"/>
      <c r="N225" s="54"/>
      <c r="O225" s="54"/>
      <c r="P225" s="54"/>
      <c r="Z225"/>
    </row>
    <row r="226" spans="1:26" s="15" customFormat="1" x14ac:dyDescent="0.3">
      <c r="A226" s="17"/>
      <c r="B226"/>
      <c r="C226"/>
      <c r="D226"/>
      <c r="E226"/>
      <c r="F226" s="121">
        <v>43763</v>
      </c>
      <c r="G226" s="53">
        <v>286.10519399999998</v>
      </c>
      <c r="H226" s="53">
        <v>89.706619000000003</v>
      </c>
      <c r="I226" s="122">
        <f t="shared" si="3"/>
        <v>4.0947370085677726E-3</v>
      </c>
      <c r="J226" s="122">
        <f t="shared" si="3"/>
        <v>0</v>
      </c>
      <c r="K226"/>
      <c r="L226"/>
      <c r="M226"/>
      <c r="N226" s="54"/>
      <c r="O226" s="54"/>
      <c r="P226" s="54"/>
      <c r="Z226"/>
    </row>
    <row r="227" spans="1:26" s="15" customFormat="1" x14ac:dyDescent="0.3">
      <c r="A227" s="17"/>
      <c r="B227"/>
      <c r="C227"/>
      <c r="D227"/>
      <c r="E227"/>
      <c r="F227" s="121">
        <v>43766</v>
      </c>
      <c r="G227" s="53">
        <v>287.71792599999998</v>
      </c>
      <c r="H227" s="53">
        <v>89.696815000000001</v>
      </c>
      <c r="I227" s="122">
        <f t="shared" si="3"/>
        <v>5.6368497805041606E-3</v>
      </c>
      <c r="J227" s="122">
        <f t="shared" si="3"/>
        <v>-1.0928959433864627E-4</v>
      </c>
      <c r="K227"/>
      <c r="L227"/>
      <c r="M227"/>
      <c r="N227" s="54"/>
      <c r="O227" s="54"/>
      <c r="P227" s="54"/>
      <c r="Z227"/>
    </row>
    <row r="228" spans="1:26" s="15" customFormat="1" x14ac:dyDescent="0.3">
      <c r="A228" s="17"/>
      <c r="B228"/>
      <c r="C228"/>
      <c r="D228"/>
      <c r="E228"/>
      <c r="F228" s="121">
        <v>43767</v>
      </c>
      <c r="G228" s="53">
        <v>287.63247699999999</v>
      </c>
      <c r="H228" s="53">
        <v>89.716431</v>
      </c>
      <c r="I228" s="122">
        <f t="shared" si="3"/>
        <v>-2.9698879450412718E-4</v>
      </c>
      <c r="J228" s="122">
        <f t="shared" si="3"/>
        <v>2.1869226906212624E-4</v>
      </c>
      <c r="K228"/>
      <c r="L228"/>
      <c r="M228"/>
      <c r="N228" s="54"/>
      <c r="O228" s="54"/>
      <c r="P228" s="54"/>
      <c r="Z228"/>
    </row>
    <row r="229" spans="1:26" s="15" customFormat="1" x14ac:dyDescent="0.3">
      <c r="A229" s="17"/>
      <c r="B229"/>
      <c r="C229"/>
      <c r="D229"/>
      <c r="E229"/>
      <c r="F229" s="121">
        <v>43768</v>
      </c>
      <c r="G229" s="53">
        <v>288.514771</v>
      </c>
      <c r="H229" s="53">
        <v>89.726212000000004</v>
      </c>
      <c r="I229" s="122">
        <f t="shared" si="3"/>
        <v>3.0674352534953986E-3</v>
      </c>
      <c r="J229" s="122">
        <f t="shared" si="3"/>
        <v>1.090212783876332E-4</v>
      </c>
      <c r="K229"/>
      <c r="L229"/>
      <c r="M229"/>
      <c r="N229" s="54"/>
      <c r="O229" s="54"/>
      <c r="P229" s="54"/>
      <c r="Z229"/>
    </row>
    <row r="230" spans="1:26" s="15" customFormat="1" x14ac:dyDescent="0.3">
      <c r="A230" s="17"/>
      <c r="B230"/>
      <c r="C230"/>
      <c r="D230"/>
      <c r="E230"/>
      <c r="F230" s="121">
        <v>43769</v>
      </c>
      <c r="G230" s="53">
        <v>287.74636800000002</v>
      </c>
      <c r="H230" s="53">
        <v>89.736007999999998</v>
      </c>
      <c r="I230" s="122">
        <f t="shared" si="3"/>
        <v>-2.6633055816749351E-3</v>
      </c>
      <c r="J230" s="122">
        <f t="shared" si="3"/>
        <v>1.0917656927267316E-4</v>
      </c>
      <c r="K230"/>
      <c r="L230"/>
      <c r="M230"/>
      <c r="N230" s="54"/>
      <c r="O230" s="54"/>
      <c r="P230" s="54"/>
      <c r="Z230"/>
    </row>
    <row r="231" spans="1:26" s="15" customFormat="1" x14ac:dyDescent="0.3">
      <c r="A231" s="17"/>
      <c r="B231"/>
      <c r="C231"/>
      <c r="D231"/>
      <c r="E231"/>
      <c r="F231" s="121">
        <v>43770</v>
      </c>
      <c r="G231" s="53">
        <v>290.41195699999997</v>
      </c>
      <c r="H231" s="53">
        <v>89.735039</v>
      </c>
      <c r="I231" s="122">
        <f t="shared" si="3"/>
        <v>9.2636755713975116E-3</v>
      </c>
      <c r="J231" s="122">
        <f t="shared" si="3"/>
        <v>-1.0798340839945908E-5</v>
      </c>
      <c r="K231"/>
      <c r="L231"/>
      <c r="M231"/>
      <c r="N231" s="54"/>
      <c r="O231" s="54"/>
      <c r="P231" s="54"/>
      <c r="Z231"/>
    </row>
    <row r="232" spans="1:26" s="15" customFormat="1" x14ac:dyDescent="0.3">
      <c r="A232" s="17"/>
      <c r="B232"/>
      <c r="C232"/>
      <c r="D232"/>
      <c r="E232"/>
      <c r="F232" s="121">
        <v>43773</v>
      </c>
      <c r="G232" s="53">
        <v>291.57879600000001</v>
      </c>
      <c r="H232" s="53">
        <v>89.74485</v>
      </c>
      <c r="I232" s="122">
        <f t="shared" si="3"/>
        <v>4.017875200641452E-3</v>
      </c>
      <c r="J232" s="122">
        <f t="shared" si="3"/>
        <v>1.0933298864457264E-4</v>
      </c>
      <c r="K232"/>
      <c r="L232"/>
      <c r="M232"/>
      <c r="N232" s="54"/>
      <c r="O232" s="54"/>
      <c r="P232" s="54"/>
      <c r="Z232"/>
    </row>
    <row r="233" spans="1:26" s="15" customFormat="1" x14ac:dyDescent="0.3">
      <c r="A233" s="17"/>
      <c r="B233"/>
      <c r="C233"/>
      <c r="D233"/>
      <c r="E233"/>
      <c r="F233" s="121">
        <v>43774</v>
      </c>
      <c r="G233" s="53">
        <v>291.25622600000003</v>
      </c>
      <c r="H233" s="53">
        <v>89.735039</v>
      </c>
      <c r="I233" s="122">
        <f t="shared" si="3"/>
        <v>-1.1062875779210835E-3</v>
      </c>
      <c r="J233" s="122">
        <f t="shared" si="3"/>
        <v>-1.0932103624883283E-4</v>
      </c>
      <c r="K233"/>
      <c r="L233"/>
      <c r="M233"/>
      <c r="N233" s="54"/>
      <c r="O233" s="54"/>
      <c r="P233" s="54"/>
      <c r="Z233"/>
    </row>
    <row r="234" spans="1:26" s="15" customFormat="1" x14ac:dyDescent="0.3">
      <c r="A234" s="17"/>
      <c r="B234"/>
      <c r="C234"/>
      <c r="D234"/>
      <c r="E234"/>
      <c r="F234" s="121">
        <v>43775</v>
      </c>
      <c r="G234" s="53">
        <v>291.322632</v>
      </c>
      <c r="H234" s="53">
        <v>89.74485</v>
      </c>
      <c r="I234" s="122">
        <f t="shared" si="3"/>
        <v>2.2799855959121373E-4</v>
      </c>
      <c r="J234" s="122">
        <f t="shared" si="3"/>
        <v>1.0933298864457264E-4</v>
      </c>
      <c r="K234"/>
      <c r="L234"/>
      <c r="M234"/>
      <c r="N234" s="54"/>
      <c r="O234" s="54"/>
      <c r="P234" s="54"/>
      <c r="Z234"/>
    </row>
    <row r="235" spans="1:26" s="15" customFormat="1" x14ac:dyDescent="0.3">
      <c r="A235" s="17"/>
      <c r="B235"/>
      <c r="C235"/>
      <c r="D235"/>
      <c r="E235"/>
      <c r="F235" s="121">
        <v>43776</v>
      </c>
      <c r="G235" s="53">
        <v>292.34716800000001</v>
      </c>
      <c r="H235" s="53">
        <v>89.764472999999995</v>
      </c>
      <c r="I235" s="122">
        <f t="shared" si="3"/>
        <v>3.5168431404257738E-3</v>
      </c>
      <c r="J235" s="122">
        <f t="shared" si="3"/>
        <v>2.1865321519842773E-4</v>
      </c>
      <c r="K235"/>
      <c r="L235"/>
      <c r="M235"/>
      <c r="N235" s="54"/>
      <c r="O235" s="54"/>
      <c r="P235" s="54"/>
      <c r="Z235"/>
    </row>
    <row r="236" spans="1:26" s="15" customFormat="1" x14ac:dyDescent="0.3">
      <c r="A236" s="17"/>
      <c r="B236"/>
      <c r="C236"/>
      <c r="D236"/>
      <c r="E236"/>
      <c r="F236" s="121">
        <v>43777</v>
      </c>
      <c r="G236" s="53">
        <v>293.06811499999998</v>
      </c>
      <c r="H236" s="53">
        <v>89.764472999999995</v>
      </c>
      <c r="I236" s="122">
        <f t="shared" si="3"/>
        <v>2.4660645934493353E-3</v>
      </c>
      <c r="J236" s="122">
        <f t="shared" si="3"/>
        <v>0</v>
      </c>
      <c r="K236"/>
      <c r="L236"/>
      <c r="M236"/>
      <c r="N236" s="54"/>
      <c r="O236" s="54"/>
      <c r="P236" s="54"/>
      <c r="Z236"/>
    </row>
    <row r="237" spans="1:26" s="15" customFormat="1" x14ac:dyDescent="0.3">
      <c r="A237" s="17"/>
      <c r="B237"/>
      <c r="C237"/>
      <c r="D237"/>
      <c r="E237"/>
      <c r="F237" s="121">
        <v>43780</v>
      </c>
      <c r="G237" s="53">
        <v>292.50845299999997</v>
      </c>
      <c r="H237" s="53">
        <v>89.764472999999995</v>
      </c>
      <c r="I237" s="122">
        <f t="shared" si="3"/>
        <v>-1.9096652667247582E-3</v>
      </c>
      <c r="J237" s="122">
        <f t="shared" si="3"/>
        <v>0</v>
      </c>
      <c r="K237"/>
      <c r="L237"/>
      <c r="M237"/>
      <c r="N237" s="54"/>
      <c r="O237" s="54"/>
      <c r="P237" s="54"/>
      <c r="Z237"/>
    </row>
    <row r="238" spans="1:26" s="15" customFormat="1" x14ac:dyDescent="0.3">
      <c r="A238" s="17"/>
      <c r="B238"/>
      <c r="C238"/>
      <c r="D238"/>
      <c r="E238"/>
      <c r="F238" s="121">
        <v>43781</v>
      </c>
      <c r="G238" s="53">
        <v>293.12506100000002</v>
      </c>
      <c r="H238" s="53">
        <v>89.774269000000004</v>
      </c>
      <c r="I238" s="122">
        <f t="shared" si="3"/>
        <v>2.1080006190454803E-3</v>
      </c>
      <c r="J238" s="122">
        <f t="shared" si="3"/>
        <v>1.0913003410606414E-4</v>
      </c>
      <c r="K238"/>
      <c r="L238"/>
      <c r="M238"/>
      <c r="N238" s="54"/>
      <c r="O238" s="54"/>
      <c r="P238" s="54"/>
      <c r="Z238"/>
    </row>
    <row r="239" spans="1:26" s="15" customFormat="1" x14ac:dyDescent="0.3">
      <c r="A239" s="17"/>
      <c r="B239"/>
      <c r="C239"/>
      <c r="D239"/>
      <c r="E239"/>
      <c r="F239" s="121">
        <v>43782</v>
      </c>
      <c r="G239" s="53">
        <v>293.21994000000001</v>
      </c>
      <c r="H239" s="53">
        <v>89.774269000000004</v>
      </c>
      <c r="I239" s="122">
        <f t="shared" si="3"/>
        <v>3.236809560953624E-4</v>
      </c>
      <c r="J239" s="122">
        <f t="shared" si="3"/>
        <v>0</v>
      </c>
      <c r="K239"/>
      <c r="L239"/>
      <c r="M239"/>
      <c r="N239" s="54"/>
      <c r="O239" s="54"/>
      <c r="P239" s="54"/>
      <c r="Z239"/>
    </row>
    <row r="240" spans="1:26" s="15" customFormat="1" x14ac:dyDescent="0.3">
      <c r="A240" s="17"/>
      <c r="B240"/>
      <c r="C240"/>
      <c r="D240"/>
      <c r="E240"/>
      <c r="F240" s="121">
        <v>43783</v>
      </c>
      <c r="G240" s="53">
        <v>293.64681999999999</v>
      </c>
      <c r="H240" s="53">
        <v>89.784087999999997</v>
      </c>
      <c r="I240" s="122">
        <f t="shared" si="3"/>
        <v>1.4558355069576034E-3</v>
      </c>
      <c r="J240" s="122">
        <f t="shared" si="3"/>
        <v>1.0937432417290616E-4</v>
      </c>
      <c r="K240"/>
      <c r="L240"/>
      <c r="M240"/>
      <c r="N240" s="54"/>
      <c r="O240" s="54"/>
      <c r="P240" s="54"/>
      <c r="Z240"/>
    </row>
    <row r="241" spans="1:26" s="15" customFormat="1" x14ac:dyDescent="0.3">
      <c r="A241" s="17"/>
      <c r="B241"/>
      <c r="C241"/>
      <c r="D241"/>
      <c r="E241"/>
      <c r="F241" s="121">
        <v>43784</v>
      </c>
      <c r="G241" s="53">
        <v>295.77172899999999</v>
      </c>
      <c r="H241" s="53">
        <v>89.774269000000004</v>
      </c>
      <c r="I241" s="122">
        <f t="shared" si="3"/>
        <v>7.236274515079133E-3</v>
      </c>
      <c r="J241" s="122">
        <f t="shared" si="3"/>
        <v>-1.0936236273839661E-4</v>
      </c>
      <c r="K241"/>
      <c r="L241"/>
      <c r="M241"/>
      <c r="N241" s="54"/>
      <c r="O241" s="54"/>
      <c r="P241" s="54"/>
      <c r="Z241"/>
    </row>
    <row r="242" spans="1:26" s="15" customFormat="1" x14ac:dyDescent="0.3">
      <c r="A242" s="17"/>
      <c r="B242"/>
      <c r="C242"/>
      <c r="D242"/>
      <c r="E242"/>
      <c r="F242" s="121">
        <v>43787</v>
      </c>
      <c r="G242" s="53">
        <v>295.989868</v>
      </c>
      <c r="H242" s="53">
        <v>89.793869000000001</v>
      </c>
      <c r="I242" s="122">
        <f t="shared" si="3"/>
        <v>7.3752484978029109E-4</v>
      </c>
      <c r="J242" s="122">
        <f t="shared" si="3"/>
        <v>2.1832536447607964E-4</v>
      </c>
      <c r="K242"/>
      <c r="L242"/>
      <c r="M242"/>
      <c r="N242" s="54"/>
      <c r="O242" s="54"/>
      <c r="P242" s="54"/>
      <c r="Z242"/>
    </row>
    <row r="243" spans="1:26" s="15" customFormat="1" x14ac:dyDescent="0.3">
      <c r="A243" s="17"/>
      <c r="B243"/>
      <c r="C243"/>
      <c r="D243"/>
      <c r="E243"/>
      <c r="F243" s="121">
        <v>43788</v>
      </c>
      <c r="G243" s="53">
        <v>295.90447999999998</v>
      </c>
      <c r="H243" s="53">
        <v>89.784087999999997</v>
      </c>
      <c r="I243" s="122">
        <f t="shared" si="3"/>
        <v>-2.8848284766291865E-4</v>
      </c>
      <c r="J243" s="122">
        <f t="shared" si="3"/>
        <v>-1.0892725871969322E-4</v>
      </c>
      <c r="K243"/>
      <c r="L243"/>
      <c r="M243"/>
      <c r="N243" s="54"/>
      <c r="O243" s="54"/>
      <c r="P243" s="54"/>
      <c r="Z243"/>
    </row>
    <row r="244" spans="1:26" s="15" customFormat="1" x14ac:dyDescent="0.3">
      <c r="A244" s="17"/>
      <c r="B244"/>
      <c r="C244"/>
      <c r="D244"/>
      <c r="E244"/>
      <c r="F244" s="121">
        <v>43789</v>
      </c>
      <c r="G244" s="53">
        <v>294.80413800000002</v>
      </c>
      <c r="H244" s="53">
        <v>89.793869000000001</v>
      </c>
      <c r="I244" s="122">
        <f t="shared" si="3"/>
        <v>-3.7185716147317693E-3</v>
      </c>
      <c r="J244" s="122">
        <f t="shared" si="3"/>
        <v>1.0893912515985704E-4</v>
      </c>
      <c r="K244"/>
      <c r="L244"/>
      <c r="M244"/>
      <c r="N244" s="54"/>
      <c r="O244" s="54"/>
      <c r="P244" s="54"/>
      <c r="Z244"/>
    </row>
    <row r="245" spans="1:26" s="15" customFormat="1" x14ac:dyDescent="0.3">
      <c r="A245" s="17"/>
      <c r="B245"/>
      <c r="C245"/>
      <c r="D245"/>
      <c r="E245"/>
      <c r="F245" s="121">
        <v>43790</v>
      </c>
      <c r="G245" s="53">
        <v>294.32986499999998</v>
      </c>
      <c r="H245" s="53">
        <v>89.793869000000001</v>
      </c>
      <c r="I245" s="122">
        <f t="shared" si="3"/>
        <v>-1.6087732119962617E-3</v>
      </c>
      <c r="J245" s="122">
        <f t="shared" si="3"/>
        <v>0</v>
      </c>
      <c r="K245"/>
      <c r="L245"/>
      <c r="M245"/>
      <c r="N245" s="54"/>
      <c r="O245" s="54"/>
      <c r="P245" s="54"/>
      <c r="Z245"/>
    </row>
    <row r="246" spans="1:26" s="15" customFormat="1" x14ac:dyDescent="0.3">
      <c r="A246" s="17"/>
      <c r="B246"/>
      <c r="C246"/>
      <c r="D246"/>
      <c r="E246"/>
      <c r="F246" s="121">
        <v>43791</v>
      </c>
      <c r="G246" s="53">
        <v>294.984375</v>
      </c>
      <c r="H246" s="53">
        <v>89.803711000000007</v>
      </c>
      <c r="I246" s="122">
        <f t="shared" si="3"/>
        <v>2.2237294880016467E-3</v>
      </c>
      <c r="J246" s="122">
        <f t="shared" si="3"/>
        <v>1.0960659240555337E-4</v>
      </c>
      <c r="K246"/>
      <c r="L246"/>
      <c r="M246"/>
      <c r="N246" s="54"/>
      <c r="O246" s="54"/>
      <c r="P246" s="54"/>
      <c r="Z246"/>
    </row>
    <row r="247" spans="1:26" s="15" customFormat="1" x14ac:dyDescent="0.3">
      <c r="A247" s="17"/>
      <c r="B247"/>
      <c r="C247"/>
      <c r="D247"/>
      <c r="E247"/>
      <c r="F247" s="121">
        <v>43794</v>
      </c>
      <c r="G247" s="53">
        <v>297.27050800000001</v>
      </c>
      <c r="H247" s="53">
        <v>89.803711000000007</v>
      </c>
      <c r="I247" s="122">
        <f t="shared" si="3"/>
        <v>7.7500138778536787E-3</v>
      </c>
      <c r="J247" s="122">
        <f t="shared" si="3"/>
        <v>0</v>
      </c>
      <c r="K247"/>
      <c r="L247"/>
      <c r="M247"/>
      <c r="N247" s="54"/>
      <c r="O247" s="54"/>
      <c r="P247" s="54"/>
      <c r="Z247"/>
    </row>
    <row r="248" spans="1:26" s="15" customFormat="1" x14ac:dyDescent="0.3">
      <c r="A248" s="17"/>
      <c r="B248"/>
      <c r="C248"/>
      <c r="D248"/>
      <c r="E248"/>
      <c r="F248" s="121">
        <v>43795</v>
      </c>
      <c r="G248" s="53">
        <v>297.94406099999998</v>
      </c>
      <c r="H248" s="53">
        <v>89.813522000000006</v>
      </c>
      <c r="I248" s="122">
        <f t="shared" si="3"/>
        <v>2.2657915328754274E-3</v>
      </c>
      <c r="J248" s="122">
        <f t="shared" si="3"/>
        <v>1.092493828012131E-4</v>
      </c>
      <c r="K248"/>
      <c r="L248"/>
      <c r="M248"/>
      <c r="N248" s="54"/>
      <c r="O248" s="54"/>
      <c r="P248" s="54"/>
      <c r="Z248"/>
    </row>
    <row r="249" spans="1:26" s="15" customFormat="1" x14ac:dyDescent="0.3">
      <c r="A249" s="17"/>
      <c r="B249"/>
      <c r="C249"/>
      <c r="D249"/>
      <c r="E249"/>
      <c r="F249" s="121">
        <v>43796</v>
      </c>
      <c r="G249" s="53">
        <v>299.272156</v>
      </c>
      <c r="H249" s="53">
        <v>89.833145000000002</v>
      </c>
      <c r="I249" s="122">
        <f t="shared" si="3"/>
        <v>4.4575313753276724E-3</v>
      </c>
      <c r="J249" s="122">
        <f t="shared" si="3"/>
        <v>2.1848603153529211E-4</v>
      </c>
      <c r="K249"/>
      <c r="L249"/>
      <c r="M249"/>
      <c r="N249" s="54"/>
      <c r="O249" s="54"/>
      <c r="P249" s="54"/>
      <c r="Z249"/>
    </row>
    <row r="250" spans="1:26" s="15" customFormat="1" x14ac:dyDescent="0.3">
      <c r="A250" s="17"/>
      <c r="B250"/>
      <c r="C250"/>
      <c r="D250"/>
      <c r="E250"/>
      <c r="F250" s="121">
        <v>43798</v>
      </c>
      <c r="G250" s="53">
        <v>298.16229199999998</v>
      </c>
      <c r="H250" s="53">
        <v>89.833145000000002</v>
      </c>
      <c r="I250" s="122">
        <f t="shared" si="3"/>
        <v>-3.7085441386669471E-3</v>
      </c>
      <c r="J250" s="122">
        <f t="shared" si="3"/>
        <v>0</v>
      </c>
      <c r="K250"/>
      <c r="L250"/>
      <c r="M250"/>
      <c r="N250" s="54"/>
      <c r="O250" s="54"/>
      <c r="P250" s="54"/>
      <c r="Z250"/>
    </row>
    <row r="251" spans="1:26" s="15" customFormat="1" x14ac:dyDescent="0.3">
      <c r="A251" s="17"/>
      <c r="B251"/>
      <c r="C251"/>
      <c r="D251"/>
      <c r="E251"/>
      <c r="F251" s="121">
        <v>43801</v>
      </c>
      <c r="G251" s="53">
        <v>295.62942500000003</v>
      </c>
      <c r="H251" s="53">
        <v>89.840012000000002</v>
      </c>
      <c r="I251" s="122">
        <f t="shared" si="3"/>
        <v>-8.4949273196489594E-3</v>
      </c>
      <c r="J251" s="122">
        <f t="shared" si="3"/>
        <v>7.6441718699804539E-5</v>
      </c>
      <c r="K251"/>
      <c r="L251"/>
      <c r="M251"/>
      <c r="N251" s="54"/>
      <c r="O251" s="54"/>
      <c r="P251" s="54"/>
      <c r="Z251"/>
    </row>
    <row r="252" spans="1:26" s="15" customFormat="1" x14ac:dyDescent="0.3">
      <c r="A252" s="17"/>
      <c r="B252"/>
      <c r="C252"/>
      <c r="D252"/>
      <c r="E252"/>
      <c r="F252" s="121">
        <v>43802</v>
      </c>
      <c r="G252" s="53">
        <v>293.64681999999999</v>
      </c>
      <c r="H252" s="53">
        <v>89.830214999999995</v>
      </c>
      <c r="I252" s="122">
        <f t="shared" si="3"/>
        <v>-6.7063858748162009E-3</v>
      </c>
      <c r="J252" s="122">
        <f t="shared" si="3"/>
        <v>-1.0904940662748164E-4</v>
      </c>
      <c r="K252"/>
      <c r="L252"/>
      <c r="M252"/>
      <c r="N252" s="54"/>
      <c r="O252" s="54"/>
      <c r="P252" s="54"/>
      <c r="Z252"/>
    </row>
    <row r="253" spans="1:26" s="15" customFormat="1" x14ac:dyDescent="0.3">
      <c r="A253" s="17"/>
      <c r="B253"/>
      <c r="C253"/>
      <c r="D253"/>
      <c r="E253"/>
      <c r="F253" s="121">
        <v>43803</v>
      </c>
      <c r="G253" s="53">
        <v>295.45867900000002</v>
      </c>
      <c r="H253" s="53">
        <v>89.840012000000002</v>
      </c>
      <c r="I253" s="122">
        <f t="shared" si="3"/>
        <v>6.1701979268837803E-3</v>
      </c>
      <c r="J253" s="122">
        <f t="shared" si="3"/>
        <v>1.0906129969745493E-4</v>
      </c>
      <c r="K253"/>
      <c r="L253"/>
      <c r="M253"/>
      <c r="N253" s="54"/>
      <c r="O253" s="54"/>
      <c r="P253" s="54"/>
      <c r="Z253"/>
    </row>
    <row r="254" spans="1:26" s="15" customFormat="1" x14ac:dyDescent="0.3">
      <c r="A254" s="17"/>
      <c r="B254"/>
      <c r="C254"/>
      <c r="D254"/>
      <c r="E254"/>
      <c r="F254" s="121">
        <v>43804</v>
      </c>
      <c r="G254" s="53">
        <v>295.989868</v>
      </c>
      <c r="H254" s="53">
        <v>89.859673000000001</v>
      </c>
      <c r="I254" s="122">
        <f t="shared" si="3"/>
        <v>1.7978453088527413E-3</v>
      </c>
      <c r="J254" s="122">
        <f t="shared" si="3"/>
        <v>2.1884458341348001E-4</v>
      </c>
      <c r="K254"/>
      <c r="L254"/>
      <c r="M254"/>
      <c r="N254" s="54"/>
      <c r="O254" s="54"/>
      <c r="P254" s="54"/>
      <c r="Z254"/>
    </row>
    <row r="255" spans="1:26" s="15" customFormat="1" x14ac:dyDescent="0.3">
      <c r="A255" s="17"/>
      <c r="B255"/>
      <c r="C255"/>
      <c r="D255"/>
      <c r="E255"/>
      <c r="F255" s="121">
        <v>43805</v>
      </c>
      <c r="G255" s="53">
        <v>298.69348100000002</v>
      </c>
      <c r="H255" s="53">
        <v>89.859673000000001</v>
      </c>
      <c r="I255" s="122">
        <f t="shared" si="3"/>
        <v>9.1341403618585559E-3</v>
      </c>
      <c r="J255" s="122">
        <f t="shared" si="3"/>
        <v>0</v>
      </c>
      <c r="K255"/>
      <c r="L255"/>
      <c r="M255"/>
      <c r="N255" s="54"/>
      <c r="O255" s="54"/>
      <c r="P255" s="54"/>
      <c r="Z255"/>
    </row>
    <row r="256" spans="1:26" s="15" customFormat="1" x14ac:dyDescent="0.3">
      <c r="A256" s="17"/>
      <c r="B256"/>
      <c r="C256"/>
      <c r="D256"/>
      <c r="E256"/>
      <c r="F256" s="121">
        <v>43808</v>
      </c>
      <c r="G256" s="53">
        <v>297.75433299999997</v>
      </c>
      <c r="H256" s="53">
        <v>89.869506999999999</v>
      </c>
      <c r="I256" s="122">
        <f t="shared" si="3"/>
        <v>-3.144186464518306E-3</v>
      </c>
      <c r="J256" s="122">
        <f t="shared" si="3"/>
        <v>1.094373000889437E-4</v>
      </c>
      <c r="K256"/>
      <c r="L256"/>
      <c r="M256"/>
      <c r="N256" s="54"/>
      <c r="O256" s="54"/>
      <c r="P256" s="54"/>
      <c r="Z256"/>
    </row>
    <row r="257" spans="1:26" s="15" customFormat="1" x14ac:dyDescent="0.3">
      <c r="A257" s="17"/>
      <c r="B257"/>
      <c r="C257"/>
      <c r="D257"/>
      <c r="E257"/>
      <c r="F257" s="121">
        <v>43809</v>
      </c>
      <c r="G257" s="53">
        <v>297.422302</v>
      </c>
      <c r="H257" s="53">
        <v>89.869506999999999</v>
      </c>
      <c r="I257" s="122">
        <f t="shared" si="3"/>
        <v>-1.1151172735409665E-3</v>
      </c>
      <c r="J257" s="122">
        <f t="shared" si="3"/>
        <v>0</v>
      </c>
      <c r="K257"/>
      <c r="L257"/>
      <c r="M257"/>
      <c r="N257" s="54"/>
      <c r="O257" s="54"/>
      <c r="P257" s="54"/>
      <c r="Z257"/>
    </row>
    <row r="258" spans="1:26" s="15" customFormat="1" x14ac:dyDescent="0.3">
      <c r="A258" s="17"/>
      <c r="B258"/>
      <c r="C258"/>
      <c r="D258"/>
      <c r="E258"/>
      <c r="F258" s="121">
        <v>43810</v>
      </c>
      <c r="G258" s="53">
        <v>298.26669299999998</v>
      </c>
      <c r="H258" s="53">
        <v>89.869506999999999</v>
      </c>
      <c r="I258" s="122">
        <f t="shared" si="3"/>
        <v>2.8390305445218367E-3</v>
      </c>
      <c r="J258" s="122">
        <f t="shared" si="3"/>
        <v>0</v>
      </c>
      <c r="K258"/>
      <c r="L258"/>
      <c r="M258"/>
      <c r="N258" s="54"/>
      <c r="O258" s="54"/>
      <c r="P258" s="54"/>
      <c r="Z258"/>
    </row>
    <row r="259" spans="1:26" s="15" customFormat="1" x14ac:dyDescent="0.3">
      <c r="A259" s="17"/>
      <c r="B259"/>
      <c r="C259"/>
      <c r="D259"/>
      <c r="E259"/>
      <c r="F259" s="121">
        <v>43811</v>
      </c>
      <c r="G259" s="53">
        <v>300.83737200000002</v>
      </c>
      <c r="H259" s="53">
        <v>89.889122</v>
      </c>
      <c r="I259" s="122">
        <f t="shared" si="3"/>
        <v>8.618726328923465E-3</v>
      </c>
      <c r="J259" s="122">
        <f t="shared" si="3"/>
        <v>2.1826090578191959E-4</v>
      </c>
      <c r="K259"/>
      <c r="L259"/>
      <c r="M259"/>
      <c r="N259" s="27"/>
      <c r="O259" s="27"/>
      <c r="P259" s="27"/>
      <c r="Z259"/>
    </row>
    <row r="260" spans="1:26" s="15" customFormat="1" x14ac:dyDescent="0.3">
      <c r="A260" s="17"/>
      <c r="B260"/>
      <c r="C260"/>
      <c r="D260"/>
      <c r="E260"/>
      <c r="F260" s="121">
        <v>43812</v>
      </c>
      <c r="G260" s="53">
        <v>301.01767000000001</v>
      </c>
      <c r="H260" s="53">
        <v>89.869506999999999</v>
      </c>
      <c r="I260" s="122">
        <f t="shared" si="3"/>
        <v>5.993204860199608E-4</v>
      </c>
      <c r="J260" s="122">
        <f t="shared" si="3"/>
        <v>-2.1821327835425119E-4</v>
      </c>
      <c r="K260"/>
      <c r="L260"/>
      <c r="M260"/>
      <c r="N260" s="27"/>
      <c r="O260" s="27"/>
      <c r="P260" s="27"/>
      <c r="Z260"/>
    </row>
    <row r="261" spans="1:26" s="15" customFormat="1" x14ac:dyDescent="0.3">
      <c r="A261" s="17"/>
      <c r="B261"/>
      <c r="C261"/>
      <c r="D261"/>
      <c r="E261"/>
      <c r="F261" s="121">
        <v>43815</v>
      </c>
      <c r="G261" s="53">
        <v>303.08563199999998</v>
      </c>
      <c r="H261" s="53">
        <v>89.889122</v>
      </c>
      <c r="I261" s="122">
        <f t="shared" si="3"/>
        <v>6.8699023549014804E-3</v>
      </c>
      <c r="J261" s="122">
        <f t="shared" si="3"/>
        <v>2.1826090578191959E-4</v>
      </c>
      <c r="K261"/>
      <c r="L261"/>
      <c r="M261"/>
      <c r="N261" s="27"/>
      <c r="O261" s="27"/>
      <c r="P261" s="27"/>
      <c r="Z261"/>
    </row>
    <row r="262" spans="1:26" s="15" customFormat="1" x14ac:dyDescent="0.3">
      <c r="A262" s="17"/>
      <c r="B262"/>
      <c r="C262"/>
      <c r="D262"/>
      <c r="E262"/>
      <c r="F262" s="121">
        <v>43816</v>
      </c>
      <c r="G262" s="53">
        <v>303.15200800000002</v>
      </c>
      <c r="H262" s="53">
        <v>89.879340999999997</v>
      </c>
      <c r="I262" s="122">
        <f t="shared" si="3"/>
        <v>2.1900081360515244E-4</v>
      </c>
      <c r="J262" s="122">
        <f t="shared" si="3"/>
        <v>-1.0881183153621521E-4</v>
      </c>
      <c r="K262"/>
      <c r="L262"/>
      <c r="M262"/>
      <c r="N262" s="27"/>
      <c r="O262" s="27"/>
      <c r="P262" s="27"/>
      <c r="Z262"/>
    </row>
    <row r="263" spans="1:26" s="15" customFormat="1" x14ac:dyDescent="0.3">
      <c r="A263" s="17"/>
      <c r="B263"/>
      <c r="C263"/>
      <c r="D263"/>
      <c r="E263"/>
      <c r="F263" s="121">
        <v>43817</v>
      </c>
      <c r="G263" s="53">
        <v>303.17095899999998</v>
      </c>
      <c r="H263" s="53">
        <v>89.898964000000007</v>
      </c>
      <c r="I263" s="122">
        <f t="shared" si="3"/>
        <v>6.2513193051172422E-5</v>
      </c>
      <c r="J263" s="122">
        <f t="shared" si="3"/>
        <v>2.1832603334304146E-4</v>
      </c>
      <c r="K263"/>
      <c r="L263"/>
      <c r="M263"/>
      <c r="N263" s="27"/>
      <c r="O263" s="27"/>
      <c r="P263" s="27"/>
      <c r="Z263"/>
    </row>
    <row r="264" spans="1:26" s="15" customFormat="1" x14ac:dyDescent="0.3">
      <c r="A264" s="17"/>
      <c r="B264"/>
      <c r="C264"/>
      <c r="D264"/>
      <c r="E264"/>
      <c r="F264" s="121">
        <v>43818</v>
      </c>
      <c r="G264" s="53">
        <v>304.41366599999998</v>
      </c>
      <c r="H264" s="53">
        <v>89.908783</v>
      </c>
      <c r="I264" s="122">
        <f t="shared" si="3"/>
        <v>4.0990304747494655E-3</v>
      </c>
      <c r="J264" s="122">
        <f t="shared" si="3"/>
        <v>1.0922261573553804E-4</v>
      </c>
      <c r="K264"/>
      <c r="L264"/>
      <c r="M264"/>
      <c r="N264" s="27"/>
      <c r="O264" s="27"/>
      <c r="P264" s="27"/>
      <c r="Z264"/>
    </row>
    <row r="265" spans="1:26" s="15" customFormat="1" x14ac:dyDescent="0.3">
      <c r="A265" s="17"/>
      <c r="B265"/>
      <c r="C265"/>
      <c r="D265"/>
      <c r="E265"/>
      <c r="F265" s="121">
        <v>43819</v>
      </c>
      <c r="G265" s="53">
        <v>305.74826000000002</v>
      </c>
      <c r="H265" s="53">
        <v>89.913703999999996</v>
      </c>
      <c r="I265" s="122">
        <f t="shared" si="3"/>
        <v>4.384146144083001E-3</v>
      </c>
      <c r="J265" s="122">
        <f t="shared" si="3"/>
        <v>5.4733251144023498E-5</v>
      </c>
      <c r="K265"/>
      <c r="L265"/>
      <c r="M265"/>
      <c r="N265" s="27"/>
      <c r="O265" s="27"/>
      <c r="P265" s="27"/>
      <c r="Z265"/>
    </row>
    <row r="266" spans="1:26" s="15" customFormat="1" x14ac:dyDescent="0.3">
      <c r="A266" s="17"/>
      <c r="B266"/>
      <c r="C266"/>
      <c r="D266"/>
      <c r="E266"/>
      <c r="F266" s="121">
        <v>43822</v>
      </c>
      <c r="G266" s="53">
        <v>306.21542399999998</v>
      </c>
      <c r="H266" s="53">
        <v>89.913703999999996</v>
      </c>
      <c r="I266" s="122">
        <f t="shared" si="3"/>
        <v>1.5279367411606959E-3</v>
      </c>
      <c r="J266" s="122">
        <f t="shared" si="3"/>
        <v>0</v>
      </c>
      <c r="K266"/>
      <c r="L266"/>
      <c r="M266"/>
      <c r="N266" s="27"/>
      <c r="O266" s="27"/>
      <c r="P266" s="27"/>
      <c r="Z266"/>
    </row>
    <row r="267" spans="1:26" s="15" customFormat="1" x14ac:dyDescent="0.3">
      <c r="A267" s="17"/>
      <c r="B267"/>
      <c r="C267"/>
      <c r="D267"/>
      <c r="E267"/>
      <c r="F267" s="121">
        <v>43823</v>
      </c>
      <c r="G267" s="53">
        <v>306.22500600000001</v>
      </c>
      <c r="H267" s="53">
        <v>89.923546000000002</v>
      </c>
      <c r="I267" s="122">
        <f t="shared" si="3"/>
        <v>3.1291696136248603E-5</v>
      </c>
      <c r="J267" s="122">
        <f t="shared" si="3"/>
        <v>1.0946051115867661E-4</v>
      </c>
      <c r="K267"/>
      <c r="L267"/>
      <c r="M267"/>
      <c r="N267" s="27"/>
      <c r="O267" s="27"/>
      <c r="P267" s="27"/>
      <c r="Z267"/>
    </row>
    <row r="268" spans="1:26" s="15" customFormat="1" x14ac:dyDescent="0.3">
      <c r="A268" s="17"/>
      <c r="B268"/>
      <c r="C268"/>
      <c r="D268"/>
      <c r="E268"/>
      <c r="F268" s="121">
        <v>43825</v>
      </c>
      <c r="G268" s="53">
        <v>307.85504200000003</v>
      </c>
      <c r="H268" s="53">
        <v>89.93338</v>
      </c>
      <c r="I268" s="122">
        <f t="shared" si="3"/>
        <v>5.3230009570153225E-3</v>
      </c>
      <c r="J268" s="122">
        <f t="shared" si="3"/>
        <v>1.0935956640323319E-4</v>
      </c>
      <c r="K268"/>
      <c r="L268"/>
      <c r="M268"/>
      <c r="N268" s="27"/>
      <c r="O268" s="27"/>
      <c r="P268" s="27"/>
      <c r="Z268"/>
    </row>
    <row r="269" spans="1:26" s="15" customFormat="1" x14ac:dyDescent="0.3">
      <c r="A269" s="17"/>
      <c r="B269"/>
      <c r="C269"/>
      <c r="D269"/>
      <c r="E269"/>
      <c r="F269" s="121">
        <v>43826</v>
      </c>
      <c r="G269" s="53">
        <v>307.77877799999999</v>
      </c>
      <c r="H269" s="53">
        <v>89.923546000000002</v>
      </c>
      <c r="I269" s="122">
        <f t="shared" si="3"/>
        <v>-2.477269805444271E-4</v>
      </c>
      <c r="J269" s="122">
        <f t="shared" si="3"/>
        <v>-1.0934760819614198E-4</v>
      </c>
      <c r="K269"/>
      <c r="L269"/>
      <c r="M269"/>
      <c r="N269" s="27"/>
      <c r="O269" s="27"/>
      <c r="P269" s="27"/>
      <c r="Z269"/>
    </row>
    <row r="270" spans="1:26" s="15" customFormat="1" x14ac:dyDescent="0.3">
      <c r="A270" s="17"/>
      <c r="B270"/>
      <c r="C270"/>
      <c r="D270"/>
      <c r="E270"/>
      <c r="F270" s="121">
        <v>43829</v>
      </c>
      <c r="G270" s="53">
        <v>306.08193999999997</v>
      </c>
      <c r="H270" s="53">
        <v>89.93338</v>
      </c>
      <c r="I270" s="122">
        <f t="shared" si="3"/>
        <v>-5.5131741409409907E-3</v>
      </c>
      <c r="J270" s="122">
        <f t="shared" si="3"/>
        <v>1.0935956640323319E-4</v>
      </c>
      <c r="K270"/>
      <c r="L270"/>
      <c r="M270"/>
      <c r="N270" s="27"/>
      <c r="O270" s="27"/>
      <c r="P270" s="27"/>
      <c r="Z270"/>
    </row>
    <row r="271" spans="1:26" s="15" customFormat="1" x14ac:dyDescent="0.3">
      <c r="A271" s="17"/>
      <c r="B271"/>
      <c r="C271"/>
      <c r="D271"/>
      <c r="E271"/>
      <c r="F271" s="121">
        <v>43830</v>
      </c>
      <c r="G271" s="53">
        <v>306.82549999999998</v>
      </c>
      <c r="H271" s="53">
        <v>89.93338</v>
      </c>
      <c r="I271" s="122">
        <f t="shared" si="3"/>
        <v>2.429284132216436E-3</v>
      </c>
      <c r="J271" s="122">
        <f t="shared" si="3"/>
        <v>0</v>
      </c>
      <c r="K271"/>
      <c r="L271"/>
      <c r="M271"/>
      <c r="N271" s="27"/>
      <c r="O271" s="27"/>
      <c r="P271" s="27"/>
      <c r="Z271"/>
    </row>
    <row r="272" spans="1:26" s="15" customFormat="1" x14ac:dyDescent="0.3">
      <c r="A272" s="17"/>
      <c r="B272"/>
      <c r="C272"/>
      <c r="D272"/>
      <c r="E272"/>
      <c r="F272" s="121">
        <v>43832</v>
      </c>
      <c r="G272" s="53">
        <v>309.69491599999998</v>
      </c>
      <c r="H272" s="53">
        <v>89.962897999999996</v>
      </c>
      <c r="I272" s="122">
        <f t="shared" si="3"/>
        <v>9.3519476053978146E-3</v>
      </c>
      <c r="J272" s="122">
        <f t="shared" si="3"/>
        <v>3.2822073405891494E-4</v>
      </c>
      <c r="K272"/>
      <c r="L272"/>
      <c r="M272"/>
      <c r="N272" s="27"/>
      <c r="O272" s="27"/>
      <c r="P272" s="27"/>
      <c r="Z272"/>
    </row>
    <row r="273" spans="1:26" s="15" customFormat="1" x14ac:dyDescent="0.3">
      <c r="A273" s="17"/>
      <c r="B273"/>
      <c r="C273"/>
      <c r="D273"/>
      <c r="E273"/>
      <c r="F273" s="121">
        <v>43833</v>
      </c>
      <c r="G273" s="53">
        <v>307.34979199999998</v>
      </c>
      <c r="H273" s="53">
        <v>89.962897999999996</v>
      </c>
      <c r="I273" s="122">
        <f t="shared" si="3"/>
        <v>-7.5723684143397252E-3</v>
      </c>
      <c r="J273" s="122">
        <f t="shared" si="3"/>
        <v>0</v>
      </c>
      <c r="K273"/>
      <c r="L273"/>
      <c r="M273"/>
      <c r="N273" s="27"/>
      <c r="O273" s="27"/>
      <c r="P273" s="27"/>
      <c r="Z273"/>
    </row>
    <row r="274" spans="1:26" s="15" customFormat="1" x14ac:dyDescent="0.3">
      <c r="A274" s="17"/>
      <c r="B274"/>
      <c r="C274"/>
      <c r="D274"/>
      <c r="E274"/>
      <c r="F274" s="121">
        <v>43836</v>
      </c>
      <c r="G274" s="53">
        <v>308.52236900000003</v>
      </c>
      <c r="H274" s="53">
        <v>89.953040999999999</v>
      </c>
      <c r="I274" s="122">
        <f t="shared" si="3"/>
        <v>3.8151221524171941E-3</v>
      </c>
      <c r="J274" s="122">
        <f t="shared" si="3"/>
        <v>-1.095673907702821E-4</v>
      </c>
      <c r="K274"/>
      <c r="L274"/>
      <c r="M274"/>
      <c r="N274" s="27"/>
      <c r="O274" s="27"/>
      <c r="P274" s="27"/>
      <c r="Z274"/>
    </row>
    <row r="275" spans="1:26" s="15" customFormat="1" x14ac:dyDescent="0.3">
      <c r="A275" s="17"/>
      <c r="B275"/>
      <c r="C275"/>
      <c r="D275"/>
      <c r="E275"/>
      <c r="F275" s="121">
        <v>43837</v>
      </c>
      <c r="G275" s="53">
        <v>307.65490699999998</v>
      </c>
      <c r="H275" s="53">
        <v>89.953040999999999</v>
      </c>
      <c r="I275" s="122">
        <f t="shared" si="3"/>
        <v>-2.8116664694741722E-3</v>
      </c>
      <c r="J275" s="122">
        <f t="shared" si="3"/>
        <v>0</v>
      </c>
      <c r="K275"/>
      <c r="L275"/>
      <c r="M275"/>
      <c r="N275" s="27"/>
      <c r="O275" s="27"/>
      <c r="P275" s="27"/>
      <c r="Z275"/>
    </row>
    <row r="276" spans="1:26" s="15" customFormat="1" x14ac:dyDescent="0.3">
      <c r="A276" s="17"/>
      <c r="B276"/>
      <c r="C276"/>
      <c r="D276"/>
      <c r="E276"/>
      <c r="F276" s="121">
        <v>43838</v>
      </c>
      <c r="G276" s="53">
        <v>309.29452500000002</v>
      </c>
      <c r="H276" s="53">
        <v>89.972740000000002</v>
      </c>
      <c r="I276" s="122">
        <f t="shared" si="3"/>
        <v>5.3294063013271664E-3</v>
      </c>
      <c r="J276" s="122">
        <f t="shared" si="3"/>
        <v>2.1899204052489019E-4</v>
      </c>
      <c r="K276"/>
      <c r="L276"/>
      <c r="M276"/>
      <c r="N276" s="27"/>
      <c r="O276" s="27"/>
      <c r="P276" s="27"/>
      <c r="Z276"/>
    </row>
    <row r="277" spans="1:26" s="15" customFormat="1" x14ac:dyDescent="0.3">
      <c r="A277" s="17"/>
      <c r="B277"/>
      <c r="C277"/>
      <c r="D277"/>
      <c r="E277"/>
      <c r="F277" s="121">
        <v>43839</v>
      </c>
      <c r="G277" s="53">
        <v>311.39172400000001</v>
      </c>
      <c r="H277" s="53">
        <v>89.982567000000003</v>
      </c>
      <c r="I277" s="122">
        <f t="shared" ref="I277:J342" si="4">G277/G276-1</f>
        <v>6.7805888254892643E-3</v>
      </c>
      <c r="J277" s="122">
        <f t="shared" si="4"/>
        <v>1.092219710103759E-4</v>
      </c>
      <c r="K277"/>
      <c r="L277"/>
      <c r="M277"/>
      <c r="N277" s="27"/>
      <c r="O277" s="27"/>
      <c r="P277" s="27"/>
      <c r="Z277"/>
    </row>
    <row r="278" spans="1:26" s="15" customFormat="1" x14ac:dyDescent="0.3">
      <c r="A278" s="17"/>
      <c r="B278"/>
      <c r="C278"/>
      <c r="D278"/>
      <c r="E278"/>
      <c r="F278" s="121">
        <v>43840</v>
      </c>
      <c r="G278" s="53">
        <v>310.49566700000003</v>
      </c>
      <c r="H278" s="53">
        <v>89.982567000000003</v>
      </c>
      <c r="I278" s="122">
        <f t="shared" si="4"/>
        <v>-2.8775877164930463E-3</v>
      </c>
      <c r="J278" s="122">
        <f t="shared" si="4"/>
        <v>0</v>
      </c>
      <c r="K278"/>
      <c r="L278"/>
      <c r="M278"/>
      <c r="N278" s="27"/>
      <c r="O278" s="27"/>
      <c r="P278" s="27"/>
      <c r="Z278"/>
    </row>
    <row r="279" spans="1:26" s="15" customFormat="1" x14ac:dyDescent="0.3">
      <c r="A279" s="17"/>
      <c r="B279"/>
      <c r="C279"/>
      <c r="D279"/>
      <c r="E279"/>
      <c r="F279" s="121">
        <v>43843</v>
      </c>
      <c r="G279" s="53">
        <v>312.63104199999998</v>
      </c>
      <c r="H279" s="53">
        <v>89.982567000000003</v>
      </c>
      <c r="I279" s="122">
        <f t="shared" si="4"/>
        <v>6.8773101429462358E-3</v>
      </c>
      <c r="J279" s="122">
        <f t="shared" si="4"/>
        <v>0</v>
      </c>
      <c r="K279"/>
      <c r="L279"/>
      <c r="M279"/>
      <c r="N279" s="27"/>
      <c r="O279" s="27"/>
      <c r="P279" s="27"/>
      <c r="Z279"/>
    </row>
    <row r="280" spans="1:26" s="15" customFormat="1" x14ac:dyDescent="0.3">
      <c r="A280" s="17"/>
      <c r="B280"/>
      <c r="C280"/>
      <c r="D280"/>
      <c r="E280"/>
      <c r="F280" s="121">
        <v>43844</v>
      </c>
      <c r="G280" s="53">
        <v>312.15441900000002</v>
      </c>
      <c r="H280" s="53">
        <v>89.982567000000003</v>
      </c>
      <c r="I280" s="122">
        <f t="shared" si="4"/>
        <v>-1.5245543019364316E-3</v>
      </c>
      <c r="J280" s="122">
        <f t="shared" si="4"/>
        <v>0</v>
      </c>
      <c r="K280"/>
      <c r="L280"/>
      <c r="M280"/>
      <c r="N280" s="27"/>
      <c r="O280" s="27"/>
      <c r="P280" s="27"/>
      <c r="Z280"/>
    </row>
    <row r="281" spans="1:26" s="15" customFormat="1" x14ac:dyDescent="0.3">
      <c r="A281" s="17"/>
      <c r="B281"/>
      <c r="C281"/>
      <c r="D281"/>
      <c r="E281"/>
      <c r="F281" s="121">
        <v>43845</v>
      </c>
      <c r="G281" s="53">
        <v>312.85983299999998</v>
      </c>
      <c r="H281" s="53">
        <v>89.992401000000001</v>
      </c>
      <c r="I281" s="122">
        <f t="shared" si="4"/>
        <v>2.2598238469915266E-3</v>
      </c>
      <c r="J281" s="122">
        <f t="shared" si="4"/>
        <v>1.0928783572050627E-4</v>
      </c>
      <c r="K281"/>
      <c r="L281"/>
      <c r="M281"/>
      <c r="N281" s="27"/>
      <c r="O281" s="27"/>
      <c r="P281" s="27"/>
      <c r="Z281"/>
    </row>
    <row r="282" spans="1:26" s="15" customFormat="1" x14ac:dyDescent="0.3">
      <c r="A282" s="17"/>
      <c r="B282"/>
      <c r="C282"/>
      <c r="D282"/>
      <c r="E282"/>
      <c r="F282" s="121">
        <v>43846</v>
      </c>
      <c r="G282" s="53">
        <v>315.462311</v>
      </c>
      <c r="H282" s="53">
        <v>90.012084999999999</v>
      </c>
      <c r="I282" s="122">
        <f t="shared" si="4"/>
        <v>8.3183513046241053E-3</v>
      </c>
      <c r="J282" s="122">
        <f t="shared" si="4"/>
        <v>2.1872957917845604E-4</v>
      </c>
      <c r="K282"/>
      <c r="L282"/>
      <c r="M282"/>
      <c r="N282" s="27"/>
      <c r="O282" s="27"/>
      <c r="P282" s="27"/>
      <c r="Z282"/>
    </row>
    <row r="283" spans="1:26" s="15" customFormat="1" x14ac:dyDescent="0.3">
      <c r="A283" s="17"/>
      <c r="B283"/>
      <c r="C283"/>
      <c r="D283"/>
      <c r="E283"/>
      <c r="F283" s="121">
        <v>43847</v>
      </c>
      <c r="G283" s="53">
        <v>316.44421399999999</v>
      </c>
      <c r="H283" s="53">
        <v>90.002228000000002</v>
      </c>
      <c r="I283" s="122">
        <f t="shared" si="4"/>
        <v>3.1125841844226176E-3</v>
      </c>
      <c r="J283" s="122">
        <f t="shared" si="4"/>
        <v>-1.0950751779603696E-4</v>
      </c>
      <c r="K283"/>
      <c r="L283"/>
      <c r="M283"/>
      <c r="N283" s="27"/>
      <c r="O283" s="27"/>
      <c r="P283" s="27"/>
      <c r="Z283"/>
    </row>
    <row r="284" spans="1:26" s="15" customFormat="1" x14ac:dyDescent="0.3">
      <c r="A284" s="17"/>
      <c r="B284"/>
      <c r="C284"/>
      <c r="D284"/>
      <c r="E284"/>
      <c r="F284" s="121">
        <v>43851</v>
      </c>
      <c r="G284" s="53">
        <v>315.824524</v>
      </c>
      <c r="H284" s="53">
        <v>90.012084999999999</v>
      </c>
      <c r="I284" s="122">
        <f t="shared" si="4"/>
        <v>-1.9582914541771412E-3</v>
      </c>
      <c r="J284" s="122">
        <f t="shared" si="4"/>
        <v>1.0951951100590662E-4</v>
      </c>
      <c r="K284"/>
      <c r="L284"/>
      <c r="M284"/>
      <c r="N284" s="27"/>
      <c r="O284" s="27"/>
      <c r="P284" s="27"/>
      <c r="Z284"/>
    </row>
    <row r="285" spans="1:26" s="15" customFormat="1" x14ac:dyDescent="0.3">
      <c r="A285" s="17"/>
      <c r="B285"/>
      <c r="C285"/>
      <c r="D285"/>
      <c r="E285"/>
      <c r="F285" s="121">
        <v>43852</v>
      </c>
      <c r="G285" s="53">
        <v>315.86270100000002</v>
      </c>
      <c r="H285" s="53">
        <v>90.012084999999999</v>
      </c>
      <c r="I285" s="122">
        <f t="shared" si="4"/>
        <v>1.2088041649360726E-4</v>
      </c>
      <c r="J285" s="122">
        <f t="shared" si="4"/>
        <v>0</v>
      </c>
      <c r="K285"/>
      <c r="L285"/>
      <c r="M285"/>
      <c r="N285" s="27"/>
      <c r="O285" s="27"/>
      <c r="P285" s="27"/>
      <c r="Z285"/>
    </row>
    <row r="286" spans="1:26" s="15" customFormat="1" x14ac:dyDescent="0.3">
      <c r="A286" s="17"/>
      <c r="B286"/>
      <c r="C286"/>
      <c r="D286"/>
      <c r="E286"/>
      <c r="F286" s="121">
        <v>43853</v>
      </c>
      <c r="G286" s="53">
        <v>316.22494499999999</v>
      </c>
      <c r="H286" s="53">
        <v>90.021904000000006</v>
      </c>
      <c r="I286" s="122">
        <f t="shared" si="4"/>
        <v>1.1468400632714815E-3</v>
      </c>
      <c r="J286" s="122">
        <f t="shared" si="4"/>
        <v>1.0908535226139549E-4</v>
      </c>
      <c r="K286"/>
      <c r="L286"/>
      <c r="M286"/>
      <c r="N286" s="27"/>
      <c r="O286" s="27"/>
      <c r="P286" s="27"/>
      <c r="Z286"/>
    </row>
    <row r="287" spans="1:26" s="15" customFormat="1" x14ac:dyDescent="0.3">
      <c r="A287" s="17"/>
      <c r="B287"/>
      <c r="C287"/>
      <c r="D287"/>
      <c r="E287"/>
      <c r="F287" s="121">
        <v>43854</v>
      </c>
      <c r="G287" s="53">
        <v>313.41275000000002</v>
      </c>
      <c r="H287" s="53">
        <v>90.021904000000006</v>
      </c>
      <c r="I287" s="122">
        <f t="shared" si="4"/>
        <v>-8.893020757739345E-3</v>
      </c>
      <c r="J287" s="122">
        <f t="shared" si="4"/>
        <v>0</v>
      </c>
      <c r="K287"/>
      <c r="L287"/>
      <c r="M287"/>
      <c r="N287" s="27"/>
      <c r="O287" s="27"/>
      <c r="P287" s="27"/>
      <c r="Z287"/>
    </row>
    <row r="288" spans="1:26" s="15" customFormat="1" x14ac:dyDescent="0.3">
      <c r="A288" s="17"/>
      <c r="B288"/>
      <c r="C288"/>
      <c r="D288"/>
      <c r="E288"/>
      <c r="F288" s="121">
        <v>43857</v>
      </c>
      <c r="G288" s="53">
        <v>308.38891599999999</v>
      </c>
      <c r="H288" s="53">
        <v>90.031745999999998</v>
      </c>
      <c r="I288" s="122">
        <f t="shared" si="4"/>
        <v>-1.6029449982491228E-2</v>
      </c>
      <c r="J288" s="122">
        <f t="shared" si="4"/>
        <v>1.0932894731929821E-4</v>
      </c>
      <c r="K288"/>
      <c r="L288"/>
      <c r="M288"/>
      <c r="N288" s="27"/>
      <c r="O288" s="27"/>
      <c r="P288" s="27"/>
      <c r="Z288"/>
    </row>
    <row r="289" spans="1:26" s="15" customFormat="1" x14ac:dyDescent="0.3">
      <c r="A289" s="17"/>
      <c r="B289"/>
      <c r="C289"/>
      <c r="D289"/>
      <c r="E289"/>
      <c r="F289" s="121">
        <v>43858</v>
      </c>
      <c r="G289" s="53">
        <v>311.62057499999997</v>
      </c>
      <c r="H289" s="53">
        <v>90.031745999999998</v>
      </c>
      <c r="I289" s="122">
        <f t="shared" si="4"/>
        <v>1.0479167156578262E-2</v>
      </c>
      <c r="J289" s="122">
        <f t="shared" si="4"/>
        <v>0</v>
      </c>
      <c r="K289"/>
      <c r="L289"/>
      <c r="M289"/>
      <c r="N289" s="27"/>
      <c r="O289" s="27"/>
      <c r="P289" s="27"/>
      <c r="Z289"/>
    </row>
    <row r="290" spans="1:26" s="15" customFormat="1" x14ac:dyDescent="0.3">
      <c r="A290" s="17"/>
      <c r="B290"/>
      <c r="C290"/>
      <c r="D290"/>
      <c r="E290"/>
      <c r="F290" s="121">
        <v>43859</v>
      </c>
      <c r="G290" s="53">
        <v>311.363159</v>
      </c>
      <c r="H290" s="53">
        <v>90.041579999999996</v>
      </c>
      <c r="I290" s="122">
        <f t="shared" si="4"/>
        <v>-8.2605585334016851E-4</v>
      </c>
      <c r="J290" s="122">
        <f t="shared" si="4"/>
        <v>1.0922813826130806E-4</v>
      </c>
      <c r="K290"/>
      <c r="L290"/>
      <c r="M290"/>
      <c r="N290" s="27"/>
      <c r="O290" s="27"/>
      <c r="P290" s="27"/>
      <c r="Z290"/>
    </row>
    <row r="291" spans="1:26" s="15" customFormat="1" x14ac:dyDescent="0.3">
      <c r="A291" s="17"/>
      <c r="B291"/>
      <c r="C291"/>
      <c r="D291"/>
      <c r="E291"/>
      <c r="F291" s="121">
        <v>43860</v>
      </c>
      <c r="G291" s="53">
        <v>312.373627</v>
      </c>
      <c r="H291" s="53">
        <v>90.041579999999996</v>
      </c>
      <c r="I291" s="122">
        <f t="shared" si="4"/>
        <v>3.2453036616320041E-3</v>
      </c>
      <c r="J291" s="122">
        <f t="shared" si="4"/>
        <v>0</v>
      </c>
      <c r="K291"/>
      <c r="L291"/>
      <c r="M291"/>
      <c r="N291" s="27"/>
      <c r="O291" s="27"/>
      <c r="P291" s="27"/>
      <c r="Z291"/>
    </row>
    <row r="292" spans="1:26" s="15" customFormat="1" x14ac:dyDescent="0.3">
      <c r="A292" s="17"/>
      <c r="B292"/>
      <c r="C292"/>
      <c r="D292"/>
      <c r="E292"/>
      <c r="F292" s="121">
        <v>43861</v>
      </c>
      <c r="G292" s="53">
        <v>306.70163000000002</v>
      </c>
      <c r="H292" s="53">
        <v>90.041579999999996</v>
      </c>
      <c r="I292" s="122">
        <f t="shared" si="4"/>
        <v>-1.8157733271125243E-2</v>
      </c>
      <c r="J292" s="122">
        <f t="shared" si="4"/>
        <v>0</v>
      </c>
      <c r="K292"/>
      <c r="L292"/>
      <c r="M292"/>
      <c r="N292" s="27"/>
      <c r="O292" s="27"/>
      <c r="P292" s="27"/>
      <c r="Z292"/>
    </row>
    <row r="293" spans="1:26" s="15" customFormat="1" x14ac:dyDescent="0.3">
      <c r="A293" s="17"/>
      <c r="B293"/>
      <c r="C293"/>
      <c r="D293"/>
      <c r="E293"/>
      <c r="F293" s="121">
        <v>43864</v>
      </c>
      <c r="G293" s="53">
        <v>308.979919</v>
      </c>
      <c r="H293" s="53">
        <v>90.049476999999996</v>
      </c>
      <c r="I293" s="122">
        <f t="shared" si="4"/>
        <v>7.4283563475028291E-3</v>
      </c>
      <c r="J293" s="122">
        <f t="shared" si="4"/>
        <v>8.7703925230941948E-5</v>
      </c>
      <c r="K293"/>
      <c r="L293"/>
      <c r="M293"/>
      <c r="N293" s="27"/>
      <c r="O293" s="27"/>
      <c r="P293" s="27"/>
      <c r="Z293"/>
    </row>
    <row r="294" spans="1:26" s="15" customFormat="1" x14ac:dyDescent="0.3">
      <c r="A294" s="17"/>
      <c r="B294"/>
      <c r="C294"/>
      <c r="D294"/>
      <c r="E294"/>
      <c r="F294" s="121">
        <v>43865</v>
      </c>
      <c r="G294" s="53">
        <v>313.68920900000001</v>
      </c>
      <c r="H294" s="53">
        <v>90.049476999999996</v>
      </c>
      <c r="I294" s="122">
        <f t="shared" si="4"/>
        <v>1.5241411206402766E-2</v>
      </c>
      <c r="J294" s="122">
        <f t="shared" si="4"/>
        <v>0</v>
      </c>
      <c r="K294"/>
      <c r="L294"/>
      <c r="M294"/>
      <c r="N294" s="27"/>
      <c r="O294" s="27"/>
      <c r="P294" s="27"/>
      <c r="Z294"/>
    </row>
    <row r="295" spans="1:26" s="15" customFormat="1" x14ac:dyDescent="0.3">
      <c r="A295" s="17"/>
      <c r="B295"/>
      <c r="C295"/>
      <c r="D295"/>
      <c r="E295"/>
      <c r="F295" s="121">
        <v>43866</v>
      </c>
      <c r="G295" s="53">
        <v>317.31167599999998</v>
      </c>
      <c r="H295" s="53">
        <v>90.069159999999997</v>
      </c>
      <c r="I295" s="122">
        <f t="shared" si="4"/>
        <v>1.1547949040223271E-2</v>
      </c>
      <c r="J295" s="122">
        <f t="shared" si="4"/>
        <v>2.1857983694895111E-4</v>
      </c>
      <c r="K295"/>
      <c r="L295"/>
      <c r="M295"/>
      <c r="N295" s="27"/>
      <c r="O295" s="27"/>
      <c r="P295" s="27"/>
      <c r="Z295"/>
    </row>
    <row r="296" spans="1:26" s="15" customFormat="1" x14ac:dyDescent="0.3">
      <c r="A296" s="17"/>
      <c r="B296"/>
      <c r="C296"/>
      <c r="D296"/>
      <c r="E296"/>
      <c r="F296" s="121">
        <v>43867</v>
      </c>
      <c r="G296" s="53">
        <v>318.37933299999997</v>
      </c>
      <c r="H296" s="53">
        <v>90.079018000000005</v>
      </c>
      <c r="I296" s="122">
        <f t="shared" si="4"/>
        <v>3.3646949694974282E-3</v>
      </c>
      <c r="J296" s="122">
        <f t="shared" si="4"/>
        <v>1.0944922768252319E-4</v>
      </c>
      <c r="K296"/>
      <c r="L296"/>
      <c r="M296"/>
      <c r="N296" s="27"/>
      <c r="O296" s="27"/>
      <c r="P296" s="27"/>
      <c r="Z296"/>
    </row>
    <row r="297" spans="1:26" s="15" customFormat="1" x14ac:dyDescent="0.3">
      <c r="A297" s="17"/>
      <c r="B297"/>
      <c r="C297"/>
      <c r="D297"/>
      <c r="E297"/>
      <c r="F297" s="121">
        <v>43868</v>
      </c>
      <c r="G297" s="53">
        <v>316.68255599999998</v>
      </c>
      <c r="H297" s="53">
        <v>90.079018000000005</v>
      </c>
      <c r="I297" s="122">
        <f t="shared" si="4"/>
        <v>-5.3294194193188593E-3</v>
      </c>
      <c r="J297" s="122">
        <f t="shared" si="4"/>
        <v>0</v>
      </c>
      <c r="K297"/>
      <c r="L297"/>
      <c r="M297"/>
      <c r="N297" s="27"/>
      <c r="O297" s="27"/>
      <c r="P297" s="27"/>
      <c r="Z297"/>
    </row>
    <row r="298" spans="1:26" s="15" customFormat="1" x14ac:dyDescent="0.3">
      <c r="A298" s="17"/>
      <c r="B298"/>
      <c r="C298"/>
      <c r="D298"/>
      <c r="E298"/>
      <c r="F298" s="121">
        <v>43871</v>
      </c>
      <c r="G298" s="53">
        <v>319.04669200000001</v>
      </c>
      <c r="H298" s="53">
        <v>90.069159999999997</v>
      </c>
      <c r="I298" s="122">
        <f t="shared" si="4"/>
        <v>7.4653180454942181E-3</v>
      </c>
      <c r="J298" s="122">
        <f t="shared" si="4"/>
        <v>-1.0943724986001158E-4</v>
      </c>
      <c r="K298"/>
      <c r="L298"/>
      <c r="M298"/>
      <c r="N298" s="27"/>
      <c r="O298" s="27"/>
      <c r="P298" s="27"/>
      <c r="Z298"/>
    </row>
    <row r="299" spans="1:26" s="15" customFormat="1" x14ac:dyDescent="0.3">
      <c r="A299" s="17"/>
      <c r="B299"/>
      <c r="C299"/>
      <c r="D299"/>
      <c r="E299"/>
      <c r="F299" s="121">
        <v>43872</v>
      </c>
      <c r="G299" s="53">
        <v>319.59957900000001</v>
      </c>
      <c r="H299" s="53">
        <v>90.079018000000005</v>
      </c>
      <c r="I299" s="122">
        <f t="shared" si="4"/>
        <v>1.7329344383234524E-3</v>
      </c>
      <c r="J299" s="122">
        <f t="shared" si="4"/>
        <v>1.0944922768252319E-4</v>
      </c>
      <c r="K299"/>
      <c r="L299"/>
      <c r="M299"/>
      <c r="N299" s="27"/>
      <c r="O299" s="27"/>
      <c r="P299" s="27"/>
      <c r="Z299"/>
    </row>
    <row r="300" spans="1:26" s="15" customFormat="1" x14ac:dyDescent="0.3">
      <c r="A300" s="17"/>
      <c r="B300"/>
      <c r="C300"/>
      <c r="D300"/>
      <c r="E300"/>
      <c r="F300" s="121">
        <v>43873</v>
      </c>
      <c r="G300" s="53">
        <v>321.65872200000001</v>
      </c>
      <c r="H300" s="53">
        <v>90.088866999999993</v>
      </c>
      <c r="I300" s="122">
        <f t="shared" si="4"/>
        <v>6.442883956364609E-3</v>
      </c>
      <c r="J300" s="122">
        <f t="shared" si="4"/>
        <v>1.0933733758045072E-4</v>
      </c>
      <c r="K300"/>
      <c r="L300"/>
      <c r="M300"/>
      <c r="N300" s="27"/>
      <c r="O300" s="27"/>
      <c r="P300" s="27"/>
      <c r="Z300"/>
    </row>
    <row r="301" spans="1:26" s="15" customFormat="1" x14ac:dyDescent="0.3">
      <c r="A301" s="17"/>
      <c r="B301"/>
      <c r="C301"/>
      <c r="D301"/>
      <c r="E301"/>
      <c r="F301" s="121">
        <v>43874</v>
      </c>
      <c r="G301" s="53">
        <v>321.31549100000001</v>
      </c>
      <c r="H301" s="53">
        <v>90.098708999999999</v>
      </c>
      <c r="I301" s="122">
        <f t="shared" si="4"/>
        <v>-1.067065733103334E-3</v>
      </c>
      <c r="J301" s="122">
        <f t="shared" si="4"/>
        <v>1.0924768317943645E-4</v>
      </c>
      <c r="K301"/>
      <c r="L301"/>
      <c r="M301"/>
      <c r="N301" s="27"/>
      <c r="O301" s="27"/>
      <c r="P301" s="27"/>
      <c r="Z301"/>
    </row>
    <row r="302" spans="1:26" s="15" customFormat="1" x14ac:dyDescent="0.3">
      <c r="A302" s="17"/>
      <c r="B302"/>
      <c r="C302"/>
      <c r="D302"/>
      <c r="E302"/>
      <c r="F302" s="121">
        <v>43875</v>
      </c>
      <c r="G302" s="53">
        <v>321.83023100000003</v>
      </c>
      <c r="H302" s="53">
        <v>90.098708999999999</v>
      </c>
      <c r="I302" s="122">
        <f t="shared" si="4"/>
        <v>1.6019769180690702E-3</v>
      </c>
      <c r="J302" s="122">
        <f t="shared" si="4"/>
        <v>0</v>
      </c>
      <c r="K302"/>
      <c r="L302"/>
      <c r="M302"/>
      <c r="N302" s="27"/>
      <c r="O302" s="27"/>
      <c r="P302" s="27"/>
      <c r="Z302"/>
    </row>
    <row r="303" spans="1:26" s="15" customFormat="1" x14ac:dyDescent="0.3">
      <c r="A303" s="17"/>
      <c r="B303"/>
      <c r="C303"/>
      <c r="D303"/>
      <c r="E303"/>
      <c r="F303" s="121">
        <v>43879</v>
      </c>
      <c r="G303" s="53">
        <v>321.00088499999998</v>
      </c>
      <c r="H303" s="53">
        <v>90.108542999999997</v>
      </c>
      <c r="I303" s="122">
        <f t="shared" si="4"/>
        <v>-2.5769673576750973E-3</v>
      </c>
      <c r="J303" s="122">
        <f t="shared" si="4"/>
        <v>1.0914695792152429E-4</v>
      </c>
      <c r="K303"/>
      <c r="L303"/>
      <c r="M303"/>
      <c r="N303" s="27"/>
      <c r="O303" s="27"/>
      <c r="P303" s="27"/>
      <c r="Z303"/>
    </row>
    <row r="304" spans="1:26" s="15" customFormat="1" x14ac:dyDescent="0.3">
      <c r="A304" s="17"/>
      <c r="B304"/>
      <c r="C304"/>
      <c r="D304"/>
      <c r="E304"/>
      <c r="F304" s="121">
        <v>43880</v>
      </c>
      <c r="G304" s="53">
        <v>322.535706</v>
      </c>
      <c r="H304" s="53">
        <v>90.108542999999997</v>
      </c>
      <c r="I304" s="122">
        <f t="shared" si="4"/>
        <v>4.7813606495197281E-3</v>
      </c>
      <c r="J304" s="122">
        <f t="shared" si="4"/>
        <v>0</v>
      </c>
      <c r="K304"/>
      <c r="L304"/>
      <c r="M304"/>
      <c r="N304" s="27"/>
      <c r="O304" s="27"/>
      <c r="P304" s="27"/>
      <c r="Z304"/>
    </row>
    <row r="305" spans="1:26" s="15" customFormat="1" x14ac:dyDescent="0.3">
      <c r="A305" s="17"/>
      <c r="B305"/>
      <c r="C305"/>
      <c r="D305"/>
      <c r="E305"/>
      <c r="F305" s="121">
        <v>43881</v>
      </c>
      <c r="G305" s="53">
        <v>321.21066300000001</v>
      </c>
      <c r="H305" s="53">
        <v>90.108542999999997</v>
      </c>
      <c r="I305" s="122">
        <f t="shared" si="4"/>
        <v>-4.1082056198763484E-3</v>
      </c>
      <c r="J305" s="122">
        <f t="shared" si="4"/>
        <v>0</v>
      </c>
      <c r="K305"/>
      <c r="L305"/>
      <c r="M305"/>
      <c r="N305" s="27"/>
      <c r="O305" s="27"/>
      <c r="P305" s="27"/>
      <c r="Z305"/>
    </row>
    <row r="306" spans="1:26" s="15" customFormat="1" x14ac:dyDescent="0.3">
      <c r="A306" s="17"/>
      <c r="B306"/>
      <c r="C306"/>
      <c r="D306"/>
      <c r="E306"/>
      <c r="F306" s="121">
        <v>43882</v>
      </c>
      <c r="G306" s="53">
        <v>317.90267899999998</v>
      </c>
      <c r="H306" s="53">
        <v>90.128249999999994</v>
      </c>
      <c r="I306" s="122">
        <f t="shared" si="4"/>
        <v>-1.0298487506935738E-2</v>
      </c>
      <c r="J306" s="122">
        <f t="shared" si="4"/>
        <v>2.1870290367465017E-4</v>
      </c>
      <c r="K306"/>
      <c r="L306"/>
      <c r="M306"/>
      <c r="N306" s="27"/>
      <c r="O306" s="27"/>
      <c r="P306" s="27"/>
      <c r="Z306"/>
    </row>
    <row r="307" spans="1:26" s="15" customFormat="1" x14ac:dyDescent="0.3">
      <c r="A307" s="17"/>
      <c r="B307"/>
      <c r="C307"/>
      <c r="D307"/>
      <c r="E307"/>
      <c r="F307" s="121">
        <v>43885</v>
      </c>
      <c r="G307" s="53">
        <v>307.35934400000002</v>
      </c>
      <c r="H307" s="53">
        <v>90.118401000000006</v>
      </c>
      <c r="I307" s="122">
        <f t="shared" si="4"/>
        <v>-3.316529144442959E-2</v>
      </c>
      <c r="J307" s="122">
        <f t="shared" si="4"/>
        <v>-1.092776127350481E-4</v>
      </c>
      <c r="K307"/>
      <c r="L307"/>
      <c r="M307"/>
      <c r="N307" s="27"/>
      <c r="O307" s="27"/>
      <c r="P307" s="27"/>
      <c r="Z307"/>
    </row>
    <row r="308" spans="1:26" s="15" customFormat="1" x14ac:dyDescent="0.3">
      <c r="A308" s="17"/>
      <c r="B308"/>
      <c r="C308"/>
      <c r="D308"/>
      <c r="E308"/>
      <c r="F308" s="121">
        <v>43886</v>
      </c>
      <c r="G308" s="53">
        <v>298.04568499999999</v>
      </c>
      <c r="H308" s="53">
        <v>90.118401000000006</v>
      </c>
      <c r="I308" s="122">
        <f t="shared" si="4"/>
        <v>-3.0302182711582137E-2</v>
      </c>
      <c r="J308" s="122">
        <f t="shared" si="4"/>
        <v>0</v>
      </c>
      <c r="K308"/>
      <c r="L308"/>
      <c r="M308"/>
      <c r="N308" s="27"/>
      <c r="O308" s="27"/>
      <c r="P308" s="27"/>
      <c r="Z308"/>
    </row>
    <row r="309" spans="1:26" x14ac:dyDescent="0.3">
      <c r="F309" s="121">
        <v>43887</v>
      </c>
      <c r="G309" s="53">
        <v>296.94946299999998</v>
      </c>
      <c r="H309" s="53">
        <v>90.138084000000006</v>
      </c>
      <c r="I309" s="122">
        <f t="shared" si="4"/>
        <v>-3.67803345316009E-3</v>
      </c>
      <c r="J309" s="122">
        <f t="shared" si="4"/>
        <v>2.1841266358024747E-4</v>
      </c>
    </row>
    <row r="310" spans="1:26" x14ac:dyDescent="0.3">
      <c r="F310" s="121">
        <v>43888</v>
      </c>
      <c r="G310" s="53">
        <v>283.61294600000002</v>
      </c>
      <c r="H310" s="53">
        <v>90.157791000000003</v>
      </c>
      <c r="I310" s="122">
        <f t="shared" si="4"/>
        <v>-4.49117397460993E-2</v>
      </c>
      <c r="J310" s="122">
        <f t="shared" si="4"/>
        <v>2.1863122806120572E-4</v>
      </c>
    </row>
    <row r="311" spans="1:26" x14ac:dyDescent="0.3">
      <c r="F311" s="121">
        <v>43889</v>
      </c>
      <c r="G311" s="53">
        <v>282.421356</v>
      </c>
      <c r="H311" s="53">
        <v>90.147942</v>
      </c>
      <c r="I311" s="122">
        <f t="shared" si="4"/>
        <v>-4.2014654718900424E-3</v>
      </c>
      <c r="J311" s="122">
        <f t="shared" si="4"/>
        <v>-1.0924180695603969E-4</v>
      </c>
    </row>
    <row r="312" spans="1:26" x14ac:dyDescent="0.3">
      <c r="F312" s="121">
        <v>43892</v>
      </c>
      <c r="G312" s="53">
        <v>294.652039</v>
      </c>
      <c r="H312" s="53">
        <v>90.174567999999994</v>
      </c>
      <c r="I312" s="122">
        <f t="shared" si="4"/>
        <v>4.3306509016265649E-2</v>
      </c>
      <c r="J312" s="122">
        <f t="shared" si="4"/>
        <v>2.953589334295792E-4</v>
      </c>
    </row>
    <row r="313" spans="1:26" x14ac:dyDescent="0.3">
      <c r="F313" s="121">
        <v>43893</v>
      </c>
      <c r="G313" s="53">
        <v>286.21539300000001</v>
      </c>
      <c r="H313" s="53">
        <v>90.194282999999999</v>
      </c>
      <c r="I313" s="122">
        <f t="shared" si="4"/>
        <v>-2.863257294479471E-2</v>
      </c>
      <c r="J313" s="122">
        <f t="shared" si="4"/>
        <v>2.1863148820422396E-4</v>
      </c>
    </row>
    <row r="314" spans="1:26" x14ac:dyDescent="0.3">
      <c r="F314" s="121">
        <v>43894</v>
      </c>
      <c r="G314" s="53">
        <v>298.24594100000002</v>
      </c>
      <c r="H314" s="53">
        <v>90.233704000000003</v>
      </c>
      <c r="I314" s="122">
        <f t="shared" si="4"/>
        <v>4.2033197005585166E-2</v>
      </c>
      <c r="J314" s="122">
        <f t="shared" si="4"/>
        <v>4.370676132543494E-4</v>
      </c>
    </row>
    <row r="315" spans="1:26" x14ac:dyDescent="0.3">
      <c r="F315" s="121">
        <v>43895</v>
      </c>
      <c r="G315" s="53">
        <v>288.33175699999998</v>
      </c>
      <c r="H315" s="53">
        <v>90.253433000000001</v>
      </c>
      <c r="I315" s="122">
        <f t="shared" si="4"/>
        <v>-3.3241639322092342E-2</v>
      </c>
      <c r="J315" s="122">
        <f t="shared" si="4"/>
        <v>2.1864335747534547E-4</v>
      </c>
    </row>
    <row r="316" spans="1:26" x14ac:dyDescent="0.3">
      <c r="F316" s="121">
        <v>43896</v>
      </c>
      <c r="G316" s="53">
        <v>283.56527699999998</v>
      </c>
      <c r="H316" s="53">
        <v>90.253433000000001</v>
      </c>
      <c r="I316" s="122">
        <f t="shared" si="4"/>
        <v>-1.6531234885791668E-2</v>
      </c>
      <c r="J316" s="122">
        <f t="shared" si="4"/>
        <v>0</v>
      </c>
    </row>
    <row r="317" spans="1:26" x14ac:dyDescent="0.3">
      <c r="F317" s="121">
        <v>43899</v>
      </c>
      <c r="G317" s="53">
        <v>261.42044099999998</v>
      </c>
      <c r="H317" s="53">
        <v>90.292846999999995</v>
      </c>
      <c r="I317" s="122">
        <f t="shared" si="4"/>
        <v>-7.809431477042228E-2</v>
      </c>
      <c r="J317" s="122">
        <f t="shared" si="4"/>
        <v>4.3670360993353086E-4</v>
      </c>
    </row>
    <row r="318" spans="1:26" x14ac:dyDescent="0.3">
      <c r="F318" s="121">
        <v>43900</v>
      </c>
      <c r="G318" s="53">
        <v>274.94754</v>
      </c>
      <c r="H318" s="53">
        <v>90.273148000000006</v>
      </c>
      <c r="I318" s="122">
        <f t="shared" si="4"/>
        <v>5.1744610896743204E-2</v>
      </c>
      <c r="J318" s="122">
        <f t="shared" si="4"/>
        <v>-2.1816789097350853E-4</v>
      </c>
    </row>
    <row r="320" spans="1:26" x14ac:dyDescent="0.3">
      <c r="G320" s="1" t="s">
        <v>642</v>
      </c>
      <c r="H320" s="1" t="s">
        <v>643</v>
      </c>
      <c r="I320" s="13" t="s">
        <v>653</v>
      </c>
      <c r="J320" s="13" t="s">
        <v>654</v>
      </c>
    </row>
    <row r="321" spans="6:10" x14ac:dyDescent="0.3">
      <c r="F321" s="121">
        <v>43901</v>
      </c>
      <c r="G321" s="53">
        <v>261.54422</v>
      </c>
      <c r="H321" s="53">
        <v>90.292846999999995</v>
      </c>
      <c r="I321" s="122">
        <f>G321/G318-1</f>
        <v>-4.8748644923318873E-2</v>
      </c>
      <c r="J321" s="122">
        <f>H321/H318-1</f>
        <v>2.1821549858858091E-4</v>
      </c>
    </row>
    <row r="322" spans="6:10" x14ac:dyDescent="0.3">
      <c r="F322" s="121">
        <v>43902</v>
      </c>
      <c r="G322" s="53">
        <v>236.52046200000001</v>
      </c>
      <c r="H322" s="53">
        <v>90.302704000000006</v>
      </c>
      <c r="I322" s="122">
        <f t="shared" si="4"/>
        <v>-9.5676968124166484E-2</v>
      </c>
      <c r="J322" s="122">
        <f t="shared" si="4"/>
        <v>1.0916700854513017E-4</v>
      </c>
    </row>
    <row r="323" spans="6:10" x14ac:dyDescent="0.3">
      <c r="F323" s="121">
        <v>43903</v>
      </c>
      <c r="G323" s="53">
        <v>256.73971599999999</v>
      </c>
      <c r="H323" s="53">
        <v>90.322449000000006</v>
      </c>
      <c r="I323" s="122">
        <f t="shared" si="4"/>
        <v>8.5486278138590777E-2</v>
      </c>
      <c r="J323" s="122">
        <f t="shared" si="4"/>
        <v>2.1865347465110929E-4</v>
      </c>
    </row>
    <row r="324" spans="6:10" x14ac:dyDescent="0.3">
      <c r="F324" s="121">
        <v>43906</v>
      </c>
      <c r="G324" s="53">
        <v>228.64630099999999</v>
      </c>
      <c r="H324" s="53">
        <v>90.332283000000004</v>
      </c>
      <c r="I324" s="122">
        <f t="shared" si="4"/>
        <v>-0.10942372079277363</v>
      </c>
      <c r="J324" s="122">
        <f t="shared" si="4"/>
        <v>1.0887658725899918E-4</v>
      </c>
    </row>
    <row r="325" spans="6:10" x14ac:dyDescent="0.3">
      <c r="F325" s="121">
        <v>43907</v>
      </c>
      <c r="G325" s="53">
        <v>240.99142499999999</v>
      </c>
      <c r="H325" s="53">
        <v>90.332283000000004</v>
      </c>
      <c r="I325" s="122">
        <f t="shared" si="4"/>
        <v>5.3992231433475091E-2</v>
      </c>
      <c r="J325" s="122">
        <f t="shared" si="4"/>
        <v>0</v>
      </c>
    </row>
    <row r="326" spans="6:10" x14ac:dyDescent="0.3">
      <c r="F326" s="121">
        <v>43908</v>
      </c>
      <c r="G326" s="53">
        <v>228.789322</v>
      </c>
      <c r="H326" s="53">
        <v>90.352019999999996</v>
      </c>
      <c r="I326" s="122">
        <f t="shared" si="4"/>
        <v>-5.0632934346107938E-2</v>
      </c>
      <c r="J326" s="122">
        <f t="shared" si="4"/>
        <v>2.1849331539636196E-4</v>
      </c>
    </row>
    <row r="327" spans="6:10" x14ac:dyDescent="0.3">
      <c r="F327" s="121">
        <v>43909</v>
      </c>
      <c r="G327" s="53">
        <v>229.27546699999999</v>
      </c>
      <c r="H327" s="53">
        <v>90.332283000000004</v>
      </c>
      <c r="I327" s="122">
        <f t="shared" si="4"/>
        <v>2.1248587816524722E-3</v>
      </c>
      <c r="J327" s="122">
        <f t="shared" si="4"/>
        <v>-2.1844558649597445E-4</v>
      </c>
    </row>
    <row r="328" spans="6:10" x14ac:dyDescent="0.3">
      <c r="F328" s="121">
        <v>43910</v>
      </c>
      <c r="G328" s="53">
        <v>219.39503500000001</v>
      </c>
      <c r="H328" s="53">
        <v>90.361862000000002</v>
      </c>
      <c r="I328" s="122">
        <f t="shared" si="4"/>
        <v>-4.3094152764281524E-2</v>
      </c>
      <c r="J328" s="122">
        <f t="shared" si="4"/>
        <v>3.2744661174999301E-4</v>
      </c>
    </row>
    <row r="329" spans="6:10" x14ac:dyDescent="0.3">
      <c r="F329" s="121">
        <v>43913</v>
      </c>
      <c r="G329" s="53">
        <v>213.785492</v>
      </c>
      <c r="H329" s="53">
        <v>90.342147999999995</v>
      </c>
      <c r="I329" s="122">
        <f t="shared" si="4"/>
        <v>-2.5568231295662658E-2</v>
      </c>
      <c r="J329" s="122">
        <f t="shared" si="4"/>
        <v>-2.1816726175927226E-4</v>
      </c>
    </row>
    <row r="330" spans="6:10" x14ac:dyDescent="0.3">
      <c r="F330" s="121">
        <v>43914</v>
      </c>
      <c r="G330" s="53">
        <v>233.155136</v>
      </c>
      <c r="H330" s="53">
        <v>90.342147999999995</v>
      </c>
      <c r="I330" s="122">
        <f t="shared" si="4"/>
        <v>9.0603173390269021E-2</v>
      </c>
      <c r="J330" s="122">
        <f t="shared" si="4"/>
        <v>0</v>
      </c>
    </row>
    <row r="331" spans="6:10" x14ac:dyDescent="0.3">
      <c r="F331" s="121">
        <v>43915</v>
      </c>
      <c r="G331" s="53">
        <v>236.645554</v>
      </c>
      <c r="H331" s="53">
        <v>90.342147999999995</v>
      </c>
      <c r="I331" s="122">
        <f t="shared" si="4"/>
        <v>1.4970367197915779E-2</v>
      </c>
      <c r="J331" s="122">
        <f t="shared" si="4"/>
        <v>0</v>
      </c>
    </row>
    <row r="332" spans="6:10" x14ac:dyDescent="0.3">
      <c r="F332" s="121">
        <v>43916</v>
      </c>
      <c r="G332" s="53">
        <v>250.463211</v>
      </c>
      <c r="H332" s="53">
        <v>90.342147999999995</v>
      </c>
      <c r="I332" s="122">
        <f t="shared" si="4"/>
        <v>5.8389675049631329E-2</v>
      </c>
      <c r="J332" s="122">
        <f t="shared" si="4"/>
        <v>0</v>
      </c>
    </row>
    <row r="333" spans="6:10" x14ac:dyDescent="0.3">
      <c r="F333" s="121">
        <v>43917</v>
      </c>
      <c r="G333" s="53">
        <v>243.003006</v>
      </c>
      <c r="H333" s="53">
        <v>90.322449000000006</v>
      </c>
      <c r="I333" s="122">
        <f t="shared" si="4"/>
        <v>-2.9785631870702156E-2</v>
      </c>
      <c r="J333" s="122">
        <f t="shared" si="4"/>
        <v>-2.1804883364062722E-4</v>
      </c>
    </row>
    <row r="334" spans="6:10" x14ac:dyDescent="0.3">
      <c r="F334" s="121">
        <v>43920</v>
      </c>
      <c r="G334" s="53">
        <v>250.894699</v>
      </c>
      <c r="H334" s="53">
        <v>90.322449000000006</v>
      </c>
      <c r="I334" s="122">
        <f t="shared" si="4"/>
        <v>3.247570114420717E-2</v>
      </c>
      <c r="J334" s="122">
        <f t="shared" si="4"/>
        <v>0</v>
      </c>
    </row>
    <row r="335" spans="6:10" x14ac:dyDescent="0.3">
      <c r="F335" s="121">
        <v>43921</v>
      </c>
      <c r="G335" s="53">
        <v>247.15501399999999</v>
      </c>
      <c r="H335" s="53">
        <v>90.332283000000004</v>
      </c>
      <c r="I335" s="122">
        <f t="shared" si="4"/>
        <v>-1.4905396626175849E-2</v>
      </c>
      <c r="J335" s="122">
        <f t="shared" si="4"/>
        <v>1.0887658725899918E-4</v>
      </c>
    </row>
    <row r="336" spans="6:10" x14ac:dyDescent="0.3">
      <c r="F336" s="121">
        <v>43922</v>
      </c>
      <c r="G336" s="53">
        <v>236.03183000000001</v>
      </c>
      <c r="H336" s="53">
        <v>90.324402000000006</v>
      </c>
      <c r="I336" s="122">
        <f t="shared" si="4"/>
        <v>-4.5004889117887692E-2</v>
      </c>
      <c r="J336" s="122">
        <f t="shared" si="4"/>
        <v>-8.7244556854604305E-5</v>
      </c>
    </row>
    <row r="337" spans="6:10" x14ac:dyDescent="0.3">
      <c r="F337" s="121">
        <v>43923</v>
      </c>
      <c r="G337" s="53">
        <v>241.478363</v>
      </c>
      <c r="H337" s="53">
        <v>90.334266999999997</v>
      </c>
      <c r="I337" s="122">
        <f t="shared" si="4"/>
        <v>2.3075417412981913E-2</v>
      </c>
      <c r="J337" s="122">
        <f t="shared" si="4"/>
        <v>1.0921744048730808E-4</v>
      </c>
    </row>
    <row r="338" spans="6:10" x14ac:dyDescent="0.3">
      <c r="F338" s="121">
        <v>43924</v>
      </c>
      <c r="G338" s="53">
        <v>237.98799099999999</v>
      </c>
      <c r="H338" s="53">
        <v>90.304671999999997</v>
      </c>
      <c r="I338" s="122">
        <f t="shared" si="4"/>
        <v>-1.445418113920216E-2</v>
      </c>
      <c r="J338" s="122">
        <f t="shared" si="4"/>
        <v>-3.2761654002244622E-4</v>
      </c>
    </row>
    <row r="339" spans="6:10" x14ac:dyDescent="0.3">
      <c r="F339" s="121">
        <v>43927</v>
      </c>
      <c r="G339" s="53">
        <v>253.97271699999999</v>
      </c>
      <c r="H339" s="53">
        <v>90.314537000000001</v>
      </c>
      <c r="I339" s="122">
        <f t="shared" si="4"/>
        <v>6.7166103351828266E-2</v>
      </c>
      <c r="J339" s="122">
        <f t="shared" si="4"/>
        <v>1.0924130259848397E-4</v>
      </c>
    </row>
    <row r="340" spans="6:10" x14ac:dyDescent="0.3">
      <c r="F340" s="121">
        <v>43928</v>
      </c>
      <c r="G340" s="53">
        <v>254.23165900000001</v>
      </c>
      <c r="H340" s="53">
        <v>90.294807000000006</v>
      </c>
      <c r="I340" s="122">
        <f t="shared" si="4"/>
        <v>1.0195662079719447E-3</v>
      </c>
      <c r="J340" s="122">
        <f t="shared" si="4"/>
        <v>-2.1845874047932146E-4</v>
      </c>
    </row>
    <row r="341" spans="6:10" x14ac:dyDescent="0.3">
      <c r="F341" s="121">
        <v>43929</v>
      </c>
      <c r="G341" s="53">
        <v>262.76577800000001</v>
      </c>
      <c r="H341" s="53">
        <v>90.304671999999997</v>
      </c>
      <c r="I341" s="122">
        <f t="shared" si="4"/>
        <v>3.3568277977527483E-2</v>
      </c>
      <c r="J341" s="122">
        <f t="shared" si="4"/>
        <v>1.0925323756416638E-4</v>
      </c>
    </row>
    <row r="342" spans="6:10" x14ac:dyDescent="0.3">
      <c r="F342" s="121">
        <v>43930</v>
      </c>
      <c r="G342" s="53">
        <v>266.76443499999999</v>
      </c>
      <c r="H342" s="53">
        <v>90.284935000000004</v>
      </c>
      <c r="I342" s="122">
        <f t="shared" si="4"/>
        <v>1.521757144493896E-2</v>
      </c>
      <c r="J342" s="122">
        <f t="shared" si="4"/>
        <v>-2.185601205659804E-4</v>
      </c>
    </row>
    <row r="343" spans="6:10" x14ac:dyDescent="0.3">
      <c r="F343" s="121">
        <v>43934</v>
      </c>
      <c r="G343" s="53">
        <v>264.32876599999997</v>
      </c>
      <c r="H343" s="53">
        <v>90.304671999999997</v>
      </c>
      <c r="I343" s="122">
        <f t="shared" ref="I343:J406" si="5">G343/G342-1</f>
        <v>-9.1304112559082995E-3</v>
      </c>
      <c r="J343" s="122">
        <f t="shared" si="5"/>
        <v>2.1860789953476178E-4</v>
      </c>
    </row>
    <row r="344" spans="6:10" x14ac:dyDescent="0.3">
      <c r="F344" s="121">
        <v>43935</v>
      </c>
      <c r="G344" s="53">
        <v>272.124664</v>
      </c>
      <c r="H344" s="53">
        <v>90.314537000000001</v>
      </c>
      <c r="I344" s="122">
        <f t="shared" si="5"/>
        <v>2.949318803992762E-2</v>
      </c>
      <c r="J344" s="122">
        <f t="shared" si="5"/>
        <v>1.0924130259848397E-4</v>
      </c>
    </row>
    <row r="345" spans="6:10" x14ac:dyDescent="0.3">
      <c r="F345" s="121">
        <v>43936</v>
      </c>
      <c r="G345" s="53">
        <v>266.342468</v>
      </c>
      <c r="H345" s="53">
        <v>90.304671999999997</v>
      </c>
      <c r="I345" s="122">
        <f t="shared" si="5"/>
        <v>-2.1248334917558176E-2</v>
      </c>
      <c r="J345" s="122">
        <f t="shared" si="5"/>
        <v>-1.0922937023971624E-4</v>
      </c>
    </row>
    <row r="346" spans="6:10" x14ac:dyDescent="0.3">
      <c r="F346" s="121">
        <v>43937</v>
      </c>
      <c r="G346" s="53">
        <v>267.627411</v>
      </c>
      <c r="H346" s="53">
        <v>90.294807000000006</v>
      </c>
      <c r="I346" s="122">
        <f t="shared" si="5"/>
        <v>4.8244014919918143E-3</v>
      </c>
      <c r="J346" s="122">
        <f t="shared" si="5"/>
        <v>-1.0924130259826192E-4</v>
      </c>
    </row>
    <row r="347" spans="6:10" x14ac:dyDescent="0.3">
      <c r="F347" s="121">
        <v>43938</v>
      </c>
      <c r="G347" s="53">
        <v>274.85745200000002</v>
      </c>
      <c r="H347" s="53">
        <v>90.314537000000001</v>
      </c>
      <c r="I347" s="122">
        <f t="shared" si="5"/>
        <v>2.7015323180031192E-2</v>
      </c>
      <c r="J347" s="122">
        <f t="shared" si="5"/>
        <v>2.1850647512877686E-4</v>
      </c>
    </row>
    <row r="348" spans="6:10" x14ac:dyDescent="0.3">
      <c r="F348" s="121">
        <v>43941</v>
      </c>
      <c r="G348" s="53">
        <v>270.01504499999999</v>
      </c>
      <c r="H348" s="53">
        <v>90.304671999999997</v>
      </c>
      <c r="I348" s="122">
        <f t="shared" si="5"/>
        <v>-1.7617885070112749E-2</v>
      </c>
      <c r="J348" s="122">
        <f t="shared" si="5"/>
        <v>-1.0922937023971624E-4</v>
      </c>
    </row>
    <row r="349" spans="6:10" x14ac:dyDescent="0.3">
      <c r="F349" s="121">
        <v>43942</v>
      </c>
      <c r="G349" s="53">
        <v>261.81652800000001</v>
      </c>
      <c r="H349" s="53">
        <v>90.304671999999997</v>
      </c>
      <c r="I349" s="122">
        <f t="shared" si="5"/>
        <v>-3.0363185873587106E-2</v>
      </c>
      <c r="J349" s="122">
        <f t="shared" si="5"/>
        <v>0</v>
      </c>
    </row>
    <row r="350" spans="6:10" x14ac:dyDescent="0.3">
      <c r="F350" s="121">
        <v>43943</v>
      </c>
      <c r="G350" s="53">
        <v>267.627411</v>
      </c>
      <c r="H350" s="53">
        <v>90.304671999999997</v>
      </c>
      <c r="I350" s="122">
        <f t="shared" si="5"/>
        <v>2.2194484986830076E-2</v>
      </c>
      <c r="J350" s="122">
        <f t="shared" si="5"/>
        <v>0</v>
      </c>
    </row>
    <row r="351" spans="6:10" x14ac:dyDescent="0.3">
      <c r="F351" s="121">
        <v>43944</v>
      </c>
      <c r="G351" s="53">
        <v>267.60824600000001</v>
      </c>
      <c r="H351" s="53">
        <v>90.314537000000001</v>
      </c>
      <c r="I351" s="122">
        <f t="shared" si="5"/>
        <v>-7.1610751411377294E-5</v>
      </c>
      <c r="J351" s="122">
        <f t="shared" si="5"/>
        <v>1.0924130259848397E-4</v>
      </c>
    </row>
    <row r="352" spans="6:10" x14ac:dyDescent="0.3">
      <c r="F352" s="121">
        <v>43945</v>
      </c>
      <c r="G352" s="53">
        <v>271.338348</v>
      </c>
      <c r="H352" s="53">
        <v>90.304671999999997</v>
      </c>
      <c r="I352" s="122">
        <f t="shared" si="5"/>
        <v>1.3938666150070667E-2</v>
      </c>
      <c r="J352" s="122">
        <f t="shared" si="5"/>
        <v>-1.0922937023971624E-4</v>
      </c>
    </row>
    <row r="353" spans="6:10" x14ac:dyDescent="0.3">
      <c r="F353" s="121">
        <v>43948</v>
      </c>
      <c r="G353" s="53">
        <v>275.25064099999997</v>
      </c>
      <c r="H353" s="53">
        <v>90.304671999999997</v>
      </c>
      <c r="I353" s="122">
        <f t="shared" si="5"/>
        <v>1.4418503793647286E-2</v>
      </c>
      <c r="J353" s="122">
        <f t="shared" si="5"/>
        <v>0</v>
      </c>
    </row>
    <row r="354" spans="6:10" x14ac:dyDescent="0.3">
      <c r="F354" s="121">
        <v>43949</v>
      </c>
      <c r="G354" s="53">
        <v>273.98492399999998</v>
      </c>
      <c r="H354" s="53">
        <v>90.304671999999997</v>
      </c>
      <c r="I354" s="122">
        <f t="shared" si="5"/>
        <v>-4.5984161758955144E-3</v>
      </c>
      <c r="J354" s="122">
        <f t="shared" si="5"/>
        <v>0</v>
      </c>
    </row>
    <row r="355" spans="6:10" x14ac:dyDescent="0.3">
      <c r="F355" s="121">
        <v>43950</v>
      </c>
      <c r="G355" s="53">
        <v>281.15741000000003</v>
      </c>
      <c r="H355" s="53">
        <v>90.294807000000006</v>
      </c>
      <c r="I355" s="122">
        <f t="shared" si="5"/>
        <v>2.6178396589441766E-2</v>
      </c>
      <c r="J355" s="122">
        <f t="shared" si="5"/>
        <v>-1.0924130259826192E-4</v>
      </c>
    </row>
    <row r="356" spans="6:10" x14ac:dyDescent="0.3">
      <c r="F356" s="121">
        <v>43951</v>
      </c>
      <c r="G356" s="53">
        <v>278.53964200000001</v>
      </c>
      <c r="H356" s="53">
        <v>90.314537000000001</v>
      </c>
      <c r="I356" s="122">
        <f t="shared" si="5"/>
        <v>-9.3106847157256034E-3</v>
      </c>
      <c r="J356" s="122">
        <f t="shared" si="5"/>
        <v>2.1850647512877686E-4</v>
      </c>
    </row>
    <row r="357" spans="6:10" x14ac:dyDescent="0.3">
      <c r="F357" s="121">
        <v>43952</v>
      </c>
      <c r="G357" s="53">
        <v>271.16574100000003</v>
      </c>
      <c r="H357" s="53">
        <v>90.298743999999999</v>
      </c>
      <c r="I357" s="122">
        <f t="shared" si="5"/>
        <v>-2.6473434614380675E-2</v>
      </c>
      <c r="J357" s="122">
        <f t="shared" si="5"/>
        <v>-1.7486664411514585E-4</v>
      </c>
    </row>
    <row r="358" spans="6:10" x14ac:dyDescent="0.3">
      <c r="F358" s="121">
        <v>43955</v>
      </c>
      <c r="G358" s="53">
        <v>271.91366599999998</v>
      </c>
      <c r="H358" s="53">
        <v>90.298743999999999</v>
      </c>
      <c r="I358" s="122">
        <f t="shared" si="5"/>
        <v>2.7581839698547217E-3</v>
      </c>
      <c r="J358" s="122">
        <f t="shared" si="5"/>
        <v>0</v>
      </c>
    </row>
    <row r="359" spans="6:10" x14ac:dyDescent="0.3">
      <c r="F359" s="121">
        <v>43956</v>
      </c>
      <c r="G359" s="53">
        <v>274.42596400000002</v>
      </c>
      <c r="H359" s="53">
        <v>90.298743999999999</v>
      </c>
      <c r="I359" s="122">
        <f t="shared" si="5"/>
        <v>9.2393223075446507E-3</v>
      </c>
      <c r="J359" s="122">
        <f t="shared" si="5"/>
        <v>0</v>
      </c>
    </row>
    <row r="360" spans="6:10" x14ac:dyDescent="0.3">
      <c r="F360" s="121">
        <v>43957</v>
      </c>
      <c r="G360" s="53">
        <v>272.56573500000002</v>
      </c>
      <c r="H360" s="53">
        <v>90.308616999999998</v>
      </c>
      <c r="I360" s="122">
        <f t="shared" si="5"/>
        <v>-6.7786188044510753E-3</v>
      </c>
      <c r="J360" s="122">
        <f t="shared" si="5"/>
        <v>1.0933706896287809E-4</v>
      </c>
    </row>
    <row r="361" spans="6:10" x14ac:dyDescent="0.3">
      <c r="F361" s="121">
        <v>43958</v>
      </c>
      <c r="G361" s="53">
        <v>275.85470600000002</v>
      </c>
      <c r="H361" s="53">
        <v>90.298743999999999</v>
      </c>
      <c r="I361" s="122">
        <f t="shared" si="5"/>
        <v>1.2066707504521768E-2</v>
      </c>
      <c r="J361" s="122">
        <f t="shared" si="5"/>
        <v>-1.0932511567529613E-4</v>
      </c>
    </row>
    <row r="362" spans="6:10" x14ac:dyDescent="0.3">
      <c r="F362" s="121">
        <v>43959</v>
      </c>
      <c r="G362" s="53">
        <v>280.41906699999998</v>
      </c>
      <c r="H362" s="53">
        <v>90.298743999999999</v>
      </c>
      <c r="I362" s="122">
        <f t="shared" si="5"/>
        <v>1.6546250256828987E-2</v>
      </c>
      <c r="J362" s="122">
        <f t="shared" si="5"/>
        <v>0</v>
      </c>
    </row>
    <row r="363" spans="6:10" x14ac:dyDescent="0.3">
      <c r="F363" s="121">
        <v>43962</v>
      </c>
      <c r="G363" s="53">
        <v>280.47662400000002</v>
      </c>
      <c r="H363" s="53">
        <v>90.308616999999998</v>
      </c>
      <c r="I363" s="122">
        <f t="shared" si="5"/>
        <v>2.0525351794287161E-4</v>
      </c>
      <c r="J363" s="122">
        <f t="shared" si="5"/>
        <v>1.0933706896287809E-4</v>
      </c>
    </row>
    <row r="364" spans="6:10" x14ac:dyDescent="0.3">
      <c r="F364" s="121">
        <v>43963</v>
      </c>
      <c r="G364" s="53">
        <v>274.88623000000001</v>
      </c>
      <c r="H364" s="53">
        <v>90.308616999999998</v>
      </c>
      <c r="I364" s="122">
        <f t="shared" si="5"/>
        <v>-1.9931764438237076E-2</v>
      </c>
      <c r="J364" s="122">
        <f t="shared" si="5"/>
        <v>0</v>
      </c>
    </row>
    <row r="365" spans="6:10" x14ac:dyDescent="0.3">
      <c r="F365" s="121">
        <v>43964</v>
      </c>
      <c r="G365" s="53">
        <v>270.02462800000001</v>
      </c>
      <c r="H365" s="53">
        <v>90.308616999999998</v>
      </c>
      <c r="I365" s="122">
        <f t="shared" si="5"/>
        <v>-1.7685869532278908E-2</v>
      </c>
      <c r="J365" s="122">
        <f t="shared" si="5"/>
        <v>0</v>
      </c>
    </row>
    <row r="366" spans="6:10" x14ac:dyDescent="0.3">
      <c r="F366" s="121">
        <v>43965</v>
      </c>
      <c r="G366" s="53">
        <v>273.25613399999997</v>
      </c>
      <c r="H366" s="53">
        <v>90.318481000000006</v>
      </c>
      <c r="I366" s="122">
        <f t="shared" si="5"/>
        <v>1.1967449132084251E-2</v>
      </c>
      <c r="J366" s="122">
        <f t="shared" si="5"/>
        <v>1.0922545741132161E-4</v>
      </c>
    </row>
    <row r="367" spans="6:10" x14ac:dyDescent="0.3">
      <c r="F367" s="121">
        <v>43966</v>
      </c>
      <c r="G367" s="53">
        <v>274.51226800000001</v>
      </c>
      <c r="H367" s="53">
        <v>90.298743999999999</v>
      </c>
      <c r="I367" s="122">
        <f t="shared" si="5"/>
        <v>4.5969105308356628E-3</v>
      </c>
      <c r="J367" s="122">
        <f t="shared" si="5"/>
        <v>-2.1852670440736244E-4</v>
      </c>
    </row>
    <row r="368" spans="6:10" x14ac:dyDescent="0.3">
      <c r="F368" s="121">
        <v>43969</v>
      </c>
      <c r="G368" s="53">
        <v>282.87383999999997</v>
      </c>
      <c r="H368" s="53">
        <v>90.298743999999999</v>
      </c>
      <c r="I368" s="122">
        <f t="shared" si="5"/>
        <v>3.0459738870395325E-2</v>
      </c>
      <c r="J368" s="122">
        <f t="shared" si="5"/>
        <v>0</v>
      </c>
    </row>
    <row r="369" spans="6:10" x14ac:dyDescent="0.3">
      <c r="F369" s="121">
        <v>43970</v>
      </c>
      <c r="G369" s="53">
        <v>279.968323</v>
      </c>
      <c r="H369" s="53">
        <v>90.298743999999999</v>
      </c>
      <c r="I369" s="122">
        <f t="shared" si="5"/>
        <v>-1.0271423472739571E-2</v>
      </c>
      <c r="J369" s="122">
        <f t="shared" si="5"/>
        <v>0</v>
      </c>
    </row>
    <row r="370" spans="6:10" x14ac:dyDescent="0.3">
      <c r="F370" s="121">
        <v>43971</v>
      </c>
      <c r="G370" s="53">
        <v>284.72451799999999</v>
      </c>
      <c r="H370" s="53">
        <v>90.298743999999999</v>
      </c>
      <c r="I370" s="122">
        <f t="shared" si="5"/>
        <v>1.6988332640760939E-2</v>
      </c>
      <c r="J370" s="122">
        <f t="shared" si="5"/>
        <v>0</v>
      </c>
    </row>
    <row r="371" spans="6:10" x14ac:dyDescent="0.3">
      <c r="F371" s="121">
        <v>43972</v>
      </c>
      <c r="G371" s="53">
        <v>282.75878899999998</v>
      </c>
      <c r="H371" s="53">
        <v>90.308616999999998</v>
      </c>
      <c r="I371" s="122">
        <f t="shared" si="5"/>
        <v>-6.9039681366674932E-3</v>
      </c>
      <c r="J371" s="122">
        <f t="shared" si="5"/>
        <v>1.0933706896287809E-4</v>
      </c>
    </row>
    <row r="372" spans="6:10" x14ac:dyDescent="0.3">
      <c r="F372" s="121">
        <v>43973</v>
      </c>
      <c r="G372" s="53">
        <v>283.29580700000002</v>
      </c>
      <c r="H372" s="53">
        <v>90.298743999999999</v>
      </c>
      <c r="I372" s="122">
        <f t="shared" si="5"/>
        <v>1.8992088695075626E-3</v>
      </c>
      <c r="J372" s="122">
        <f t="shared" si="5"/>
        <v>-1.0932511567529613E-4</v>
      </c>
    </row>
    <row r="373" spans="6:10" x14ac:dyDescent="0.3">
      <c r="F373" s="121">
        <v>43977</v>
      </c>
      <c r="G373" s="53">
        <v>286.78610200000003</v>
      </c>
      <c r="H373" s="53">
        <v>90.308616999999998</v>
      </c>
      <c r="I373" s="122">
        <f t="shared" si="5"/>
        <v>1.232032001094896E-2</v>
      </c>
      <c r="J373" s="122">
        <f t="shared" si="5"/>
        <v>1.0933706896287809E-4</v>
      </c>
    </row>
    <row r="374" spans="6:10" x14ac:dyDescent="0.3">
      <c r="F374" s="121">
        <v>43978</v>
      </c>
      <c r="G374" s="53">
        <v>291.05319200000002</v>
      </c>
      <c r="H374" s="53">
        <v>90.298743999999999</v>
      </c>
      <c r="I374" s="122">
        <f t="shared" si="5"/>
        <v>1.4878998564581858E-2</v>
      </c>
      <c r="J374" s="122">
        <f t="shared" si="5"/>
        <v>-1.0932511567529613E-4</v>
      </c>
    </row>
    <row r="375" spans="6:10" x14ac:dyDescent="0.3">
      <c r="F375" s="121">
        <v>43979</v>
      </c>
      <c r="G375" s="53">
        <v>290.51623499999999</v>
      </c>
      <c r="H375" s="53">
        <v>90.298743999999999</v>
      </c>
      <c r="I375" s="122">
        <f t="shared" si="5"/>
        <v>-1.84487583286852E-3</v>
      </c>
      <c r="J375" s="122">
        <f t="shared" si="5"/>
        <v>0</v>
      </c>
    </row>
    <row r="376" spans="6:10" x14ac:dyDescent="0.3">
      <c r="F376" s="121">
        <v>43980</v>
      </c>
      <c r="G376" s="53">
        <v>291.810699</v>
      </c>
      <c r="H376" s="53">
        <v>90.298743999999999</v>
      </c>
      <c r="I376" s="122">
        <f t="shared" si="5"/>
        <v>4.4557372155122899E-3</v>
      </c>
      <c r="J376" s="122">
        <f t="shared" si="5"/>
        <v>0</v>
      </c>
    </row>
    <row r="377" spans="6:10" x14ac:dyDescent="0.3">
      <c r="F377" s="121">
        <v>43983</v>
      </c>
      <c r="G377" s="53">
        <v>292.99017300000003</v>
      </c>
      <c r="H377" s="53">
        <v>90.308616999999998</v>
      </c>
      <c r="I377" s="122">
        <f t="shared" si="5"/>
        <v>4.0419148579609043E-3</v>
      </c>
      <c r="J377" s="122">
        <f t="shared" si="5"/>
        <v>1.0933706896287809E-4</v>
      </c>
    </row>
    <row r="378" spans="6:10" x14ac:dyDescent="0.3">
      <c r="F378" s="121">
        <v>43984</v>
      </c>
      <c r="G378" s="53">
        <v>295.41610700000001</v>
      </c>
      <c r="H378" s="53">
        <v>90.308616999999998</v>
      </c>
      <c r="I378" s="122">
        <f t="shared" si="5"/>
        <v>8.279915927419168E-3</v>
      </c>
      <c r="J378" s="122">
        <f t="shared" si="5"/>
        <v>0</v>
      </c>
    </row>
    <row r="379" spans="6:10" x14ac:dyDescent="0.3">
      <c r="F379" s="121">
        <v>43985</v>
      </c>
      <c r="G379" s="53">
        <v>299.34765599999997</v>
      </c>
      <c r="H379" s="53">
        <v>90.308616999999998</v>
      </c>
      <c r="I379" s="122">
        <f t="shared" si="5"/>
        <v>1.3308512660076266E-2</v>
      </c>
      <c r="J379" s="122">
        <f t="shared" si="5"/>
        <v>0</v>
      </c>
    </row>
    <row r="380" spans="6:10" x14ac:dyDescent="0.3">
      <c r="F380" s="121">
        <v>43986</v>
      </c>
      <c r="G380" s="53">
        <v>298.56133999999997</v>
      </c>
      <c r="H380" s="53">
        <v>90.308616999999998</v>
      </c>
      <c r="I380" s="122">
        <f t="shared" si="5"/>
        <v>-2.6267651816855864E-3</v>
      </c>
      <c r="J380" s="122">
        <f t="shared" si="5"/>
        <v>0</v>
      </c>
    </row>
    <row r="381" spans="6:10" x14ac:dyDescent="0.3">
      <c r="F381" s="121">
        <v>43987</v>
      </c>
      <c r="G381" s="53">
        <v>306.213348</v>
      </c>
      <c r="H381" s="53">
        <v>90.288887000000003</v>
      </c>
      <c r="I381" s="122">
        <f t="shared" si="5"/>
        <v>2.5629600938956276E-2</v>
      </c>
      <c r="J381" s="122">
        <f t="shared" si="5"/>
        <v>-2.1847306110334141E-4</v>
      </c>
    </row>
    <row r="382" spans="6:10" x14ac:dyDescent="0.3">
      <c r="F382" s="121">
        <v>43990</v>
      </c>
      <c r="G382" s="53">
        <v>309.91467299999999</v>
      </c>
      <c r="H382" s="53">
        <v>90.298743999999999</v>
      </c>
      <c r="I382" s="122">
        <f t="shared" si="5"/>
        <v>1.2087405804400042E-2</v>
      </c>
      <c r="J382" s="122">
        <f t="shared" si="5"/>
        <v>1.0917179652469855E-4</v>
      </c>
    </row>
    <row r="383" spans="6:10" x14ac:dyDescent="0.3">
      <c r="F383" s="121">
        <v>43991</v>
      </c>
      <c r="G383" s="53">
        <v>307.60376000000002</v>
      </c>
      <c r="H383" s="53">
        <v>90.298743999999999</v>
      </c>
      <c r="I383" s="122">
        <f t="shared" si="5"/>
        <v>-7.4566104845250614E-3</v>
      </c>
      <c r="J383" s="122">
        <f t="shared" si="5"/>
        <v>0</v>
      </c>
    </row>
    <row r="384" spans="6:10" x14ac:dyDescent="0.3">
      <c r="F384" s="121">
        <v>43992</v>
      </c>
      <c r="G384" s="53">
        <v>305.88732900000002</v>
      </c>
      <c r="H384" s="53">
        <v>90.308616999999998</v>
      </c>
      <c r="I384" s="122">
        <f t="shared" si="5"/>
        <v>-5.5800065642890306E-3</v>
      </c>
      <c r="J384" s="122">
        <f t="shared" si="5"/>
        <v>1.0933706896287809E-4</v>
      </c>
    </row>
    <row r="385" spans="6:10" x14ac:dyDescent="0.3">
      <c r="F385" s="121">
        <v>43993</v>
      </c>
      <c r="G385" s="53">
        <v>288.25320399999998</v>
      </c>
      <c r="H385" s="53">
        <v>90.288887000000003</v>
      </c>
      <c r="I385" s="122">
        <f t="shared" si="5"/>
        <v>-5.7649086209779044E-2</v>
      </c>
      <c r="J385" s="122">
        <f t="shared" si="5"/>
        <v>-2.1847306110334141E-4</v>
      </c>
    </row>
    <row r="386" spans="6:10" x14ac:dyDescent="0.3">
      <c r="F386" s="121">
        <v>43994</v>
      </c>
      <c r="G386" s="53">
        <v>291.70526100000001</v>
      </c>
      <c r="H386" s="53">
        <v>90.308616999999998</v>
      </c>
      <c r="I386" s="122">
        <f t="shared" si="5"/>
        <v>1.1975780154728222E-2</v>
      </c>
      <c r="J386" s="122">
        <f t="shared" si="5"/>
        <v>2.1852080201179014E-4</v>
      </c>
    </row>
    <row r="387" spans="6:10" x14ac:dyDescent="0.3">
      <c r="F387" s="121">
        <v>43997</v>
      </c>
      <c r="G387" s="53">
        <v>294.42852800000003</v>
      </c>
      <c r="H387" s="53">
        <v>90.308616999999998</v>
      </c>
      <c r="I387" s="122">
        <f t="shared" si="5"/>
        <v>9.3356800993726896E-3</v>
      </c>
      <c r="J387" s="122">
        <f t="shared" si="5"/>
        <v>0</v>
      </c>
    </row>
    <row r="388" spans="6:10" x14ac:dyDescent="0.3">
      <c r="F388" s="121">
        <v>43998</v>
      </c>
      <c r="G388" s="53">
        <v>300.09558099999998</v>
      </c>
      <c r="H388" s="53">
        <v>90.308616999999998</v>
      </c>
      <c r="I388" s="122">
        <f t="shared" si="5"/>
        <v>1.92476355416209E-2</v>
      </c>
      <c r="J388" s="122">
        <f t="shared" si="5"/>
        <v>0</v>
      </c>
    </row>
    <row r="389" spans="6:10" x14ac:dyDescent="0.3">
      <c r="F389" s="121">
        <v>43999</v>
      </c>
      <c r="G389" s="53">
        <v>298.84903000000003</v>
      </c>
      <c r="H389" s="53">
        <v>90.308616999999998</v>
      </c>
      <c r="I389" s="122">
        <f t="shared" si="5"/>
        <v>-4.1538465706363326E-3</v>
      </c>
      <c r="J389" s="122">
        <f t="shared" si="5"/>
        <v>0</v>
      </c>
    </row>
    <row r="390" spans="6:10" x14ac:dyDescent="0.3">
      <c r="F390" s="121">
        <v>44000</v>
      </c>
      <c r="G390" s="53">
        <v>298.96404999999999</v>
      </c>
      <c r="H390" s="53">
        <v>90.298743999999999</v>
      </c>
      <c r="I390" s="122">
        <f t="shared" si="5"/>
        <v>3.8487660475250429E-4</v>
      </c>
      <c r="J390" s="122">
        <f t="shared" si="5"/>
        <v>-1.0932511567529613E-4</v>
      </c>
    </row>
    <row r="391" spans="6:10" x14ac:dyDescent="0.3">
      <c r="F391" s="121">
        <v>44001</v>
      </c>
      <c r="G391" s="53">
        <v>297.25552399999998</v>
      </c>
      <c r="H391" s="53">
        <v>90.298743999999999</v>
      </c>
      <c r="I391" s="122">
        <f t="shared" si="5"/>
        <v>-5.7148208956896429E-3</v>
      </c>
      <c r="J391" s="122">
        <f t="shared" si="5"/>
        <v>0</v>
      </c>
    </row>
    <row r="392" spans="6:10" x14ac:dyDescent="0.3">
      <c r="F392" s="121">
        <v>44004</v>
      </c>
      <c r="G392" s="53">
        <v>299.16253699999999</v>
      </c>
      <c r="H392" s="53">
        <v>90.298743999999999</v>
      </c>
      <c r="I392" s="122">
        <f t="shared" si="5"/>
        <v>6.4153997017057929E-3</v>
      </c>
      <c r="J392" s="122">
        <f t="shared" si="5"/>
        <v>0</v>
      </c>
    </row>
    <row r="393" spans="6:10" x14ac:dyDescent="0.3">
      <c r="F393" s="121">
        <v>44005</v>
      </c>
      <c r="G393" s="53">
        <v>300.53970299999997</v>
      </c>
      <c r="H393" s="53">
        <v>90.298743999999999</v>
      </c>
      <c r="I393" s="122">
        <f t="shared" si="5"/>
        <v>4.6034039348983313E-3</v>
      </c>
      <c r="J393" s="122">
        <f t="shared" si="5"/>
        <v>0</v>
      </c>
    </row>
    <row r="394" spans="6:10" x14ac:dyDescent="0.3">
      <c r="F394" s="121">
        <v>44006</v>
      </c>
      <c r="G394" s="53">
        <v>292.87329099999999</v>
      </c>
      <c r="H394" s="53">
        <v>90.298743999999999</v>
      </c>
      <c r="I394" s="122">
        <f t="shared" si="5"/>
        <v>-2.5508816051501793E-2</v>
      </c>
      <c r="J394" s="122">
        <f t="shared" si="5"/>
        <v>0</v>
      </c>
    </row>
    <row r="395" spans="6:10" x14ac:dyDescent="0.3">
      <c r="F395" s="121">
        <v>44007</v>
      </c>
      <c r="G395" s="53">
        <v>296.01306199999999</v>
      </c>
      <c r="H395" s="53">
        <v>90.308616999999998</v>
      </c>
      <c r="I395" s="122">
        <f t="shared" si="5"/>
        <v>1.0720578135614334E-2</v>
      </c>
      <c r="J395" s="122">
        <f t="shared" si="5"/>
        <v>1.0933706896287809E-4</v>
      </c>
    </row>
    <row r="396" spans="6:10" x14ac:dyDescent="0.3">
      <c r="F396" s="121">
        <v>44008</v>
      </c>
      <c r="G396" s="53">
        <v>288.98236100000003</v>
      </c>
      <c r="H396" s="53">
        <v>90.298743999999999</v>
      </c>
      <c r="I396" s="122">
        <f t="shared" si="5"/>
        <v>-2.375132013600123E-2</v>
      </c>
      <c r="J396" s="122">
        <f t="shared" si="5"/>
        <v>-1.0932511567529613E-4</v>
      </c>
    </row>
    <row r="397" spans="6:10" x14ac:dyDescent="0.3">
      <c r="F397" s="121">
        <v>44011</v>
      </c>
      <c r="G397" s="53">
        <v>293.22967499999999</v>
      </c>
      <c r="H397" s="53">
        <v>90.298743999999999</v>
      </c>
      <c r="I397" s="122">
        <f t="shared" si="5"/>
        <v>1.4697485290460222E-2</v>
      </c>
      <c r="J397" s="122">
        <f t="shared" si="5"/>
        <v>0</v>
      </c>
    </row>
    <row r="398" spans="6:10" x14ac:dyDescent="0.3">
      <c r="F398" s="121">
        <v>44012</v>
      </c>
      <c r="G398" s="53">
        <v>296.98577899999998</v>
      </c>
      <c r="H398" s="53">
        <v>90.298743999999999</v>
      </c>
      <c r="I398" s="122">
        <f t="shared" si="5"/>
        <v>1.2809426603906937E-2</v>
      </c>
      <c r="J398" s="122">
        <f t="shared" si="5"/>
        <v>0</v>
      </c>
    </row>
    <row r="399" spans="6:10" x14ac:dyDescent="0.3">
      <c r="F399" s="121">
        <v>44013</v>
      </c>
      <c r="G399" s="53">
        <v>299.06616200000002</v>
      </c>
      <c r="H399" s="53">
        <v>90.298743999999999</v>
      </c>
      <c r="I399" s="122">
        <f t="shared" si="5"/>
        <v>7.0049919797676719E-3</v>
      </c>
      <c r="J399" s="122">
        <f t="shared" si="5"/>
        <v>0</v>
      </c>
    </row>
    <row r="400" spans="6:10" x14ac:dyDescent="0.3">
      <c r="F400" s="121">
        <v>44014</v>
      </c>
      <c r="G400" s="53">
        <v>300.71310399999999</v>
      </c>
      <c r="H400" s="53">
        <v>90.308616999999998</v>
      </c>
      <c r="I400" s="122">
        <f t="shared" si="5"/>
        <v>5.5069486597416617E-3</v>
      </c>
      <c r="J400" s="122">
        <f t="shared" si="5"/>
        <v>1.0933706896287809E-4</v>
      </c>
    </row>
    <row r="401" spans="6:10" x14ac:dyDescent="0.3">
      <c r="F401" s="121">
        <v>44018</v>
      </c>
      <c r="G401" s="53">
        <v>305.35528599999998</v>
      </c>
      <c r="H401" s="53">
        <v>90.298743999999999</v>
      </c>
      <c r="I401" s="122">
        <f t="shared" si="5"/>
        <v>1.5437245461707549E-2</v>
      </c>
      <c r="J401" s="122">
        <f t="shared" si="5"/>
        <v>-1.0932511567529613E-4</v>
      </c>
    </row>
    <row r="402" spans="6:10" x14ac:dyDescent="0.3">
      <c r="F402" s="121">
        <v>44019</v>
      </c>
      <c r="G402" s="53">
        <v>302.20593300000002</v>
      </c>
      <c r="H402" s="53">
        <v>90.298743999999999</v>
      </c>
      <c r="I402" s="122">
        <f t="shared" si="5"/>
        <v>-1.0313733360423849E-2</v>
      </c>
      <c r="J402" s="122">
        <f t="shared" si="5"/>
        <v>0</v>
      </c>
    </row>
    <row r="403" spans="6:10" x14ac:dyDescent="0.3">
      <c r="F403" s="121">
        <v>44020</v>
      </c>
      <c r="G403" s="53">
        <v>304.517426</v>
      </c>
      <c r="H403" s="53">
        <v>90.298743999999999</v>
      </c>
      <c r="I403" s="122">
        <f t="shared" si="5"/>
        <v>7.6487346792095678E-3</v>
      </c>
      <c r="J403" s="122">
        <f t="shared" si="5"/>
        <v>0</v>
      </c>
    </row>
    <row r="404" spans="6:10" x14ac:dyDescent="0.3">
      <c r="F404" s="121">
        <v>44021</v>
      </c>
      <c r="G404" s="53">
        <v>302.78381300000001</v>
      </c>
      <c r="H404" s="53">
        <v>90.298743999999999</v>
      </c>
      <c r="I404" s="122">
        <f t="shared" si="5"/>
        <v>-5.6929845453245198E-3</v>
      </c>
      <c r="J404" s="122">
        <f t="shared" si="5"/>
        <v>0</v>
      </c>
    </row>
    <row r="405" spans="6:10" x14ac:dyDescent="0.3">
      <c r="F405" s="121">
        <v>44022</v>
      </c>
      <c r="G405" s="53">
        <v>305.87536599999999</v>
      </c>
      <c r="H405" s="53">
        <v>90.308616999999998</v>
      </c>
      <c r="I405" s="122">
        <f t="shared" si="5"/>
        <v>1.0210430238554391E-2</v>
      </c>
      <c r="J405" s="122">
        <f t="shared" si="5"/>
        <v>1.0933706896287809E-4</v>
      </c>
    </row>
    <row r="406" spans="6:10" x14ac:dyDescent="0.3">
      <c r="F406" s="121">
        <v>44025</v>
      </c>
      <c r="G406" s="53">
        <v>303.22680700000001</v>
      </c>
      <c r="H406" s="53">
        <v>90.308616999999998</v>
      </c>
      <c r="I406" s="122">
        <f t="shared" si="5"/>
        <v>-8.658948363955421E-3</v>
      </c>
      <c r="J406" s="122">
        <f t="shared" si="5"/>
        <v>0</v>
      </c>
    </row>
    <row r="407" spans="6:10" x14ac:dyDescent="0.3">
      <c r="F407" s="121">
        <v>44026</v>
      </c>
      <c r="G407" s="53">
        <v>307.156342</v>
      </c>
      <c r="H407" s="53">
        <v>90.308616999999998</v>
      </c>
      <c r="I407" s="122">
        <f t="shared" ref="I407:J470" si="6">G407/G406-1</f>
        <v>1.295906202646524E-2</v>
      </c>
      <c r="J407" s="122">
        <f t="shared" si="6"/>
        <v>0</v>
      </c>
    </row>
    <row r="408" spans="6:10" x14ac:dyDescent="0.3">
      <c r="F408" s="121">
        <v>44027</v>
      </c>
      <c r="G408" s="53">
        <v>309.97827100000001</v>
      </c>
      <c r="H408" s="53">
        <v>90.308616999999998</v>
      </c>
      <c r="I408" s="122">
        <f t="shared" si="6"/>
        <v>9.1872724542343409E-3</v>
      </c>
      <c r="J408" s="122">
        <f t="shared" si="6"/>
        <v>0</v>
      </c>
    </row>
    <row r="409" spans="6:10" x14ac:dyDescent="0.3">
      <c r="F409" s="121">
        <v>44028</v>
      </c>
      <c r="G409" s="53">
        <v>308.95739700000001</v>
      </c>
      <c r="H409" s="53">
        <v>90.298743999999999</v>
      </c>
      <c r="I409" s="122">
        <f t="shared" si="6"/>
        <v>-3.2933727796681245E-3</v>
      </c>
      <c r="J409" s="122">
        <f t="shared" si="6"/>
        <v>-1.0932511567529613E-4</v>
      </c>
    </row>
    <row r="410" spans="6:10" x14ac:dyDescent="0.3">
      <c r="F410" s="121">
        <v>44029</v>
      </c>
      <c r="G410" s="53">
        <v>309.853027</v>
      </c>
      <c r="H410" s="53">
        <v>90.308616999999998</v>
      </c>
      <c r="I410" s="122">
        <f t="shared" si="6"/>
        <v>2.8988786437762482E-3</v>
      </c>
      <c r="J410" s="122">
        <f t="shared" si="6"/>
        <v>1.0933706896287809E-4</v>
      </c>
    </row>
    <row r="411" spans="6:10" x14ac:dyDescent="0.3">
      <c r="F411" s="121">
        <v>44032</v>
      </c>
      <c r="G411" s="53">
        <v>312.35711700000002</v>
      </c>
      <c r="H411" s="53">
        <v>90.308616999999998</v>
      </c>
      <c r="I411" s="122">
        <f t="shared" si="6"/>
        <v>8.0815411882357857E-3</v>
      </c>
      <c r="J411" s="122">
        <f t="shared" si="6"/>
        <v>0</v>
      </c>
    </row>
    <row r="412" spans="6:10" x14ac:dyDescent="0.3">
      <c r="F412" s="121">
        <v>44033</v>
      </c>
      <c r="G412" s="53">
        <v>313.02175899999997</v>
      </c>
      <c r="H412" s="53">
        <v>90.308616999999998</v>
      </c>
      <c r="I412" s="122">
        <f t="shared" si="6"/>
        <v>2.1278272971125833E-3</v>
      </c>
      <c r="J412" s="122">
        <f t="shared" si="6"/>
        <v>0</v>
      </c>
    </row>
    <row r="413" spans="6:10" x14ac:dyDescent="0.3">
      <c r="F413" s="121">
        <v>44034</v>
      </c>
      <c r="G413" s="53">
        <v>314.80343599999998</v>
      </c>
      <c r="H413" s="53">
        <v>90.298743999999999</v>
      </c>
      <c r="I413" s="122">
        <f t="shared" si="6"/>
        <v>5.6918631014402088E-3</v>
      </c>
      <c r="J413" s="122">
        <f t="shared" si="6"/>
        <v>-1.0932511567529613E-4</v>
      </c>
    </row>
    <row r="414" spans="6:10" x14ac:dyDescent="0.3">
      <c r="F414" s="121">
        <v>44035</v>
      </c>
      <c r="G414" s="53">
        <v>311.047302</v>
      </c>
      <c r="H414" s="53">
        <v>90.308616999999998</v>
      </c>
      <c r="I414" s="122">
        <f t="shared" si="6"/>
        <v>-1.193168044074322E-2</v>
      </c>
      <c r="J414" s="122">
        <f t="shared" si="6"/>
        <v>1.0933706896287809E-4</v>
      </c>
    </row>
    <row r="415" spans="6:10" x14ac:dyDescent="0.3">
      <c r="F415" s="121">
        <v>44036</v>
      </c>
      <c r="G415" s="53">
        <v>309.04406699999998</v>
      </c>
      <c r="H415" s="53">
        <v>90.298743999999999</v>
      </c>
      <c r="I415" s="122">
        <f t="shared" si="6"/>
        <v>-6.4402905510494435E-3</v>
      </c>
      <c r="J415" s="122">
        <f t="shared" si="6"/>
        <v>-1.0932511567529613E-4</v>
      </c>
    </row>
    <row r="416" spans="6:10" x14ac:dyDescent="0.3">
      <c r="F416" s="121">
        <v>44039</v>
      </c>
      <c r="G416" s="53">
        <v>311.297729</v>
      </c>
      <c r="H416" s="53">
        <v>90.298743999999999</v>
      </c>
      <c r="I416" s="122">
        <f t="shared" si="6"/>
        <v>7.292364554599251E-3</v>
      </c>
      <c r="J416" s="122">
        <f t="shared" si="6"/>
        <v>0</v>
      </c>
    </row>
    <row r="417" spans="6:10" x14ac:dyDescent="0.3">
      <c r="F417" s="121">
        <v>44040</v>
      </c>
      <c r="G417" s="53">
        <v>309.32330300000001</v>
      </c>
      <c r="H417" s="53">
        <v>90.308616999999998</v>
      </c>
      <c r="I417" s="122">
        <f t="shared" si="6"/>
        <v>-6.3425647412930219E-3</v>
      </c>
      <c r="J417" s="122">
        <f t="shared" si="6"/>
        <v>1.0933706896287809E-4</v>
      </c>
    </row>
    <row r="418" spans="6:10" x14ac:dyDescent="0.3">
      <c r="F418" s="121">
        <v>44041</v>
      </c>
      <c r="G418" s="53">
        <v>313.12759399999999</v>
      </c>
      <c r="H418" s="53">
        <v>90.308616999999998</v>
      </c>
      <c r="I418" s="122">
        <f t="shared" si="6"/>
        <v>1.2298753320890254E-2</v>
      </c>
      <c r="J418" s="122">
        <f t="shared" si="6"/>
        <v>0</v>
      </c>
    </row>
    <row r="419" spans="6:10" x14ac:dyDescent="0.3">
      <c r="F419" s="121">
        <v>44042</v>
      </c>
      <c r="G419" s="53">
        <v>312.01043700000002</v>
      </c>
      <c r="H419" s="53">
        <v>90.298743999999999</v>
      </c>
      <c r="I419" s="122">
        <f t="shared" si="6"/>
        <v>-3.5677373103053522E-3</v>
      </c>
      <c r="J419" s="122">
        <f t="shared" si="6"/>
        <v>-1.0932511567529613E-4</v>
      </c>
    </row>
    <row r="420" spans="6:10" x14ac:dyDescent="0.3">
      <c r="F420" s="121">
        <v>44043</v>
      </c>
      <c r="G420" s="53">
        <v>314.47592200000003</v>
      </c>
      <c r="H420" s="53">
        <v>90.308616999999998</v>
      </c>
      <c r="I420" s="122">
        <f t="shared" si="6"/>
        <v>7.9019311780266221E-3</v>
      </c>
      <c r="J420" s="122">
        <f t="shared" si="6"/>
        <v>1.0933706896287809E-4</v>
      </c>
    </row>
    <row r="421" spans="6:10" x14ac:dyDescent="0.3">
      <c r="F421" s="121">
        <v>44046</v>
      </c>
      <c r="G421" s="53">
        <v>316.66229199999998</v>
      </c>
      <c r="H421" s="53">
        <v>90.298743999999999</v>
      </c>
      <c r="I421" s="122">
        <f t="shared" si="6"/>
        <v>6.952424166833282E-3</v>
      </c>
      <c r="J421" s="122">
        <f t="shared" si="6"/>
        <v>-1.0932511567529613E-4</v>
      </c>
    </row>
    <row r="422" spans="6:10" x14ac:dyDescent="0.3">
      <c r="F422" s="121">
        <v>44047</v>
      </c>
      <c r="G422" s="53">
        <v>317.88537600000001</v>
      </c>
      <c r="H422" s="53">
        <v>90.308616999999998</v>
      </c>
      <c r="I422" s="122">
        <f t="shared" si="6"/>
        <v>3.8624238846853842E-3</v>
      </c>
      <c r="J422" s="122">
        <f t="shared" si="6"/>
        <v>1.0933706896287809E-4</v>
      </c>
    </row>
    <row r="423" spans="6:10" x14ac:dyDescent="0.3">
      <c r="F423" s="121">
        <v>44048</v>
      </c>
      <c r="G423" s="53">
        <v>319.85983299999998</v>
      </c>
      <c r="H423" s="53">
        <v>90.298743999999999</v>
      </c>
      <c r="I423" s="122">
        <f t="shared" si="6"/>
        <v>6.2112231296855835E-3</v>
      </c>
      <c r="J423" s="122">
        <f t="shared" si="6"/>
        <v>-1.0932511567529613E-4</v>
      </c>
    </row>
    <row r="424" spans="6:10" x14ac:dyDescent="0.3">
      <c r="F424" s="121">
        <v>44049</v>
      </c>
      <c r="G424" s="53">
        <v>321.99789399999997</v>
      </c>
      <c r="H424" s="53">
        <v>90.298743999999999</v>
      </c>
      <c r="I424" s="122">
        <f t="shared" si="6"/>
        <v>6.6843685246342766E-3</v>
      </c>
      <c r="J424" s="122">
        <f t="shared" si="6"/>
        <v>0</v>
      </c>
    </row>
    <row r="425" spans="6:10" x14ac:dyDescent="0.3">
      <c r="F425" s="121">
        <v>44050</v>
      </c>
      <c r="G425" s="53">
        <v>322.22903400000001</v>
      </c>
      <c r="H425" s="53">
        <v>90.308616999999998</v>
      </c>
      <c r="I425" s="122">
        <f t="shared" si="6"/>
        <v>7.1783078183740301E-4</v>
      </c>
      <c r="J425" s="122">
        <f t="shared" si="6"/>
        <v>1.0933706896287809E-4</v>
      </c>
    </row>
    <row r="426" spans="6:10" x14ac:dyDescent="0.3">
      <c r="F426" s="121">
        <v>44053</v>
      </c>
      <c r="G426" s="53">
        <v>323.19216899999998</v>
      </c>
      <c r="H426" s="53">
        <v>90.308616999999998</v>
      </c>
      <c r="I426" s="122">
        <f t="shared" si="6"/>
        <v>2.9889764682098363E-3</v>
      </c>
      <c r="J426" s="122">
        <f t="shared" si="6"/>
        <v>0</v>
      </c>
    </row>
    <row r="427" spans="6:10" x14ac:dyDescent="0.3">
      <c r="F427" s="121">
        <v>44054</v>
      </c>
      <c r="G427" s="53">
        <v>320.52435300000002</v>
      </c>
      <c r="H427" s="53">
        <v>90.298743999999999</v>
      </c>
      <c r="I427" s="122">
        <f t="shared" si="6"/>
        <v>-8.2545811931474811E-3</v>
      </c>
      <c r="J427" s="122">
        <f t="shared" si="6"/>
        <v>-1.0932511567529613E-4</v>
      </c>
    </row>
    <row r="428" spans="6:10" x14ac:dyDescent="0.3">
      <c r="F428" s="121">
        <v>44055</v>
      </c>
      <c r="G428" s="53">
        <v>324.99316399999998</v>
      </c>
      <c r="H428" s="53">
        <v>90.298743999999999</v>
      </c>
      <c r="I428" s="122">
        <f t="shared" si="6"/>
        <v>1.3942188661090427E-2</v>
      </c>
      <c r="J428" s="122">
        <f t="shared" si="6"/>
        <v>0</v>
      </c>
    </row>
    <row r="429" spans="6:10" x14ac:dyDescent="0.3">
      <c r="F429" s="121">
        <v>44056</v>
      </c>
      <c r="G429" s="53">
        <v>324.40566999999999</v>
      </c>
      <c r="H429" s="53">
        <v>90.308616999999998</v>
      </c>
      <c r="I429" s="122">
        <f t="shared" si="6"/>
        <v>-1.8077118692871874E-3</v>
      </c>
      <c r="J429" s="122">
        <f t="shared" si="6"/>
        <v>1.0933706896287809E-4</v>
      </c>
    </row>
    <row r="430" spans="6:10" x14ac:dyDescent="0.3">
      <c r="F430" s="121">
        <v>44057</v>
      </c>
      <c r="G430" s="53">
        <v>324.41531400000002</v>
      </c>
      <c r="H430" s="53">
        <v>90.298743999999999</v>
      </c>
      <c r="I430" s="122">
        <f t="shared" si="6"/>
        <v>2.9728210360957519E-5</v>
      </c>
      <c r="J430" s="122">
        <f t="shared" si="6"/>
        <v>-1.0932511567529613E-4</v>
      </c>
    </row>
    <row r="431" spans="6:10" x14ac:dyDescent="0.3">
      <c r="F431" s="121">
        <v>44060</v>
      </c>
      <c r="G431" s="53">
        <v>325.44589200000001</v>
      </c>
      <c r="H431" s="53">
        <v>90.298743999999999</v>
      </c>
      <c r="I431" s="122">
        <f t="shared" si="6"/>
        <v>3.1767242652422922E-3</v>
      </c>
      <c r="J431" s="122">
        <f t="shared" si="6"/>
        <v>0</v>
      </c>
    </row>
    <row r="432" spans="6:10" x14ac:dyDescent="0.3">
      <c r="F432" s="121">
        <v>44061</v>
      </c>
      <c r="G432" s="53">
        <v>326.14898699999998</v>
      </c>
      <c r="H432" s="53">
        <v>90.308616999999998</v>
      </c>
      <c r="I432" s="122">
        <f t="shared" si="6"/>
        <v>2.1604052080028691E-3</v>
      </c>
      <c r="J432" s="122">
        <f t="shared" si="6"/>
        <v>1.0933706896287809E-4</v>
      </c>
    </row>
    <row r="433" spans="6:10" x14ac:dyDescent="0.3">
      <c r="F433" s="121">
        <v>44062</v>
      </c>
      <c r="G433" s="53">
        <v>324.790955</v>
      </c>
      <c r="H433" s="53">
        <v>90.308616999999998</v>
      </c>
      <c r="I433" s="122">
        <f t="shared" si="6"/>
        <v>-4.1638393928231654E-3</v>
      </c>
      <c r="J433" s="122">
        <f t="shared" si="6"/>
        <v>0</v>
      </c>
    </row>
    <row r="434" spans="6:10" x14ac:dyDescent="0.3">
      <c r="F434" s="121">
        <v>44063</v>
      </c>
      <c r="G434" s="53">
        <v>325.80221599999999</v>
      </c>
      <c r="H434" s="53">
        <v>90.308616999999998</v>
      </c>
      <c r="I434" s="122">
        <f t="shared" si="6"/>
        <v>3.1135750070379054E-3</v>
      </c>
      <c r="J434" s="122">
        <f t="shared" si="6"/>
        <v>0</v>
      </c>
    </row>
    <row r="435" spans="6:10" x14ac:dyDescent="0.3">
      <c r="F435" s="121">
        <v>44064</v>
      </c>
      <c r="G435" s="53">
        <v>326.95794699999999</v>
      </c>
      <c r="H435" s="53">
        <v>90.308616999999998</v>
      </c>
      <c r="I435" s="122">
        <f t="shared" si="6"/>
        <v>3.5473392851324004E-3</v>
      </c>
      <c r="J435" s="122">
        <f t="shared" si="6"/>
        <v>0</v>
      </c>
    </row>
    <row r="436" spans="6:10" x14ac:dyDescent="0.3">
      <c r="F436" s="121">
        <v>44067</v>
      </c>
      <c r="G436" s="53">
        <v>330.271118</v>
      </c>
      <c r="H436" s="53">
        <v>90.308616999999998</v>
      </c>
      <c r="I436" s="122">
        <f t="shared" si="6"/>
        <v>1.0133324577059399E-2</v>
      </c>
      <c r="J436" s="122">
        <f t="shared" si="6"/>
        <v>0</v>
      </c>
    </row>
    <row r="437" spans="6:10" x14ac:dyDescent="0.3">
      <c r="F437" s="121">
        <v>44068</v>
      </c>
      <c r="G437" s="53">
        <v>331.42681900000002</v>
      </c>
      <c r="H437" s="53">
        <v>90.298743999999999</v>
      </c>
      <c r="I437" s="122">
        <f t="shared" si="6"/>
        <v>3.4992493651837542E-3</v>
      </c>
      <c r="J437" s="122">
        <f t="shared" si="6"/>
        <v>-1.0932511567529613E-4</v>
      </c>
    </row>
    <row r="438" spans="6:10" x14ac:dyDescent="0.3">
      <c r="F438" s="121">
        <v>44069</v>
      </c>
      <c r="G438" s="53">
        <v>334.749573</v>
      </c>
      <c r="H438" s="53">
        <v>90.298743999999999</v>
      </c>
      <c r="I438" s="122">
        <f t="shared" si="6"/>
        <v>1.0025603872449329E-2</v>
      </c>
      <c r="J438" s="122">
        <f t="shared" si="6"/>
        <v>0</v>
      </c>
    </row>
    <row r="439" spans="6:10" x14ac:dyDescent="0.3">
      <c r="F439" s="121">
        <v>44070</v>
      </c>
      <c r="G439" s="53">
        <v>335.48150600000002</v>
      </c>
      <c r="H439" s="53">
        <v>90.298743999999999</v>
      </c>
      <c r="I439" s="122">
        <f t="shared" si="6"/>
        <v>2.1865091370856238E-3</v>
      </c>
      <c r="J439" s="122">
        <f t="shared" si="6"/>
        <v>0</v>
      </c>
    </row>
    <row r="440" spans="6:10" x14ac:dyDescent="0.3">
      <c r="F440" s="121">
        <v>44071</v>
      </c>
      <c r="G440" s="53">
        <v>337.64849900000002</v>
      </c>
      <c r="H440" s="53">
        <v>90.308616999999998</v>
      </c>
      <c r="I440" s="122">
        <f t="shared" si="6"/>
        <v>6.4593515923945244E-3</v>
      </c>
      <c r="J440" s="122">
        <f t="shared" si="6"/>
        <v>1.0933706896287809E-4</v>
      </c>
    </row>
    <row r="441" spans="6:10" x14ac:dyDescent="0.3">
      <c r="F441" s="121">
        <v>44074</v>
      </c>
      <c r="G441" s="53">
        <v>336.42535400000003</v>
      </c>
      <c r="H441" s="53">
        <v>90.308616999999998</v>
      </c>
      <c r="I441" s="122">
        <f t="shared" si="6"/>
        <v>-3.6225394267189737E-3</v>
      </c>
      <c r="J441" s="122">
        <f t="shared" si="6"/>
        <v>0</v>
      </c>
    </row>
    <row r="442" spans="6:10" x14ac:dyDescent="0.3">
      <c r="F442" s="121">
        <v>44075</v>
      </c>
      <c r="G442" s="53">
        <v>339.59396400000003</v>
      </c>
      <c r="H442" s="53">
        <v>90.308616999999998</v>
      </c>
      <c r="I442" s="122">
        <f t="shared" si="6"/>
        <v>9.4184637463441412E-3</v>
      </c>
      <c r="J442" s="122">
        <f t="shared" si="6"/>
        <v>0</v>
      </c>
    </row>
    <row r="443" spans="6:10" x14ac:dyDescent="0.3">
      <c r="F443" s="121">
        <v>44076</v>
      </c>
      <c r="G443" s="53">
        <v>344.50589000000002</v>
      </c>
      <c r="H443" s="53">
        <v>90.308616999999998</v>
      </c>
      <c r="I443" s="122">
        <f t="shared" si="6"/>
        <v>1.4464114562413144E-2</v>
      </c>
      <c r="J443" s="122">
        <f t="shared" si="6"/>
        <v>0</v>
      </c>
    </row>
    <row r="444" spans="6:10" x14ac:dyDescent="0.3">
      <c r="F444" s="121">
        <v>44077</v>
      </c>
      <c r="G444" s="53">
        <v>332.64996300000001</v>
      </c>
      <c r="H444" s="53">
        <v>90.298743999999999</v>
      </c>
      <c r="I444" s="122">
        <f t="shared" si="6"/>
        <v>-3.4414294048789706E-2</v>
      </c>
      <c r="J444" s="122">
        <f t="shared" si="6"/>
        <v>-1.0932511567529613E-4</v>
      </c>
    </row>
    <row r="445" spans="6:10" x14ac:dyDescent="0.3">
      <c r="F445" s="121">
        <v>44078</v>
      </c>
      <c r="G445" s="53">
        <v>329.93396000000001</v>
      </c>
      <c r="H445" s="53">
        <v>90.308616999999998</v>
      </c>
      <c r="I445" s="122">
        <f t="shared" si="6"/>
        <v>-8.1647476389468121E-3</v>
      </c>
      <c r="J445" s="122">
        <f t="shared" si="6"/>
        <v>1.0933706896287809E-4</v>
      </c>
    </row>
    <row r="446" spans="6:10" x14ac:dyDescent="0.3">
      <c r="F446" s="121">
        <v>44082</v>
      </c>
      <c r="G446" s="53">
        <v>320.91924999999998</v>
      </c>
      <c r="H446" s="53">
        <v>90.308616999999998</v>
      </c>
      <c r="I446" s="122">
        <f t="shared" si="6"/>
        <v>-2.7322770896333393E-2</v>
      </c>
      <c r="J446" s="122">
        <f t="shared" si="6"/>
        <v>0</v>
      </c>
    </row>
    <row r="447" spans="6:10" x14ac:dyDescent="0.3">
      <c r="F447" s="121">
        <v>44083</v>
      </c>
      <c r="G447" s="53">
        <v>327.25650000000002</v>
      </c>
      <c r="H447" s="53">
        <v>90.298743999999999</v>
      </c>
      <c r="I447" s="122">
        <f t="shared" si="6"/>
        <v>1.9747179391700787E-2</v>
      </c>
      <c r="J447" s="122">
        <f t="shared" si="6"/>
        <v>-1.0932511567529613E-4</v>
      </c>
    </row>
    <row r="448" spans="6:10" x14ac:dyDescent="0.3">
      <c r="F448" s="121">
        <v>44084</v>
      </c>
      <c r="G448" s="53">
        <v>321.57415800000001</v>
      </c>
      <c r="H448" s="53">
        <v>90.298743999999999</v>
      </c>
      <c r="I448" s="122">
        <f t="shared" si="6"/>
        <v>-1.7363572610475275E-2</v>
      </c>
      <c r="J448" s="122">
        <f t="shared" si="6"/>
        <v>0</v>
      </c>
    </row>
    <row r="449" spans="6:10" x14ac:dyDescent="0.3">
      <c r="F449" s="121">
        <v>44085</v>
      </c>
      <c r="G449" s="53">
        <v>321.73791499999999</v>
      </c>
      <c r="H449" s="53">
        <v>90.288887000000003</v>
      </c>
      <c r="I449" s="122">
        <f t="shared" si="6"/>
        <v>5.0923557109960882E-4</v>
      </c>
      <c r="J449" s="122">
        <f t="shared" si="6"/>
        <v>-1.0915987934445592E-4</v>
      </c>
    </row>
    <row r="450" spans="6:10" x14ac:dyDescent="0.3">
      <c r="F450" s="121">
        <v>44088</v>
      </c>
      <c r="G450" s="53">
        <v>325.97558600000002</v>
      </c>
      <c r="H450" s="53">
        <v>90.308616999999998</v>
      </c>
      <c r="I450" s="122">
        <f t="shared" si="6"/>
        <v>1.3171189351432355E-2</v>
      </c>
      <c r="J450" s="122">
        <f t="shared" si="6"/>
        <v>2.1852080201179014E-4</v>
      </c>
    </row>
    <row r="451" spans="6:10" x14ac:dyDescent="0.3">
      <c r="F451" s="121">
        <v>44089</v>
      </c>
      <c r="G451" s="53">
        <v>327.622589</v>
      </c>
      <c r="H451" s="53">
        <v>90.288887000000003</v>
      </c>
      <c r="I451" s="122">
        <f t="shared" si="6"/>
        <v>5.0525348238807943E-3</v>
      </c>
      <c r="J451" s="122">
        <f t="shared" si="6"/>
        <v>-2.1847306110334141E-4</v>
      </c>
    </row>
    <row r="452" spans="6:10" x14ac:dyDescent="0.3">
      <c r="F452" s="121">
        <v>44090</v>
      </c>
      <c r="G452" s="53">
        <v>326.32229599999999</v>
      </c>
      <c r="H452" s="53">
        <v>90.308616999999998</v>
      </c>
      <c r="I452" s="122">
        <f t="shared" si="6"/>
        <v>-3.9688746858660418E-3</v>
      </c>
      <c r="J452" s="122">
        <f t="shared" si="6"/>
        <v>2.1852080201179014E-4</v>
      </c>
    </row>
    <row r="453" spans="6:10" x14ac:dyDescent="0.3">
      <c r="F453" s="121">
        <v>44091</v>
      </c>
      <c r="G453" s="53">
        <v>323.452179</v>
      </c>
      <c r="H453" s="53">
        <v>90.308616999999998</v>
      </c>
      <c r="I453" s="122">
        <f t="shared" si="6"/>
        <v>-8.79534446521546E-3</v>
      </c>
      <c r="J453" s="122">
        <f t="shared" si="6"/>
        <v>0</v>
      </c>
    </row>
    <row r="454" spans="6:10" x14ac:dyDescent="0.3">
      <c r="F454" s="121">
        <v>44092</v>
      </c>
      <c r="G454" s="53">
        <v>319.72839399999998</v>
      </c>
      <c r="H454" s="53">
        <v>90.288887000000003</v>
      </c>
      <c r="I454" s="122">
        <f t="shared" si="6"/>
        <v>-1.151262919765339E-2</v>
      </c>
      <c r="J454" s="122">
        <f t="shared" si="6"/>
        <v>-2.1847306110334141E-4</v>
      </c>
    </row>
    <row r="455" spans="6:10" x14ac:dyDescent="0.3">
      <c r="F455" s="121">
        <v>44095</v>
      </c>
      <c r="G455" s="53">
        <v>316.17001299999998</v>
      </c>
      <c r="H455" s="53">
        <v>90.288887000000003</v>
      </c>
      <c r="I455" s="122">
        <f t="shared" si="6"/>
        <v>-1.1129386900808003E-2</v>
      </c>
      <c r="J455" s="122">
        <f t="shared" si="6"/>
        <v>0</v>
      </c>
    </row>
    <row r="456" spans="6:10" x14ac:dyDescent="0.3">
      <c r="F456" s="121">
        <v>44096</v>
      </c>
      <c r="G456" s="53">
        <v>319.38998400000003</v>
      </c>
      <c r="H456" s="53">
        <v>90.288887000000003</v>
      </c>
      <c r="I456" s="122">
        <f t="shared" si="6"/>
        <v>1.0184302329772299E-2</v>
      </c>
      <c r="J456" s="122">
        <f t="shared" si="6"/>
        <v>0</v>
      </c>
    </row>
    <row r="457" spans="6:10" x14ac:dyDescent="0.3">
      <c r="F457" s="121">
        <v>44097</v>
      </c>
      <c r="G457" s="53">
        <v>311.98303199999998</v>
      </c>
      <c r="H457" s="53">
        <v>90.288887000000003</v>
      </c>
      <c r="I457" s="122">
        <f t="shared" si="6"/>
        <v>-2.3190933877250353E-2</v>
      </c>
      <c r="J457" s="122">
        <f t="shared" si="6"/>
        <v>0</v>
      </c>
    </row>
    <row r="458" spans="6:10" x14ac:dyDescent="0.3">
      <c r="F458" s="121">
        <v>44098</v>
      </c>
      <c r="G458" s="53">
        <v>312.81454500000001</v>
      </c>
      <c r="H458" s="53">
        <v>90.298743999999999</v>
      </c>
      <c r="I458" s="122">
        <f t="shared" si="6"/>
        <v>2.6652507178661633E-3</v>
      </c>
      <c r="J458" s="122">
        <f t="shared" si="6"/>
        <v>1.0917179652469855E-4</v>
      </c>
    </row>
    <row r="459" spans="6:10" x14ac:dyDescent="0.3">
      <c r="F459" s="121">
        <v>44099</v>
      </c>
      <c r="G459" s="53">
        <v>317.871826</v>
      </c>
      <c r="H459" s="53">
        <v>90.288887000000003</v>
      </c>
      <c r="I459" s="122">
        <f t="shared" si="6"/>
        <v>1.6167026376602722E-2</v>
      </c>
      <c r="J459" s="122">
        <f t="shared" si="6"/>
        <v>-1.0915987934445592E-4</v>
      </c>
    </row>
    <row r="460" spans="6:10" x14ac:dyDescent="0.3">
      <c r="F460" s="121">
        <v>44102</v>
      </c>
      <c r="G460" s="53">
        <v>323.15145899999999</v>
      </c>
      <c r="H460" s="53">
        <v>90.298743999999999</v>
      </c>
      <c r="I460" s="122">
        <f t="shared" si="6"/>
        <v>1.6609314095046512E-2</v>
      </c>
      <c r="J460" s="122">
        <f t="shared" si="6"/>
        <v>1.0917179652469855E-4</v>
      </c>
    </row>
    <row r="461" spans="6:10" x14ac:dyDescent="0.3">
      <c r="F461" s="121">
        <v>44103</v>
      </c>
      <c r="G461" s="53">
        <v>321.391571</v>
      </c>
      <c r="H461" s="53">
        <v>90.298743999999999</v>
      </c>
      <c r="I461" s="122">
        <f t="shared" si="6"/>
        <v>-5.4460159500625549E-3</v>
      </c>
      <c r="J461" s="122">
        <f t="shared" si="6"/>
        <v>0</v>
      </c>
    </row>
    <row r="462" spans="6:10" x14ac:dyDescent="0.3">
      <c r="F462" s="121">
        <v>44104</v>
      </c>
      <c r="G462" s="53">
        <v>323.82833900000003</v>
      </c>
      <c r="H462" s="53">
        <v>90.288887000000003</v>
      </c>
      <c r="I462" s="122">
        <f t="shared" si="6"/>
        <v>7.581928774354818E-3</v>
      </c>
      <c r="J462" s="122">
        <f t="shared" si="6"/>
        <v>-1.0915987934445592E-4</v>
      </c>
    </row>
    <row r="463" spans="6:10" x14ac:dyDescent="0.3">
      <c r="F463" s="121">
        <v>44105</v>
      </c>
      <c r="G463" s="53">
        <v>325.90731799999998</v>
      </c>
      <c r="H463" s="53">
        <v>90.288887000000003</v>
      </c>
      <c r="I463" s="122">
        <f t="shared" si="6"/>
        <v>6.4200032845178612E-3</v>
      </c>
      <c r="J463" s="122">
        <f t="shared" si="6"/>
        <v>0</v>
      </c>
    </row>
    <row r="464" spans="6:10" x14ac:dyDescent="0.3">
      <c r="F464" s="121">
        <v>44106</v>
      </c>
      <c r="G464" s="53">
        <v>322.813019</v>
      </c>
      <c r="H464" s="53">
        <v>90.288887000000003</v>
      </c>
      <c r="I464" s="122">
        <f t="shared" si="6"/>
        <v>-9.4944139916489645E-3</v>
      </c>
      <c r="J464" s="122">
        <f t="shared" si="6"/>
        <v>0</v>
      </c>
    </row>
    <row r="465" spans="6:10" x14ac:dyDescent="0.3">
      <c r="F465" s="121">
        <v>44109</v>
      </c>
      <c r="G465" s="53">
        <v>328.53750600000001</v>
      </c>
      <c r="H465" s="53">
        <v>90.288887000000003</v>
      </c>
      <c r="I465" s="122">
        <f t="shared" si="6"/>
        <v>1.7733135478033457E-2</v>
      </c>
      <c r="J465" s="122">
        <f t="shared" si="6"/>
        <v>0</v>
      </c>
    </row>
    <row r="466" spans="6:10" x14ac:dyDescent="0.3">
      <c r="F466" s="121">
        <v>44110</v>
      </c>
      <c r="G466" s="53">
        <v>323.86706500000003</v>
      </c>
      <c r="H466" s="53">
        <v>90.298743999999999</v>
      </c>
      <c r="I466" s="122">
        <f t="shared" si="6"/>
        <v>-1.4215853333956918E-2</v>
      </c>
      <c r="J466" s="122">
        <f t="shared" si="6"/>
        <v>1.0917179652469855E-4</v>
      </c>
    </row>
    <row r="467" spans="6:10" x14ac:dyDescent="0.3">
      <c r="F467" s="121">
        <v>44111</v>
      </c>
      <c r="G467" s="53">
        <v>329.504456</v>
      </c>
      <c r="H467" s="53">
        <v>90.288887000000003</v>
      </c>
      <c r="I467" s="122">
        <f t="shared" si="6"/>
        <v>1.740649670567751E-2</v>
      </c>
      <c r="J467" s="122">
        <f t="shared" si="6"/>
        <v>-1.0915987934445592E-4</v>
      </c>
    </row>
    <row r="468" spans="6:10" x14ac:dyDescent="0.3">
      <c r="F468" s="121">
        <v>44112</v>
      </c>
      <c r="G468" s="53">
        <v>332.42477400000001</v>
      </c>
      <c r="H468" s="53">
        <v>90.288887000000003</v>
      </c>
      <c r="I468" s="122">
        <f t="shared" si="6"/>
        <v>8.8627572308157543E-3</v>
      </c>
      <c r="J468" s="122">
        <f t="shared" si="6"/>
        <v>0</v>
      </c>
    </row>
    <row r="469" spans="6:10" x14ac:dyDescent="0.3">
      <c r="F469" s="121">
        <v>44113</v>
      </c>
      <c r="G469" s="53">
        <v>335.39328</v>
      </c>
      <c r="H469" s="53">
        <v>90.288887000000003</v>
      </c>
      <c r="I469" s="122">
        <f t="shared" si="6"/>
        <v>8.9298579172683024E-3</v>
      </c>
      <c r="J469" s="122">
        <f t="shared" si="6"/>
        <v>0</v>
      </c>
    </row>
    <row r="470" spans="6:10" x14ac:dyDescent="0.3">
      <c r="F470" s="121">
        <v>44116</v>
      </c>
      <c r="G470" s="53">
        <v>340.788971</v>
      </c>
      <c r="H470" s="53">
        <v>90.298743999999999</v>
      </c>
      <c r="I470" s="122">
        <f t="shared" si="6"/>
        <v>1.608765387308897E-2</v>
      </c>
      <c r="J470" s="122">
        <f t="shared" si="6"/>
        <v>1.0917179652469855E-4</v>
      </c>
    </row>
    <row r="471" spans="6:10" x14ac:dyDescent="0.3">
      <c r="F471" s="121">
        <v>44117</v>
      </c>
      <c r="G471" s="53">
        <v>338.56500199999999</v>
      </c>
      <c r="H471" s="53">
        <v>90.288887000000003</v>
      </c>
      <c r="I471" s="122">
        <f t="shared" ref="I471:J526" si="7">G471/G470-1</f>
        <v>-6.5259418269143499E-3</v>
      </c>
      <c r="J471" s="122">
        <f t="shared" si="7"/>
        <v>-1.0915987934445592E-4</v>
      </c>
    </row>
    <row r="472" spans="6:10" x14ac:dyDescent="0.3">
      <c r="F472" s="121">
        <v>44118</v>
      </c>
      <c r="G472" s="53">
        <v>336.43765300000001</v>
      </c>
      <c r="H472" s="53">
        <v>90.288887000000003</v>
      </c>
      <c r="I472" s="122">
        <f t="shared" si="7"/>
        <v>-6.2834285511884636E-3</v>
      </c>
      <c r="J472" s="122">
        <f t="shared" si="7"/>
        <v>0</v>
      </c>
    </row>
    <row r="473" spans="6:10" x14ac:dyDescent="0.3">
      <c r="F473" s="121">
        <v>44119</v>
      </c>
      <c r="G473" s="53">
        <v>336.02181999999999</v>
      </c>
      <c r="H473" s="53">
        <v>90.288887000000003</v>
      </c>
      <c r="I473" s="122">
        <f t="shared" si="7"/>
        <v>-1.2359882917148957E-3</v>
      </c>
      <c r="J473" s="122">
        <f t="shared" si="7"/>
        <v>0</v>
      </c>
    </row>
    <row r="474" spans="6:10" x14ac:dyDescent="0.3">
      <c r="F474" s="121">
        <v>44120</v>
      </c>
      <c r="G474" s="53">
        <v>335.81875600000001</v>
      </c>
      <c r="H474" s="53">
        <v>90.298743999999999</v>
      </c>
      <c r="I474" s="122">
        <f t="shared" si="7"/>
        <v>-6.0431789816506321E-4</v>
      </c>
      <c r="J474" s="122">
        <f t="shared" si="7"/>
        <v>1.0917179652469855E-4</v>
      </c>
    </row>
    <row r="475" spans="6:10" x14ac:dyDescent="0.3">
      <c r="F475" s="121">
        <v>44123</v>
      </c>
      <c r="G475" s="53">
        <v>330.71319599999998</v>
      </c>
      <c r="H475" s="53">
        <v>90.298743999999999</v>
      </c>
      <c r="I475" s="122">
        <f t="shared" si="7"/>
        <v>-1.5203319971800577E-2</v>
      </c>
      <c r="J475" s="122">
        <f t="shared" si="7"/>
        <v>0</v>
      </c>
    </row>
    <row r="476" spans="6:10" x14ac:dyDescent="0.3">
      <c r="F476" s="121">
        <v>44124</v>
      </c>
      <c r="G476" s="53">
        <v>332.03793300000001</v>
      </c>
      <c r="H476" s="53">
        <v>90.288887000000003</v>
      </c>
      <c r="I476" s="122">
        <f t="shared" si="7"/>
        <v>4.0056974321642791E-3</v>
      </c>
      <c r="J476" s="122">
        <f t="shared" si="7"/>
        <v>-1.0915987934445592E-4</v>
      </c>
    </row>
    <row r="477" spans="6:10" x14ac:dyDescent="0.3">
      <c r="F477" s="121">
        <v>44125</v>
      </c>
      <c r="G477" s="53">
        <v>331.40936299999998</v>
      </c>
      <c r="H477" s="53">
        <v>90.288887000000003</v>
      </c>
      <c r="I477" s="122">
        <f t="shared" si="7"/>
        <v>-1.8930668382398652E-3</v>
      </c>
      <c r="J477" s="122">
        <f t="shared" si="7"/>
        <v>0</v>
      </c>
    </row>
    <row r="478" spans="6:10" x14ac:dyDescent="0.3">
      <c r="F478" s="121">
        <v>44126</v>
      </c>
      <c r="G478" s="53">
        <v>333.22726399999999</v>
      </c>
      <c r="H478" s="53">
        <v>90.298743999999999</v>
      </c>
      <c r="I478" s="122">
        <f t="shared" si="7"/>
        <v>5.4853640330010389E-3</v>
      </c>
      <c r="J478" s="122">
        <f t="shared" si="7"/>
        <v>1.0917179652469855E-4</v>
      </c>
    </row>
    <row r="479" spans="6:10" x14ac:dyDescent="0.3">
      <c r="F479" s="121">
        <v>44127</v>
      </c>
      <c r="G479" s="53">
        <v>334.35870399999999</v>
      </c>
      <c r="H479" s="53">
        <v>90.298743999999999</v>
      </c>
      <c r="I479" s="122">
        <f t="shared" si="7"/>
        <v>3.3954004435843288E-3</v>
      </c>
      <c r="J479" s="122">
        <f t="shared" si="7"/>
        <v>0</v>
      </c>
    </row>
    <row r="480" spans="6:10" x14ac:dyDescent="0.3">
      <c r="F480" s="121">
        <v>44130</v>
      </c>
      <c r="G480" s="53">
        <v>328.17974900000002</v>
      </c>
      <c r="H480" s="53">
        <v>90.298743999999999</v>
      </c>
      <c r="I480" s="122">
        <f t="shared" si="7"/>
        <v>-1.8480018393658981E-2</v>
      </c>
      <c r="J480" s="122">
        <f t="shared" si="7"/>
        <v>0</v>
      </c>
    </row>
    <row r="481" spans="6:10" x14ac:dyDescent="0.3">
      <c r="F481" s="121">
        <v>44131</v>
      </c>
      <c r="G481" s="53">
        <v>327.04840100000001</v>
      </c>
      <c r="H481" s="53">
        <v>90.288887000000003</v>
      </c>
      <c r="I481" s="122">
        <f t="shared" si="7"/>
        <v>-3.4473425110700395E-3</v>
      </c>
      <c r="J481" s="122">
        <f t="shared" si="7"/>
        <v>-1.0915987934445592E-4</v>
      </c>
    </row>
    <row r="482" spans="6:10" x14ac:dyDescent="0.3">
      <c r="F482" s="121">
        <v>44132</v>
      </c>
      <c r="G482" s="53">
        <v>315.87023900000003</v>
      </c>
      <c r="H482" s="53">
        <v>90.288887000000003</v>
      </c>
      <c r="I482" s="122">
        <f t="shared" si="7"/>
        <v>-3.4178922648210652E-2</v>
      </c>
      <c r="J482" s="122">
        <f t="shared" si="7"/>
        <v>0</v>
      </c>
    </row>
    <row r="483" spans="6:10" x14ac:dyDescent="0.3">
      <c r="F483" s="121">
        <v>44133</v>
      </c>
      <c r="G483" s="53">
        <v>319.08056599999998</v>
      </c>
      <c r="H483" s="53">
        <v>90.298743999999999</v>
      </c>
      <c r="I483" s="122">
        <f t="shared" si="7"/>
        <v>1.0163436131759074E-2</v>
      </c>
      <c r="J483" s="122">
        <f t="shared" si="7"/>
        <v>1.0917179652469855E-4</v>
      </c>
    </row>
    <row r="484" spans="6:10" x14ac:dyDescent="0.3">
      <c r="F484" s="121">
        <v>44134</v>
      </c>
      <c r="G484" s="53">
        <v>315.75418100000002</v>
      </c>
      <c r="H484" s="53">
        <v>90.298743999999999</v>
      </c>
      <c r="I484" s="122">
        <f t="shared" si="7"/>
        <v>-1.042490629153503E-2</v>
      </c>
      <c r="J484" s="122">
        <f t="shared" si="7"/>
        <v>0</v>
      </c>
    </row>
    <row r="485" spans="6:10" x14ac:dyDescent="0.3">
      <c r="F485" s="121">
        <v>44137</v>
      </c>
      <c r="G485" s="53">
        <v>319.29330399999998</v>
      </c>
      <c r="H485" s="53">
        <v>90.298743999999999</v>
      </c>
      <c r="I485" s="122">
        <f t="shared" si="7"/>
        <v>1.1208475494422609E-2</v>
      </c>
      <c r="J485" s="122">
        <f t="shared" si="7"/>
        <v>0</v>
      </c>
    </row>
    <row r="486" spans="6:10" x14ac:dyDescent="0.3">
      <c r="F486" s="121">
        <v>44138</v>
      </c>
      <c r="G486" s="53">
        <v>324.930725</v>
      </c>
      <c r="H486" s="53">
        <v>90.298743999999999</v>
      </c>
      <c r="I486" s="122">
        <f t="shared" si="7"/>
        <v>1.7655932427571353E-2</v>
      </c>
      <c r="J486" s="122">
        <f t="shared" si="7"/>
        <v>0</v>
      </c>
    </row>
    <row r="487" spans="6:10" x14ac:dyDescent="0.3">
      <c r="F487" s="121">
        <v>44139</v>
      </c>
      <c r="G487" s="53">
        <v>332.192657</v>
      </c>
      <c r="H487" s="53">
        <v>90.288887000000003</v>
      </c>
      <c r="I487" s="122">
        <f t="shared" si="7"/>
        <v>2.2349169965382609E-2</v>
      </c>
      <c r="J487" s="122">
        <f t="shared" si="7"/>
        <v>-1.0915987934445592E-4</v>
      </c>
    </row>
    <row r="488" spans="6:10" x14ac:dyDescent="0.3">
      <c r="F488" s="121">
        <v>44140</v>
      </c>
      <c r="G488" s="53">
        <v>338.67138699999998</v>
      </c>
      <c r="H488" s="53">
        <v>90.298743999999999</v>
      </c>
      <c r="I488" s="122">
        <f t="shared" si="7"/>
        <v>1.9502929590644147E-2</v>
      </c>
      <c r="J488" s="122">
        <f t="shared" si="7"/>
        <v>1.0917179652469855E-4</v>
      </c>
    </row>
    <row r="489" spans="6:10" x14ac:dyDescent="0.3">
      <c r="F489" s="121">
        <v>44141</v>
      </c>
      <c r="G489" s="53">
        <v>338.59399400000001</v>
      </c>
      <c r="H489" s="53">
        <v>90.288887000000003</v>
      </c>
      <c r="I489" s="122">
        <f t="shared" si="7"/>
        <v>-2.2851945269286578E-4</v>
      </c>
      <c r="J489" s="122">
        <f t="shared" si="7"/>
        <v>-1.0915987934445592E-4</v>
      </c>
    </row>
    <row r="490" spans="6:10" x14ac:dyDescent="0.3">
      <c r="F490" s="121">
        <v>44144</v>
      </c>
      <c r="G490" s="53">
        <v>342.84863300000001</v>
      </c>
      <c r="H490" s="53">
        <v>90.298743999999999</v>
      </c>
      <c r="I490" s="122">
        <f t="shared" si="7"/>
        <v>1.2565606819357811E-2</v>
      </c>
      <c r="J490" s="122">
        <f t="shared" si="7"/>
        <v>1.0917179652469855E-4</v>
      </c>
    </row>
    <row r="491" spans="6:10" x14ac:dyDescent="0.3">
      <c r="F491" s="121">
        <v>44145</v>
      </c>
      <c r="G491" s="53">
        <v>342.34582499999999</v>
      </c>
      <c r="H491" s="53">
        <v>90.288887000000003</v>
      </c>
      <c r="I491" s="122">
        <f t="shared" si="7"/>
        <v>-1.4665597339570402E-3</v>
      </c>
      <c r="J491" s="122">
        <f t="shared" si="7"/>
        <v>-1.0915987934445592E-4</v>
      </c>
    </row>
    <row r="492" spans="6:10" x14ac:dyDescent="0.3">
      <c r="F492" s="121">
        <v>44146</v>
      </c>
      <c r="G492" s="53">
        <v>344.88897700000001</v>
      </c>
      <c r="H492" s="53">
        <v>90.288887000000003</v>
      </c>
      <c r="I492" s="122">
        <f t="shared" si="7"/>
        <v>7.4286052707084327E-3</v>
      </c>
      <c r="J492" s="122">
        <f t="shared" si="7"/>
        <v>0</v>
      </c>
    </row>
    <row r="493" spans="6:10" x14ac:dyDescent="0.3">
      <c r="F493" s="121">
        <v>44147</v>
      </c>
      <c r="G493" s="53">
        <v>341.54321299999998</v>
      </c>
      <c r="H493" s="53">
        <v>90.288887000000003</v>
      </c>
      <c r="I493" s="122">
        <f t="shared" si="7"/>
        <v>-9.700988501003982E-3</v>
      </c>
      <c r="J493" s="122">
        <f t="shared" si="7"/>
        <v>0</v>
      </c>
    </row>
    <row r="494" spans="6:10" x14ac:dyDescent="0.3">
      <c r="F494" s="121">
        <v>44148</v>
      </c>
      <c r="G494" s="53">
        <v>346.27172899999999</v>
      </c>
      <c r="H494" s="53">
        <v>90.298743999999999</v>
      </c>
      <c r="I494" s="122">
        <f t="shared" si="7"/>
        <v>1.3844561449388282E-2</v>
      </c>
      <c r="J494" s="122">
        <f t="shared" si="7"/>
        <v>1.0917179652469855E-4</v>
      </c>
    </row>
    <row r="495" spans="6:10" x14ac:dyDescent="0.3">
      <c r="F495" s="121">
        <v>44151</v>
      </c>
      <c r="G495" s="53">
        <v>350.594086</v>
      </c>
      <c r="H495" s="53">
        <v>90.298743999999999</v>
      </c>
      <c r="I495" s="122">
        <f t="shared" si="7"/>
        <v>1.2482558170378466E-2</v>
      </c>
      <c r="J495" s="122">
        <f t="shared" si="7"/>
        <v>0</v>
      </c>
    </row>
    <row r="496" spans="6:10" x14ac:dyDescent="0.3">
      <c r="F496" s="121">
        <v>44152</v>
      </c>
      <c r="G496" s="53">
        <v>348.70843500000001</v>
      </c>
      <c r="H496" s="53">
        <v>90.298743999999999</v>
      </c>
      <c r="I496" s="122">
        <f t="shared" si="7"/>
        <v>-5.3784449746822061E-3</v>
      </c>
      <c r="J496" s="122">
        <f t="shared" si="7"/>
        <v>0</v>
      </c>
    </row>
    <row r="497" spans="6:10" x14ac:dyDescent="0.3">
      <c r="F497" s="121">
        <v>44153</v>
      </c>
      <c r="G497" s="53">
        <v>344.511841</v>
      </c>
      <c r="H497" s="53">
        <v>90.298743999999999</v>
      </c>
      <c r="I497" s="122">
        <f t="shared" si="7"/>
        <v>-1.2034678771105756E-2</v>
      </c>
      <c r="J497" s="122">
        <f t="shared" si="7"/>
        <v>0</v>
      </c>
    </row>
    <row r="498" spans="6:10" x14ac:dyDescent="0.3">
      <c r="F498" s="121">
        <v>44154</v>
      </c>
      <c r="G498" s="53">
        <v>345.962311</v>
      </c>
      <c r="H498" s="53">
        <v>90.298743999999999</v>
      </c>
      <c r="I498" s="122">
        <f t="shared" si="7"/>
        <v>4.2102181329668475E-3</v>
      </c>
      <c r="J498" s="122">
        <f t="shared" si="7"/>
        <v>0</v>
      </c>
    </row>
    <row r="499" spans="6:10" x14ac:dyDescent="0.3">
      <c r="F499" s="121">
        <v>44155</v>
      </c>
      <c r="G499" s="53">
        <v>343.59320100000002</v>
      </c>
      <c r="H499" s="53">
        <v>90.298743999999999</v>
      </c>
      <c r="I499" s="122">
        <f t="shared" si="7"/>
        <v>-6.847884652961489E-3</v>
      </c>
      <c r="J499" s="122">
        <f t="shared" si="7"/>
        <v>0</v>
      </c>
    </row>
    <row r="500" spans="6:10" x14ac:dyDescent="0.3">
      <c r="F500" s="121">
        <v>44158</v>
      </c>
      <c r="G500" s="53">
        <v>345.65289300000001</v>
      </c>
      <c r="H500" s="53">
        <v>90.298743999999999</v>
      </c>
      <c r="I500" s="122">
        <f t="shared" si="7"/>
        <v>5.994565649161343E-3</v>
      </c>
      <c r="J500" s="122">
        <f t="shared" si="7"/>
        <v>0</v>
      </c>
    </row>
    <row r="501" spans="6:10" x14ac:dyDescent="0.3">
      <c r="F501" s="121">
        <v>44159</v>
      </c>
      <c r="G501" s="53">
        <v>351.22262599999999</v>
      </c>
      <c r="H501" s="53">
        <v>90.298743999999999</v>
      </c>
      <c r="I501" s="122">
        <f t="shared" si="7"/>
        <v>1.611365943348253E-2</v>
      </c>
      <c r="J501" s="122">
        <f t="shared" si="7"/>
        <v>0</v>
      </c>
    </row>
    <row r="502" spans="6:10" x14ac:dyDescent="0.3">
      <c r="F502" s="121">
        <v>44160</v>
      </c>
      <c r="G502" s="53">
        <v>350.68112200000002</v>
      </c>
      <c r="H502" s="53">
        <v>90.288887000000003</v>
      </c>
      <c r="I502" s="122">
        <f t="shared" si="7"/>
        <v>-1.5417685533732906E-3</v>
      </c>
      <c r="J502" s="122">
        <f t="shared" si="7"/>
        <v>-1.0915987934445592E-4</v>
      </c>
    </row>
    <row r="503" spans="6:10" x14ac:dyDescent="0.3">
      <c r="F503" s="121">
        <v>44162</v>
      </c>
      <c r="G503" s="53">
        <v>351.65780599999999</v>
      </c>
      <c r="H503" s="53">
        <v>90.298743999999999</v>
      </c>
      <c r="I503" s="122">
        <f t="shared" si="7"/>
        <v>2.7851057234840049E-3</v>
      </c>
      <c r="J503" s="122">
        <f t="shared" si="7"/>
        <v>1.0917179652469855E-4</v>
      </c>
    </row>
    <row r="504" spans="6:10" x14ac:dyDescent="0.3">
      <c r="F504" s="121">
        <v>44165</v>
      </c>
      <c r="G504" s="53">
        <v>350.10095200000001</v>
      </c>
      <c r="H504" s="53">
        <v>90.288887000000003</v>
      </c>
      <c r="I504" s="122">
        <f t="shared" si="7"/>
        <v>-4.4271845340466687E-3</v>
      </c>
      <c r="J504" s="122">
        <f t="shared" si="7"/>
        <v>-1.0915987934445592E-4</v>
      </c>
    </row>
    <row r="505" spans="6:10" x14ac:dyDescent="0.3">
      <c r="F505" s="121">
        <v>44166</v>
      </c>
      <c r="G505" s="53">
        <v>353.93008400000002</v>
      </c>
      <c r="H505" s="53">
        <v>90.281981999999999</v>
      </c>
      <c r="I505" s="122">
        <f t="shared" si="7"/>
        <v>1.0937222472905406E-2</v>
      </c>
      <c r="J505" s="122">
        <f t="shared" si="7"/>
        <v>-7.6476742924103114E-5</v>
      </c>
    </row>
    <row r="506" spans="6:10" x14ac:dyDescent="0.3">
      <c r="F506" s="121">
        <v>44167</v>
      </c>
      <c r="G506" s="53">
        <v>354.67468300000002</v>
      </c>
      <c r="H506" s="53">
        <v>90.291847000000004</v>
      </c>
      <c r="I506" s="122">
        <f t="shared" si="7"/>
        <v>2.1038025125887927E-3</v>
      </c>
      <c r="J506" s="122">
        <f t="shared" si="7"/>
        <v>1.0926875752459431E-4</v>
      </c>
    </row>
    <row r="507" spans="6:10" x14ac:dyDescent="0.3">
      <c r="F507" s="121">
        <v>44168</v>
      </c>
      <c r="G507" s="53">
        <v>354.57797199999999</v>
      </c>
      <c r="H507" s="53">
        <v>90.291847000000004</v>
      </c>
      <c r="I507" s="122">
        <f t="shared" si="7"/>
        <v>-2.7267522785101583E-4</v>
      </c>
      <c r="J507" s="122">
        <f t="shared" si="7"/>
        <v>0</v>
      </c>
    </row>
    <row r="508" spans="6:10" x14ac:dyDescent="0.3">
      <c r="F508" s="121">
        <v>44169</v>
      </c>
      <c r="G508" s="53">
        <v>357.633667</v>
      </c>
      <c r="H508" s="53">
        <v>90.301711999999995</v>
      </c>
      <c r="I508" s="122">
        <f t="shared" si="7"/>
        <v>8.6178365304656612E-3</v>
      </c>
      <c r="J508" s="122">
        <f t="shared" si="7"/>
        <v>1.0925681916762464E-4</v>
      </c>
    </row>
    <row r="509" spans="6:10" x14ac:dyDescent="0.3">
      <c r="F509" s="121">
        <v>44172</v>
      </c>
      <c r="G509" s="53">
        <v>356.89871199999999</v>
      </c>
      <c r="H509" s="53">
        <v>90.281981999999999</v>
      </c>
      <c r="I509" s="122">
        <f t="shared" si="7"/>
        <v>-2.0550498116275184E-3</v>
      </c>
      <c r="J509" s="122">
        <f t="shared" si="7"/>
        <v>-2.1848976683846999E-4</v>
      </c>
    </row>
    <row r="510" spans="6:10" x14ac:dyDescent="0.3">
      <c r="F510" s="121">
        <v>44173</v>
      </c>
      <c r="G510" s="53">
        <v>357.94305400000002</v>
      </c>
      <c r="H510" s="53">
        <v>90.281981999999999</v>
      </c>
      <c r="I510" s="122">
        <f t="shared" si="7"/>
        <v>2.9261579402954929E-3</v>
      </c>
      <c r="J510" s="122">
        <f t="shared" si="7"/>
        <v>0</v>
      </c>
    </row>
    <row r="511" spans="6:10" x14ac:dyDescent="0.3">
      <c r="F511" s="121">
        <v>44174</v>
      </c>
      <c r="G511" s="53">
        <v>354.73272700000001</v>
      </c>
      <c r="H511" s="53">
        <v>90.281981999999999</v>
      </c>
      <c r="I511" s="122">
        <f t="shared" si="7"/>
        <v>-8.9688204984695874E-3</v>
      </c>
      <c r="J511" s="122">
        <f t="shared" si="7"/>
        <v>0</v>
      </c>
    </row>
    <row r="512" spans="6:10" x14ac:dyDescent="0.3">
      <c r="F512" s="121">
        <v>44175</v>
      </c>
      <c r="G512" s="53">
        <v>354.61663800000002</v>
      </c>
      <c r="H512" s="53">
        <v>90.281981999999999</v>
      </c>
      <c r="I512" s="122">
        <f t="shared" si="7"/>
        <v>-3.2725765390118067E-4</v>
      </c>
      <c r="J512" s="122">
        <f t="shared" si="7"/>
        <v>0</v>
      </c>
    </row>
    <row r="513" spans="6:10" x14ac:dyDescent="0.3">
      <c r="F513" s="121">
        <v>44176</v>
      </c>
      <c r="G513" s="53">
        <v>354.200897</v>
      </c>
      <c r="H513" s="53">
        <v>90.291847000000004</v>
      </c>
      <c r="I513" s="122">
        <f t="shared" si="7"/>
        <v>-1.1723674397928763E-3</v>
      </c>
      <c r="J513" s="122">
        <f t="shared" si="7"/>
        <v>1.0926875752459431E-4</v>
      </c>
    </row>
    <row r="514" spans="6:10" x14ac:dyDescent="0.3">
      <c r="F514" s="121">
        <v>44179</v>
      </c>
      <c r="G514" s="53">
        <v>352.61508199999997</v>
      </c>
      <c r="H514" s="53">
        <v>90.281981999999999</v>
      </c>
      <c r="I514" s="122">
        <f t="shared" si="7"/>
        <v>-4.4771625747747068E-3</v>
      </c>
      <c r="J514" s="122">
        <f t="shared" si="7"/>
        <v>-1.0925681916784669E-4</v>
      </c>
    </row>
    <row r="515" spans="6:10" x14ac:dyDescent="0.3">
      <c r="F515" s="121">
        <v>44180</v>
      </c>
      <c r="G515" s="53">
        <v>357.38220200000001</v>
      </c>
      <c r="H515" s="53">
        <v>90.281981999999999</v>
      </c>
      <c r="I515" s="122">
        <f t="shared" si="7"/>
        <v>1.351933097405067E-2</v>
      </c>
      <c r="J515" s="122">
        <f t="shared" si="7"/>
        <v>0</v>
      </c>
    </row>
    <row r="516" spans="6:10" x14ac:dyDescent="0.3">
      <c r="F516" s="121">
        <v>44181</v>
      </c>
      <c r="G516" s="53">
        <v>357.94305400000002</v>
      </c>
      <c r="H516" s="53">
        <v>90.291847000000004</v>
      </c>
      <c r="I516" s="122">
        <f t="shared" si="7"/>
        <v>1.5693338864144479E-3</v>
      </c>
      <c r="J516" s="122">
        <f t="shared" si="7"/>
        <v>1.0926875752459431E-4</v>
      </c>
    </row>
    <row r="517" spans="6:10" x14ac:dyDescent="0.3">
      <c r="F517" s="121">
        <v>44182</v>
      </c>
      <c r="G517" s="53">
        <v>359.94464099999999</v>
      </c>
      <c r="H517" s="53">
        <v>90.291847000000004</v>
      </c>
      <c r="I517" s="122">
        <f t="shared" si="7"/>
        <v>5.5919146289677979E-3</v>
      </c>
      <c r="J517" s="122">
        <f t="shared" si="7"/>
        <v>0</v>
      </c>
    </row>
    <row r="518" spans="6:10" x14ac:dyDescent="0.3">
      <c r="F518" s="121">
        <v>44183</v>
      </c>
      <c r="G518" s="53">
        <v>358.50741599999998</v>
      </c>
      <c r="H518" s="53">
        <v>90.291847000000004</v>
      </c>
      <c r="I518" s="122">
        <f t="shared" si="7"/>
        <v>-3.9929056757369574E-3</v>
      </c>
      <c r="J518" s="122">
        <f t="shared" si="7"/>
        <v>0</v>
      </c>
    </row>
    <row r="519" spans="6:10" x14ac:dyDescent="0.3">
      <c r="F519" s="121">
        <v>44186</v>
      </c>
      <c r="G519" s="53">
        <v>357.22555499999999</v>
      </c>
      <c r="H519" s="53">
        <v>90.291847000000004</v>
      </c>
      <c r="I519" s="122">
        <f t="shared" si="7"/>
        <v>-3.5755494664578835E-3</v>
      </c>
      <c r="J519" s="122">
        <f t="shared" si="7"/>
        <v>0</v>
      </c>
    </row>
    <row r="520" spans="6:10" x14ac:dyDescent="0.3">
      <c r="F520" s="121">
        <v>44187</v>
      </c>
      <c r="G520" s="53">
        <v>356.62350500000002</v>
      </c>
      <c r="H520" s="53">
        <v>90.291847000000004</v>
      </c>
      <c r="I520" s="122">
        <f t="shared" si="7"/>
        <v>-1.6853497505238124E-3</v>
      </c>
      <c r="J520" s="122">
        <f t="shared" si="7"/>
        <v>0</v>
      </c>
    </row>
    <row r="521" spans="6:10" x14ac:dyDescent="0.3">
      <c r="F521" s="121">
        <v>44188</v>
      </c>
      <c r="G521" s="53">
        <v>356.94400000000002</v>
      </c>
      <c r="H521" s="53">
        <v>90.281981999999999</v>
      </c>
      <c r="I521" s="122">
        <f t="shared" si="7"/>
        <v>8.9869286658483816E-4</v>
      </c>
      <c r="J521" s="122">
        <f t="shared" si="7"/>
        <v>-1.0925681916784669E-4</v>
      </c>
    </row>
    <row r="522" spans="6:10" x14ac:dyDescent="0.3">
      <c r="F522" s="121">
        <v>44189</v>
      </c>
      <c r="G522" s="53">
        <v>358.33264200000002</v>
      </c>
      <c r="H522" s="53">
        <v>90.291847000000004</v>
      </c>
      <c r="I522" s="122">
        <f t="shared" si="7"/>
        <v>3.8903637545384395E-3</v>
      </c>
      <c r="J522" s="122">
        <f t="shared" si="7"/>
        <v>1.0926875752459431E-4</v>
      </c>
    </row>
    <row r="523" spans="6:10" x14ac:dyDescent="0.3">
      <c r="F523" s="121">
        <v>44193</v>
      </c>
      <c r="G523" s="53">
        <v>361.41101099999997</v>
      </c>
      <c r="H523" s="53">
        <v>90.291847000000004</v>
      </c>
      <c r="I523" s="122">
        <f t="shared" si="7"/>
        <v>8.5908137835792875E-3</v>
      </c>
      <c r="J523" s="122">
        <f t="shared" si="7"/>
        <v>0</v>
      </c>
    </row>
    <row r="524" spans="6:10" x14ac:dyDescent="0.3">
      <c r="F524" s="121">
        <v>44194</v>
      </c>
      <c r="G524" s="53">
        <v>360.72155800000002</v>
      </c>
      <c r="H524" s="53">
        <v>90.291847000000004</v>
      </c>
      <c r="I524" s="122">
        <f t="shared" si="7"/>
        <v>-1.9076701567345422E-3</v>
      </c>
      <c r="J524" s="122">
        <f t="shared" si="7"/>
        <v>0</v>
      </c>
    </row>
    <row r="525" spans="6:10" x14ac:dyDescent="0.3">
      <c r="F525" s="121">
        <v>44195</v>
      </c>
      <c r="G525" s="53">
        <v>361.236176</v>
      </c>
      <c r="H525" s="53">
        <v>90.281981999999999</v>
      </c>
      <c r="I525" s="122">
        <f t="shared" si="7"/>
        <v>1.4266350002845041E-3</v>
      </c>
      <c r="J525" s="122">
        <f t="shared" si="7"/>
        <v>-1.0925681916784669E-4</v>
      </c>
    </row>
    <row r="526" spans="6:10" x14ac:dyDescent="0.3">
      <c r="F526" s="121">
        <v>44196</v>
      </c>
      <c r="G526" s="53">
        <v>363.07156400000002</v>
      </c>
      <c r="H526" s="53">
        <v>90.291847000000004</v>
      </c>
      <c r="I526" s="122">
        <f t="shared" si="7"/>
        <v>5.0808532531914086E-3</v>
      </c>
      <c r="J526" s="122">
        <f t="shared" si="7"/>
        <v>1.0926875752459431E-4</v>
      </c>
    </row>
  </sheetData>
  <mergeCells count="1">
    <mergeCell ref="D22:D23"/>
  </mergeCells>
  <pageMargins left="0.511811024" right="0.511811024" top="0.78740157499999996" bottom="0.78740157499999996" header="0.31496062000000002" footer="0.31496062000000002"/>
  <drawing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78C-1908-4121-85E0-AC827CD6E53E}">
  <sheetPr>
    <tabColor theme="9" tint="0.59999389629810485"/>
  </sheetPr>
  <dimension ref="A1:AA3013"/>
  <sheetViews>
    <sheetView showGridLines="0" zoomScale="85" zoomScaleNormal="85" workbookViewId="0">
      <selection activeCell="B6" sqref="B6"/>
    </sheetView>
  </sheetViews>
  <sheetFormatPr defaultColWidth="8.85546875" defaultRowHeight="18.75" x14ac:dyDescent="0.3"/>
  <cols>
    <col min="1" max="1" width="12.7109375" style="17" customWidth="1"/>
    <col min="2" max="2" width="61.85546875" customWidth="1"/>
    <col min="3" max="3" width="9.7109375" customWidth="1"/>
    <col min="4" max="4" width="8.85546875" customWidth="1"/>
    <col min="5" max="5" width="10" bestFit="1" customWidth="1"/>
    <col min="6" max="6" width="22.42578125" bestFit="1" customWidth="1"/>
    <col min="7" max="12" width="14.28515625" customWidth="1"/>
    <col min="14" max="14" width="12.42578125" style="15" bestFit="1" customWidth="1"/>
    <col min="15" max="17" width="8.85546875" style="15"/>
    <col min="18" max="18" width="10.5703125" style="15" bestFit="1" customWidth="1"/>
    <col min="19" max="19" width="7.5703125" style="15" customWidth="1"/>
    <col min="20" max="27" width="8.85546875" style="15"/>
  </cols>
  <sheetData>
    <row r="1" spans="1:27" x14ac:dyDescent="0.3">
      <c r="A1" s="16" t="s">
        <v>816</v>
      </c>
      <c r="N1" s="14"/>
      <c r="O1" s="14"/>
      <c r="P1" s="14"/>
      <c r="Q1" s="14"/>
      <c r="R1" s="14"/>
      <c r="S1" s="14"/>
      <c r="T1" s="14"/>
      <c r="U1" s="14"/>
      <c r="V1" s="14"/>
      <c r="W1" s="14"/>
      <c r="X1" s="14"/>
      <c r="Y1" s="14"/>
      <c r="Z1" s="14"/>
      <c r="AA1" s="14"/>
    </row>
    <row r="2" spans="1:27" x14ac:dyDescent="0.3">
      <c r="A2" s="17" t="s">
        <v>817</v>
      </c>
      <c r="N2" s="14"/>
      <c r="O2" s="14"/>
      <c r="P2" s="14"/>
      <c r="Q2" s="14"/>
      <c r="R2" s="14"/>
      <c r="S2" s="14"/>
      <c r="T2" s="14"/>
      <c r="U2" s="14"/>
      <c r="V2" s="14"/>
      <c r="W2" s="14"/>
      <c r="X2" s="14"/>
      <c r="Y2" s="14"/>
      <c r="Z2" s="14"/>
      <c r="AA2" s="14"/>
    </row>
    <row r="3" spans="1:27" x14ac:dyDescent="0.3">
      <c r="P3" s="27"/>
    </row>
    <row r="4" spans="1:27" ht="15.75" x14ac:dyDescent="0.25">
      <c r="A4" s="2" t="s">
        <v>15</v>
      </c>
      <c r="B4" s="2" t="s">
        <v>16</v>
      </c>
      <c r="C4" s="2"/>
      <c r="P4" s="27"/>
    </row>
    <row r="5" spans="1:27" ht="15.75" x14ac:dyDescent="0.25">
      <c r="A5" s="23" t="s">
        <v>22</v>
      </c>
      <c r="B5" s="26" t="s">
        <v>818</v>
      </c>
      <c r="C5" s="26"/>
      <c r="P5" s="27"/>
    </row>
    <row r="6" spans="1:27" ht="31.5" x14ac:dyDescent="0.25">
      <c r="A6" s="23" t="s">
        <v>819</v>
      </c>
      <c r="B6" s="26" t="s">
        <v>822</v>
      </c>
      <c r="C6" s="26"/>
      <c r="P6" s="27"/>
    </row>
    <row r="7" spans="1:27" ht="15.75" x14ac:dyDescent="0.25">
      <c r="A7" s="23"/>
      <c r="B7" s="26"/>
      <c r="C7" s="26"/>
      <c r="P7" s="27"/>
      <c r="R7" s="61"/>
      <c r="S7" s="61"/>
    </row>
    <row r="8" spans="1:27" ht="15.75" x14ac:dyDescent="0.25">
      <c r="A8" s="23"/>
      <c r="B8" s="26"/>
      <c r="C8" s="26"/>
      <c r="P8" s="27"/>
      <c r="R8" s="61"/>
      <c r="S8" s="61"/>
    </row>
    <row r="9" spans="1:27" ht="15.75" x14ac:dyDescent="0.25">
      <c r="A9" s="23"/>
      <c r="B9" s="26"/>
      <c r="C9" s="26"/>
      <c r="D9" s="1" t="s">
        <v>17</v>
      </c>
      <c r="F9" s="13" t="s">
        <v>820</v>
      </c>
      <c r="G9" s="12">
        <v>2</v>
      </c>
      <c r="P9" s="27"/>
      <c r="R9" s="61"/>
      <c r="S9" s="61"/>
    </row>
    <row r="10" spans="1:27" ht="15.75" x14ac:dyDescent="0.25">
      <c r="A10" s="23"/>
      <c r="B10" s="26"/>
      <c r="C10" s="26"/>
      <c r="P10" s="27"/>
      <c r="R10" s="61"/>
      <c r="S10" s="61"/>
    </row>
    <row r="11" spans="1:27" x14ac:dyDescent="0.3">
      <c r="H11" s="142" t="s">
        <v>22</v>
      </c>
      <c r="I11" s="142"/>
      <c r="J11" s="142"/>
      <c r="K11" s="142"/>
      <c r="L11" s="142"/>
      <c r="P11" s="27"/>
      <c r="S11" s="54"/>
    </row>
    <row r="12" spans="1:27" ht="36.75" customHeight="1" x14ac:dyDescent="0.3">
      <c r="F12" s="13" t="s">
        <v>678</v>
      </c>
      <c r="G12" s="125" t="s">
        <v>679</v>
      </c>
      <c r="H12" s="125" t="s">
        <v>680</v>
      </c>
      <c r="I12" s="125" t="s">
        <v>681</v>
      </c>
      <c r="J12" s="125" t="s">
        <v>682</v>
      </c>
      <c r="K12" s="125" t="s">
        <v>683</v>
      </c>
      <c r="L12" s="125" t="s">
        <v>684</v>
      </c>
      <c r="N12" s="61" t="s">
        <v>253</v>
      </c>
      <c r="O12" s="126"/>
      <c r="P12" s="63"/>
      <c r="Q12" s="63"/>
      <c r="S12" s="54"/>
      <c r="T12" s="126" t="s">
        <v>821</v>
      </c>
    </row>
    <row r="13" spans="1:27" x14ac:dyDescent="0.3">
      <c r="F13" s="13" t="s">
        <v>685</v>
      </c>
      <c r="G13" s="13">
        <v>-1.1299999999999999</v>
      </c>
      <c r="H13" s="12">
        <v>-0.36</v>
      </c>
      <c r="I13" s="12">
        <v>2.63</v>
      </c>
      <c r="J13" s="12">
        <v>-0.33</v>
      </c>
      <c r="K13" s="12">
        <v>-0.24</v>
      </c>
      <c r="L13" s="12">
        <v>0.09</v>
      </c>
      <c r="N13" s="63" cm="1">
        <f t="array" ref="N13:R17">_xlfn.LAMBDA(_xlpm.matrix,_xlop.dimension,
_xlfn.LET(
_xlpm.dimension,IF(_xlfn.ISOMITTED(_xlpm.dimension),2,IF(OR(_xlpm.dimension=1,_xlpm.dimension=2),_xlpm.dimension,0)),
_xlfn.SWITCH(_xlpm.dimension,
1,_xlfn.MAKEARRAY(ROWS(_xlpm.matrix),ROWS(_xlpm.matrix),_xlfn.LAMBDA(_xlpm.row,_xlpm.col,CORREL(INDEX(_xlpm.matrix,_xlpm.row,0),INDEX(_xlpm.matrix,_xlpm.col,0)))),
2,_xlfn.MAKEARRAY(COLUMNS(_xlpm.matrix),COLUMNS(_xlpm.matrix),_xlfn.LAMBDA(_xlpm.row,_xlpm.col,CORREL(INDEX(_xlpm.matrix,0,_xlpm.row),INDEX(_xlpm.matrix,0,_xlpm.col)))),
"# Dimension must be either 1 (rows) or 2 (columns)"
)))($H$13:$L$143,$G$9)</f>
        <v>1</v>
      </c>
      <c r="O13" s="63">
        <v>-6.2439855474834341E-2</v>
      </c>
      <c r="P13" s="63">
        <v>5.9929986417952247E-2</v>
      </c>
      <c r="Q13" s="63">
        <v>-0.32798149023473094</v>
      </c>
      <c r="R13" s="63">
        <v>0.27037479599142705</v>
      </c>
      <c r="S13" s="63"/>
      <c r="T13" s="63" cm="1">
        <f t="array" ref="T13:X17">CORRCOEF($H$13:$L$143,$G$9)</f>
        <v>1</v>
      </c>
      <c r="U13" s="63">
        <v>-6.2439855474834341E-2</v>
      </c>
      <c r="V13" s="63">
        <v>5.9929986417952247E-2</v>
      </c>
      <c r="W13" s="63">
        <v>-0.32798149023473094</v>
      </c>
      <c r="X13" s="63">
        <v>0.27037479599142705</v>
      </c>
      <c r="Y13" s="63"/>
      <c r="Z13" s="63"/>
      <c r="AA13" s="63"/>
    </row>
    <row r="14" spans="1:27" x14ac:dyDescent="0.3">
      <c r="F14" s="13" t="s">
        <v>686</v>
      </c>
      <c r="G14" s="13">
        <v>7.38</v>
      </c>
      <c r="H14" s="12">
        <v>-0.35</v>
      </c>
      <c r="I14" s="12">
        <v>-0.9</v>
      </c>
      <c r="J14" s="12">
        <v>-0.23</v>
      </c>
      <c r="K14" s="12">
        <v>-0.34</v>
      </c>
      <c r="L14" s="12">
        <v>-0.65</v>
      </c>
      <c r="N14" s="63">
        <v>-6.2439855474834341E-2</v>
      </c>
      <c r="O14" s="63">
        <v>1</v>
      </c>
      <c r="P14" s="63">
        <v>-3.7056633446461679E-2</v>
      </c>
      <c r="Q14" s="63">
        <v>-0.18017327057329521</v>
      </c>
      <c r="R14" s="63">
        <v>-1.025370567272208E-2</v>
      </c>
      <c r="S14" s="63"/>
      <c r="T14" s="63">
        <v>-6.2439855474834341E-2</v>
      </c>
      <c r="U14" s="63">
        <v>1</v>
      </c>
      <c r="V14" s="63">
        <v>-3.7056633446461679E-2</v>
      </c>
      <c r="W14" s="63">
        <v>-0.18017327057329521</v>
      </c>
      <c r="X14" s="63">
        <v>-1.025370567272208E-2</v>
      </c>
      <c r="Y14" s="63"/>
      <c r="Z14" s="63"/>
      <c r="AA14" s="63"/>
    </row>
    <row r="15" spans="1:27" x14ac:dyDescent="0.3">
      <c r="F15" s="13" t="s">
        <v>687</v>
      </c>
      <c r="G15" s="13">
        <v>0.62</v>
      </c>
      <c r="H15" s="12">
        <v>1.43</v>
      </c>
      <c r="I15" s="12">
        <v>-0.19</v>
      </c>
      <c r="J15" s="12">
        <v>-0.13</v>
      </c>
      <c r="K15" s="12">
        <v>-0.31</v>
      </c>
      <c r="L15" s="12">
        <v>0.44</v>
      </c>
      <c r="N15" s="63">
        <v>5.9929986417952247E-2</v>
      </c>
      <c r="O15" s="63">
        <v>-3.7056633446461679E-2</v>
      </c>
      <c r="P15" s="63">
        <v>1</v>
      </c>
      <c r="Q15" s="63">
        <v>-4.82633747720638E-2</v>
      </c>
      <c r="R15" s="63">
        <v>-3.5368575893573173E-2</v>
      </c>
      <c r="S15" s="63"/>
      <c r="T15" s="63">
        <v>5.9929986417952247E-2</v>
      </c>
      <c r="U15" s="63">
        <v>-3.7056633446461679E-2</v>
      </c>
      <c r="V15" s="63">
        <v>1</v>
      </c>
      <c r="W15" s="63">
        <v>-4.82633747720638E-2</v>
      </c>
      <c r="X15" s="63">
        <v>-3.5368575893573173E-2</v>
      </c>
      <c r="Y15" s="63"/>
      <c r="Z15" s="63"/>
      <c r="AA15" s="63"/>
    </row>
    <row r="16" spans="1:27" s="21" customFormat="1" x14ac:dyDescent="0.3">
      <c r="A16" s="17"/>
      <c r="B16"/>
      <c r="C16"/>
      <c r="D16"/>
      <c r="E16"/>
      <c r="F16" s="13" t="s">
        <v>688</v>
      </c>
      <c r="G16" s="13">
        <v>1</v>
      </c>
      <c r="H16" s="12">
        <v>1.36</v>
      </c>
      <c r="I16" s="12">
        <v>0.09</v>
      </c>
      <c r="J16" s="12">
        <v>-0.57999999999999996</v>
      </c>
      <c r="K16" s="12">
        <v>-0.32</v>
      </c>
      <c r="L16" s="12">
        <v>0.51</v>
      </c>
      <c r="M16"/>
      <c r="N16" s="63">
        <v>-0.32798149023473094</v>
      </c>
      <c r="O16" s="63">
        <v>-0.18017327057329521</v>
      </c>
      <c r="P16" s="63">
        <v>-4.82633747720638E-2</v>
      </c>
      <c r="Q16" s="63">
        <v>1</v>
      </c>
      <c r="R16" s="63">
        <v>-0.31951111175656488</v>
      </c>
      <c r="S16" s="63"/>
      <c r="T16" s="63">
        <v>-0.32798149023473094</v>
      </c>
      <c r="U16" s="63">
        <v>-0.18017327057329521</v>
      </c>
      <c r="V16" s="63">
        <v>-4.82633747720638E-2</v>
      </c>
      <c r="W16" s="63">
        <v>1</v>
      </c>
      <c r="X16" s="63">
        <v>-0.31951111175656488</v>
      </c>
      <c r="Y16" s="63"/>
      <c r="Z16" s="63"/>
      <c r="AA16" s="63"/>
    </row>
    <row r="17" spans="1:27" s="21" customFormat="1" x14ac:dyDescent="0.3">
      <c r="A17" s="17"/>
      <c r="B17"/>
      <c r="C17"/>
      <c r="D17"/>
      <c r="E17"/>
      <c r="F17" s="13" t="s">
        <v>689</v>
      </c>
      <c r="G17" s="13">
        <v>1.37</v>
      </c>
      <c r="H17" s="12">
        <v>-0.27</v>
      </c>
      <c r="I17" s="12">
        <v>-0.56999999999999995</v>
      </c>
      <c r="J17" s="12">
        <v>-0.1</v>
      </c>
      <c r="K17" s="12">
        <v>-0.12</v>
      </c>
      <c r="L17" s="12">
        <v>-0.93</v>
      </c>
      <c r="M17"/>
      <c r="N17" s="63">
        <v>0.27037479599142705</v>
      </c>
      <c r="O17" s="63">
        <v>-1.025370567272208E-2</v>
      </c>
      <c r="P17" s="63">
        <v>-3.5368575893573173E-2</v>
      </c>
      <c r="Q17" s="63">
        <v>-0.31951111175656488</v>
      </c>
      <c r="R17" s="63">
        <v>1.0000000000000002</v>
      </c>
      <c r="S17" s="63"/>
      <c r="T17" s="63">
        <v>0.27037479599142705</v>
      </c>
      <c r="U17" s="63">
        <v>-1.025370567272208E-2</v>
      </c>
      <c r="V17" s="63">
        <v>-3.5368575893573173E-2</v>
      </c>
      <c r="W17" s="63">
        <v>-0.31951111175656488</v>
      </c>
      <c r="X17" s="63">
        <v>1.0000000000000002</v>
      </c>
      <c r="Y17" s="63"/>
      <c r="Z17" s="63"/>
      <c r="AA17" s="63"/>
    </row>
    <row r="18" spans="1:27" s="21" customFormat="1" x14ac:dyDescent="0.3">
      <c r="A18" s="17"/>
      <c r="B18"/>
      <c r="C18"/>
      <c r="D18"/>
      <c r="E18"/>
      <c r="F18" s="13" t="s">
        <v>690</v>
      </c>
      <c r="G18" s="13">
        <v>0.22</v>
      </c>
      <c r="H18" s="12">
        <v>1.07</v>
      </c>
      <c r="I18" s="12">
        <v>0.15</v>
      </c>
      <c r="J18" s="12">
        <v>-0.22</v>
      </c>
      <c r="K18" s="12">
        <v>-0.14000000000000001</v>
      </c>
      <c r="L18" s="12">
        <v>-0.37</v>
      </c>
      <c r="M18"/>
      <c r="N18" s="63"/>
      <c r="O18" s="63"/>
      <c r="P18" s="63"/>
      <c r="Q18" s="63"/>
      <c r="R18" s="63"/>
      <c r="S18" s="63"/>
      <c r="T18" s="63"/>
      <c r="U18" s="63"/>
      <c r="V18" s="63"/>
      <c r="W18" s="63"/>
      <c r="X18" s="63"/>
      <c r="Y18" s="63"/>
      <c r="Z18" s="63"/>
      <c r="AA18" s="63"/>
    </row>
    <row r="19" spans="1:27" s="21" customFormat="1" x14ac:dyDescent="0.3">
      <c r="A19" s="17"/>
      <c r="B19"/>
      <c r="C19"/>
      <c r="D19"/>
      <c r="E19"/>
      <c r="F19" s="13" t="s">
        <v>691</v>
      </c>
      <c r="G19" s="13">
        <v>7.03</v>
      </c>
      <c r="H19" s="12">
        <v>-0.97</v>
      </c>
      <c r="I19" s="12">
        <v>0.85</v>
      </c>
      <c r="J19" s="12">
        <v>-0.34</v>
      </c>
      <c r="K19" s="12">
        <v>0.42</v>
      </c>
      <c r="L19" s="12">
        <v>-1.69</v>
      </c>
      <c r="M19"/>
      <c r="N19" s="63"/>
      <c r="O19" s="63"/>
      <c r="P19" s="63"/>
      <c r="Q19" s="63"/>
      <c r="R19" s="63"/>
      <c r="S19" s="63"/>
      <c r="T19" s="63"/>
      <c r="U19" s="63"/>
      <c r="V19" s="63"/>
      <c r="W19" s="63"/>
      <c r="X19" s="63"/>
      <c r="Y19" s="63"/>
      <c r="Z19" s="63"/>
      <c r="AA19" s="63"/>
    </row>
    <row r="20" spans="1:27" s="21" customFormat="1" x14ac:dyDescent="0.3">
      <c r="A20" s="17"/>
      <c r="B20"/>
      <c r="C20"/>
      <c r="D20"/>
      <c r="E20"/>
      <c r="F20" s="13" t="s">
        <v>692</v>
      </c>
      <c r="G20" s="13">
        <v>-0.23</v>
      </c>
      <c r="H20" s="12">
        <v>0.63</v>
      </c>
      <c r="I20" s="12">
        <v>-1.1100000000000001</v>
      </c>
      <c r="J20" s="12">
        <v>-0.01</v>
      </c>
      <c r="K20" s="12">
        <v>0.15</v>
      </c>
      <c r="L20" s="12">
        <v>-0.84</v>
      </c>
      <c r="M20"/>
      <c r="N20" s="63"/>
      <c r="O20" s="63"/>
      <c r="P20" s="63"/>
      <c r="Q20" s="63"/>
      <c r="R20" s="63"/>
      <c r="S20" s="63"/>
      <c r="T20" s="63"/>
      <c r="U20" s="63"/>
      <c r="V20" s="63"/>
      <c r="W20" s="63"/>
      <c r="X20" s="63"/>
      <c r="Y20" s="63"/>
      <c r="Z20" s="63"/>
      <c r="AA20" s="63"/>
    </row>
    <row r="21" spans="1:27" s="21" customFormat="1" x14ac:dyDescent="0.3">
      <c r="A21" s="17"/>
      <c r="B21"/>
      <c r="C21"/>
      <c r="D21"/>
      <c r="E21"/>
      <c r="F21" s="13" t="s">
        <v>693</v>
      </c>
      <c r="G21" s="13">
        <v>1.4</v>
      </c>
      <c r="H21" s="12">
        <v>-7.0000000000000007E-2</v>
      </c>
      <c r="I21" s="12">
        <v>0.53</v>
      </c>
      <c r="J21" s="12">
        <v>-0.21</v>
      </c>
      <c r="K21" s="12">
        <v>0.42</v>
      </c>
      <c r="L21" s="12">
        <v>-0.09</v>
      </c>
      <c r="M21"/>
      <c r="N21" s="63"/>
      <c r="O21" s="63"/>
      <c r="P21" s="63"/>
      <c r="Q21" s="63"/>
      <c r="R21" s="63"/>
      <c r="S21" s="63"/>
      <c r="T21" s="63"/>
      <c r="U21" s="63"/>
      <c r="V21" s="63"/>
      <c r="W21" s="63"/>
      <c r="X21" s="63"/>
      <c r="Y21" s="63"/>
      <c r="Z21" s="63"/>
      <c r="AA21" s="63"/>
    </row>
    <row r="22" spans="1:27" s="21" customFormat="1" x14ac:dyDescent="0.3">
      <c r="A22" s="17"/>
      <c r="B22"/>
      <c r="C22"/>
      <c r="D22"/>
      <c r="E22"/>
      <c r="F22" s="13" t="s">
        <v>694</v>
      </c>
      <c r="G22" s="13">
        <v>1.24</v>
      </c>
      <c r="H22" s="12">
        <v>1.31</v>
      </c>
      <c r="I22" s="12">
        <v>0.03</v>
      </c>
      <c r="J22" s="12">
        <v>-0.92</v>
      </c>
      <c r="K22" s="12">
        <v>-0.34</v>
      </c>
      <c r="L22" s="12">
        <v>1.1100000000000001</v>
      </c>
      <c r="M22"/>
      <c r="N22" s="63"/>
      <c r="O22" s="63"/>
      <c r="P22" s="63"/>
      <c r="Q22" s="63"/>
      <c r="R22" s="63"/>
      <c r="S22" s="63"/>
      <c r="T22" s="63"/>
      <c r="U22" s="63"/>
      <c r="V22" s="63"/>
      <c r="W22" s="63"/>
      <c r="X22" s="63"/>
      <c r="Y22" s="63"/>
      <c r="Z22" s="63"/>
      <c r="AA22" s="63"/>
    </row>
    <row r="23" spans="1:27" s="21" customFormat="1" x14ac:dyDescent="0.3">
      <c r="A23" s="17"/>
      <c r="B23"/>
      <c r="C23"/>
      <c r="D23"/>
      <c r="E23"/>
      <c r="F23" s="13" t="s">
        <v>695</v>
      </c>
      <c r="G23" s="13">
        <v>4</v>
      </c>
      <c r="H23" s="12">
        <v>-1.18</v>
      </c>
      <c r="I23" s="12">
        <v>0.11</v>
      </c>
      <c r="J23" s="12">
        <v>-0.26</v>
      </c>
      <c r="K23" s="12">
        <v>-0.77</v>
      </c>
      <c r="L23" s="12">
        <v>-1.01</v>
      </c>
      <c r="M23"/>
      <c r="N23" s="63"/>
      <c r="O23" s="15"/>
      <c r="P23" s="27"/>
      <c r="Q23" s="15"/>
      <c r="R23" s="15"/>
      <c r="S23" s="54"/>
      <c r="T23" s="15"/>
      <c r="U23" s="15"/>
      <c r="V23" s="15"/>
      <c r="W23" s="15"/>
      <c r="X23" s="15"/>
      <c r="Y23" s="15"/>
      <c r="Z23" s="15"/>
      <c r="AA23" s="15"/>
    </row>
    <row r="24" spans="1:27" s="21" customFormat="1" x14ac:dyDescent="0.3">
      <c r="A24" s="17"/>
      <c r="B24"/>
      <c r="C24"/>
      <c r="D24"/>
      <c r="E24"/>
      <c r="F24" s="13" t="s">
        <v>696</v>
      </c>
      <c r="G24" s="13">
        <v>4.26</v>
      </c>
      <c r="H24" s="12">
        <v>-0.52</v>
      </c>
      <c r="I24" s="12">
        <v>1.63</v>
      </c>
      <c r="J24" s="12">
        <v>-0.35</v>
      </c>
      <c r="K24" s="12">
        <v>-0.1</v>
      </c>
      <c r="L24" s="12">
        <v>0.32</v>
      </c>
      <c r="M24"/>
      <c r="N24" s="27"/>
      <c r="O24" s="15"/>
      <c r="P24" s="27"/>
      <c r="Q24" s="15"/>
      <c r="R24" s="15"/>
      <c r="S24" s="54"/>
      <c r="T24" s="15"/>
      <c r="U24" s="15"/>
      <c r="V24" s="15"/>
      <c r="W24" s="15"/>
      <c r="X24" s="15"/>
      <c r="Y24" s="15"/>
      <c r="Z24" s="15"/>
      <c r="AA24" s="15"/>
    </row>
    <row r="25" spans="1:27" s="21" customFormat="1" x14ac:dyDescent="0.3">
      <c r="A25" s="17"/>
      <c r="B25"/>
      <c r="C25"/>
      <c r="D25"/>
      <c r="E25"/>
      <c r="F25" s="13" t="s">
        <v>697</v>
      </c>
      <c r="G25" s="13">
        <v>0.8</v>
      </c>
      <c r="H25" s="12">
        <v>-0.46</v>
      </c>
      <c r="I25" s="12">
        <v>-0.6</v>
      </c>
      <c r="J25" s="12">
        <v>-0.46</v>
      </c>
      <c r="K25" s="12">
        <v>-0.26</v>
      </c>
      <c r="L25" s="12">
        <v>0.28999999999999998</v>
      </c>
      <c r="M25"/>
      <c r="N25" s="27"/>
      <c r="O25" s="15"/>
      <c r="P25" s="27"/>
      <c r="Q25" s="15"/>
      <c r="R25" s="15"/>
      <c r="S25" s="54"/>
      <c r="T25" s="15"/>
      <c r="U25" s="15"/>
      <c r="V25" s="15"/>
      <c r="W25" s="15"/>
      <c r="X25" s="15"/>
      <c r="Y25" s="15"/>
      <c r="Z25" s="15"/>
      <c r="AA25" s="15"/>
    </row>
    <row r="26" spans="1:27" s="21" customFormat="1" x14ac:dyDescent="0.3">
      <c r="A26" s="17"/>
      <c r="B26"/>
      <c r="C26"/>
      <c r="D26"/>
      <c r="E26"/>
      <c r="F26" s="13" t="s">
        <v>698</v>
      </c>
      <c r="G26" s="13">
        <v>3.39</v>
      </c>
      <c r="H26" s="12">
        <v>-0.1</v>
      </c>
      <c r="I26" s="12">
        <v>-0.38</v>
      </c>
      <c r="J26" s="12">
        <v>-0.22</v>
      </c>
      <c r="K26" s="12">
        <v>-0.5</v>
      </c>
      <c r="L26" s="12">
        <v>0.51</v>
      </c>
      <c r="M26"/>
      <c r="N26" s="27"/>
      <c r="O26" s="15"/>
      <c r="P26" s="27"/>
      <c r="Q26" s="15"/>
      <c r="R26" s="15"/>
      <c r="S26" s="54"/>
      <c r="T26" s="15"/>
      <c r="U26" s="15"/>
      <c r="V26" s="15"/>
      <c r="W26" s="15"/>
      <c r="X26" s="15"/>
      <c r="Y26" s="15"/>
      <c r="Z26" s="15"/>
      <c r="AA26" s="15"/>
    </row>
    <row r="27" spans="1:27" s="21" customFormat="1" x14ac:dyDescent="0.3">
      <c r="A27" s="17"/>
      <c r="B27"/>
      <c r="C27"/>
      <c r="D27"/>
      <c r="E27"/>
      <c r="F27" s="13" t="s">
        <v>699</v>
      </c>
      <c r="G27" s="13">
        <v>0.75</v>
      </c>
      <c r="H27" s="12">
        <v>0.11</v>
      </c>
      <c r="I27" s="12">
        <v>1.25</v>
      </c>
      <c r="J27" s="12">
        <v>-0.27</v>
      </c>
      <c r="K27" s="12">
        <v>-0.09</v>
      </c>
      <c r="L27" s="12">
        <v>0.34</v>
      </c>
      <c r="M27"/>
      <c r="N27" s="27"/>
      <c r="O27" s="15"/>
      <c r="P27" s="27"/>
      <c r="Q27" s="15"/>
      <c r="R27" s="15"/>
      <c r="S27" s="54"/>
      <c r="T27" s="15"/>
      <c r="U27" s="15"/>
      <c r="V27" s="15"/>
      <c r="W27" s="15"/>
      <c r="X27" s="15"/>
      <c r="Y27" s="15"/>
      <c r="Z27" s="15"/>
      <c r="AA27" s="15"/>
    </row>
    <row r="28" spans="1:27" s="21" customFormat="1" x14ac:dyDescent="0.3">
      <c r="A28" s="17"/>
      <c r="B28"/>
      <c r="C28"/>
      <c r="D28"/>
      <c r="E28"/>
      <c r="F28" s="13" t="s">
        <v>700</v>
      </c>
      <c r="G28" s="13">
        <v>0.38</v>
      </c>
      <c r="H28" s="12">
        <v>0.17</v>
      </c>
      <c r="I28" s="12">
        <v>-1.19</v>
      </c>
      <c r="J28" s="12">
        <v>-0.04</v>
      </c>
      <c r="K28" s="12">
        <v>0.08</v>
      </c>
      <c r="L28" s="12">
        <v>0.65</v>
      </c>
      <c r="M28"/>
      <c r="N28" s="27"/>
      <c r="O28" s="15"/>
      <c r="P28" s="27"/>
      <c r="Q28" s="15"/>
      <c r="R28" s="15"/>
      <c r="S28" s="54"/>
      <c r="T28" s="15"/>
      <c r="U28" s="15"/>
      <c r="V28" s="15"/>
      <c r="W28" s="15"/>
      <c r="X28" s="15"/>
      <c r="Y28" s="15"/>
      <c r="Z28" s="15"/>
      <c r="AA28" s="15"/>
    </row>
    <row r="29" spans="1:27" s="21" customFormat="1" x14ac:dyDescent="0.3">
      <c r="A29" s="17"/>
      <c r="B29"/>
      <c r="C29"/>
      <c r="D29"/>
      <c r="E29"/>
      <c r="F29" s="13" t="s">
        <v>701</v>
      </c>
      <c r="G29" s="13">
        <v>2.83</v>
      </c>
      <c r="H29" s="12">
        <v>1.03</v>
      </c>
      <c r="I29" s="12">
        <v>1.72</v>
      </c>
      <c r="J29" s="12">
        <v>-0.14000000000000001</v>
      </c>
      <c r="K29" s="12">
        <v>-0.67</v>
      </c>
      <c r="L29" s="12">
        <v>1.44</v>
      </c>
      <c r="M29"/>
      <c r="N29" s="27"/>
      <c r="O29" s="15"/>
      <c r="P29" s="27"/>
      <c r="Q29" s="15"/>
      <c r="R29" s="15"/>
      <c r="S29" s="54"/>
      <c r="T29" s="15"/>
      <c r="U29" s="15"/>
      <c r="V29" s="15"/>
      <c r="W29" s="15"/>
      <c r="X29" s="15"/>
      <c r="Y29" s="15"/>
      <c r="Z29" s="15"/>
      <c r="AA29" s="15"/>
    </row>
    <row r="30" spans="1:27" s="21" customFormat="1" x14ac:dyDescent="0.3">
      <c r="A30" s="17"/>
      <c r="B30"/>
      <c r="C30"/>
      <c r="D30"/>
      <c r="E30"/>
      <c r="F30" s="13" t="s">
        <v>702</v>
      </c>
      <c r="G30" s="13">
        <v>4.43</v>
      </c>
      <c r="H30" s="12">
        <v>0.2</v>
      </c>
      <c r="I30" s="12">
        <v>-0.45</v>
      </c>
      <c r="J30" s="12">
        <v>-0.17</v>
      </c>
      <c r="K30" s="12">
        <v>-0.03</v>
      </c>
      <c r="L30" s="12">
        <v>7.0000000000000007E-2</v>
      </c>
      <c r="M30"/>
      <c r="N30" s="27"/>
      <c r="O30" s="15"/>
      <c r="P30" s="27"/>
      <c r="Q30" s="15"/>
      <c r="R30" s="15"/>
      <c r="S30" s="54"/>
      <c r="T30" s="15"/>
      <c r="U30" s="15"/>
      <c r="V30" s="15"/>
      <c r="W30" s="15"/>
      <c r="X30" s="15"/>
      <c r="Y30" s="15"/>
      <c r="Z30" s="15"/>
      <c r="AA30" s="15"/>
    </row>
    <row r="31" spans="1:27" s="21" customFormat="1" x14ac:dyDescent="0.3">
      <c r="A31" s="17"/>
      <c r="B31"/>
      <c r="C31"/>
      <c r="D31"/>
      <c r="E31"/>
      <c r="F31" s="13" t="s">
        <v>703</v>
      </c>
      <c r="G31" s="13">
        <v>2.74</v>
      </c>
      <c r="H31" s="12">
        <v>-1.47</v>
      </c>
      <c r="I31" s="12">
        <v>-0.22</v>
      </c>
      <c r="J31" s="12">
        <v>-0.31</v>
      </c>
      <c r="K31" s="12">
        <v>-1.19</v>
      </c>
      <c r="L31" s="12">
        <v>0.44</v>
      </c>
      <c r="M31"/>
      <c r="N31" s="27"/>
      <c r="O31" s="15"/>
      <c r="P31" s="27"/>
      <c r="Q31" s="15"/>
      <c r="R31" s="15"/>
      <c r="S31" s="54"/>
      <c r="T31" s="15"/>
      <c r="U31" s="15"/>
      <c r="V31" s="15"/>
      <c r="W31" s="15"/>
      <c r="X31" s="15"/>
      <c r="Y31" s="15"/>
      <c r="Z31" s="15"/>
      <c r="AA31" s="15"/>
    </row>
    <row r="32" spans="1:27" s="21" customFormat="1" x14ac:dyDescent="0.3">
      <c r="A32" s="17"/>
      <c r="B32"/>
      <c r="C32"/>
      <c r="D32"/>
      <c r="E32"/>
      <c r="F32" s="13" t="s">
        <v>704</v>
      </c>
      <c r="G32" s="13">
        <v>-1.29</v>
      </c>
      <c r="H32" s="12">
        <v>-2.2200000000000002</v>
      </c>
      <c r="I32" s="12">
        <v>-1.54</v>
      </c>
      <c r="J32" s="12">
        <v>-0.4</v>
      </c>
      <c r="K32" s="12">
        <v>-0.73</v>
      </c>
      <c r="L32" s="12">
        <v>1.87</v>
      </c>
      <c r="M32"/>
      <c r="N32" s="27"/>
      <c r="O32" s="15"/>
      <c r="P32" s="27"/>
      <c r="Q32" s="15"/>
      <c r="R32" s="15"/>
      <c r="S32" s="54"/>
      <c r="T32" s="15"/>
      <c r="U32" s="15"/>
      <c r="V32" s="15"/>
      <c r="W32" s="15"/>
      <c r="X32" s="15"/>
      <c r="Y32" s="15"/>
      <c r="Z32" s="15"/>
      <c r="AA32" s="15"/>
    </row>
    <row r="33" spans="1:27" s="21" customFormat="1" x14ac:dyDescent="0.3">
      <c r="A33" s="17"/>
      <c r="B33"/>
      <c r="C33"/>
      <c r="D33"/>
      <c r="E33"/>
      <c r="F33" s="13" t="s">
        <v>705</v>
      </c>
      <c r="G33" s="13">
        <v>4.4800000000000004</v>
      </c>
      <c r="H33" s="12">
        <v>-0.45</v>
      </c>
      <c r="I33" s="12">
        <v>1.31</v>
      </c>
      <c r="J33" s="12">
        <v>0.11</v>
      </c>
      <c r="K33" s="12">
        <v>-0.4</v>
      </c>
      <c r="L33" s="12">
        <v>0.2</v>
      </c>
      <c r="M33"/>
      <c r="N33" s="27"/>
      <c r="O33" s="15"/>
      <c r="P33" s="27"/>
      <c r="Q33" s="15"/>
      <c r="R33" s="15"/>
      <c r="S33" s="54"/>
      <c r="T33" s="15"/>
      <c r="U33" s="15"/>
      <c r="V33" s="15"/>
      <c r="W33" s="15"/>
      <c r="X33" s="15"/>
      <c r="Y33" s="15"/>
      <c r="Z33" s="15"/>
      <c r="AA33" s="15"/>
    </row>
    <row r="34" spans="1:27" s="21" customFormat="1" x14ac:dyDescent="0.3">
      <c r="A34" s="17"/>
      <c r="B34"/>
      <c r="C34"/>
      <c r="D34"/>
      <c r="E34"/>
      <c r="F34" s="13" t="s">
        <v>706</v>
      </c>
      <c r="G34" s="13">
        <v>1.07</v>
      </c>
      <c r="H34" s="12">
        <v>-1.04</v>
      </c>
      <c r="I34" s="12">
        <v>-0.26</v>
      </c>
      <c r="J34" s="12">
        <v>-0.15</v>
      </c>
      <c r="K34" s="12">
        <v>-0.15</v>
      </c>
      <c r="L34" s="12">
        <v>-0.92</v>
      </c>
      <c r="M34"/>
      <c r="N34" s="27"/>
      <c r="O34" s="15"/>
      <c r="P34" s="27"/>
      <c r="Q34" s="15"/>
      <c r="R34" s="15"/>
      <c r="S34" s="54"/>
      <c r="T34" s="15"/>
      <c r="U34" s="15"/>
      <c r="V34" s="15"/>
      <c r="W34" s="15"/>
      <c r="X34" s="15"/>
      <c r="Y34" s="15"/>
      <c r="Z34" s="15"/>
      <c r="AA34" s="15"/>
    </row>
    <row r="35" spans="1:27" s="21" customFormat="1" x14ac:dyDescent="0.3">
      <c r="A35" s="17"/>
      <c r="B35"/>
      <c r="C35"/>
      <c r="D35"/>
      <c r="E35"/>
      <c r="F35" s="13" t="s">
        <v>707</v>
      </c>
      <c r="G35" s="13">
        <v>0.22</v>
      </c>
      <c r="H35" s="12">
        <v>1.29</v>
      </c>
      <c r="I35" s="12">
        <v>-0.25</v>
      </c>
      <c r="J35" s="12">
        <v>-0.15</v>
      </c>
      <c r="K35" s="12">
        <v>-0.24</v>
      </c>
      <c r="L35" s="12">
        <v>0.79</v>
      </c>
      <c r="M35"/>
      <c r="N35" s="27"/>
      <c r="O35" s="15"/>
      <c r="P35" s="27"/>
      <c r="Q35" s="15"/>
      <c r="R35" s="15"/>
      <c r="S35" s="54"/>
      <c r="T35" s="15"/>
      <c r="U35" s="15"/>
      <c r="V35" s="15"/>
      <c r="W35" s="15"/>
      <c r="X35" s="15"/>
      <c r="Y35" s="15"/>
      <c r="Z35" s="15"/>
      <c r="AA35" s="15"/>
    </row>
    <row r="36" spans="1:27" s="21" customFormat="1" x14ac:dyDescent="0.3">
      <c r="A36" s="17"/>
      <c r="B36"/>
      <c r="C36"/>
      <c r="D36"/>
      <c r="E36"/>
      <c r="F36" s="13" t="s">
        <v>708</v>
      </c>
      <c r="G36" s="13">
        <v>0.21</v>
      </c>
      <c r="H36" s="12">
        <v>-1.55</v>
      </c>
      <c r="I36" s="12">
        <v>-0.41</v>
      </c>
      <c r="J36" s="12">
        <v>0.08</v>
      </c>
      <c r="K36" s="12">
        <v>-0.78</v>
      </c>
      <c r="L36" s="12">
        <v>-2.13</v>
      </c>
      <c r="M36"/>
      <c r="N36" s="27"/>
      <c r="O36" s="15"/>
      <c r="P36" s="27"/>
      <c r="Q36" s="15"/>
      <c r="R36" s="15"/>
      <c r="S36" s="54"/>
      <c r="T36" s="15"/>
      <c r="U36" s="15"/>
      <c r="V36" s="15"/>
      <c r="W36" s="15"/>
      <c r="X36" s="15"/>
      <c r="Y36" s="15"/>
      <c r="Z36" s="15"/>
      <c r="AA36" s="15"/>
    </row>
    <row r="37" spans="1:27" s="21" customFormat="1" x14ac:dyDescent="0.3">
      <c r="A37" s="17"/>
      <c r="B37"/>
      <c r="C37"/>
      <c r="D37"/>
      <c r="E37"/>
      <c r="F37" s="13" t="s">
        <v>709</v>
      </c>
      <c r="G37" s="13">
        <v>-0.13</v>
      </c>
      <c r="H37" s="12">
        <v>0.56000000000000005</v>
      </c>
      <c r="I37" s="12">
        <v>-0.24</v>
      </c>
      <c r="J37" s="12">
        <v>0</v>
      </c>
      <c r="K37" s="12">
        <v>-0.13</v>
      </c>
      <c r="L37" s="12">
        <v>-0.3</v>
      </c>
      <c r="M37"/>
      <c r="N37" s="27"/>
      <c r="O37" s="15"/>
      <c r="P37" s="27"/>
      <c r="Q37" s="15"/>
      <c r="R37" s="15"/>
      <c r="S37" s="54"/>
      <c r="T37" s="15"/>
      <c r="U37" s="15"/>
      <c r="V37" s="15"/>
      <c r="W37" s="15"/>
      <c r="X37" s="15"/>
      <c r="Y37" s="15"/>
      <c r="Z37" s="15"/>
      <c r="AA37" s="15"/>
    </row>
    <row r="38" spans="1:27" s="21" customFormat="1" x14ac:dyDescent="0.3">
      <c r="A38" s="17"/>
      <c r="B38"/>
      <c r="C38"/>
      <c r="D38"/>
      <c r="E38"/>
      <c r="F38" s="13" t="s">
        <v>710</v>
      </c>
      <c r="G38" s="13">
        <v>5.57</v>
      </c>
      <c r="H38" s="12">
        <v>0.24</v>
      </c>
      <c r="I38" s="12">
        <v>2.29</v>
      </c>
      <c r="J38" s="12">
        <v>-0.3</v>
      </c>
      <c r="K38" s="12">
        <v>-7.0000000000000007E-2</v>
      </c>
      <c r="L38" s="12">
        <v>0.06</v>
      </c>
      <c r="M38"/>
      <c r="N38" s="27"/>
      <c r="O38" s="15"/>
      <c r="P38" s="27"/>
      <c r="Q38" s="15"/>
      <c r="R38" s="15"/>
      <c r="S38" s="54"/>
      <c r="T38" s="15"/>
      <c r="U38" s="15"/>
      <c r="V38" s="15"/>
      <c r="W38" s="15"/>
      <c r="X38" s="15"/>
      <c r="Y38" s="15"/>
      <c r="Z38" s="15"/>
      <c r="AA38" s="15"/>
    </row>
    <row r="39" spans="1:27" s="21" customFormat="1" x14ac:dyDescent="0.3">
      <c r="A39" s="17"/>
      <c r="B39"/>
      <c r="C39"/>
      <c r="D39"/>
      <c r="E39"/>
      <c r="F39" s="13" t="s">
        <v>711</v>
      </c>
      <c r="G39" s="13">
        <v>1.87</v>
      </c>
      <c r="H39" s="12">
        <v>-0.03</v>
      </c>
      <c r="I39" s="12">
        <v>-0.3</v>
      </c>
      <c r="J39" s="12">
        <v>0.02</v>
      </c>
      <c r="K39" s="12">
        <v>0.04</v>
      </c>
      <c r="L39" s="12">
        <v>-0.16</v>
      </c>
      <c r="M39"/>
      <c r="N39" s="27"/>
      <c r="O39" s="15"/>
      <c r="P39" s="27"/>
      <c r="Q39" s="15"/>
      <c r="R39" s="15"/>
      <c r="S39" s="54"/>
      <c r="T39" s="15"/>
      <c r="U39" s="15"/>
      <c r="V39" s="15"/>
      <c r="W39" s="15"/>
      <c r="X39" s="15"/>
      <c r="Y39" s="15"/>
      <c r="Z39" s="15"/>
      <c r="AA39" s="15"/>
    </row>
    <row r="40" spans="1:27" s="21" customFormat="1" x14ac:dyDescent="0.3">
      <c r="A40" s="17"/>
      <c r="B40"/>
      <c r="C40"/>
      <c r="D40"/>
      <c r="E40"/>
      <c r="F40" s="13" t="s">
        <v>712</v>
      </c>
      <c r="G40" s="13">
        <v>-5.98</v>
      </c>
      <c r="H40" s="12">
        <v>-0.68</v>
      </c>
      <c r="I40" s="12">
        <v>7.0000000000000007E-2</v>
      </c>
      <c r="J40" s="12">
        <v>2.23</v>
      </c>
      <c r="K40" s="12">
        <v>-0.2</v>
      </c>
      <c r="L40" s="12">
        <v>-0.69</v>
      </c>
      <c r="M40"/>
      <c r="N40" s="27"/>
      <c r="O40" s="15"/>
      <c r="P40" s="27"/>
      <c r="Q40" s="15"/>
      <c r="R40" s="15"/>
      <c r="S40" s="54"/>
      <c r="T40" s="15"/>
      <c r="U40" s="15"/>
      <c r="V40" s="15"/>
      <c r="W40" s="15"/>
      <c r="X40" s="15"/>
      <c r="Y40" s="15"/>
      <c r="Z40" s="15"/>
      <c r="AA40" s="15"/>
    </row>
    <row r="41" spans="1:27" s="21" customFormat="1" x14ac:dyDescent="0.3">
      <c r="A41" s="17"/>
      <c r="B41"/>
      <c r="C41"/>
      <c r="D41"/>
      <c r="E41"/>
      <c r="F41" s="13" t="s">
        <v>713</v>
      </c>
      <c r="G41" s="13">
        <v>1.1100000000000001</v>
      </c>
      <c r="H41" s="12">
        <v>0.37</v>
      </c>
      <c r="I41" s="12">
        <v>-0.87</v>
      </c>
      <c r="J41" s="12">
        <v>-0.01</v>
      </c>
      <c r="K41" s="12">
        <v>-0.22</v>
      </c>
      <c r="L41" s="12">
        <v>0.17</v>
      </c>
      <c r="M41"/>
      <c r="N41" s="27"/>
      <c r="O41" s="15"/>
      <c r="P41" s="27"/>
      <c r="Q41" s="15"/>
      <c r="R41" s="15"/>
      <c r="S41" s="54"/>
      <c r="T41" s="15"/>
      <c r="U41" s="15"/>
      <c r="V41" s="15"/>
      <c r="W41" s="15"/>
      <c r="X41" s="15"/>
      <c r="Y41" s="15"/>
      <c r="Z41" s="15"/>
      <c r="AA41" s="15"/>
    </row>
    <row r="42" spans="1:27" s="21" customFormat="1" x14ac:dyDescent="0.3">
      <c r="A42" s="17"/>
      <c r="B42"/>
      <c r="C42"/>
      <c r="D42"/>
      <c r="E42"/>
      <c r="F42" s="13" t="s">
        <v>714</v>
      </c>
      <c r="G42" s="13">
        <v>3.56</v>
      </c>
      <c r="H42" s="12">
        <v>-0.76</v>
      </c>
      <c r="I42" s="12">
        <v>-0.57999999999999996</v>
      </c>
      <c r="J42" s="12">
        <v>-0.24</v>
      </c>
      <c r="K42" s="12">
        <v>-0.8</v>
      </c>
      <c r="L42" s="12">
        <v>-1.05</v>
      </c>
      <c r="M42"/>
      <c r="N42" s="27"/>
      <c r="O42" s="15"/>
      <c r="P42" s="27"/>
      <c r="Q42" s="15"/>
      <c r="R42" s="15"/>
      <c r="S42" s="54"/>
      <c r="T42" s="15"/>
      <c r="U42" s="15"/>
      <c r="V42" s="15"/>
      <c r="W42" s="15"/>
      <c r="X42" s="15"/>
      <c r="Y42" s="15"/>
      <c r="Z42" s="15"/>
      <c r="AA42" s="15"/>
    </row>
    <row r="43" spans="1:27" s="21" customFormat="1" x14ac:dyDescent="0.3">
      <c r="A43" s="17"/>
      <c r="B43"/>
      <c r="C43"/>
      <c r="D43"/>
      <c r="E43"/>
      <c r="F43" s="13" t="s">
        <v>715</v>
      </c>
      <c r="G43" s="13">
        <v>3.37</v>
      </c>
      <c r="H43" s="12">
        <v>0.52</v>
      </c>
      <c r="I43" s="12">
        <v>-0.25</v>
      </c>
      <c r="J43" s="12">
        <v>-0.22</v>
      </c>
      <c r="K43" s="12">
        <v>-0.46</v>
      </c>
      <c r="L43" s="12">
        <v>0.56000000000000005</v>
      </c>
      <c r="M43"/>
      <c r="N43" s="27"/>
      <c r="O43" s="15"/>
      <c r="P43" s="27"/>
      <c r="Q43" s="15"/>
      <c r="R43" s="15"/>
      <c r="S43" s="54"/>
      <c r="T43" s="15"/>
      <c r="U43" s="15"/>
      <c r="V43" s="15"/>
      <c r="W43" s="15"/>
      <c r="X43" s="15"/>
      <c r="Y43" s="15"/>
      <c r="Z43" s="15"/>
      <c r="AA43" s="15"/>
    </row>
    <row r="44" spans="1:27" s="21" customFormat="1" x14ac:dyDescent="0.3">
      <c r="A44" s="17"/>
      <c r="B44"/>
      <c r="C44"/>
      <c r="D44"/>
      <c r="E44"/>
      <c r="F44" s="13" t="s">
        <v>716</v>
      </c>
      <c r="G44" s="13">
        <v>1.86</v>
      </c>
      <c r="H44" s="12">
        <v>0.96</v>
      </c>
      <c r="I44" s="12">
        <v>-0.6</v>
      </c>
      <c r="J44" s="12">
        <v>9.56</v>
      </c>
      <c r="K44" s="12">
        <v>-0.56000000000000005</v>
      </c>
      <c r="L44" s="12">
        <v>0.03</v>
      </c>
      <c r="M44"/>
      <c r="N44" s="27"/>
      <c r="O44" s="15"/>
      <c r="P44" s="27"/>
      <c r="Q44" s="15"/>
      <c r="R44" s="15"/>
      <c r="S44" s="54"/>
      <c r="T44" s="15"/>
      <c r="U44" s="15"/>
      <c r="V44" s="15"/>
      <c r="W44" s="15"/>
      <c r="X44" s="15"/>
      <c r="Y44" s="15"/>
      <c r="Z44" s="15"/>
      <c r="AA44" s="15"/>
    </row>
    <row r="45" spans="1:27" s="21" customFormat="1" x14ac:dyDescent="0.3">
      <c r="A45" s="17"/>
      <c r="B45"/>
      <c r="C45"/>
      <c r="D45"/>
      <c r="E45"/>
      <c r="F45" s="13" t="s">
        <v>717</v>
      </c>
      <c r="G45" s="13">
        <v>1.95</v>
      </c>
      <c r="H45" s="12">
        <v>0.82</v>
      </c>
      <c r="I45" s="12">
        <v>0.27</v>
      </c>
      <c r="J45" s="12">
        <v>-0.05</v>
      </c>
      <c r="K45" s="12">
        <v>-0.08</v>
      </c>
      <c r="L45" s="12">
        <v>0.56000000000000005</v>
      </c>
      <c r="M45"/>
      <c r="N45" s="27"/>
      <c r="O45" s="15"/>
      <c r="P45" s="27"/>
      <c r="Q45" s="15"/>
      <c r="R45" s="15"/>
      <c r="S45" s="54"/>
      <c r="T45" s="15"/>
      <c r="U45" s="15"/>
      <c r="V45" s="15"/>
      <c r="W45" s="15"/>
      <c r="X45" s="15"/>
      <c r="Y45" s="15"/>
      <c r="Z45" s="15"/>
      <c r="AA45" s="15"/>
    </row>
    <row r="46" spans="1:27" s="21" customFormat="1" x14ac:dyDescent="0.3">
      <c r="A46" s="17"/>
      <c r="B46"/>
      <c r="C46"/>
      <c r="D46"/>
      <c r="E46"/>
      <c r="F46" s="13" t="s">
        <v>718</v>
      </c>
      <c r="G46" s="13">
        <v>2.41</v>
      </c>
      <c r="H46" s="12">
        <v>1.48</v>
      </c>
      <c r="I46" s="12">
        <v>-0.25</v>
      </c>
      <c r="J46" s="12">
        <v>-0.61</v>
      </c>
      <c r="K46" s="12">
        <v>-0.46</v>
      </c>
      <c r="L46" s="12">
        <v>1.24</v>
      </c>
      <c r="M46"/>
      <c r="N46" s="27"/>
      <c r="O46" s="15"/>
      <c r="P46" s="27"/>
      <c r="Q46" s="15"/>
      <c r="R46" s="15"/>
      <c r="S46" s="54"/>
      <c r="T46" s="15"/>
      <c r="U46" s="15"/>
      <c r="V46" s="15"/>
      <c r="W46" s="15"/>
      <c r="X46" s="15"/>
      <c r="Y46" s="15"/>
      <c r="Z46" s="15"/>
      <c r="AA46" s="15"/>
    </row>
    <row r="47" spans="1:27" s="21" customFormat="1" x14ac:dyDescent="0.3">
      <c r="A47" s="17"/>
      <c r="B47"/>
      <c r="C47"/>
      <c r="D47"/>
      <c r="E47"/>
      <c r="F47" s="13" t="s">
        <v>719</v>
      </c>
      <c r="G47" s="13">
        <v>3.96</v>
      </c>
      <c r="H47" s="12">
        <v>0.1</v>
      </c>
      <c r="I47" s="12">
        <v>0.16</v>
      </c>
      <c r="J47" s="12">
        <v>-0.1</v>
      </c>
      <c r="K47" s="12">
        <v>-0.27</v>
      </c>
      <c r="L47" s="12">
        <v>-0.89</v>
      </c>
      <c r="M47"/>
      <c r="N47" s="27"/>
      <c r="O47" s="15"/>
      <c r="P47" s="27"/>
      <c r="Q47" s="15"/>
      <c r="R47" s="15"/>
      <c r="S47" s="54"/>
      <c r="T47" s="15"/>
      <c r="U47" s="15"/>
      <c r="V47" s="15"/>
      <c r="W47" s="15"/>
      <c r="X47" s="15"/>
      <c r="Y47" s="15"/>
      <c r="Z47" s="15"/>
      <c r="AA47" s="15"/>
    </row>
    <row r="48" spans="1:27" s="21" customFormat="1" x14ac:dyDescent="0.3">
      <c r="A48" s="17"/>
      <c r="B48"/>
      <c r="C48"/>
      <c r="D48"/>
      <c r="E48"/>
      <c r="F48" s="13" t="s">
        <v>720</v>
      </c>
      <c r="G48" s="13">
        <v>-1.61</v>
      </c>
      <c r="H48" s="12">
        <v>-7.0000000000000007E-2</v>
      </c>
      <c r="I48" s="12">
        <v>0.03</v>
      </c>
      <c r="J48" s="12">
        <v>-0.32</v>
      </c>
      <c r="K48" s="12">
        <v>-0.55000000000000004</v>
      </c>
      <c r="L48" s="12">
        <v>-0.31</v>
      </c>
      <c r="M48"/>
      <c r="N48" s="27"/>
      <c r="O48" s="15"/>
      <c r="P48" s="27"/>
      <c r="Q48" s="15"/>
      <c r="R48" s="15"/>
      <c r="S48" s="54"/>
      <c r="T48" s="15"/>
      <c r="U48" s="15"/>
      <c r="V48" s="15"/>
      <c r="W48" s="15"/>
      <c r="X48" s="15"/>
      <c r="Y48" s="15"/>
      <c r="Z48" s="15"/>
      <c r="AA48" s="15"/>
    </row>
    <row r="49" spans="1:27" s="21" customFormat="1" x14ac:dyDescent="0.3">
      <c r="A49" s="17"/>
      <c r="B49"/>
      <c r="C49"/>
      <c r="D49"/>
      <c r="E49"/>
      <c r="F49" s="13" t="s">
        <v>721</v>
      </c>
      <c r="G49" s="13">
        <v>1.86</v>
      </c>
      <c r="H49" s="12">
        <v>-0.37</v>
      </c>
      <c r="I49" s="12">
        <v>-0.69</v>
      </c>
      <c r="J49" s="12">
        <v>-0.15</v>
      </c>
      <c r="K49" s="12">
        <v>-0.59</v>
      </c>
      <c r="L49" s="12">
        <v>-7.0000000000000007E-2</v>
      </c>
      <c r="M49"/>
      <c r="N49" s="27"/>
      <c r="O49" s="15"/>
      <c r="P49" s="27"/>
      <c r="Q49" s="15"/>
      <c r="R49" s="15"/>
      <c r="S49" s="54"/>
      <c r="T49" s="15"/>
      <c r="U49" s="15"/>
      <c r="V49" s="15"/>
      <c r="W49" s="15"/>
      <c r="X49" s="15"/>
      <c r="Y49" s="15"/>
      <c r="Z49" s="15"/>
      <c r="AA49" s="15"/>
    </row>
    <row r="50" spans="1:27" s="21" customFormat="1" x14ac:dyDescent="0.3">
      <c r="A50" s="17"/>
      <c r="B50"/>
      <c r="C50"/>
      <c r="D50"/>
      <c r="E50"/>
      <c r="F50" s="13" t="s">
        <v>722</v>
      </c>
      <c r="G50" s="13">
        <v>-8.85</v>
      </c>
      <c r="H50" s="12">
        <v>0.25</v>
      </c>
      <c r="I50" s="12">
        <v>-1.42</v>
      </c>
      <c r="J50" s="12">
        <v>-0.01</v>
      </c>
      <c r="K50" s="12">
        <v>-0.37</v>
      </c>
      <c r="L50" s="12">
        <v>1.61</v>
      </c>
      <c r="M50"/>
      <c r="N50" s="27"/>
      <c r="O50" s="15"/>
      <c r="P50" s="27"/>
      <c r="Q50" s="15"/>
      <c r="R50" s="15"/>
      <c r="S50" s="54"/>
      <c r="T50" s="15"/>
      <c r="U50" s="15"/>
      <c r="V50" s="15"/>
      <c r="W50" s="15"/>
      <c r="X50" s="15"/>
      <c r="Y50" s="15"/>
      <c r="Z50" s="15"/>
      <c r="AA50" s="15"/>
    </row>
    <row r="51" spans="1:27" s="21" customFormat="1" x14ac:dyDescent="0.3">
      <c r="A51" s="17"/>
      <c r="B51"/>
      <c r="C51"/>
      <c r="D51"/>
      <c r="E51"/>
      <c r="F51" s="13" t="s">
        <v>723</v>
      </c>
      <c r="G51" s="13">
        <v>4.63</v>
      </c>
      <c r="H51" s="12">
        <v>0.82</v>
      </c>
      <c r="I51" s="12">
        <v>0.37</v>
      </c>
      <c r="J51" s="12">
        <v>0.5</v>
      </c>
      <c r="K51" s="12">
        <v>-0.18</v>
      </c>
      <c r="L51" s="12">
        <v>0.57999999999999996</v>
      </c>
      <c r="M51"/>
      <c r="N51" s="27"/>
      <c r="O51" s="15"/>
      <c r="P51" s="27"/>
      <c r="Q51" s="15"/>
      <c r="R51" s="15"/>
      <c r="S51" s="54"/>
      <c r="T51" s="15"/>
      <c r="U51" s="15"/>
      <c r="V51" s="15"/>
      <c r="W51" s="15"/>
      <c r="X51" s="15"/>
      <c r="Y51" s="15"/>
      <c r="Z51" s="15"/>
      <c r="AA51" s="15"/>
    </row>
    <row r="52" spans="1:27" s="21" customFormat="1" x14ac:dyDescent="0.3">
      <c r="A52" s="17"/>
      <c r="B52"/>
      <c r="C52"/>
      <c r="D52"/>
      <c r="E52"/>
      <c r="F52" s="13" t="s">
        <v>724</v>
      </c>
      <c r="G52" s="13">
        <v>1.18</v>
      </c>
      <c r="H52" s="12">
        <v>-0.36</v>
      </c>
      <c r="I52" s="12">
        <v>-1.39</v>
      </c>
      <c r="J52" s="12">
        <v>-0.13</v>
      </c>
      <c r="K52" s="12">
        <v>-0.13</v>
      </c>
      <c r="L52" s="12">
        <v>0.72</v>
      </c>
      <c r="M52"/>
      <c r="N52" s="27"/>
      <c r="O52" s="15"/>
      <c r="P52" s="27"/>
      <c r="Q52" s="15"/>
      <c r="R52" s="15"/>
      <c r="S52" s="54"/>
      <c r="T52" s="15"/>
      <c r="U52" s="15"/>
      <c r="V52" s="15"/>
      <c r="W52" s="15"/>
      <c r="X52" s="15"/>
      <c r="Y52" s="15"/>
      <c r="Z52" s="15"/>
      <c r="AA52" s="15"/>
    </row>
    <row r="53" spans="1:27" s="21" customFormat="1" x14ac:dyDescent="0.3">
      <c r="A53" s="17"/>
      <c r="B53"/>
      <c r="C53"/>
      <c r="D53"/>
      <c r="E53"/>
      <c r="F53" s="13" t="s">
        <v>725</v>
      </c>
      <c r="G53" s="13">
        <v>5.6</v>
      </c>
      <c r="H53" s="12">
        <v>-1.5</v>
      </c>
      <c r="I53" s="12">
        <v>1.3</v>
      </c>
      <c r="J53" s="12">
        <v>-0.15</v>
      </c>
      <c r="K53" s="12">
        <v>2.2999999999999998</v>
      </c>
      <c r="L53" s="12">
        <v>-1.2</v>
      </c>
      <c r="M53"/>
      <c r="N53" s="27"/>
      <c r="O53" s="15"/>
      <c r="P53" s="27"/>
      <c r="Q53" s="15"/>
      <c r="R53" s="15"/>
      <c r="S53" s="54"/>
      <c r="T53" s="15"/>
      <c r="U53" s="15"/>
      <c r="V53" s="15"/>
      <c r="W53" s="15"/>
      <c r="X53" s="15"/>
      <c r="Y53" s="15"/>
      <c r="Z53" s="15"/>
      <c r="AA53" s="15"/>
    </row>
    <row r="54" spans="1:27" s="21" customFormat="1" x14ac:dyDescent="0.3">
      <c r="A54" s="17"/>
      <c r="B54"/>
      <c r="C54"/>
      <c r="D54"/>
      <c r="E54"/>
      <c r="F54" s="13" t="s">
        <v>726</v>
      </c>
      <c r="G54" s="13">
        <v>1.06</v>
      </c>
      <c r="H54" s="12">
        <v>1.34</v>
      </c>
      <c r="I54" s="12">
        <v>-7.0000000000000007E-2</v>
      </c>
      <c r="J54" s="12">
        <v>0.16</v>
      </c>
      <c r="K54" s="12">
        <v>-0.41</v>
      </c>
      <c r="L54" s="12">
        <v>1.1000000000000001</v>
      </c>
      <c r="M54"/>
      <c r="N54" s="27"/>
      <c r="O54" s="15"/>
      <c r="P54" s="27"/>
      <c r="Q54" s="15"/>
      <c r="R54" s="15"/>
      <c r="S54" s="54"/>
      <c r="T54" s="15"/>
      <c r="U54" s="15"/>
      <c r="V54" s="15"/>
      <c r="W54" s="15"/>
      <c r="X54" s="15"/>
      <c r="Y54" s="15"/>
      <c r="Z54" s="15"/>
      <c r="AA54" s="15"/>
    </row>
    <row r="55" spans="1:27" s="21" customFormat="1" x14ac:dyDescent="0.3">
      <c r="A55" s="17"/>
      <c r="B55"/>
      <c r="C55"/>
      <c r="D55"/>
      <c r="E55"/>
      <c r="F55" s="13" t="s">
        <v>727</v>
      </c>
      <c r="G55" s="13">
        <v>1.37</v>
      </c>
      <c r="H55" s="12">
        <v>1.22</v>
      </c>
      <c r="I55" s="12">
        <v>-7.0000000000000007E-2</v>
      </c>
      <c r="J55" s="12">
        <v>-0.22</v>
      </c>
      <c r="K55" s="12">
        <v>-0.4</v>
      </c>
      <c r="L55" s="12">
        <v>1.1200000000000001</v>
      </c>
      <c r="M55"/>
      <c r="N55" s="27"/>
      <c r="O55" s="15"/>
      <c r="P55" s="27"/>
      <c r="Q55" s="15"/>
      <c r="R55" s="15"/>
      <c r="S55" s="54"/>
      <c r="T55" s="15"/>
      <c r="U55" s="15"/>
      <c r="V55" s="15"/>
      <c r="W55" s="15"/>
      <c r="X55" s="15"/>
      <c r="Y55" s="15"/>
      <c r="Z55" s="15"/>
      <c r="AA55" s="15"/>
    </row>
    <row r="56" spans="1:27" s="21" customFormat="1" x14ac:dyDescent="0.3">
      <c r="A56" s="17"/>
      <c r="B56"/>
      <c r="C56"/>
      <c r="D56"/>
      <c r="E56"/>
      <c r="F56" s="13" t="s">
        <v>728</v>
      </c>
      <c r="G56" s="13">
        <v>1.39</v>
      </c>
      <c r="H56" s="12">
        <v>0.09</v>
      </c>
      <c r="I56" s="12">
        <v>-0.31</v>
      </c>
      <c r="J56" s="12">
        <v>0.48</v>
      </c>
      <c r="K56" s="12">
        <v>-0.15</v>
      </c>
      <c r="L56" s="12">
        <v>-0.9</v>
      </c>
      <c r="M56"/>
      <c r="N56" s="27"/>
      <c r="O56" s="15"/>
      <c r="P56" s="27"/>
      <c r="Q56" s="15"/>
      <c r="R56" s="15"/>
      <c r="S56" s="54"/>
      <c r="T56" s="15"/>
      <c r="U56" s="15"/>
      <c r="V56" s="15"/>
      <c r="W56" s="15"/>
      <c r="X56" s="15"/>
      <c r="Y56" s="15"/>
      <c r="Z56" s="15"/>
      <c r="AA56" s="15"/>
    </row>
    <row r="57" spans="1:27" s="21" customFormat="1" x14ac:dyDescent="0.3">
      <c r="A57" s="17"/>
      <c r="B57"/>
      <c r="C57"/>
      <c r="D57"/>
      <c r="E57"/>
      <c r="F57" s="13" t="s">
        <v>729</v>
      </c>
      <c r="G57" s="13">
        <v>3</v>
      </c>
      <c r="H57" s="12">
        <v>-1.54</v>
      </c>
      <c r="I57" s="12">
        <v>-0.27</v>
      </c>
      <c r="J57" s="12">
        <v>-0.23</v>
      </c>
      <c r="K57" s="12">
        <v>0.7</v>
      </c>
      <c r="L57" s="12">
        <v>-1.37</v>
      </c>
      <c r="M57"/>
      <c r="N57" s="27"/>
      <c r="O57" s="15"/>
      <c r="P57" s="27"/>
      <c r="Q57" s="15"/>
      <c r="R57" s="15"/>
      <c r="S57" s="54"/>
      <c r="T57" s="15"/>
      <c r="U57" s="15"/>
      <c r="V57" s="15"/>
      <c r="W57" s="15"/>
      <c r="X57" s="15"/>
      <c r="Y57" s="15"/>
      <c r="Z57" s="15"/>
      <c r="AA57" s="15"/>
    </row>
    <row r="58" spans="1:27" s="21" customFormat="1" x14ac:dyDescent="0.3">
      <c r="A58" s="17"/>
      <c r="B58"/>
      <c r="C58"/>
      <c r="D58"/>
      <c r="E58"/>
      <c r="F58" s="13" t="s">
        <v>730</v>
      </c>
      <c r="G58" s="13">
        <v>5.16</v>
      </c>
      <c r="H58" s="12">
        <v>-0.27</v>
      </c>
      <c r="I58" s="12">
        <v>0.31</v>
      </c>
      <c r="J58" s="12">
        <v>0.33</v>
      </c>
      <c r="K58" s="12">
        <v>0.28999999999999998</v>
      </c>
      <c r="L58" s="12">
        <v>-0.56999999999999995</v>
      </c>
      <c r="M58"/>
      <c r="N58" s="27"/>
      <c r="O58" s="15"/>
      <c r="P58" s="27"/>
      <c r="Q58" s="15"/>
      <c r="R58" s="15"/>
      <c r="S58" s="54"/>
      <c r="T58" s="15"/>
      <c r="U58" s="15"/>
      <c r="V58" s="15"/>
      <c r="W58" s="15"/>
      <c r="X58" s="15"/>
      <c r="Y58" s="15"/>
      <c r="Z58" s="15"/>
      <c r="AA58" s="15"/>
    </row>
    <row r="59" spans="1:27" s="21" customFormat="1" x14ac:dyDescent="0.3">
      <c r="A59" s="17"/>
      <c r="B59"/>
      <c r="C59"/>
      <c r="D59"/>
      <c r="E59"/>
      <c r="F59" s="13" t="s">
        <v>731</v>
      </c>
      <c r="G59" s="13">
        <v>0.28000000000000003</v>
      </c>
      <c r="H59" s="12">
        <v>1.31</v>
      </c>
      <c r="I59" s="12">
        <v>-0.41</v>
      </c>
      <c r="J59" s="12">
        <v>-0.22</v>
      </c>
      <c r="K59" s="12">
        <v>-0.34</v>
      </c>
      <c r="L59" s="12">
        <v>0.67</v>
      </c>
      <c r="M59"/>
      <c r="N59" s="27"/>
      <c r="O59" s="15"/>
      <c r="P59" s="27"/>
      <c r="Q59" s="15"/>
      <c r="R59" s="15"/>
      <c r="S59" s="54"/>
      <c r="T59" s="15"/>
      <c r="U59" s="15"/>
      <c r="V59" s="15"/>
      <c r="W59" s="15"/>
      <c r="X59" s="15"/>
      <c r="Y59" s="15"/>
      <c r="Z59" s="15"/>
      <c r="AA59" s="15"/>
    </row>
    <row r="60" spans="1:27" s="21" customFormat="1" x14ac:dyDescent="0.3">
      <c r="A60" s="17"/>
      <c r="B60"/>
      <c r="C60"/>
      <c r="D60"/>
      <c r="E60"/>
      <c r="F60" s="13" t="s">
        <v>732</v>
      </c>
      <c r="G60" s="13">
        <v>4.2</v>
      </c>
      <c r="H60" s="12">
        <v>-0.79</v>
      </c>
      <c r="I60" s="12">
        <v>0.21</v>
      </c>
      <c r="J60" s="12">
        <v>0.15</v>
      </c>
      <c r="K60" s="12">
        <v>0.71</v>
      </c>
      <c r="L60" s="12">
        <v>-1.25</v>
      </c>
      <c r="M60"/>
      <c r="N60" s="27"/>
      <c r="O60" s="15"/>
      <c r="P60" s="27"/>
      <c r="Q60" s="15"/>
      <c r="R60" s="15"/>
      <c r="S60" s="54"/>
      <c r="T60" s="15"/>
      <c r="U60" s="15"/>
      <c r="V60" s="15"/>
      <c r="W60" s="15"/>
      <c r="X60" s="15"/>
      <c r="Y60" s="15"/>
      <c r="Z60" s="15"/>
      <c r="AA60" s="15"/>
    </row>
    <row r="61" spans="1:27" s="21" customFormat="1" x14ac:dyDescent="0.3">
      <c r="A61" s="17"/>
      <c r="B61"/>
      <c r="C61"/>
      <c r="D61"/>
      <c r="E61"/>
      <c r="F61" s="13" t="s">
        <v>733</v>
      </c>
      <c r="G61" s="13">
        <v>2.0299999999999998</v>
      </c>
      <c r="H61" s="12">
        <v>0.73</v>
      </c>
      <c r="I61" s="12">
        <v>-1.5</v>
      </c>
      <c r="J61" s="12">
        <v>-0.18</v>
      </c>
      <c r="K61" s="12">
        <v>-0.55000000000000004</v>
      </c>
      <c r="L61" s="12">
        <v>0.52</v>
      </c>
      <c r="M61"/>
      <c r="N61" s="27"/>
      <c r="O61" s="15"/>
      <c r="P61" s="27"/>
      <c r="Q61" s="15"/>
      <c r="R61" s="15"/>
      <c r="S61" s="54"/>
      <c r="T61" s="15"/>
      <c r="U61" s="15"/>
      <c r="V61" s="15"/>
      <c r="W61" s="15"/>
      <c r="X61" s="15"/>
      <c r="Y61" s="15"/>
      <c r="Z61" s="15"/>
      <c r="AA61" s="15"/>
    </row>
    <row r="62" spans="1:27" s="21" customFormat="1" x14ac:dyDescent="0.3">
      <c r="A62" s="17"/>
      <c r="B62"/>
      <c r="C62"/>
      <c r="D62"/>
      <c r="E62"/>
      <c r="F62" s="13" t="s">
        <v>734</v>
      </c>
      <c r="G62" s="13">
        <v>2.2400000000000002</v>
      </c>
      <c r="H62" s="12">
        <v>-0.31</v>
      </c>
      <c r="I62" s="12">
        <v>-1.26</v>
      </c>
      <c r="J62" s="12">
        <v>-0.28000000000000003</v>
      </c>
      <c r="K62" s="12">
        <v>0.08</v>
      </c>
      <c r="L62" s="12">
        <v>-0.89</v>
      </c>
      <c r="M62"/>
      <c r="N62" s="27"/>
      <c r="O62" s="15"/>
      <c r="P62" s="27"/>
      <c r="Q62" s="15"/>
      <c r="R62" s="15"/>
      <c r="S62" s="54"/>
      <c r="T62" s="15"/>
      <c r="U62" s="15"/>
      <c r="V62" s="15"/>
      <c r="W62" s="15"/>
      <c r="X62" s="15"/>
      <c r="Y62" s="15"/>
      <c r="Z62" s="15"/>
      <c r="AA62" s="15"/>
    </row>
    <row r="63" spans="1:27" s="21" customFormat="1" x14ac:dyDescent="0.3">
      <c r="A63" s="17"/>
      <c r="B63"/>
      <c r="C63"/>
      <c r="D63"/>
      <c r="E63"/>
      <c r="F63" s="13" t="s">
        <v>735</v>
      </c>
      <c r="G63" s="13">
        <v>2.65</v>
      </c>
      <c r="H63" s="12">
        <v>-1.42</v>
      </c>
      <c r="I63" s="12">
        <v>-0.63</v>
      </c>
      <c r="J63" s="12">
        <v>-0.37</v>
      </c>
      <c r="K63" s="12">
        <v>1.1299999999999999</v>
      </c>
      <c r="L63" s="12">
        <v>-0.26</v>
      </c>
      <c r="M63"/>
      <c r="N63" s="27"/>
      <c r="O63" s="15"/>
      <c r="P63" s="27"/>
      <c r="Q63" s="15"/>
      <c r="R63" s="15"/>
      <c r="S63" s="54"/>
      <c r="T63" s="15"/>
      <c r="U63" s="15"/>
      <c r="V63" s="15"/>
      <c r="W63" s="15"/>
      <c r="X63" s="15"/>
      <c r="Y63" s="15"/>
      <c r="Z63" s="15"/>
      <c r="AA63" s="15"/>
    </row>
    <row r="64" spans="1:27" s="21" customFormat="1" x14ac:dyDescent="0.3">
      <c r="A64" s="17"/>
      <c r="B64"/>
      <c r="C64"/>
      <c r="D64"/>
      <c r="E64"/>
      <c r="F64" s="13" t="s">
        <v>736</v>
      </c>
      <c r="G64" s="13">
        <v>-2.9</v>
      </c>
      <c r="H64" s="12">
        <v>-1.08</v>
      </c>
      <c r="I64" s="12">
        <v>-1.02</v>
      </c>
      <c r="J64" s="12">
        <v>-0.35</v>
      </c>
      <c r="K64" s="12">
        <v>2.82</v>
      </c>
      <c r="L64" s="12">
        <v>-1.48</v>
      </c>
      <c r="M64"/>
      <c r="N64" s="27"/>
      <c r="O64" s="15"/>
      <c r="P64" s="27"/>
      <c r="Q64" s="15"/>
      <c r="R64" s="15"/>
      <c r="S64" s="54"/>
      <c r="T64" s="15"/>
      <c r="U64" s="15"/>
      <c r="V64" s="15"/>
      <c r="W64" s="15"/>
      <c r="X64" s="15"/>
      <c r="Y64" s="15"/>
      <c r="Z64" s="15"/>
      <c r="AA64" s="15"/>
    </row>
    <row r="65" spans="1:27" s="21" customFormat="1" x14ac:dyDescent="0.3">
      <c r="A65" s="17"/>
      <c r="B65"/>
      <c r="C65"/>
      <c r="D65"/>
      <c r="E65"/>
      <c r="F65" s="13" t="s">
        <v>737</v>
      </c>
      <c r="G65" s="13">
        <v>0.98</v>
      </c>
      <c r="H65" s="12">
        <v>-0.7</v>
      </c>
      <c r="I65" s="12">
        <v>-0.3</v>
      </c>
      <c r="J65" s="12">
        <v>-0.04</v>
      </c>
      <c r="K65" s="12">
        <v>0.2</v>
      </c>
      <c r="L65" s="12">
        <v>-0.48</v>
      </c>
      <c r="M65"/>
      <c r="N65" s="27"/>
      <c r="O65" s="15"/>
      <c r="P65" s="27"/>
      <c r="Q65" s="15"/>
      <c r="R65" s="15"/>
      <c r="S65" s="54"/>
      <c r="T65" s="15"/>
      <c r="U65" s="15"/>
      <c r="V65" s="15"/>
      <c r="W65" s="15"/>
      <c r="X65" s="15"/>
      <c r="Y65" s="15"/>
      <c r="Z65" s="15"/>
      <c r="AA65" s="15"/>
    </row>
    <row r="66" spans="1:27" s="21" customFormat="1" x14ac:dyDescent="0.3">
      <c r="A66" s="17"/>
      <c r="B66"/>
      <c r="C66"/>
      <c r="D66"/>
      <c r="E66"/>
      <c r="F66" s="13" t="s">
        <v>738</v>
      </c>
      <c r="G66" s="13">
        <v>-1.99</v>
      </c>
      <c r="H66" s="12">
        <v>1.32</v>
      </c>
      <c r="I66" s="12">
        <v>-0.72</v>
      </c>
      <c r="J66" s="12">
        <v>1.1200000000000001</v>
      </c>
      <c r="K66" s="12">
        <v>-0.08</v>
      </c>
      <c r="L66" s="12">
        <v>-0.94</v>
      </c>
      <c r="M66"/>
      <c r="N66" s="27"/>
      <c r="O66" s="15"/>
      <c r="P66" s="27"/>
      <c r="Q66" s="15"/>
      <c r="R66" s="15"/>
      <c r="S66" s="54"/>
      <c r="T66" s="15"/>
      <c r="U66" s="15"/>
      <c r="V66" s="15"/>
      <c r="W66" s="15"/>
      <c r="X66" s="15"/>
      <c r="Y66" s="15"/>
      <c r="Z66" s="15"/>
      <c r="AA66" s="15"/>
    </row>
    <row r="67" spans="1:27" s="21" customFormat="1" x14ac:dyDescent="0.3">
      <c r="A67" s="17"/>
      <c r="B67"/>
      <c r="C67"/>
      <c r="D67"/>
      <c r="E67"/>
      <c r="F67" s="13" t="s">
        <v>739</v>
      </c>
      <c r="G67" s="13">
        <v>4.6399999999999997</v>
      </c>
      <c r="H67" s="12">
        <v>0.57999999999999996</v>
      </c>
      <c r="I67" s="12">
        <v>0.42</v>
      </c>
      <c r="J67" s="12">
        <v>1.48</v>
      </c>
      <c r="K67" s="12">
        <v>0.01</v>
      </c>
      <c r="L67" s="12">
        <v>0.54</v>
      </c>
      <c r="M67"/>
      <c r="N67" s="27"/>
      <c r="O67" s="15"/>
      <c r="P67" s="27"/>
      <c r="Q67" s="15"/>
      <c r="R67" s="15"/>
      <c r="S67" s="54"/>
      <c r="T67" s="15"/>
      <c r="U67" s="15"/>
      <c r="V67" s="15"/>
      <c r="W67" s="15"/>
      <c r="X67" s="15"/>
      <c r="Y67" s="15"/>
      <c r="Z67" s="15"/>
      <c r="AA67" s="15"/>
    </row>
    <row r="68" spans="1:27" s="21" customFormat="1" x14ac:dyDescent="0.3">
      <c r="A68" s="17"/>
      <c r="B68"/>
      <c r="C68"/>
      <c r="D68"/>
      <c r="E68"/>
      <c r="F68" s="13" t="s">
        <v>740</v>
      </c>
      <c r="G68" s="13">
        <v>-0.5</v>
      </c>
      <c r="H68" s="12">
        <v>1.6</v>
      </c>
      <c r="I68" s="12">
        <v>-0.56999999999999995</v>
      </c>
      <c r="J68" s="12">
        <v>-0.59</v>
      </c>
      <c r="K68" s="12">
        <v>-0.05</v>
      </c>
      <c r="L68" s="12">
        <v>1.32</v>
      </c>
      <c r="M68"/>
      <c r="N68" s="27"/>
      <c r="O68" s="15"/>
      <c r="P68" s="27"/>
      <c r="Q68" s="15"/>
      <c r="R68" s="15"/>
      <c r="S68" s="54"/>
      <c r="T68" s="15"/>
      <c r="U68" s="15"/>
      <c r="V68" s="15"/>
      <c r="W68" s="15"/>
      <c r="X68" s="15"/>
      <c r="Y68" s="15"/>
      <c r="Z68" s="15"/>
      <c r="AA68" s="15"/>
    </row>
    <row r="69" spans="1:27" s="21" customFormat="1" x14ac:dyDescent="0.3">
      <c r="A69" s="17"/>
      <c r="B69"/>
      <c r="C69"/>
      <c r="D69"/>
      <c r="E69"/>
      <c r="F69" s="13" t="s">
        <v>741</v>
      </c>
      <c r="G69" s="13">
        <v>3.13</v>
      </c>
      <c r="H69" s="12">
        <v>-0.85</v>
      </c>
      <c r="I69" s="12">
        <v>0.61</v>
      </c>
      <c r="J69" s="12">
        <v>-0.23</v>
      </c>
      <c r="K69" s="12">
        <v>0.8</v>
      </c>
      <c r="L69" s="12">
        <v>-0.73</v>
      </c>
      <c r="M69"/>
      <c r="N69" s="27"/>
      <c r="O69" s="15"/>
      <c r="P69" s="27"/>
      <c r="Q69" s="15"/>
      <c r="R69" s="15"/>
      <c r="S69" s="54"/>
      <c r="T69" s="15"/>
      <c r="U69" s="15"/>
      <c r="V69" s="15"/>
      <c r="W69" s="15"/>
      <c r="X69" s="15"/>
      <c r="Y69" s="15"/>
      <c r="Z69" s="15"/>
      <c r="AA69" s="15"/>
    </row>
    <row r="70" spans="1:27" s="21" customFormat="1" x14ac:dyDescent="0.3">
      <c r="A70" s="17"/>
      <c r="B70"/>
      <c r="C70"/>
      <c r="D70"/>
      <c r="E70"/>
      <c r="F70" s="13" t="s">
        <v>742</v>
      </c>
      <c r="G70" s="13">
        <v>3.88</v>
      </c>
      <c r="H70" s="12">
        <v>-0.4</v>
      </c>
      <c r="I70" s="12">
        <v>1.1200000000000001</v>
      </c>
      <c r="J70" s="12">
        <v>-0.19</v>
      </c>
      <c r="K70" s="12">
        <v>-0.05</v>
      </c>
      <c r="L70" s="12">
        <v>-1.27</v>
      </c>
      <c r="M70"/>
      <c r="N70" s="27"/>
      <c r="O70" s="15"/>
      <c r="P70" s="27"/>
      <c r="Q70" s="15"/>
      <c r="R70" s="15"/>
      <c r="S70" s="54"/>
      <c r="T70" s="15"/>
      <c r="U70" s="15"/>
      <c r="V70" s="15"/>
      <c r="W70" s="15"/>
      <c r="X70" s="15"/>
      <c r="Y70" s="15"/>
      <c r="Z70" s="15"/>
      <c r="AA70" s="15"/>
    </row>
    <row r="71" spans="1:27" s="21" customFormat="1" x14ac:dyDescent="0.3">
      <c r="A71" s="17"/>
      <c r="B71"/>
      <c r="C71"/>
      <c r="D71"/>
      <c r="E71"/>
      <c r="F71" s="13" t="s">
        <v>743</v>
      </c>
      <c r="G71" s="13">
        <v>3.97</v>
      </c>
      <c r="H71" s="12">
        <v>1.65</v>
      </c>
      <c r="I71" s="12">
        <v>2.36</v>
      </c>
      <c r="J71" s="12">
        <v>-1.55</v>
      </c>
      <c r="K71" s="12">
        <v>-0.43</v>
      </c>
      <c r="L71" s="12">
        <v>-0.74</v>
      </c>
      <c r="M71"/>
      <c r="N71" s="27"/>
      <c r="O71" s="15"/>
      <c r="P71" s="27"/>
      <c r="Q71" s="15"/>
      <c r="R71" s="15"/>
      <c r="S71" s="54"/>
      <c r="T71" s="15"/>
      <c r="U71" s="15"/>
      <c r="V71" s="15"/>
      <c r="W71" s="15"/>
      <c r="X71" s="15"/>
      <c r="Y71" s="15"/>
      <c r="Z71" s="15"/>
      <c r="AA71" s="15"/>
    </row>
    <row r="72" spans="1:27" s="21" customFormat="1" x14ac:dyDescent="0.3">
      <c r="A72" s="17"/>
      <c r="B72"/>
      <c r="C72"/>
      <c r="D72"/>
      <c r="E72"/>
      <c r="F72" s="13" t="s">
        <v>744</v>
      </c>
      <c r="G72" s="13">
        <v>1.52</v>
      </c>
      <c r="H72" s="12">
        <v>1.22</v>
      </c>
      <c r="I72" s="12">
        <v>-0.42</v>
      </c>
      <c r="J72" s="12">
        <v>0.06</v>
      </c>
      <c r="K72" s="12">
        <v>-0.45</v>
      </c>
      <c r="L72" s="12">
        <v>1.03</v>
      </c>
      <c r="M72"/>
      <c r="N72" s="27"/>
      <c r="O72" s="15"/>
      <c r="P72" s="27"/>
      <c r="Q72" s="15"/>
      <c r="R72" s="15"/>
      <c r="S72" s="54"/>
      <c r="T72" s="15"/>
      <c r="U72" s="15"/>
      <c r="V72" s="15"/>
      <c r="W72" s="15"/>
      <c r="X72" s="15"/>
      <c r="Y72" s="15"/>
      <c r="Z72" s="15"/>
      <c r="AA72" s="15"/>
    </row>
    <row r="73" spans="1:27" s="21" customFormat="1" x14ac:dyDescent="0.3">
      <c r="A73" s="17"/>
      <c r="B73"/>
      <c r="C73"/>
      <c r="D73"/>
      <c r="E73"/>
      <c r="F73" s="13" t="s">
        <v>745</v>
      </c>
      <c r="G73" s="13">
        <v>0.55000000000000004</v>
      </c>
      <c r="H73" s="12">
        <v>1.0900000000000001</v>
      </c>
      <c r="I73" s="12">
        <v>-0.82</v>
      </c>
      <c r="J73" s="12">
        <v>-0.25</v>
      </c>
      <c r="K73" s="12">
        <v>-0.49</v>
      </c>
      <c r="L73" s="12">
        <v>0.39</v>
      </c>
      <c r="M73"/>
      <c r="N73" s="27"/>
      <c r="O73" s="15"/>
      <c r="P73" s="27"/>
      <c r="Q73" s="15"/>
      <c r="R73" s="15"/>
      <c r="S73" s="54"/>
      <c r="T73" s="15"/>
      <c r="U73" s="15"/>
      <c r="V73" s="15"/>
      <c r="W73" s="15"/>
      <c r="X73" s="15"/>
      <c r="Y73" s="15"/>
      <c r="Z73" s="15"/>
      <c r="AA73" s="15"/>
    </row>
    <row r="74" spans="1:27" s="21" customFormat="1" x14ac:dyDescent="0.3">
      <c r="A74" s="17"/>
      <c r="B74"/>
      <c r="C74"/>
      <c r="D74"/>
      <c r="E74"/>
      <c r="F74" s="13" t="s">
        <v>746</v>
      </c>
      <c r="G74" s="13">
        <v>0.24</v>
      </c>
      <c r="H74" s="12">
        <v>-0.18</v>
      </c>
      <c r="I74" s="12">
        <v>-0.17</v>
      </c>
      <c r="J74" s="12">
        <v>-0.02</v>
      </c>
      <c r="K74" s="12">
        <v>0.11</v>
      </c>
      <c r="L74" s="12">
        <v>-0.49</v>
      </c>
      <c r="M74"/>
      <c r="N74" s="27"/>
      <c r="O74" s="15"/>
      <c r="P74" s="27"/>
      <c r="Q74" s="15"/>
      <c r="R74" s="15"/>
      <c r="S74" s="54"/>
      <c r="T74" s="15"/>
      <c r="U74" s="15"/>
      <c r="V74" s="15"/>
      <c r="W74" s="15"/>
      <c r="X74" s="15"/>
      <c r="Y74" s="15"/>
      <c r="Z74" s="15"/>
      <c r="AA74" s="15"/>
    </row>
    <row r="75" spans="1:27" s="21" customFormat="1" x14ac:dyDescent="0.3">
      <c r="A75" s="17"/>
      <c r="B75"/>
      <c r="C75"/>
      <c r="D75"/>
      <c r="E75"/>
      <c r="F75" s="13" t="s">
        <v>747</v>
      </c>
      <c r="G75" s="13">
        <v>0.49</v>
      </c>
      <c r="H75" s="12">
        <v>-0.33</v>
      </c>
      <c r="I75" s="12">
        <v>-0.76</v>
      </c>
      <c r="J75" s="12">
        <v>-0.23</v>
      </c>
      <c r="K75" s="12">
        <v>-0.46</v>
      </c>
      <c r="L75" s="12">
        <v>-0.23</v>
      </c>
      <c r="M75"/>
      <c r="N75" s="27"/>
      <c r="O75" s="15"/>
      <c r="P75" s="27"/>
      <c r="Q75" s="15"/>
      <c r="R75" s="15"/>
      <c r="S75" s="54"/>
      <c r="T75" s="15"/>
      <c r="U75" s="15"/>
      <c r="V75" s="15"/>
      <c r="W75" s="15"/>
      <c r="X75" s="15"/>
      <c r="Y75" s="15"/>
      <c r="Z75" s="15"/>
      <c r="AA75" s="15"/>
    </row>
    <row r="76" spans="1:27" s="21" customFormat="1" x14ac:dyDescent="0.3">
      <c r="A76" s="17"/>
      <c r="B76"/>
      <c r="C76"/>
      <c r="D76"/>
      <c r="E76"/>
      <c r="F76" s="13" t="s">
        <v>748</v>
      </c>
      <c r="G76" s="13">
        <v>1.84</v>
      </c>
      <c r="H76" s="12">
        <v>1.07</v>
      </c>
      <c r="I76" s="12">
        <v>0.82</v>
      </c>
      <c r="J76" s="12">
        <v>-0.34</v>
      </c>
      <c r="K76" s="12">
        <v>-0.53</v>
      </c>
      <c r="L76" s="12">
        <v>0.13</v>
      </c>
      <c r="M76"/>
      <c r="N76" s="27"/>
      <c r="O76" s="15"/>
      <c r="P76" s="27"/>
      <c r="Q76" s="15"/>
      <c r="R76" s="15"/>
      <c r="S76" s="54"/>
      <c r="T76" s="15"/>
      <c r="U76" s="15"/>
      <c r="V76" s="15"/>
      <c r="W76" s="15"/>
      <c r="X76" s="15"/>
      <c r="Y76" s="15"/>
      <c r="Z76" s="15"/>
      <c r="AA76" s="15"/>
    </row>
    <row r="77" spans="1:27" s="21" customFormat="1" x14ac:dyDescent="0.3">
      <c r="A77" s="17"/>
      <c r="B77"/>
      <c r="C77"/>
      <c r="D77"/>
      <c r="E77"/>
      <c r="F77" s="13" t="s">
        <v>749</v>
      </c>
      <c r="G77" s="13">
        <v>4.34</v>
      </c>
      <c r="H77" s="12">
        <v>-0.31</v>
      </c>
      <c r="I77" s="12">
        <v>0.67</v>
      </c>
      <c r="J77" s="12">
        <v>-0.06</v>
      </c>
      <c r="K77" s="12">
        <v>-0.11</v>
      </c>
      <c r="L77" s="12">
        <v>-0.37</v>
      </c>
      <c r="M77"/>
      <c r="N77" s="27"/>
      <c r="O77" s="15"/>
      <c r="P77" s="27"/>
      <c r="Q77" s="15"/>
      <c r="R77" s="15"/>
      <c r="S77" s="54"/>
      <c r="T77" s="15"/>
      <c r="U77" s="15"/>
      <c r="V77" s="15"/>
      <c r="W77" s="15"/>
      <c r="X77" s="15"/>
      <c r="Y77" s="15"/>
      <c r="Z77" s="15"/>
      <c r="AA77" s="15"/>
    </row>
    <row r="78" spans="1:27" s="21" customFormat="1" x14ac:dyDescent="0.3">
      <c r="A78" s="17"/>
      <c r="B78"/>
      <c r="C78"/>
      <c r="D78"/>
      <c r="E78"/>
      <c r="F78" s="13" t="s">
        <v>750</v>
      </c>
      <c r="G78" s="13">
        <v>2.34</v>
      </c>
      <c r="H78" s="12">
        <v>-1.1399999999999999</v>
      </c>
      <c r="I78" s="12">
        <v>1.01</v>
      </c>
      <c r="J78" s="12">
        <v>-0.09</v>
      </c>
      <c r="K78" s="12">
        <v>-0.39</v>
      </c>
      <c r="L78" s="12">
        <v>7.0000000000000007E-2</v>
      </c>
      <c r="M78"/>
      <c r="N78" s="27"/>
      <c r="O78" s="15"/>
      <c r="P78" s="27"/>
      <c r="Q78" s="15"/>
      <c r="R78" s="15"/>
      <c r="S78" s="54"/>
      <c r="T78" s="15"/>
      <c r="U78" s="15"/>
      <c r="V78" s="15"/>
      <c r="W78" s="15"/>
      <c r="X78" s="15"/>
      <c r="Y78" s="15"/>
      <c r="Z78" s="15"/>
      <c r="AA78" s="15"/>
    </row>
    <row r="79" spans="1:27" s="21" customFormat="1" x14ac:dyDescent="0.3">
      <c r="A79" s="17"/>
      <c r="B79"/>
      <c r="C79"/>
      <c r="D79"/>
      <c r="E79"/>
      <c r="F79" s="13" t="s">
        <v>751</v>
      </c>
      <c r="G79" s="13">
        <v>2.82</v>
      </c>
      <c r="H79" s="12">
        <v>0.64</v>
      </c>
      <c r="I79" s="12">
        <v>-0.28999999999999998</v>
      </c>
      <c r="J79" s="12">
        <v>-0.11</v>
      </c>
      <c r="K79" s="12">
        <v>-0.09</v>
      </c>
      <c r="L79" s="12">
        <v>0.44</v>
      </c>
      <c r="M79"/>
      <c r="N79" s="27"/>
      <c r="O79" s="15"/>
      <c r="P79" s="27"/>
      <c r="Q79" s="15"/>
      <c r="R79" s="15"/>
      <c r="S79" s="54"/>
      <c r="T79" s="15"/>
      <c r="U79" s="15"/>
      <c r="V79" s="15"/>
      <c r="W79" s="15"/>
      <c r="X79" s="15"/>
      <c r="Y79" s="15"/>
      <c r="Z79" s="15"/>
      <c r="AA79" s="15"/>
    </row>
    <row r="80" spans="1:27" s="21" customFormat="1" x14ac:dyDescent="0.3">
      <c r="A80" s="17"/>
      <c r="B80"/>
      <c r="C80"/>
      <c r="D80"/>
      <c r="E80"/>
      <c r="F80" s="13" t="s">
        <v>752</v>
      </c>
      <c r="G80" s="13">
        <v>-6.79</v>
      </c>
      <c r="H80" s="12">
        <v>0.09</v>
      </c>
      <c r="I80" s="12">
        <v>-0.77</v>
      </c>
      <c r="J80" s="12">
        <v>0.01</v>
      </c>
      <c r="K80" s="12">
        <v>-0.05</v>
      </c>
      <c r="L80" s="12">
        <v>-0.08</v>
      </c>
      <c r="M80"/>
      <c r="N80" s="27"/>
      <c r="O80" s="15"/>
      <c r="P80" s="27"/>
      <c r="Q80" s="15"/>
      <c r="R80" s="15"/>
      <c r="S80" s="54"/>
      <c r="T80" s="15"/>
      <c r="U80" s="15"/>
      <c r="V80" s="15"/>
      <c r="W80" s="15"/>
      <c r="X80" s="15"/>
      <c r="Y80" s="15"/>
      <c r="Z80" s="15"/>
      <c r="AA80" s="15"/>
    </row>
    <row r="81" spans="1:27" s="21" customFormat="1" x14ac:dyDescent="0.3">
      <c r="A81" s="17"/>
      <c r="B81"/>
      <c r="C81"/>
      <c r="D81"/>
      <c r="E81"/>
      <c r="F81" s="13" t="s">
        <v>753</v>
      </c>
      <c r="G81" s="13">
        <v>-1.61</v>
      </c>
      <c r="H81" s="12">
        <v>-1.19</v>
      </c>
      <c r="I81" s="12">
        <v>1.06</v>
      </c>
      <c r="J81" s="12">
        <v>7.0000000000000007E-2</v>
      </c>
      <c r="K81" s="12">
        <v>0.35</v>
      </c>
      <c r="L81" s="12">
        <v>3.87</v>
      </c>
      <c r="M81"/>
      <c r="N81" s="27"/>
      <c r="O81" s="15"/>
      <c r="P81" s="27"/>
      <c r="Q81" s="15"/>
      <c r="R81" s="15"/>
      <c r="S81" s="54"/>
      <c r="T81" s="15"/>
      <c r="U81" s="15"/>
      <c r="V81" s="15"/>
      <c r="W81" s="15"/>
      <c r="X81" s="15"/>
      <c r="Y81" s="15"/>
      <c r="Z81" s="15"/>
      <c r="AA81" s="15"/>
    </row>
    <row r="82" spans="1:27" s="21" customFormat="1" x14ac:dyDescent="0.3">
      <c r="A82" s="17"/>
      <c r="B82"/>
      <c r="C82"/>
      <c r="D82"/>
      <c r="E82"/>
      <c r="F82" s="13" t="s">
        <v>754</v>
      </c>
      <c r="G82" s="13">
        <v>4.8899999999999997</v>
      </c>
      <c r="H82" s="12">
        <v>0.69</v>
      </c>
      <c r="I82" s="12">
        <v>-0.9</v>
      </c>
      <c r="J82" s="12">
        <v>-0.13</v>
      </c>
      <c r="K82" s="12">
        <v>-0.17</v>
      </c>
      <c r="L82" s="12">
        <v>0.06</v>
      </c>
      <c r="M82"/>
      <c r="N82" s="27"/>
      <c r="O82" s="15"/>
      <c r="P82" s="27"/>
      <c r="Q82" s="15"/>
      <c r="R82" s="15"/>
      <c r="S82" s="54"/>
      <c r="T82" s="15"/>
      <c r="U82" s="15"/>
      <c r="V82" s="15"/>
      <c r="W82" s="15"/>
      <c r="X82" s="15"/>
      <c r="Y82" s="15"/>
      <c r="Z82" s="15"/>
      <c r="AA82" s="15"/>
    </row>
    <row r="83" spans="1:27" s="21" customFormat="1" x14ac:dyDescent="0.3">
      <c r="A83" s="17"/>
      <c r="B83"/>
      <c r="C83"/>
      <c r="D83"/>
      <c r="E83"/>
      <c r="F83" s="13" t="s">
        <v>755</v>
      </c>
      <c r="G83" s="13">
        <v>0.33</v>
      </c>
      <c r="H83" s="12">
        <v>1.92</v>
      </c>
      <c r="I83" s="12">
        <v>-0.9</v>
      </c>
      <c r="J83" s="12">
        <v>-1.94</v>
      </c>
      <c r="K83" s="12">
        <v>-0.28000000000000003</v>
      </c>
      <c r="L83" s="12">
        <v>0.12</v>
      </c>
      <c r="M83"/>
      <c r="N83" s="27"/>
      <c r="O83" s="15"/>
      <c r="P83" s="27"/>
      <c r="Q83" s="15"/>
      <c r="R83" s="15"/>
      <c r="S83" s="54"/>
      <c r="T83" s="15"/>
      <c r="U83" s="15"/>
      <c r="V83" s="15"/>
      <c r="W83" s="15"/>
      <c r="X83" s="15"/>
      <c r="Y83" s="15"/>
      <c r="Z83" s="15"/>
      <c r="AA83" s="15"/>
    </row>
    <row r="84" spans="1:27" s="21" customFormat="1" x14ac:dyDescent="0.3">
      <c r="A84" s="17"/>
      <c r="B84"/>
      <c r="C84"/>
      <c r="D84"/>
      <c r="E84"/>
      <c r="F84" s="13" t="s">
        <v>756</v>
      </c>
      <c r="G84" s="13">
        <v>2.1</v>
      </c>
      <c r="H84" s="12">
        <v>-1.76</v>
      </c>
      <c r="I84" s="12">
        <v>-0.34</v>
      </c>
      <c r="J84" s="12">
        <v>-0.08</v>
      </c>
      <c r="K84" s="12">
        <v>0.43</v>
      </c>
      <c r="L84" s="12">
        <v>-0.36</v>
      </c>
      <c r="M84"/>
      <c r="N84" s="27"/>
      <c r="O84" s="15"/>
      <c r="P84" s="27"/>
      <c r="Q84" s="15"/>
      <c r="R84" s="15"/>
      <c r="S84" s="54"/>
      <c r="T84" s="15"/>
      <c r="U84" s="15"/>
      <c r="V84" s="15"/>
      <c r="W84" s="15"/>
      <c r="X84" s="15"/>
      <c r="Y84" s="15"/>
      <c r="Z84" s="15"/>
      <c r="AA84" s="15"/>
    </row>
    <row r="85" spans="1:27" s="21" customFormat="1" x14ac:dyDescent="0.3">
      <c r="A85" s="17"/>
      <c r="B85"/>
      <c r="C85"/>
      <c r="D85"/>
      <c r="E85"/>
      <c r="F85" s="13" t="s">
        <v>757</v>
      </c>
      <c r="G85" s="13">
        <v>1.65</v>
      </c>
      <c r="H85" s="12">
        <v>-1.98</v>
      </c>
      <c r="I85" s="12">
        <v>-1.53</v>
      </c>
      <c r="J85" s="12">
        <v>-0.28000000000000003</v>
      </c>
      <c r="K85" s="12">
        <v>1.1100000000000001</v>
      </c>
      <c r="L85" s="12">
        <v>-0.41</v>
      </c>
      <c r="M85"/>
      <c r="N85" s="27"/>
      <c r="O85" s="15"/>
      <c r="P85" s="27"/>
      <c r="Q85" s="15"/>
      <c r="R85" s="15"/>
      <c r="S85" s="54"/>
      <c r="T85" s="15"/>
      <c r="U85" s="15"/>
      <c r="V85" s="15"/>
      <c r="W85" s="15"/>
      <c r="X85" s="15"/>
      <c r="Y85" s="15"/>
      <c r="Z85" s="15"/>
      <c r="AA85" s="15"/>
    </row>
    <row r="86" spans="1:27" s="21" customFormat="1" x14ac:dyDescent="0.3">
      <c r="A86" s="17"/>
      <c r="B86"/>
      <c r="C86"/>
      <c r="D86"/>
      <c r="E86"/>
      <c r="F86" s="13" t="s">
        <v>758</v>
      </c>
      <c r="G86" s="13">
        <v>2.93</v>
      </c>
      <c r="H86" s="12">
        <v>0.33</v>
      </c>
      <c r="I86" s="12">
        <v>-0.45</v>
      </c>
      <c r="J86" s="12">
        <v>-0.16</v>
      </c>
      <c r="K86" s="12">
        <v>-0.48</v>
      </c>
      <c r="L86" s="12">
        <v>-0.78</v>
      </c>
      <c r="M86"/>
      <c r="N86" s="27"/>
      <c r="O86" s="15"/>
      <c r="P86" s="27"/>
      <c r="Q86" s="15"/>
      <c r="R86" s="15"/>
      <c r="S86" s="54"/>
      <c r="T86" s="15"/>
      <c r="U86" s="15"/>
      <c r="V86" s="15"/>
      <c r="W86" s="15"/>
      <c r="X86" s="15"/>
      <c r="Y86" s="15"/>
      <c r="Z86" s="15"/>
      <c r="AA86" s="15"/>
    </row>
    <row r="87" spans="1:27" s="21" customFormat="1" x14ac:dyDescent="0.3">
      <c r="A87" s="17"/>
      <c r="B87"/>
      <c r="C87"/>
      <c r="D87"/>
      <c r="E87"/>
      <c r="F87" s="13" t="s">
        <v>759</v>
      </c>
      <c r="G87" s="13">
        <v>1.66</v>
      </c>
      <c r="H87" s="12">
        <v>-1.4</v>
      </c>
      <c r="I87" s="12">
        <v>-0.39</v>
      </c>
      <c r="J87" s="12">
        <v>-0.13</v>
      </c>
      <c r="K87" s="12">
        <v>-0.9</v>
      </c>
      <c r="L87" s="12">
        <v>-0.11</v>
      </c>
      <c r="M87"/>
      <c r="N87" s="27"/>
      <c r="O87" s="15"/>
      <c r="P87" s="27"/>
      <c r="Q87" s="15"/>
      <c r="R87" s="15"/>
      <c r="S87" s="54"/>
      <c r="T87" s="15"/>
      <c r="U87" s="15"/>
      <c r="V87" s="15"/>
      <c r="W87" s="15"/>
      <c r="X87" s="15"/>
      <c r="Y87" s="15"/>
      <c r="Z87" s="15"/>
      <c r="AA87" s="15"/>
    </row>
    <row r="88" spans="1:27" s="21" customFormat="1" x14ac:dyDescent="0.3">
      <c r="A88" s="17"/>
      <c r="B88"/>
      <c r="C88"/>
      <c r="D88"/>
      <c r="E88"/>
      <c r="F88" s="13" t="s">
        <v>760</v>
      </c>
      <c r="G88" s="13">
        <v>1.1599999999999999</v>
      </c>
      <c r="H88" s="12">
        <v>1</v>
      </c>
      <c r="I88" s="12">
        <v>-0.28999999999999998</v>
      </c>
      <c r="J88" s="12">
        <v>2.23</v>
      </c>
      <c r="K88" s="12">
        <v>-0.3</v>
      </c>
      <c r="L88" s="12">
        <v>0.13</v>
      </c>
      <c r="M88"/>
      <c r="N88" s="27"/>
      <c r="O88" s="15"/>
      <c r="P88" s="27"/>
      <c r="Q88" s="15"/>
      <c r="R88" s="15"/>
      <c r="S88" s="54"/>
      <c r="T88" s="15"/>
      <c r="U88" s="15"/>
      <c r="V88" s="15"/>
      <c r="W88" s="15"/>
      <c r="X88" s="15"/>
      <c r="Y88" s="15"/>
      <c r="Z88" s="15"/>
      <c r="AA88" s="15"/>
    </row>
    <row r="89" spans="1:27" s="21" customFormat="1" x14ac:dyDescent="0.3">
      <c r="A89" s="17"/>
      <c r="B89"/>
      <c r="C89"/>
      <c r="D89"/>
      <c r="E89"/>
      <c r="F89" s="13" t="s">
        <v>761</v>
      </c>
      <c r="G89" s="13">
        <v>3.07</v>
      </c>
      <c r="H89" s="12">
        <v>-1.01</v>
      </c>
      <c r="I89" s="12">
        <v>2.34</v>
      </c>
      <c r="J89" s="12">
        <v>-1.52</v>
      </c>
      <c r="K89" s="12">
        <v>-0.18</v>
      </c>
      <c r="L89" s="12">
        <v>-0.59</v>
      </c>
      <c r="M89"/>
      <c r="N89" s="27"/>
      <c r="O89" s="15"/>
      <c r="P89" s="27"/>
      <c r="Q89" s="15"/>
      <c r="R89" s="15"/>
      <c r="S89" s="54"/>
      <c r="T89" s="15"/>
      <c r="U89" s="15"/>
      <c r="V89" s="15"/>
      <c r="W89" s="15"/>
      <c r="X89" s="15"/>
      <c r="Y89" s="15"/>
      <c r="Z89" s="15"/>
      <c r="AA89" s="15"/>
    </row>
    <row r="90" spans="1:27" s="21" customFormat="1" x14ac:dyDescent="0.3">
      <c r="A90" s="17"/>
      <c r="B90"/>
      <c r="C90"/>
      <c r="D90"/>
      <c r="E90"/>
      <c r="F90" s="13" t="s">
        <v>762</v>
      </c>
      <c r="G90" s="13">
        <v>2.98</v>
      </c>
      <c r="H90" s="12">
        <v>0.32</v>
      </c>
      <c r="I90" s="12">
        <v>-0.6</v>
      </c>
      <c r="J90" s="12">
        <v>-0.08</v>
      </c>
      <c r="K90" s="12">
        <v>-0.53</v>
      </c>
      <c r="L90" s="12">
        <v>-0.18</v>
      </c>
      <c r="M90"/>
      <c r="N90" s="27"/>
      <c r="O90" s="15"/>
      <c r="P90" s="27"/>
      <c r="Q90" s="15"/>
      <c r="R90" s="15"/>
      <c r="S90" s="54"/>
      <c r="T90" s="15"/>
      <c r="U90" s="15"/>
      <c r="V90" s="15"/>
      <c r="W90" s="15"/>
      <c r="X90" s="15"/>
      <c r="Y90" s="15"/>
      <c r="Z90" s="15"/>
      <c r="AA90" s="15"/>
    </row>
    <row r="91" spans="1:27" s="21" customFormat="1" x14ac:dyDescent="0.3">
      <c r="A91" s="17"/>
      <c r="B91"/>
      <c r="C91"/>
      <c r="D91"/>
      <c r="E91"/>
      <c r="F91" s="13" t="s">
        <v>763</v>
      </c>
      <c r="G91" s="13">
        <v>-1.1399999999999999</v>
      </c>
      <c r="H91" s="12">
        <v>0.22</v>
      </c>
      <c r="I91" s="12">
        <v>-0.45</v>
      </c>
      <c r="J91" s="12">
        <v>-0.18</v>
      </c>
      <c r="K91" s="12">
        <v>0.06</v>
      </c>
      <c r="L91" s="12">
        <v>-0.84</v>
      </c>
      <c r="M91"/>
      <c r="N91" s="27"/>
      <c r="O91" s="15"/>
      <c r="P91" s="27"/>
      <c r="Q91" s="15"/>
      <c r="R91" s="15"/>
      <c r="S91" s="54"/>
      <c r="T91" s="15"/>
      <c r="U91" s="15"/>
      <c r="V91" s="15"/>
      <c r="W91" s="15"/>
      <c r="X91" s="15"/>
      <c r="Y91" s="15"/>
      <c r="Z91" s="15"/>
      <c r="AA91" s="15"/>
    </row>
    <row r="92" spans="1:27" s="21" customFormat="1" x14ac:dyDescent="0.3">
      <c r="A92" s="17"/>
      <c r="B92"/>
      <c r="C92"/>
      <c r="D92"/>
      <c r="E92"/>
      <c r="F92" s="13" t="s">
        <v>764</v>
      </c>
      <c r="G92" s="13">
        <v>5.47</v>
      </c>
      <c r="H92" s="12">
        <v>-0.34</v>
      </c>
      <c r="I92" s="12">
        <v>0.15</v>
      </c>
      <c r="J92" s="12">
        <v>0</v>
      </c>
      <c r="K92" s="12">
        <v>0.28000000000000003</v>
      </c>
      <c r="L92" s="12">
        <v>-0.37</v>
      </c>
      <c r="M92"/>
      <c r="N92" s="27"/>
      <c r="O92" s="15"/>
      <c r="P92" s="27"/>
      <c r="Q92" s="15"/>
      <c r="R92" s="15"/>
      <c r="S92" s="54"/>
      <c r="T92" s="15"/>
      <c r="U92" s="15"/>
      <c r="V92" s="15"/>
      <c r="W92" s="15"/>
      <c r="X92" s="15"/>
      <c r="Y92" s="15"/>
      <c r="Z92" s="15"/>
      <c r="AA92" s="15"/>
    </row>
    <row r="93" spans="1:27" s="21" customFormat="1" x14ac:dyDescent="0.3">
      <c r="A93" s="17"/>
      <c r="B93"/>
      <c r="C93"/>
      <c r="D93"/>
      <c r="E93"/>
      <c r="F93" s="13" t="s">
        <v>765</v>
      </c>
      <c r="G93" s="13">
        <v>3.37</v>
      </c>
      <c r="H93" s="12">
        <v>-0.36</v>
      </c>
      <c r="I93" s="12">
        <v>1.83</v>
      </c>
      <c r="J93" s="12">
        <v>1.27</v>
      </c>
      <c r="K93" s="12">
        <v>0.74</v>
      </c>
      <c r="L93" s="12">
        <v>-0.71</v>
      </c>
      <c r="M93"/>
      <c r="N93" s="27"/>
      <c r="O93" s="15"/>
      <c r="P93" s="27"/>
      <c r="Q93" s="15"/>
      <c r="R93" s="15"/>
      <c r="S93" s="54"/>
      <c r="T93" s="15"/>
      <c r="U93" s="15"/>
      <c r="V93" s="15"/>
      <c r="W93" s="15"/>
      <c r="X93" s="15"/>
      <c r="Y93" s="15"/>
      <c r="Z93" s="15"/>
      <c r="AA93" s="15"/>
    </row>
    <row r="94" spans="1:27" s="21" customFormat="1" x14ac:dyDescent="0.3">
      <c r="A94" s="17"/>
      <c r="B94"/>
      <c r="C94"/>
      <c r="D94"/>
      <c r="E94"/>
      <c r="F94" s="13" t="s">
        <v>766</v>
      </c>
      <c r="G94" s="13">
        <v>4.08</v>
      </c>
      <c r="H94" s="12">
        <v>0.16</v>
      </c>
      <c r="I94" s="12">
        <v>0.89</v>
      </c>
      <c r="J94" s="12">
        <v>0.32</v>
      </c>
      <c r="K94" s="12">
        <v>-0.53</v>
      </c>
      <c r="L94" s="12">
        <v>0.23</v>
      </c>
      <c r="M94"/>
      <c r="N94" s="27"/>
      <c r="O94" s="15"/>
      <c r="P94" s="27"/>
      <c r="Q94" s="15"/>
      <c r="R94" s="15"/>
      <c r="S94" s="54"/>
      <c r="T94" s="15"/>
      <c r="U94" s="15"/>
      <c r="V94" s="15"/>
      <c r="W94" s="15"/>
      <c r="X94" s="15"/>
      <c r="Y94" s="15"/>
      <c r="Z94" s="15"/>
      <c r="AA94" s="15"/>
    </row>
    <row r="95" spans="1:27" s="21" customFormat="1" x14ac:dyDescent="0.3">
      <c r="A95" s="17"/>
      <c r="B95"/>
      <c r="C95"/>
      <c r="D95"/>
      <c r="E95"/>
      <c r="F95" s="13" t="s">
        <v>767</v>
      </c>
      <c r="G95" s="13">
        <v>1.04</v>
      </c>
      <c r="H95" s="12">
        <v>-0.53</v>
      </c>
      <c r="I95" s="12">
        <v>0.92</v>
      </c>
      <c r="J95" s="12">
        <v>-0.28000000000000003</v>
      </c>
      <c r="K95" s="12">
        <v>-0.56999999999999995</v>
      </c>
      <c r="L95" s="12">
        <v>0.5</v>
      </c>
      <c r="M95"/>
      <c r="N95" s="27"/>
      <c r="O95" s="15"/>
      <c r="P95" s="27"/>
      <c r="Q95" s="15"/>
      <c r="R95" s="15"/>
      <c r="S95" s="54"/>
      <c r="T95" s="15"/>
      <c r="U95" s="15"/>
      <c r="V95" s="15"/>
      <c r="W95" s="15"/>
      <c r="X95" s="15"/>
      <c r="Y95" s="15"/>
      <c r="Z95" s="15"/>
      <c r="AA95" s="15"/>
    </row>
    <row r="96" spans="1:27" s="21" customFormat="1" x14ac:dyDescent="0.3">
      <c r="A96" s="17"/>
      <c r="B96"/>
      <c r="C96"/>
      <c r="D96"/>
      <c r="E96"/>
      <c r="F96" s="13" t="s">
        <v>768</v>
      </c>
      <c r="G96" s="13">
        <v>-0.65</v>
      </c>
      <c r="H96" s="12">
        <v>-1.8</v>
      </c>
      <c r="I96" s="12">
        <v>2.64</v>
      </c>
      <c r="J96" s="12">
        <v>0.96</v>
      </c>
      <c r="K96" s="12">
        <v>-0.09</v>
      </c>
      <c r="L96" s="12">
        <v>0.88</v>
      </c>
      <c r="M96"/>
      <c r="N96" s="27"/>
      <c r="O96" s="15"/>
      <c r="P96" s="27"/>
      <c r="Q96" s="15"/>
      <c r="R96" s="15"/>
      <c r="S96" s="54"/>
      <c r="T96" s="15"/>
      <c r="U96" s="15"/>
      <c r="V96" s="15"/>
      <c r="W96" s="15"/>
      <c r="X96" s="15"/>
      <c r="Y96" s="15"/>
      <c r="Z96" s="15"/>
      <c r="AA96" s="15"/>
    </row>
    <row r="97" spans="1:27" s="21" customFormat="1" x14ac:dyDescent="0.3">
      <c r="A97" s="17"/>
      <c r="B97"/>
      <c r="C97"/>
      <c r="D97"/>
      <c r="E97"/>
      <c r="F97" s="13" t="s">
        <v>769</v>
      </c>
      <c r="G97" s="13">
        <v>-2.97</v>
      </c>
      <c r="H97" s="12">
        <v>-0.17</v>
      </c>
      <c r="I97" s="12">
        <v>-1.48</v>
      </c>
      <c r="J97" s="12">
        <v>-0.54</v>
      </c>
      <c r="K97" s="12">
        <v>0.08</v>
      </c>
      <c r="L97" s="12">
        <v>1.59</v>
      </c>
      <c r="M97"/>
      <c r="N97" s="27"/>
      <c r="O97" s="15"/>
      <c r="P97" s="27"/>
      <c r="Q97" s="15"/>
      <c r="R97" s="15"/>
      <c r="S97" s="54"/>
      <c r="T97" s="15"/>
      <c r="U97" s="15"/>
      <c r="V97" s="15"/>
      <c r="W97" s="15"/>
      <c r="X97" s="15"/>
      <c r="Y97" s="15"/>
      <c r="Z97" s="15"/>
      <c r="AA97" s="15"/>
    </row>
    <row r="98" spans="1:27" s="21" customFormat="1" x14ac:dyDescent="0.3">
      <c r="A98" s="17"/>
      <c r="B98"/>
      <c r="C98"/>
      <c r="D98"/>
      <c r="E98"/>
      <c r="F98" s="13" t="s">
        <v>770</v>
      </c>
      <c r="G98" s="13">
        <v>5.04</v>
      </c>
      <c r="H98" s="12">
        <v>-1.3</v>
      </c>
      <c r="I98" s="12">
        <v>3.93</v>
      </c>
      <c r="J98" s="12">
        <v>-0.35</v>
      </c>
      <c r="K98" s="12">
        <v>0.42</v>
      </c>
      <c r="L98" s="12">
        <v>-0.8</v>
      </c>
      <c r="M98"/>
      <c r="N98" s="27"/>
      <c r="O98" s="15"/>
      <c r="P98" s="27"/>
      <c r="Q98" s="15"/>
      <c r="R98" s="15"/>
      <c r="S98" s="54"/>
      <c r="T98" s="15"/>
      <c r="U98" s="15"/>
      <c r="V98" s="15"/>
      <c r="W98" s="15"/>
      <c r="X98" s="15"/>
      <c r="Y98" s="15"/>
      <c r="Z98" s="15"/>
      <c r="AA98" s="15"/>
    </row>
    <row r="99" spans="1:27" s="21" customFormat="1" x14ac:dyDescent="0.3">
      <c r="A99" s="17"/>
      <c r="B99"/>
      <c r="C99"/>
      <c r="D99"/>
      <c r="E99"/>
      <c r="F99" s="13" t="s">
        <v>771</v>
      </c>
      <c r="G99" s="13">
        <v>1.08</v>
      </c>
      <c r="H99" s="12">
        <v>1.38</v>
      </c>
      <c r="I99" s="12">
        <v>-0.42</v>
      </c>
      <c r="J99" s="12">
        <v>-0.03</v>
      </c>
      <c r="K99" s="12">
        <v>-0.12</v>
      </c>
      <c r="L99" s="12">
        <v>1.35</v>
      </c>
      <c r="M99"/>
      <c r="N99" s="27"/>
      <c r="O99" s="15"/>
      <c r="P99" s="27"/>
      <c r="Q99" s="15"/>
      <c r="R99" s="15"/>
      <c r="S99" s="54"/>
      <c r="T99" s="15"/>
      <c r="U99" s="15"/>
      <c r="V99" s="15"/>
      <c r="W99" s="15"/>
      <c r="X99" s="15"/>
      <c r="Y99" s="15"/>
      <c r="Z99" s="15"/>
      <c r="AA99" s="15"/>
    </row>
    <row r="100" spans="1:27" s="21" customFormat="1" x14ac:dyDescent="0.3">
      <c r="A100" s="17"/>
      <c r="B100"/>
      <c r="C100"/>
      <c r="D100"/>
      <c r="E100"/>
      <c r="F100" s="13" t="s">
        <v>772</v>
      </c>
      <c r="G100" s="13">
        <v>-5.05</v>
      </c>
      <c r="H100" s="12">
        <v>-0.85</v>
      </c>
      <c r="I100" s="12">
        <v>-0.94</v>
      </c>
      <c r="J100" s="12">
        <v>-0.02</v>
      </c>
      <c r="K100" s="12">
        <v>0.38</v>
      </c>
      <c r="L100" s="12">
        <v>-0.12</v>
      </c>
      <c r="M100"/>
      <c r="N100" s="27"/>
      <c r="O100" s="15"/>
      <c r="P100" s="27"/>
      <c r="Q100" s="15"/>
      <c r="R100" s="15"/>
      <c r="S100" s="54"/>
      <c r="T100" s="15"/>
      <c r="U100" s="15"/>
      <c r="V100" s="15"/>
      <c r="W100" s="15"/>
      <c r="X100" s="15"/>
      <c r="Y100" s="15"/>
      <c r="Z100" s="15"/>
      <c r="AA100" s="15"/>
    </row>
    <row r="101" spans="1:27" s="21" customFormat="1" x14ac:dyDescent="0.3">
      <c r="A101" s="17"/>
      <c r="B101"/>
      <c r="C101"/>
      <c r="D101"/>
      <c r="E101"/>
      <c r="F101" s="13" t="s">
        <v>773</v>
      </c>
      <c r="G101" s="13">
        <v>1.96</v>
      </c>
      <c r="H101" s="12">
        <v>-1.71</v>
      </c>
      <c r="I101" s="12">
        <v>0.68</v>
      </c>
      <c r="J101" s="12">
        <v>0.13</v>
      </c>
      <c r="K101" s="12">
        <v>-1.06</v>
      </c>
      <c r="L101" s="12">
        <v>0.14000000000000001</v>
      </c>
      <c r="M101"/>
      <c r="N101" s="27"/>
      <c r="O101" s="15"/>
      <c r="P101" s="27"/>
      <c r="Q101" s="15"/>
      <c r="R101" s="15"/>
      <c r="S101" s="54"/>
      <c r="T101" s="15"/>
      <c r="U101" s="15"/>
      <c r="V101" s="15"/>
      <c r="W101" s="15"/>
      <c r="X101" s="15"/>
      <c r="Y101" s="15"/>
      <c r="Z101" s="15"/>
      <c r="AA101" s="15"/>
    </row>
    <row r="102" spans="1:27" s="21" customFormat="1" x14ac:dyDescent="0.3">
      <c r="A102" s="17"/>
      <c r="B102"/>
      <c r="C102"/>
      <c r="D102"/>
      <c r="E102"/>
      <c r="F102" s="13" t="s">
        <v>774</v>
      </c>
      <c r="G102" s="13">
        <v>-0.38</v>
      </c>
      <c r="H102" s="12">
        <v>-0.85</v>
      </c>
      <c r="I102" s="12">
        <v>0.18</v>
      </c>
      <c r="J102" s="12">
        <v>-0.33</v>
      </c>
      <c r="K102" s="12">
        <v>1.49</v>
      </c>
      <c r="L102" s="12">
        <v>-1.75</v>
      </c>
      <c r="M102"/>
      <c r="N102" s="27"/>
      <c r="O102" s="15"/>
      <c r="P102" s="27"/>
      <c r="Q102" s="15"/>
      <c r="R102" s="15"/>
      <c r="S102" s="54"/>
      <c r="T102" s="15"/>
      <c r="U102" s="15"/>
      <c r="V102" s="15"/>
      <c r="W102" s="15"/>
      <c r="X102" s="15"/>
      <c r="Y102" s="15"/>
      <c r="Z102" s="15"/>
      <c r="AA102" s="15"/>
    </row>
    <row r="103" spans="1:27" s="21" customFormat="1" x14ac:dyDescent="0.3">
      <c r="A103" s="17"/>
      <c r="B103"/>
      <c r="C103"/>
      <c r="D103"/>
      <c r="E103"/>
      <c r="F103" s="13" t="s">
        <v>775</v>
      </c>
      <c r="G103" s="13">
        <v>3.18</v>
      </c>
      <c r="H103" s="12">
        <v>-0.1</v>
      </c>
      <c r="I103" s="12">
        <v>1.21</v>
      </c>
      <c r="J103" s="12">
        <v>0.02</v>
      </c>
      <c r="K103" s="12">
        <v>-0.46</v>
      </c>
      <c r="L103" s="12">
        <v>-0.39</v>
      </c>
      <c r="M103"/>
      <c r="N103" s="27"/>
      <c r="O103" s="15"/>
      <c r="P103" s="27"/>
      <c r="Q103" s="15"/>
      <c r="R103" s="15"/>
      <c r="S103" s="54"/>
      <c r="T103" s="15"/>
      <c r="U103" s="15"/>
      <c r="V103" s="15"/>
      <c r="W103" s="15"/>
      <c r="X103" s="15"/>
      <c r="Y103" s="15"/>
      <c r="Z103" s="15"/>
      <c r="AA103" s="15"/>
    </row>
    <row r="104" spans="1:27" s="21" customFormat="1" x14ac:dyDescent="0.3">
      <c r="A104" s="17"/>
      <c r="B104"/>
      <c r="C104"/>
      <c r="D104"/>
      <c r="E104"/>
      <c r="F104" s="13" t="s">
        <v>776</v>
      </c>
      <c r="G104" s="13">
        <v>0.47</v>
      </c>
      <c r="H104" s="12">
        <v>1.68</v>
      </c>
      <c r="I104" s="12">
        <v>0.53</v>
      </c>
      <c r="J104" s="12">
        <v>-0.1</v>
      </c>
      <c r="K104" s="12">
        <v>-0.2</v>
      </c>
      <c r="L104" s="12">
        <v>1.34</v>
      </c>
      <c r="M104"/>
      <c r="N104" s="27"/>
      <c r="O104" s="15"/>
      <c r="P104" s="27"/>
      <c r="Q104" s="15"/>
      <c r="R104" s="15"/>
      <c r="S104" s="54"/>
      <c r="T104" s="15"/>
      <c r="U104" s="15"/>
      <c r="V104" s="15"/>
      <c r="W104" s="15"/>
      <c r="X104" s="15"/>
      <c r="Y104" s="15"/>
      <c r="Z104" s="15"/>
      <c r="AA104" s="15"/>
    </row>
    <row r="105" spans="1:27" s="21" customFormat="1" x14ac:dyDescent="0.3">
      <c r="A105" s="17"/>
      <c r="B105"/>
      <c r="C105"/>
      <c r="D105"/>
      <c r="E105"/>
      <c r="F105" s="13" t="s">
        <v>777</v>
      </c>
      <c r="G105" s="13">
        <v>-4.5199999999999996</v>
      </c>
      <c r="H105" s="12">
        <v>0.59</v>
      </c>
      <c r="I105" s="12">
        <v>-0.52</v>
      </c>
      <c r="J105" s="12">
        <v>0.03</v>
      </c>
      <c r="K105" s="12">
        <v>-0.57999999999999996</v>
      </c>
      <c r="L105" s="12">
        <v>1.36</v>
      </c>
      <c r="M105"/>
      <c r="N105" s="27"/>
      <c r="O105" s="15"/>
      <c r="P105" s="27"/>
      <c r="Q105" s="15"/>
      <c r="R105" s="15"/>
      <c r="S105" s="54"/>
      <c r="T105" s="15"/>
      <c r="U105" s="15"/>
      <c r="V105" s="15"/>
      <c r="W105" s="15"/>
      <c r="X105" s="15"/>
      <c r="Y105" s="15"/>
      <c r="Z105" s="15"/>
      <c r="AA105" s="15"/>
    </row>
    <row r="106" spans="1:27" x14ac:dyDescent="0.3">
      <c r="F106" s="13" t="s">
        <v>778</v>
      </c>
      <c r="G106" s="13">
        <v>-1.04</v>
      </c>
      <c r="H106" s="12">
        <v>-1.06</v>
      </c>
      <c r="I106" s="12">
        <v>-1.1200000000000001</v>
      </c>
      <c r="J106" s="12">
        <v>-0.33</v>
      </c>
      <c r="K106" s="12">
        <v>1.34</v>
      </c>
      <c r="L106" s="12">
        <v>-0.78</v>
      </c>
      <c r="S106" s="54"/>
    </row>
    <row r="107" spans="1:27" x14ac:dyDescent="0.3">
      <c r="F107" s="13" t="s">
        <v>779</v>
      </c>
      <c r="G107" s="13">
        <v>1.32</v>
      </c>
      <c r="H107" s="12">
        <v>0.55000000000000004</v>
      </c>
      <c r="I107" s="12">
        <v>1.94</v>
      </c>
      <c r="J107" s="12">
        <v>0.44</v>
      </c>
      <c r="K107" s="12">
        <v>-0.67</v>
      </c>
      <c r="L107" s="12">
        <v>-0.75</v>
      </c>
      <c r="S107" s="54"/>
    </row>
    <row r="108" spans="1:27" x14ac:dyDescent="0.3">
      <c r="F108" s="13" t="s">
        <v>780</v>
      </c>
      <c r="G108" s="13">
        <v>-1.29</v>
      </c>
      <c r="H108" s="12">
        <v>-0.13</v>
      </c>
      <c r="I108" s="12">
        <v>-0.28999999999999998</v>
      </c>
      <c r="J108" s="12">
        <v>-0.25</v>
      </c>
      <c r="K108" s="12">
        <v>-0.1</v>
      </c>
      <c r="L108" s="12">
        <v>-0.77</v>
      </c>
      <c r="S108" s="54"/>
    </row>
    <row r="109" spans="1:27" x14ac:dyDescent="0.3">
      <c r="F109" s="13" t="s">
        <v>781</v>
      </c>
      <c r="G109" s="13">
        <v>0.51</v>
      </c>
      <c r="H109" s="12">
        <v>-0.01</v>
      </c>
      <c r="I109" s="12">
        <v>-0.48</v>
      </c>
      <c r="J109" s="12">
        <v>-0.03</v>
      </c>
      <c r="K109" s="12">
        <v>-0.21</v>
      </c>
      <c r="L109" s="12">
        <v>-0.51</v>
      </c>
      <c r="S109" s="54"/>
    </row>
    <row r="110" spans="1:27" s="15" customFormat="1" x14ac:dyDescent="0.3">
      <c r="A110" s="17"/>
      <c r="B110"/>
      <c r="C110"/>
      <c r="D110"/>
      <c r="E110"/>
      <c r="F110" s="13" t="s">
        <v>782</v>
      </c>
      <c r="G110" s="13">
        <v>4.5999999999999996</v>
      </c>
      <c r="H110" s="12">
        <v>-0.52</v>
      </c>
      <c r="I110" s="12">
        <v>0.18</v>
      </c>
      <c r="J110" s="12">
        <v>-0.21</v>
      </c>
      <c r="K110" s="12">
        <v>-0.15</v>
      </c>
      <c r="L110" s="12">
        <v>-0.64</v>
      </c>
      <c r="M110"/>
      <c r="S110" s="54"/>
    </row>
    <row r="111" spans="1:27" s="15" customFormat="1" x14ac:dyDescent="0.3">
      <c r="A111" s="17"/>
      <c r="B111"/>
      <c r="C111"/>
      <c r="D111"/>
      <c r="E111"/>
      <c r="F111" s="13" t="s">
        <v>783</v>
      </c>
      <c r="G111" s="13">
        <v>4.55</v>
      </c>
      <c r="H111" s="12">
        <v>0.54</v>
      </c>
      <c r="I111" s="12">
        <v>-0.61</v>
      </c>
      <c r="J111" s="12">
        <v>-0.17</v>
      </c>
      <c r="K111" s="12">
        <v>-0.19</v>
      </c>
      <c r="L111" s="12">
        <v>0.27</v>
      </c>
      <c r="M111"/>
      <c r="S111" s="54"/>
    </row>
    <row r="112" spans="1:27" s="15" customFormat="1" x14ac:dyDescent="0.3">
      <c r="A112" s="17"/>
      <c r="B112"/>
      <c r="C112"/>
      <c r="D112"/>
      <c r="E112"/>
      <c r="F112" s="13" t="s">
        <v>784</v>
      </c>
      <c r="G112" s="13">
        <v>2.38</v>
      </c>
      <c r="H112" s="12">
        <v>0.83</v>
      </c>
      <c r="I112" s="12">
        <v>-0.71</v>
      </c>
      <c r="J112" s="12">
        <v>-7.0000000000000007E-2</v>
      </c>
      <c r="K112" s="12">
        <v>-0.54</v>
      </c>
      <c r="L112" s="12">
        <v>0.08</v>
      </c>
      <c r="M112"/>
      <c r="S112" s="54"/>
    </row>
    <row r="113" spans="1:19" s="15" customFormat="1" x14ac:dyDescent="0.3">
      <c r="A113" s="17"/>
      <c r="B113"/>
      <c r="C113"/>
      <c r="D113"/>
      <c r="E113"/>
      <c r="F113" s="13" t="s">
        <v>785</v>
      </c>
      <c r="G113" s="13">
        <v>-1.02</v>
      </c>
      <c r="H113" s="12">
        <v>1.53</v>
      </c>
      <c r="I113" s="12">
        <v>2.21</v>
      </c>
      <c r="J113" s="12">
        <v>-0.56000000000000005</v>
      </c>
      <c r="K113" s="12">
        <v>-0.72</v>
      </c>
      <c r="L113" s="12">
        <v>0.35</v>
      </c>
      <c r="M113"/>
      <c r="S113" s="54"/>
    </row>
    <row r="114" spans="1:19" s="15" customFormat="1" x14ac:dyDescent="0.3">
      <c r="A114" s="17"/>
      <c r="B114"/>
      <c r="C114"/>
      <c r="D114"/>
      <c r="E114"/>
      <c r="F114" s="13" t="s">
        <v>786</v>
      </c>
      <c r="G114" s="13">
        <v>4.78</v>
      </c>
      <c r="H114" s="12">
        <v>0.39</v>
      </c>
      <c r="I114" s="12">
        <v>-0.22</v>
      </c>
      <c r="J114" s="12">
        <v>-0.12</v>
      </c>
      <c r="K114" s="12">
        <v>0.1</v>
      </c>
      <c r="L114" s="12">
        <v>0.16</v>
      </c>
      <c r="M114"/>
      <c r="S114" s="54"/>
    </row>
    <row r="115" spans="1:19" s="15" customFormat="1" x14ac:dyDescent="0.3">
      <c r="A115" s="17"/>
      <c r="B115"/>
      <c r="C115"/>
      <c r="D115"/>
      <c r="E115"/>
      <c r="F115" s="13" t="s">
        <v>787</v>
      </c>
      <c r="G115" s="13">
        <v>1.41</v>
      </c>
      <c r="H115" s="12">
        <v>0.33</v>
      </c>
      <c r="I115" s="12">
        <v>-0.2</v>
      </c>
      <c r="J115" s="12">
        <v>-0.22</v>
      </c>
      <c r="K115" s="12">
        <v>0.22</v>
      </c>
      <c r="L115" s="12">
        <v>0.32</v>
      </c>
      <c r="M115"/>
      <c r="S115" s="54"/>
    </row>
    <row r="116" spans="1:19" s="15" customFormat="1" x14ac:dyDescent="0.3">
      <c r="A116" s="17"/>
      <c r="B116"/>
      <c r="C116"/>
      <c r="D116"/>
      <c r="E116"/>
      <c r="F116" s="13" t="s">
        <v>788</v>
      </c>
      <c r="G116" s="13">
        <v>6.61</v>
      </c>
      <c r="H116" s="12">
        <v>-1.49</v>
      </c>
      <c r="I116" s="12">
        <v>0.28999999999999998</v>
      </c>
      <c r="J116" s="12">
        <v>-0.05</v>
      </c>
      <c r="K116" s="12">
        <v>0.01</v>
      </c>
      <c r="L116" s="12">
        <v>-0.1</v>
      </c>
      <c r="M116"/>
      <c r="S116" s="54"/>
    </row>
    <row r="117" spans="1:19" s="15" customFormat="1" x14ac:dyDescent="0.3">
      <c r="A117" s="17"/>
      <c r="B117"/>
      <c r="C117"/>
      <c r="D117"/>
      <c r="E117"/>
      <c r="F117" s="13" t="s">
        <v>789</v>
      </c>
      <c r="G117" s="13">
        <v>-1.33</v>
      </c>
      <c r="H117" s="12">
        <v>0.82</v>
      </c>
      <c r="I117" s="12">
        <v>0.5</v>
      </c>
      <c r="J117" s="12">
        <v>-0.35</v>
      </c>
      <c r="K117" s="12">
        <v>-0.98</v>
      </c>
      <c r="L117" s="12">
        <v>1.24</v>
      </c>
      <c r="M117"/>
      <c r="S117" s="54"/>
    </row>
    <row r="118" spans="1:19" s="15" customFormat="1" x14ac:dyDescent="0.3">
      <c r="A118" s="17"/>
      <c r="B118"/>
      <c r="C118"/>
      <c r="D118"/>
      <c r="E118"/>
      <c r="F118" s="13" t="s">
        <v>790</v>
      </c>
      <c r="G118" s="13">
        <v>2.42</v>
      </c>
      <c r="H118" s="12">
        <v>-1.07</v>
      </c>
      <c r="I118" s="12">
        <v>1</v>
      </c>
      <c r="J118" s="12">
        <v>0</v>
      </c>
      <c r="K118" s="12">
        <v>-0.28000000000000003</v>
      </c>
      <c r="L118" s="12">
        <v>-0.46</v>
      </c>
      <c r="M118"/>
      <c r="S118" s="54"/>
    </row>
    <row r="119" spans="1:19" s="15" customFormat="1" x14ac:dyDescent="0.3">
      <c r="A119" s="17"/>
      <c r="B119"/>
      <c r="C119"/>
      <c r="D119"/>
      <c r="E119"/>
      <c r="F119" s="13" t="s">
        <v>791</v>
      </c>
      <c r="G119" s="13">
        <v>4.8099999999999996</v>
      </c>
      <c r="H119" s="12">
        <v>0.02</v>
      </c>
      <c r="I119" s="12">
        <v>0.05</v>
      </c>
      <c r="J119" s="12">
        <v>0.39</v>
      </c>
      <c r="K119" s="12">
        <v>-0.26</v>
      </c>
      <c r="L119" s="12">
        <v>0.04</v>
      </c>
      <c r="M119"/>
      <c r="S119" s="54"/>
    </row>
    <row r="120" spans="1:19" s="15" customFormat="1" x14ac:dyDescent="0.3">
      <c r="A120" s="17"/>
      <c r="B120"/>
      <c r="C120"/>
      <c r="D120"/>
      <c r="E120"/>
      <c r="F120" s="13" t="s">
        <v>792</v>
      </c>
      <c r="G120" s="13">
        <v>4.38</v>
      </c>
      <c r="H120" s="12">
        <v>0.57999999999999996</v>
      </c>
      <c r="I120" s="12">
        <v>0.79</v>
      </c>
      <c r="J120" s="12">
        <v>0.88</v>
      </c>
      <c r="K120" s="12">
        <v>-0.27</v>
      </c>
      <c r="L120" s="12">
        <v>0.84</v>
      </c>
      <c r="M120"/>
      <c r="S120" s="54"/>
    </row>
    <row r="121" spans="1:19" s="15" customFormat="1" x14ac:dyDescent="0.3">
      <c r="A121" s="17"/>
      <c r="B121"/>
      <c r="C121"/>
      <c r="D121"/>
      <c r="E121"/>
      <c r="F121" s="13" t="s">
        <v>793</v>
      </c>
      <c r="G121" s="13">
        <v>3.31</v>
      </c>
      <c r="H121" s="12">
        <v>-1.76</v>
      </c>
      <c r="I121" s="12">
        <v>-1.45</v>
      </c>
      <c r="J121" s="12">
        <v>0.39</v>
      </c>
      <c r="K121" s="12">
        <v>2.11</v>
      </c>
      <c r="L121" s="12">
        <v>-1.34</v>
      </c>
      <c r="M121"/>
      <c r="S121" s="54"/>
    </row>
    <row r="122" spans="1:19" s="15" customFormat="1" x14ac:dyDescent="0.3">
      <c r="A122" s="17"/>
      <c r="B122"/>
      <c r="C122"/>
      <c r="D122"/>
      <c r="E122"/>
      <c r="F122" s="13" t="s">
        <v>794</v>
      </c>
      <c r="G122" s="13">
        <v>-0.41</v>
      </c>
      <c r="H122" s="12">
        <v>1.53</v>
      </c>
      <c r="I122" s="12">
        <v>0.02</v>
      </c>
      <c r="J122" s="12">
        <v>2.31</v>
      </c>
      <c r="K122" s="12">
        <v>-0.5</v>
      </c>
      <c r="L122" s="12">
        <v>-1.02</v>
      </c>
      <c r="M122"/>
      <c r="S122" s="54"/>
    </row>
    <row r="123" spans="1:19" s="15" customFormat="1" x14ac:dyDescent="0.3">
      <c r="A123" s="17"/>
      <c r="B123"/>
      <c r="C123"/>
      <c r="D123"/>
      <c r="E123"/>
      <c r="F123" s="13" t="s">
        <v>795</v>
      </c>
      <c r="G123" s="13">
        <v>2.1800000000000002</v>
      </c>
      <c r="H123" s="12">
        <v>0.7</v>
      </c>
      <c r="I123" s="12">
        <v>-0.14000000000000001</v>
      </c>
      <c r="J123" s="12">
        <v>-0.19</v>
      </c>
      <c r="K123" s="12">
        <v>-0.11</v>
      </c>
      <c r="L123" s="12">
        <v>0.55000000000000004</v>
      </c>
      <c r="M123"/>
      <c r="S123" s="54"/>
    </row>
    <row r="124" spans="1:19" s="15" customFormat="1" x14ac:dyDescent="0.3">
      <c r="A124" s="17"/>
      <c r="B124"/>
      <c r="C124"/>
      <c r="D124"/>
      <c r="E124"/>
      <c r="F124" s="13" t="s">
        <v>796</v>
      </c>
      <c r="G124" s="13">
        <v>2.4900000000000002</v>
      </c>
      <c r="H124" s="12">
        <v>0.9</v>
      </c>
      <c r="I124" s="12">
        <v>-0.49</v>
      </c>
      <c r="J124" s="12">
        <v>-0.1</v>
      </c>
      <c r="K124" s="12">
        <v>-0.3</v>
      </c>
      <c r="L124" s="12">
        <v>0.33</v>
      </c>
      <c r="M124"/>
      <c r="S124" s="54"/>
    </row>
    <row r="125" spans="1:19" s="15" customFormat="1" x14ac:dyDescent="0.3">
      <c r="A125" s="17"/>
      <c r="B125"/>
      <c r="C125"/>
      <c r="D125"/>
      <c r="E125"/>
      <c r="F125" s="13" t="s">
        <v>797</v>
      </c>
      <c r="G125" s="13">
        <v>-1.18</v>
      </c>
      <c r="H125" s="12">
        <v>-0.06</v>
      </c>
      <c r="I125" s="12">
        <v>-0.88</v>
      </c>
      <c r="J125" s="12">
        <v>-0.28000000000000003</v>
      </c>
      <c r="K125" s="12">
        <v>0.15</v>
      </c>
      <c r="L125" s="12">
        <v>0.82</v>
      </c>
      <c r="M125"/>
      <c r="S125" s="54"/>
    </row>
    <row r="126" spans="1:19" s="15" customFormat="1" x14ac:dyDescent="0.3">
      <c r="A126" s="17"/>
      <c r="B126"/>
      <c r="C126"/>
      <c r="D126"/>
      <c r="E126"/>
      <c r="F126" s="13" t="s">
        <v>798</v>
      </c>
      <c r="G126" s="13">
        <v>1.35</v>
      </c>
      <c r="H126" s="12">
        <v>1</v>
      </c>
      <c r="I126" s="12">
        <v>-0.49</v>
      </c>
      <c r="J126" s="12">
        <v>-0.3</v>
      </c>
      <c r="K126" s="12">
        <v>-0.47</v>
      </c>
      <c r="L126" s="12">
        <v>0.41</v>
      </c>
      <c r="M126"/>
      <c r="S126" s="54"/>
    </row>
    <row r="127" spans="1:19" s="15" customFormat="1" x14ac:dyDescent="0.3">
      <c r="A127" s="17"/>
      <c r="B127"/>
      <c r="C127"/>
      <c r="D127"/>
      <c r="E127"/>
      <c r="F127" s="13" t="s">
        <v>799</v>
      </c>
      <c r="G127" s="13">
        <v>1.66</v>
      </c>
      <c r="H127" s="12">
        <v>-0.37</v>
      </c>
      <c r="I127" s="12">
        <v>0.33</v>
      </c>
      <c r="J127" s="12">
        <v>-0.32</v>
      </c>
      <c r="K127" s="12">
        <v>0.04</v>
      </c>
      <c r="L127" s="12">
        <v>-1.1599999999999999</v>
      </c>
      <c r="M127"/>
      <c r="S127" s="54"/>
    </row>
    <row r="128" spans="1:19" s="15" customFormat="1" x14ac:dyDescent="0.3">
      <c r="A128" s="17"/>
      <c r="B128"/>
      <c r="C128"/>
      <c r="D128"/>
      <c r="E128"/>
      <c r="F128" s="13" t="s">
        <v>800</v>
      </c>
      <c r="G128" s="13">
        <v>-4.8600000000000003</v>
      </c>
      <c r="H128" s="12">
        <v>-1.65</v>
      </c>
      <c r="I128" s="12">
        <v>-2.0299999999999998</v>
      </c>
      <c r="J128" s="12">
        <v>-0.14000000000000001</v>
      </c>
      <c r="K128" s="12">
        <v>8.73</v>
      </c>
      <c r="L128" s="12">
        <v>-2.12</v>
      </c>
      <c r="M128"/>
      <c r="S128" s="54"/>
    </row>
    <row r="129" spans="1:19" s="15" customFormat="1" x14ac:dyDescent="0.3">
      <c r="A129" s="17"/>
      <c r="B129"/>
      <c r="C129"/>
      <c r="D129"/>
      <c r="E129"/>
      <c r="F129" s="13" t="s">
        <v>801</v>
      </c>
      <c r="G129" s="13">
        <v>0.18</v>
      </c>
      <c r="H129" s="12">
        <v>1.4</v>
      </c>
      <c r="I129" s="12">
        <v>0.06</v>
      </c>
      <c r="J129" s="12">
        <v>-0.1</v>
      </c>
      <c r="K129" s="12">
        <v>-0.27</v>
      </c>
      <c r="L129" s="12">
        <v>1.58</v>
      </c>
      <c r="M129"/>
      <c r="S129" s="54"/>
    </row>
    <row r="130" spans="1:19" s="15" customFormat="1" x14ac:dyDescent="0.3">
      <c r="A130" s="17"/>
      <c r="B130"/>
      <c r="C130"/>
      <c r="D130"/>
      <c r="E130"/>
      <c r="F130" s="13" t="s">
        <v>802</v>
      </c>
      <c r="G130" s="13">
        <v>0.22</v>
      </c>
      <c r="H130" s="12">
        <v>1.68</v>
      </c>
      <c r="I130" s="12">
        <v>-0.28999999999999998</v>
      </c>
      <c r="J130" s="12">
        <v>0.11</v>
      </c>
      <c r="K130" s="12">
        <v>-0.53</v>
      </c>
      <c r="L130" s="12">
        <v>-0.75</v>
      </c>
      <c r="M130"/>
      <c r="S130" s="54"/>
    </row>
    <row r="131" spans="1:19" s="15" customFormat="1" x14ac:dyDescent="0.3">
      <c r="A131" s="17"/>
      <c r="B131"/>
      <c r="C131"/>
      <c r="D131"/>
      <c r="E131"/>
      <c r="F131" s="13" t="s">
        <v>803</v>
      </c>
      <c r="G131" s="13">
        <v>2.0699999999999998</v>
      </c>
      <c r="H131" s="12">
        <v>0.03</v>
      </c>
      <c r="I131" s="12">
        <v>-0.09</v>
      </c>
      <c r="J131" s="12">
        <v>-0.32</v>
      </c>
      <c r="K131" s="12">
        <v>-0.47</v>
      </c>
      <c r="L131" s="12">
        <v>-0.04</v>
      </c>
      <c r="M131"/>
      <c r="S131" s="54"/>
    </row>
    <row r="132" spans="1:19" s="15" customFormat="1" x14ac:dyDescent="0.3">
      <c r="A132" s="17"/>
      <c r="B132"/>
      <c r="C132"/>
      <c r="D132"/>
      <c r="E132"/>
      <c r="F132" s="13" t="s">
        <v>804</v>
      </c>
      <c r="G132" s="13">
        <v>16.41</v>
      </c>
      <c r="H132" s="12">
        <v>-1.19</v>
      </c>
      <c r="I132" s="12">
        <v>0.11</v>
      </c>
      <c r="J132" s="12">
        <v>-0.05</v>
      </c>
      <c r="K132" s="12">
        <v>-0.43</v>
      </c>
      <c r="L132" s="12">
        <v>5.17</v>
      </c>
      <c r="M132"/>
      <c r="S132" s="54"/>
    </row>
    <row r="133" spans="1:19" s="15" customFormat="1" x14ac:dyDescent="0.3">
      <c r="A133" s="17"/>
      <c r="B133"/>
      <c r="C133"/>
      <c r="D133"/>
      <c r="E133"/>
      <c r="F133" s="13" t="s">
        <v>805</v>
      </c>
      <c r="G133" s="13">
        <v>2.82</v>
      </c>
      <c r="H133" s="12">
        <v>-1.59</v>
      </c>
      <c r="I133" s="12">
        <v>0.2</v>
      </c>
      <c r="J133" s="12">
        <v>-0.17</v>
      </c>
      <c r="K133" s="12">
        <v>-0.48</v>
      </c>
      <c r="L133" s="12">
        <v>-7.0000000000000007E-2</v>
      </c>
      <c r="M133"/>
      <c r="S133" s="54"/>
    </row>
    <row r="134" spans="1:19" s="15" customFormat="1" x14ac:dyDescent="0.3">
      <c r="A134" s="17"/>
      <c r="B134"/>
      <c r="C134"/>
      <c r="D134"/>
      <c r="E134"/>
      <c r="F134" s="13" t="s">
        <v>806</v>
      </c>
      <c r="G134" s="13">
        <v>-0.08</v>
      </c>
      <c r="H134" s="12">
        <v>-0.49</v>
      </c>
      <c r="I134" s="12">
        <v>-0.84</v>
      </c>
      <c r="J134" s="12">
        <v>-0.2</v>
      </c>
      <c r="K134" s="12">
        <v>0.63</v>
      </c>
      <c r="L134" s="12">
        <v>0.69</v>
      </c>
      <c r="M134"/>
      <c r="S134" s="54"/>
    </row>
    <row r="135" spans="1:19" s="15" customFormat="1" x14ac:dyDescent="0.3">
      <c r="A135" s="17"/>
      <c r="B135"/>
      <c r="C135"/>
      <c r="D135"/>
      <c r="E135"/>
      <c r="F135" s="13" t="s">
        <v>807</v>
      </c>
      <c r="G135" s="13">
        <v>-0.43</v>
      </c>
      <c r="H135" s="12">
        <v>0.2</v>
      </c>
      <c r="I135" s="12">
        <v>0.01</v>
      </c>
      <c r="J135" s="12">
        <v>-0.28999999999999998</v>
      </c>
      <c r="K135" s="12">
        <v>2.1800000000000002</v>
      </c>
      <c r="L135" s="12">
        <v>-0.14000000000000001</v>
      </c>
      <c r="M135"/>
      <c r="S135" s="54"/>
    </row>
    <row r="136" spans="1:19" s="15" customFormat="1" x14ac:dyDescent="0.3">
      <c r="A136" s="17"/>
      <c r="B136"/>
      <c r="C136"/>
      <c r="D136"/>
      <c r="E136"/>
      <c r="F136" s="13" t="s">
        <v>808</v>
      </c>
      <c r="G136" s="13">
        <v>3.07</v>
      </c>
      <c r="H136" s="12">
        <v>-1.51</v>
      </c>
      <c r="I136" s="12">
        <v>0.15</v>
      </c>
      <c r="J136" s="12">
        <v>-0.06</v>
      </c>
      <c r="K136" s="12">
        <v>-0.08</v>
      </c>
      <c r="L136" s="12">
        <v>-1.26</v>
      </c>
      <c r="M136"/>
      <c r="S136" s="54"/>
    </row>
    <row r="137" spans="1:19" s="15" customFormat="1" x14ac:dyDescent="0.3">
      <c r="A137" s="17"/>
      <c r="B137"/>
      <c r="C137"/>
      <c r="D137"/>
      <c r="E137"/>
      <c r="F137" s="13" t="s">
        <v>809</v>
      </c>
      <c r="G137" s="13">
        <v>3.83</v>
      </c>
      <c r="H137" s="12">
        <v>-0.56000000000000005</v>
      </c>
      <c r="I137" s="12">
        <v>-1.5</v>
      </c>
      <c r="J137" s="12">
        <v>-0.04</v>
      </c>
      <c r="K137" s="12">
        <v>0.84</v>
      </c>
      <c r="L137" s="12">
        <v>0.59</v>
      </c>
      <c r="M137"/>
      <c r="S137" s="54"/>
    </row>
    <row r="138" spans="1:19" s="15" customFormat="1" x14ac:dyDescent="0.3">
      <c r="A138" s="17"/>
      <c r="B138"/>
      <c r="C138"/>
      <c r="D138"/>
      <c r="E138"/>
      <c r="F138" s="13" t="s">
        <v>810</v>
      </c>
      <c r="G138" s="13">
        <v>0.23</v>
      </c>
      <c r="H138" s="12">
        <v>1.25</v>
      </c>
      <c r="I138" s="12">
        <v>-0.11</v>
      </c>
      <c r="J138" s="12">
        <v>-0.09</v>
      </c>
      <c r="K138" s="12">
        <v>-0.95</v>
      </c>
      <c r="L138" s="12">
        <v>-0.52</v>
      </c>
      <c r="M138"/>
      <c r="S138" s="54"/>
    </row>
    <row r="139" spans="1:19" s="15" customFormat="1" x14ac:dyDescent="0.3">
      <c r="A139" s="17"/>
      <c r="B139"/>
      <c r="C139"/>
      <c r="D139"/>
      <c r="E139"/>
      <c r="F139" s="13" t="s">
        <v>811</v>
      </c>
      <c r="G139" s="13">
        <v>0.89</v>
      </c>
      <c r="H139" s="12">
        <v>1.24</v>
      </c>
      <c r="I139" s="12">
        <v>-0.91</v>
      </c>
      <c r="J139" s="12">
        <v>-0.4</v>
      </c>
      <c r="K139" s="12">
        <v>-0.28000000000000003</v>
      </c>
      <c r="L139" s="12">
        <v>0.41</v>
      </c>
      <c r="M139"/>
      <c r="S139" s="54"/>
    </row>
    <row r="140" spans="1:19" s="15" customFormat="1" x14ac:dyDescent="0.3">
      <c r="A140" s="17"/>
      <c r="B140"/>
      <c r="C140"/>
      <c r="D140"/>
      <c r="E140"/>
      <c r="F140" s="13" t="s">
        <v>812</v>
      </c>
      <c r="G140" s="13">
        <v>1.68</v>
      </c>
      <c r="H140" s="12">
        <v>1.5</v>
      </c>
      <c r="I140" s="12">
        <v>-0.46</v>
      </c>
      <c r="J140" s="12">
        <v>-0.25</v>
      </c>
      <c r="K140" s="12">
        <v>-0.27</v>
      </c>
      <c r="L140" s="12">
        <v>-0.4</v>
      </c>
      <c r="M140"/>
      <c r="S140" s="54"/>
    </row>
    <row r="141" spans="1:19" s="15" customFormat="1" x14ac:dyDescent="0.3">
      <c r="A141" s="17"/>
      <c r="B141"/>
      <c r="C141"/>
      <c r="D141"/>
      <c r="E141"/>
      <c r="F141" s="13" t="s">
        <v>813</v>
      </c>
      <c r="G141" s="13">
        <v>-0.14000000000000001</v>
      </c>
      <c r="H141" s="12">
        <v>0.62</v>
      </c>
      <c r="I141" s="12">
        <v>-1.06</v>
      </c>
      <c r="J141" s="12">
        <v>-0.2</v>
      </c>
      <c r="K141" s="12">
        <v>0.84</v>
      </c>
      <c r="L141" s="12">
        <v>-0.23</v>
      </c>
      <c r="M141"/>
      <c r="S141" s="54"/>
    </row>
    <row r="142" spans="1:19" s="15" customFormat="1" x14ac:dyDescent="0.3">
      <c r="A142" s="17"/>
      <c r="B142"/>
      <c r="C142"/>
      <c r="D142"/>
      <c r="E142"/>
      <c r="F142" s="13" t="s">
        <v>814</v>
      </c>
      <c r="G142" s="13">
        <v>5.99</v>
      </c>
      <c r="H142" s="12">
        <v>-0.68</v>
      </c>
      <c r="I142" s="12">
        <v>0.26</v>
      </c>
      <c r="J142" s="12">
        <v>0.19</v>
      </c>
      <c r="K142" s="12">
        <v>-0.09</v>
      </c>
      <c r="L142" s="12">
        <v>-1.65</v>
      </c>
      <c r="M142"/>
      <c r="S142" s="54"/>
    </row>
    <row r="143" spans="1:19" s="15" customFormat="1" x14ac:dyDescent="0.3">
      <c r="A143" s="17"/>
      <c r="B143"/>
      <c r="C143"/>
      <c r="D143"/>
      <c r="E143"/>
      <c r="F143" s="13" t="s">
        <v>815</v>
      </c>
      <c r="G143" s="13">
        <v>-1.45</v>
      </c>
      <c r="H143" s="12">
        <v>-1.04</v>
      </c>
      <c r="I143" s="12">
        <v>1.8</v>
      </c>
      <c r="J143" s="12">
        <v>-0.18</v>
      </c>
      <c r="K143" s="12">
        <v>1.07</v>
      </c>
      <c r="L143" s="12">
        <v>0.21</v>
      </c>
      <c r="M143"/>
      <c r="S143" s="54"/>
    </row>
    <row r="144" spans="1:19" s="15" customFormat="1" x14ac:dyDescent="0.3">
      <c r="A144" s="17"/>
      <c r="B144"/>
      <c r="C144"/>
      <c r="D144"/>
      <c r="E144"/>
      <c r="F144"/>
      <c r="G144"/>
      <c r="H144"/>
      <c r="I144"/>
      <c r="J144"/>
      <c r="K144"/>
      <c r="L144"/>
      <c r="M144"/>
      <c r="S144" s="54"/>
    </row>
    <row r="145" spans="1:19" s="15" customFormat="1" x14ac:dyDescent="0.3">
      <c r="A145" s="17"/>
      <c r="B145"/>
      <c r="C145"/>
      <c r="D145"/>
      <c r="E145"/>
      <c r="F145"/>
      <c r="G145"/>
      <c r="H145"/>
      <c r="I145"/>
      <c r="J145"/>
      <c r="K145"/>
      <c r="L145"/>
      <c r="M145"/>
      <c r="S145" s="54"/>
    </row>
    <row r="146" spans="1:19" s="15" customFormat="1" x14ac:dyDescent="0.3">
      <c r="A146" s="17"/>
      <c r="B146"/>
      <c r="C146"/>
      <c r="D146"/>
      <c r="E146"/>
      <c r="F146"/>
      <c r="G146"/>
      <c r="H146"/>
      <c r="I146"/>
      <c r="J146"/>
      <c r="K146"/>
      <c r="L146"/>
      <c r="M146"/>
      <c r="S146" s="54"/>
    </row>
    <row r="147" spans="1:19" s="15" customFormat="1" x14ac:dyDescent="0.3">
      <c r="A147" s="17"/>
      <c r="B147"/>
      <c r="C147"/>
      <c r="D147"/>
      <c r="E147"/>
      <c r="F147"/>
      <c r="G147"/>
      <c r="H147"/>
      <c r="I147"/>
      <c r="J147"/>
      <c r="K147"/>
      <c r="L147"/>
      <c r="M147"/>
      <c r="S147" s="54"/>
    </row>
    <row r="148" spans="1:19" s="15" customFormat="1" x14ac:dyDescent="0.3">
      <c r="A148" s="17"/>
      <c r="B148"/>
      <c r="C148"/>
      <c r="D148"/>
      <c r="E148"/>
      <c r="F148"/>
      <c r="G148"/>
      <c r="H148"/>
      <c r="I148"/>
      <c r="J148"/>
      <c r="K148"/>
      <c r="L148"/>
      <c r="M148"/>
      <c r="S148" s="54"/>
    </row>
    <row r="149" spans="1:19" s="15" customFormat="1" x14ac:dyDescent="0.3">
      <c r="A149" s="17"/>
      <c r="B149"/>
      <c r="C149"/>
      <c r="D149"/>
      <c r="E149"/>
      <c r="F149"/>
      <c r="G149"/>
      <c r="H149"/>
      <c r="I149"/>
      <c r="J149"/>
      <c r="K149"/>
      <c r="L149"/>
      <c r="M149"/>
      <c r="S149" s="54"/>
    </row>
    <row r="150" spans="1:19" s="15" customFormat="1" x14ac:dyDescent="0.3">
      <c r="A150" s="17"/>
      <c r="B150"/>
      <c r="C150"/>
      <c r="D150"/>
      <c r="E150"/>
      <c r="F150"/>
      <c r="G150"/>
      <c r="H150"/>
      <c r="I150"/>
      <c r="J150"/>
      <c r="K150"/>
      <c r="L150"/>
      <c r="M150"/>
      <c r="S150" s="54"/>
    </row>
    <row r="151" spans="1:19" s="15" customFormat="1" x14ac:dyDescent="0.3">
      <c r="A151" s="17"/>
      <c r="B151"/>
      <c r="C151"/>
      <c r="D151"/>
      <c r="E151"/>
      <c r="F151"/>
      <c r="G151"/>
      <c r="H151"/>
      <c r="I151"/>
      <c r="J151"/>
      <c r="K151"/>
      <c r="L151"/>
      <c r="M151"/>
      <c r="S151" s="54"/>
    </row>
    <row r="152" spans="1:19" s="15" customFormat="1" x14ac:dyDescent="0.3">
      <c r="A152" s="17"/>
      <c r="B152"/>
      <c r="C152"/>
      <c r="D152"/>
      <c r="E152"/>
      <c r="F152"/>
      <c r="G152"/>
      <c r="H152"/>
      <c r="I152"/>
      <c r="J152"/>
      <c r="K152"/>
      <c r="L152"/>
      <c r="M152"/>
      <c r="S152" s="54"/>
    </row>
    <row r="153" spans="1:19" s="15" customFormat="1" x14ac:dyDescent="0.3">
      <c r="A153" s="17"/>
      <c r="B153"/>
      <c r="C153"/>
      <c r="D153"/>
      <c r="E153"/>
      <c r="F153"/>
      <c r="G153"/>
      <c r="H153"/>
      <c r="I153"/>
      <c r="J153"/>
      <c r="K153"/>
      <c r="L153"/>
      <c r="M153"/>
      <c r="S153" s="54"/>
    </row>
    <row r="154" spans="1:19" s="15" customFormat="1" x14ac:dyDescent="0.3">
      <c r="A154" s="17"/>
      <c r="B154"/>
      <c r="C154"/>
      <c r="D154"/>
      <c r="E154"/>
      <c r="F154"/>
      <c r="G154"/>
      <c r="H154"/>
      <c r="I154"/>
      <c r="J154"/>
      <c r="K154"/>
      <c r="L154"/>
      <c r="M154"/>
      <c r="S154" s="54"/>
    </row>
    <row r="155" spans="1:19" s="15" customFormat="1" x14ac:dyDescent="0.3">
      <c r="A155" s="17"/>
      <c r="B155"/>
      <c r="C155"/>
      <c r="D155"/>
      <c r="E155"/>
      <c r="F155"/>
      <c r="G155"/>
      <c r="H155"/>
      <c r="I155"/>
      <c r="J155"/>
      <c r="K155"/>
      <c r="L155"/>
      <c r="M155"/>
      <c r="S155" s="54"/>
    </row>
    <row r="156" spans="1:19" s="15" customFormat="1" x14ac:dyDescent="0.3">
      <c r="A156" s="17"/>
      <c r="B156"/>
      <c r="C156"/>
      <c r="D156"/>
      <c r="E156"/>
      <c r="F156"/>
      <c r="G156"/>
      <c r="H156"/>
      <c r="I156"/>
      <c r="J156"/>
      <c r="K156"/>
      <c r="L156"/>
      <c r="M156"/>
      <c r="S156" s="54"/>
    </row>
    <row r="157" spans="1:19" s="15" customFormat="1" x14ac:dyDescent="0.3">
      <c r="A157" s="17"/>
      <c r="B157"/>
      <c r="C157"/>
      <c r="D157"/>
      <c r="E157"/>
      <c r="F157"/>
      <c r="G157"/>
      <c r="H157"/>
      <c r="I157"/>
      <c r="J157"/>
      <c r="K157"/>
      <c r="L157"/>
      <c r="M157"/>
      <c r="S157" s="54"/>
    </row>
    <row r="158" spans="1:19" s="15" customFormat="1" x14ac:dyDescent="0.3">
      <c r="A158" s="17"/>
      <c r="B158"/>
      <c r="C158"/>
      <c r="D158"/>
      <c r="E158"/>
      <c r="F158"/>
      <c r="G158"/>
      <c r="H158"/>
      <c r="I158"/>
      <c r="J158"/>
      <c r="K158"/>
      <c r="L158"/>
      <c r="M158"/>
      <c r="S158" s="54"/>
    </row>
    <row r="159" spans="1:19" s="15" customFormat="1" x14ac:dyDescent="0.3">
      <c r="A159" s="17"/>
      <c r="B159"/>
      <c r="C159"/>
      <c r="D159"/>
      <c r="E159"/>
      <c r="F159"/>
      <c r="G159"/>
      <c r="H159"/>
      <c r="I159"/>
      <c r="J159"/>
      <c r="K159"/>
      <c r="L159"/>
      <c r="M159"/>
      <c r="S159" s="54"/>
    </row>
    <row r="160" spans="1:19" s="15" customFormat="1" x14ac:dyDescent="0.3">
      <c r="A160" s="17"/>
      <c r="B160"/>
      <c r="C160"/>
      <c r="D160"/>
      <c r="E160"/>
      <c r="F160"/>
      <c r="G160"/>
      <c r="H160"/>
      <c r="I160"/>
      <c r="J160"/>
      <c r="K160"/>
      <c r="L160"/>
      <c r="M160"/>
      <c r="S160" s="54"/>
    </row>
    <row r="161" spans="1:19" s="15" customFormat="1" x14ac:dyDescent="0.3">
      <c r="A161" s="17"/>
      <c r="B161"/>
      <c r="C161"/>
      <c r="D161"/>
      <c r="E161"/>
      <c r="F161"/>
      <c r="G161"/>
      <c r="H161"/>
      <c r="I161"/>
      <c r="J161"/>
      <c r="K161"/>
      <c r="L161"/>
      <c r="M161"/>
      <c r="S161" s="54"/>
    </row>
    <row r="162" spans="1:19" s="15" customFormat="1" x14ac:dyDescent="0.3">
      <c r="A162" s="17"/>
      <c r="B162"/>
      <c r="C162"/>
      <c r="D162"/>
      <c r="E162"/>
      <c r="F162"/>
      <c r="G162"/>
      <c r="H162"/>
      <c r="I162"/>
      <c r="J162"/>
      <c r="K162"/>
      <c r="L162"/>
      <c r="M162"/>
      <c r="S162" s="54"/>
    </row>
    <row r="163" spans="1:19" s="15" customFormat="1" x14ac:dyDescent="0.3">
      <c r="A163" s="17"/>
      <c r="B163"/>
      <c r="C163"/>
      <c r="D163"/>
      <c r="E163"/>
      <c r="F163"/>
      <c r="G163"/>
      <c r="H163"/>
      <c r="I163"/>
      <c r="J163"/>
      <c r="K163"/>
      <c r="L163"/>
      <c r="M163"/>
      <c r="S163" s="54"/>
    </row>
    <row r="164" spans="1:19" s="15" customFormat="1" x14ac:dyDescent="0.3">
      <c r="A164" s="17"/>
      <c r="B164"/>
      <c r="C164"/>
      <c r="D164"/>
      <c r="E164"/>
      <c r="F164"/>
      <c r="G164"/>
      <c r="H164"/>
      <c r="I164"/>
      <c r="J164"/>
      <c r="K164"/>
      <c r="L164"/>
      <c r="M164"/>
      <c r="S164" s="54"/>
    </row>
    <row r="165" spans="1:19" s="15" customFormat="1" x14ac:dyDescent="0.3">
      <c r="A165" s="17"/>
      <c r="B165"/>
      <c r="C165"/>
      <c r="D165"/>
      <c r="E165"/>
      <c r="F165"/>
      <c r="G165"/>
      <c r="H165"/>
      <c r="I165"/>
      <c r="J165"/>
      <c r="K165"/>
      <c r="L165"/>
      <c r="M165"/>
      <c r="S165" s="54"/>
    </row>
    <row r="166" spans="1:19" s="15" customFormat="1" x14ac:dyDescent="0.3">
      <c r="A166" s="17"/>
      <c r="B166"/>
      <c r="C166"/>
      <c r="D166"/>
      <c r="E166"/>
      <c r="F166"/>
      <c r="G166"/>
      <c r="H166"/>
      <c r="I166"/>
      <c r="J166"/>
      <c r="K166"/>
      <c r="L166"/>
      <c r="M166"/>
      <c r="S166" s="54"/>
    </row>
    <row r="167" spans="1:19" s="15" customFormat="1" x14ac:dyDescent="0.3">
      <c r="A167" s="17"/>
      <c r="B167"/>
      <c r="C167"/>
      <c r="D167"/>
      <c r="E167"/>
      <c r="F167"/>
      <c r="G167"/>
      <c r="H167"/>
      <c r="I167"/>
      <c r="J167"/>
      <c r="K167"/>
      <c r="L167"/>
      <c r="M167"/>
      <c r="S167" s="54"/>
    </row>
    <row r="168" spans="1:19" s="15" customFormat="1" x14ac:dyDescent="0.3">
      <c r="A168" s="17"/>
      <c r="B168"/>
      <c r="C168"/>
      <c r="D168"/>
      <c r="E168"/>
      <c r="F168"/>
      <c r="G168"/>
      <c r="H168"/>
      <c r="I168"/>
      <c r="J168"/>
      <c r="K168"/>
      <c r="L168"/>
      <c r="M168"/>
      <c r="S168" s="54"/>
    </row>
    <row r="169" spans="1:19" s="15" customFormat="1" x14ac:dyDescent="0.3">
      <c r="A169" s="17"/>
      <c r="B169"/>
      <c r="C169"/>
      <c r="D169"/>
      <c r="E169"/>
      <c r="F169"/>
      <c r="G169"/>
      <c r="H169"/>
      <c r="I169"/>
      <c r="J169"/>
      <c r="K169"/>
      <c r="L169"/>
      <c r="M169"/>
      <c r="S169" s="54"/>
    </row>
    <row r="170" spans="1:19" s="15" customFormat="1" x14ac:dyDescent="0.3">
      <c r="A170" s="17"/>
      <c r="B170"/>
      <c r="C170"/>
      <c r="D170"/>
      <c r="E170"/>
      <c r="F170"/>
      <c r="G170"/>
      <c r="H170"/>
      <c r="I170"/>
      <c r="J170"/>
      <c r="K170"/>
      <c r="L170"/>
      <c r="M170"/>
      <c r="S170" s="54"/>
    </row>
    <row r="171" spans="1:19" s="15" customFormat="1" x14ac:dyDescent="0.3">
      <c r="A171" s="17"/>
      <c r="B171"/>
      <c r="C171"/>
      <c r="D171"/>
      <c r="E171"/>
      <c r="F171"/>
      <c r="G171"/>
      <c r="H171"/>
      <c r="I171"/>
      <c r="J171"/>
      <c r="K171"/>
      <c r="L171"/>
      <c r="M171"/>
      <c r="S171" s="54"/>
    </row>
    <row r="172" spans="1:19" s="15" customFormat="1" x14ac:dyDescent="0.3">
      <c r="A172" s="17"/>
      <c r="B172"/>
      <c r="C172"/>
      <c r="D172"/>
      <c r="E172"/>
      <c r="F172"/>
      <c r="G172"/>
      <c r="H172"/>
      <c r="I172"/>
      <c r="J172"/>
      <c r="K172"/>
      <c r="L172"/>
      <c r="M172"/>
      <c r="S172" s="54"/>
    </row>
    <row r="173" spans="1:19" s="15" customFormat="1" x14ac:dyDescent="0.3">
      <c r="A173" s="17"/>
      <c r="B173"/>
      <c r="C173"/>
      <c r="D173"/>
      <c r="E173"/>
      <c r="F173"/>
      <c r="G173"/>
      <c r="H173"/>
      <c r="I173"/>
      <c r="J173"/>
      <c r="K173"/>
      <c r="L173"/>
      <c r="M173"/>
      <c r="S173" s="54"/>
    </row>
    <row r="174" spans="1:19" s="15" customFormat="1" x14ac:dyDescent="0.3">
      <c r="A174" s="17"/>
      <c r="B174"/>
      <c r="C174"/>
      <c r="D174"/>
      <c r="E174"/>
      <c r="F174"/>
      <c r="G174"/>
      <c r="H174"/>
      <c r="I174"/>
      <c r="J174"/>
      <c r="K174"/>
      <c r="L174"/>
      <c r="M174"/>
      <c r="S174" s="54"/>
    </row>
    <row r="175" spans="1:19" s="15" customFormat="1" x14ac:dyDescent="0.3">
      <c r="A175" s="17"/>
      <c r="B175"/>
      <c r="C175"/>
      <c r="D175"/>
      <c r="E175"/>
      <c r="F175"/>
      <c r="G175"/>
      <c r="H175"/>
      <c r="I175"/>
      <c r="J175"/>
      <c r="K175"/>
      <c r="L175"/>
      <c r="M175"/>
      <c r="S175" s="54"/>
    </row>
    <row r="176" spans="1:19" s="15" customFormat="1" x14ac:dyDescent="0.3">
      <c r="A176" s="17"/>
      <c r="B176"/>
      <c r="C176"/>
      <c r="D176"/>
      <c r="E176"/>
      <c r="F176"/>
      <c r="G176"/>
      <c r="H176"/>
      <c r="I176"/>
      <c r="J176"/>
      <c r="K176"/>
      <c r="L176"/>
      <c r="M176"/>
      <c r="S176" s="54"/>
    </row>
    <row r="177" spans="1:19" s="15" customFormat="1" x14ac:dyDescent="0.3">
      <c r="A177" s="17"/>
      <c r="B177"/>
      <c r="C177"/>
      <c r="D177"/>
      <c r="E177"/>
      <c r="F177"/>
      <c r="G177"/>
      <c r="H177"/>
      <c r="I177"/>
      <c r="J177"/>
      <c r="K177"/>
      <c r="L177"/>
      <c r="M177"/>
      <c r="S177" s="54"/>
    </row>
    <row r="178" spans="1:19" s="15" customFormat="1" x14ac:dyDescent="0.3">
      <c r="A178" s="17"/>
      <c r="B178"/>
      <c r="C178"/>
      <c r="D178"/>
      <c r="E178"/>
      <c r="F178"/>
      <c r="G178"/>
      <c r="H178"/>
      <c r="I178"/>
      <c r="J178"/>
      <c r="K178"/>
      <c r="L178"/>
      <c r="M178"/>
      <c r="S178" s="54"/>
    </row>
    <row r="179" spans="1:19" s="15" customFormat="1" x14ac:dyDescent="0.3">
      <c r="A179" s="17"/>
      <c r="B179"/>
      <c r="C179"/>
      <c r="D179"/>
      <c r="E179"/>
      <c r="F179"/>
      <c r="G179"/>
      <c r="H179"/>
      <c r="I179"/>
      <c r="J179"/>
      <c r="K179"/>
      <c r="L179"/>
      <c r="M179"/>
      <c r="S179" s="54"/>
    </row>
    <row r="180" spans="1:19" s="15" customFormat="1" x14ac:dyDescent="0.3">
      <c r="A180" s="17"/>
      <c r="B180"/>
      <c r="C180"/>
      <c r="D180"/>
      <c r="E180"/>
      <c r="F180"/>
      <c r="G180"/>
      <c r="H180"/>
      <c r="I180"/>
      <c r="J180"/>
      <c r="K180"/>
      <c r="L180"/>
      <c r="M180"/>
      <c r="S180" s="54"/>
    </row>
    <row r="181" spans="1:19" s="15" customFormat="1" x14ac:dyDescent="0.3">
      <c r="A181" s="17"/>
      <c r="B181"/>
      <c r="C181"/>
      <c r="D181"/>
      <c r="E181"/>
      <c r="F181"/>
      <c r="G181"/>
      <c r="H181"/>
      <c r="I181"/>
      <c r="J181"/>
      <c r="K181"/>
      <c r="L181"/>
      <c r="M181"/>
      <c r="S181" s="54"/>
    </row>
    <row r="182" spans="1:19" s="15" customFormat="1" x14ac:dyDescent="0.3">
      <c r="A182" s="17"/>
      <c r="B182"/>
      <c r="C182"/>
      <c r="D182"/>
      <c r="E182"/>
      <c r="F182"/>
      <c r="G182"/>
      <c r="H182"/>
      <c r="I182"/>
      <c r="J182"/>
      <c r="K182"/>
      <c r="L182"/>
      <c r="M182"/>
      <c r="S182" s="54"/>
    </row>
    <row r="183" spans="1:19" s="15" customFormat="1" x14ac:dyDescent="0.3">
      <c r="A183" s="17"/>
      <c r="B183"/>
      <c r="C183"/>
      <c r="D183"/>
      <c r="E183"/>
      <c r="F183"/>
      <c r="G183"/>
      <c r="H183"/>
      <c r="I183"/>
      <c r="J183"/>
      <c r="K183"/>
      <c r="L183"/>
      <c r="M183"/>
      <c r="S183" s="54"/>
    </row>
    <row r="184" spans="1:19" s="15" customFormat="1" x14ac:dyDescent="0.3">
      <c r="A184" s="17"/>
      <c r="B184"/>
      <c r="C184"/>
      <c r="D184"/>
      <c r="E184"/>
      <c r="F184"/>
      <c r="G184"/>
      <c r="H184"/>
      <c r="I184"/>
      <c r="J184"/>
      <c r="K184"/>
      <c r="L184"/>
      <c r="M184"/>
      <c r="S184" s="54"/>
    </row>
    <row r="185" spans="1:19" s="15" customFormat="1" x14ac:dyDescent="0.3">
      <c r="A185" s="17"/>
      <c r="B185"/>
      <c r="C185"/>
      <c r="D185"/>
      <c r="E185"/>
      <c r="F185"/>
      <c r="G185"/>
      <c r="H185"/>
      <c r="I185"/>
      <c r="J185"/>
      <c r="K185"/>
      <c r="L185"/>
      <c r="M185"/>
      <c r="S185" s="54"/>
    </row>
    <row r="186" spans="1:19" s="15" customFormat="1" x14ac:dyDescent="0.3">
      <c r="A186" s="17"/>
      <c r="B186"/>
      <c r="C186"/>
      <c r="D186"/>
      <c r="E186"/>
      <c r="F186"/>
      <c r="G186"/>
      <c r="H186"/>
      <c r="I186"/>
      <c r="J186"/>
      <c r="K186"/>
      <c r="L186"/>
      <c r="M186"/>
      <c r="S186" s="54"/>
    </row>
    <row r="187" spans="1:19" s="15" customFormat="1" x14ac:dyDescent="0.3">
      <c r="A187" s="17"/>
      <c r="B187"/>
      <c r="C187"/>
      <c r="D187"/>
      <c r="E187"/>
      <c r="F187"/>
      <c r="G187"/>
      <c r="H187"/>
      <c r="I187"/>
      <c r="J187"/>
      <c r="K187"/>
      <c r="L187"/>
      <c r="M187"/>
      <c r="S187" s="54"/>
    </row>
    <row r="188" spans="1:19" s="15" customFormat="1" x14ac:dyDescent="0.3">
      <c r="A188" s="17"/>
      <c r="B188"/>
      <c r="C188"/>
      <c r="D188"/>
      <c r="E188"/>
      <c r="F188"/>
      <c r="G188"/>
      <c r="H188"/>
      <c r="I188"/>
      <c r="J188"/>
      <c r="K188"/>
      <c r="L188"/>
      <c r="M188"/>
      <c r="S188" s="54"/>
    </row>
    <row r="189" spans="1:19" s="15" customFormat="1" x14ac:dyDescent="0.3">
      <c r="A189" s="17"/>
      <c r="B189"/>
      <c r="C189"/>
      <c r="D189"/>
      <c r="E189"/>
      <c r="F189"/>
      <c r="G189"/>
      <c r="H189"/>
      <c r="I189"/>
      <c r="J189"/>
      <c r="K189"/>
      <c r="L189"/>
      <c r="M189"/>
      <c r="S189" s="54"/>
    </row>
    <row r="190" spans="1:19" s="15" customFormat="1" x14ac:dyDescent="0.3">
      <c r="A190" s="17"/>
      <c r="B190"/>
      <c r="C190"/>
      <c r="D190"/>
      <c r="E190"/>
      <c r="F190"/>
      <c r="G190"/>
      <c r="H190"/>
      <c r="I190"/>
      <c r="J190"/>
      <c r="K190"/>
      <c r="L190"/>
      <c r="M190"/>
      <c r="S190" s="54"/>
    </row>
    <row r="191" spans="1:19" s="15" customFormat="1" x14ac:dyDescent="0.3">
      <c r="A191" s="17"/>
      <c r="B191"/>
      <c r="C191"/>
      <c r="D191"/>
      <c r="E191"/>
      <c r="F191"/>
      <c r="G191"/>
      <c r="H191"/>
      <c r="I191"/>
      <c r="J191"/>
      <c r="K191"/>
      <c r="L191"/>
      <c r="M191"/>
      <c r="S191" s="54"/>
    </row>
    <row r="192" spans="1:19" s="15" customFormat="1" x14ac:dyDescent="0.3">
      <c r="A192" s="17"/>
      <c r="B192"/>
      <c r="C192"/>
      <c r="D192"/>
      <c r="E192"/>
      <c r="F192"/>
      <c r="G192"/>
      <c r="H192"/>
      <c r="I192"/>
      <c r="J192"/>
      <c r="K192"/>
      <c r="L192"/>
      <c r="M192"/>
      <c r="S192" s="54"/>
    </row>
    <row r="193" spans="1:19" s="15" customFormat="1" x14ac:dyDescent="0.3">
      <c r="A193" s="17"/>
      <c r="B193"/>
      <c r="C193"/>
      <c r="D193"/>
      <c r="E193"/>
      <c r="F193"/>
      <c r="G193"/>
      <c r="H193"/>
      <c r="I193"/>
      <c r="J193"/>
      <c r="K193"/>
      <c r="L193"/>
      <c r="M193"/>
      <c r="S193" s="54"/>
    </row>
    <row r="194" spans="1:19" s="15" customFormat="1" x14ac:dyDescent="0.3">
      <c r="A194" s="17"/>
      <c r="B194"/>
      <c r="C194"/>
      <c r="D194"/>
      <c r="E194"/>
      <c r="F194"/>
      <c r="G194"/>
      <c r="H194"/>
      <c r="I194"/>
      <c r="J194"/>
      <c r="K194"/>
      <c r="L194"/>
      <c r="M194"/>
      <c r="S194" s="54"/>
    </row>
    <row r="195" spans="1:19" s="15" customFormat="1" x14ac:dyDescent="0.3">
      <c r="A195" s="17"/>
      <c r="B195"/>
      <c r="C195"/>
      <c r="D195"/>
      <c r="E195"/>
      <c r="F195"/>
      <c r="G195"/>
      <c r="H195"/>
      <c r="I195"/>
      <c r="J195"/>
      <c r="K195"/>
      <c r="L195"/>
      <c r="M195"/>
      <c r="S195" s="54"/>
    </row>
    <row r="196" spans="1:19" s="15" customFormat="1" x14ac:dyDescent="0.3">
      <c r="A196" s="17"/>
      <c r="B196"/>
      <c r="C196"/>
      <c r="D196"/>
      <c r="E196"/>
      <c r="F196"/>
      <c r="G196"/>
      <c r="H196"/>
      <c r="I196"/>
      <c r="J196"/>
      <c r="K196"/>
      <c r="L196"/>
      <c r="M196"/>
      <c r="S196" s="54"/>
    </row>
    <row r="197" spans="1:19" s="15" customFormat="1" x14ac:dyDescent="0.3">
      <c r="A197" s="17"/>
      <c r="B197"/>
      <c r="C197"/>
      <c r="D197"/>
      <c r="E197"/>
      <c r="F197"/>
      <c r="G197"/>
      <c r="H197"/>
      <c r="I197"/>
      <c r="J197"/>
      <c r="K197"/>
      <c r="L197"/>
      <c r="M197"/>
      <c r="S197" s="54"/>
    </row>
    <row r="198" spans="1:19" s="15" customFormat="1" x14ac:dyDescent="0.3">
      <c r="A198" s="17"/>
      <c r="B198"/>
      <c r="C198"/>
      <c r="D198"/>
      <c r="E198"/>
      <c r="F198"/>
      <c r="G198"/>
      <c r="H198"/>
      <c r="I198"/>
      <c r="J198"/>
      <c r="K198"/>
      <c r="L198"/>
      <c r="M198"/>
      <c r="S198" s="54"/>
    </row>
    <row r="199" spans="1:19" s="15" customFormat="1" x14ac:dyDescent="0.3">
      <c r="A199" s="17"/>
      <c r="B199"/>
      <c r="C199"/>
      <c r="D199"/>
      <c r="E199"/>
      <c r="F199"/>
      <c r="G199"/>
      <c r="H199"/>
      <c r="I199"/>
      <c r="J199"/>
      <c r="K199"/>
      <c r="L199"/>
      <c r="M199"/>
      <c r="S199" s="54"/>
    </row>
    <row r="200" spans="1:19" s="15" customFormat="1" x14ac:dyDescent="0.3">
      <c r="A200" s="17"/>
      <c r="B200"/>
      <c r="C200"/>
      <c r="D200"/>
      <c r="E200"/>
      <c r="F200"/>
      <c r="G200"/>
      <c r="H200"/>
      <c r="I200"/>
      <c r="J200"/>
      <c r="K200"/>
      <c r="L200"/>
      <c r="M200"/>
      <c r="S200" s="54"/>
    </row>
    <row r="201" spans="1:19" s="15" customFormat="1" x14ac:dyDescent="0.3">
      <c r="A201" s="17"/>
      <c r="B201"/>
      <c r="C201"/>
      <c r="D201"/>
      <c r="E201"/>
      <c r="F201"/>
      <c r="G201"/>
      <c r="H201"/>
      <c r="I201"/>
      <c r="J201"/>
      <c r="K201"/>
      <c r="L201"/>
      <c r="M201"/>
      <c r="S201" s="54"/>
    </row>
    <row r="202" spans="1:19" s="15" customFormat="1" x14ac:dyDescent="0.3">
      <c r="A202" s="17"/>
      <c r="B202"/>
      <c r="C202"/>
      <c r="D202"/>
      <c r="E202"/>
      <c r="F202"/>
      <c r="G202"/>
      <c r="H202"/>
      <c r="I202"/>
      <c r="J202"/>
      <c r="K202"/>
      <c r="L202"/>
      <c r="M202"/>
      <c r="S202" s="54"/>
    </row>
    <row r="203" spans="1:19" s="15" customFormat="1" x14ac:dyDescent="0.3">
      <c r="A203" s="17"/>
      <c r="B203"/>
      <c r="C203"/>
      <c r="D203"/>
      <c r="E203"/>
      <c r="F203"/>
      <c r="G203"/>
      <c r="H203"/>
      <c r="I203"/>
      <c r="J203"/>
      <c r="K203"/>
      <c r="L203"/>
      <c r="M203"/>
      <c r="S203" s="54"/>
    </row>
    <row r="204" spans="1:19" s="15" customFormat="1" x14ac:dyDescent="0.3">
      <c r="A204" s="17"/>
      <c r="B204"/>
      <c r="C204"/>
      <c r="D204"/>
      <c r="E204"/>
      <c r="F204"/>
      <c r="G204"/>
      <c r="H204"/>
      <c r="I204"/>
      <c r="J204"/>
      <c r="K204"/>
      <c r="L204"/>
      <c r="M204"/>
      <c r="S204" s="54"/>
    </row>
    <row r="205" spans="1:19" s="15" customFormat="1" x14ac:dyDescent="0.3">
      <c r="A205" s="17"/>
      <c r="B205"/>
      <c r="C205"/>
      <c r="D205"/>
      <c r="E205"/>
      <c r="F205"/>
      <c r="G205"/>
      <c r="H205"/>
      <c r="I205"/>
      <c r="J205"/>
      <c r="K205"/>
      <c r="L205"/>
      <c r="M205"/>
      <c r="S205" s="54"/>
    </row>
    <row r="206" spans="1:19" s="15" customFormat="1" x14ac:dyDescent="0.3">
      <c r="A206" s="17"/>
      <c r="B206"/>
      <c r="C206"/>
      <c r="D206"/>
      <c r="E206"/>
      <c r="F206"/>
      <c r="G206"/>
      <c r="H206"/>
      <c r="I206"/>
      <c r="J206"/>
      <c r="K206"/>
      <c r="L206"/>
      <c r="M206"/>
      <c r="S206" s="54"/>
    </row>
    <row r="207" spans="1:19" s="15" customFormat="1" x14ac:dyDescent="0.3">
      <c r="A207" s="17"/>
      <c r="B207"/>
      <c r="C207"/>
      <c r="D207"/>
      <c r="E207"/>
      <c r="F207"/>
      <c r="G207"/>
      <c r="H207"/>
      <c r="I207"/>
      <c r="J207"/>
      <c r="K207"/>
      <c r="L207"/>
      <c r="M207"/>
      <c r="S207" s="54"/>
    </row>
    <row r="208" spans="1:19" s="15" customFormat="1" x14ac:dyDescent="0.3">
      <c r="A208" s="17"/>
      <c r="B208"/>
      <c r="C208"/>
      <c r="D208"/>
      <c r="E208"/>
      <c r="F208"/>
      <c r="G208"/>
      <c r="H208"/>
      <c r="I208"/>
      <c r="J208"/>
      <c r="K208"/>
      <c r="L208"/>
      <c r="M208"/>
      <c r="S208" s="54"/>
    </row>
    <row r="209" spans="1:19" s="15" customFormat="1" x14ac:dyDescent="0.3">
      <c r="A209" s="17"/>
      <c r="B209"/>
      <c r="C209"/>
      <c r="D209"/>
      <c r="E209"/>
      <c r="F209"/>
      <c r="G209"/>
      <c r="H209"/>
      <c r="I209"/>
      <c r="J209"/>
      <c r="K209"/>
      <c r="L209"/>
      <c r="M209"/>
      <c r="S209" s="54"/>
    </row>
    <row r="210" spans="1:19" s="15" customFormat="1" x14ac:dyDescent="0.3">
      <c r="A210" s="17"/>
      <c r="B210"/>
      <c r="C210"/>
      <c r="D210"/>
      <c r="E210"/>
      <c r="F210"/>
      <c r="G210"/>
      <c r="H210"/>
      <c r="I210"/>
      <c r="J210"/>
      <c r="K210"/>
      <c r="L210"/>
      <c r="M210"/>
      <c r="S210" s="54"/>
    </row>
    <row r="211" spans="1:19" s="15" customFormat="1" x14ac:dyDescent="0.3">
      <c r="A211" s="17"/>
      <c r="B211"/>
      <c r="C211"/>
      <c r="D211"/>
      <c r="E211"/>
      <c r="F211"/>
      <c r="G211"/>
      <c r="H211"/>
      <c r="I211"/>
      <c r="J211"/>
      <c r="K211"/>
      <c r="L211"/>
      <c r="M211"/>
      <c r="S211" s="54"/>
    </row>
    <row r="212" spans="1:19" s="15" customFormat="1" x14ac:dyDescent="0.3">
      <c r="A212" s="17"/>
      <c r="B212"/>
      <c r="C212"/>
      <c r="D212"/>
      <c r="E212"/>
      <c r="F212"/>
      <c r="G212"/>
      <c r="H212"/>
      <c r="I212"/>
      <c r="J212"/>
      <c r="K212"/>
      <c r="L212"/>
      <c r="M212"/>
      <c r="S212" s="54"/>
    </row>
    <row r="213" spans="1:19" s="15" customFormat="1" x14ac:dyDescent="0.3">
      <c r="A213" s="17"/>
      <c r="B213"/>
      <c r="C213"/>
      <c r="D213"/>
      <c r="E213"/>
      <c r="F213"/>
      <c r="G213"/>
      <c r="H213"/>
      <c r="I213"/>
      <c r="J213"/>
      <c r="K213"/>
      <c r="L213"/>
      <c r="M213"/>
      <c r="S213" s="54"/>
    </row>
    <row r="214" spans="1:19" s="15" customFormat="1" x14ac:dyDescent="0.3">
      <c r="A214" s="17"/>
      <c r="B214"/>
      <c r="C214"/>
      <c r="D214"/>
      <c r="E214"/>
      <c r="F214"/>
      <c r="G214"/>
      <c r="H214"/>
      <c r="I214"/>
      <c r="J214"/>
      <c r="K214"/>
      <c r="L214"/>
      <c r="M214"/>
      <c r="S214" s="54"/>
    </row>
    <row r="215" spans="1:19" s="15" customFormat="1" x14ac:dyDescent="0.3">
      <c r="A215" s="17"/>
      <c r="B215"/>
      <c r="C215"/>
      <c r="D215"/>
      <c r="E215"/>
      <c r="F215"/>
      <c r="G215"/>
      <c r="H215"/>
      <c r="I215"/>
      <c r="J215"/>
      <c r="K215"/>
      <c r="L215"/>
      <c r="M215"/>
      <c r="S215" s="54"/>
    </row>
    <row r="216" spans="1:19" s="15" customFormat="1" x14ac:dyDescent="0.3">
      <c r="A216" s="17"/>
      <c r="B216"/>
      <c r="C216"/>
      <c r="D216"/>
      <c r="E216"/>
      <c r="F216"/>
      <c r="G216"/>
      <c r="H216"/>
      <c r="I216"/>
      <c r="J216"/>
      <c r="K216"/>
      <c r="L216"/>
      <c r="M216"/>
      <c r="S216" s="54"/>
    </row>
    <row r="217" spans="1:19" s="15" customFormat="1" x14ac:dyDescent="0.3">
      <c r="A217" s="17"/>
      <c r="B217"/>
      <c r="C217"/>
      <c r="D217"/>
      <c r="E217"/>
      <c r="F217"/>
      <c r="G217"/>
      <c r="H217"/>
      <c r="I217"/>
      <c r="J217"/>
      <c r="K217"/>
      <c r="L217"/>
      <c r="M217"/>
      <c r="S217" s="54"/>
    </row>
    <row r="218" spans="1:19" s="15" customFormat="1" x14ac:dyDescent="0.3">
      <c r="A218" s="17"/>
      <c r="B218"/>
      <c r="C218"/>
      <c r="D218"/>
      <c r="E218"/>
      <c r="F218"/>
      <c r="G218"/>
      <c r="H218"/>
      <c r="I218"/>
      <c r="J218"/>
      <c r="K218"/>
      <c r="L218"/>
      <c r="M218"/>
      <c r="S218" s="54"/>
    </row>
    <row r="219" spans="1:19" s="15" customFormat="1" x14ac:dyDescent="0.3">
      <c r="A219" s="17"/>
      <c r="B219"/>
      <c r="C219"/>
      <c r="D219"/>
      <c r="E219"/>
      <c r="F219"/>
      <c r="G219"/>
      <c r="H219"/>
      <c r="I219"/>
      <c r="J219"/>
      <c r="K219"/>
      <c r="L219"/>
      <c r="M219"/>
      <c r="S219" s="54"/>
    </row>
    <row r="220" spans="1:19" s="15" customFormat="1" x14ac:dyDescent="0.3">
      <c r="A220" s="17"/>
      <c r="B220"/>
      <c r="C220"/>
      <c r="D220"/>
      <c r="E220"/>
      <c r="F220"/>
      <c r="G220"/>
      <c r="H220"/>
      <c r="I220"/>
      <c r="J220"/>
      <c r="K220"/>
      <c r="L220"/>
      <c r="M220"/>
      <c r="S220" s="54"/>
    </row>
    <row r="221" spans="1:19" s="15" customFormat="1" x14ac:dyDescent="0.3">
      <c r="A221" s="17"/>
      <c r="B221"/>
      <c r="C221"/>
      <c r="D221"/>
      <c r="E221"/>
      <c r="F221"/>
      <c r="G221"/>
      <c r="H221"/>
      <c r="I221"/>
      <c r="J221"/>
      <c r="K221"/>
      <c r="L221"/>
      <c r="M221"/>
      <c r="S221" s="54"/>
    </row>
    <row r="222" spans="1:19" s="15" customFormat="1" x14ac:dyDescent="0.3">
      <c r="A222" s="17"/>
      <c r="B222"/>
      <c r="C222"/>
      <c r="D222"/>
      <c r="E222"/>
      <c r="F222"/>
      <c r="G222"/>
      <c r="H222"/>
      <c r="I222"/>
      <c r="J222"/>
      <c r="K222"/>
      <c r="L222"/>
      <c r="M222"/>
      <c r="S222" s="54"/>
    </row>
    <row r="223" spans="1:19" s="15" customFormat="1" x14ac:dyDescent="0.3">
      <c r="A223" s="17"/>
      <c r="B223"/>
      <c r="C223"/>
      <c r="D223"/>
      <c r="E223"/>
      <c r="F223"/>
      <c r="G223"/>
      <c r="H223"/>
      <c r="I223"/>
      <c r="J223"/>
      <c r="K223"/>
      <c r="L223"/>
      <c r="M223"/>
      <c r="S223" s="54"/>
    </row>
    <row r="224" spans="1:19" s="15" customFormat="1" x14ac:dyDescent="0.3">
      <c r="A224" s="17"/>
      <c r="B224"/>
      <c r="C224"/>
      <c r="D224"/>
      <c r="E224"/>
      <c r="F224"/>
      <c r="G224"/>
      <c r="H224"/>
      <c r="I224"/>
      <c r="J224"/>
      <c r="K224"/>
      <c r="L224"/>
      <c r="M224"/>
      <c r="S224" s="54"/>
    </row>
    <row r="225" spans="1:19" s="15" customFormat="1" x14ac:dyDescent="0.3">
      <c r="A225" s="17"/>
      <c r="B225"/>
      <c r="C225"/>
      <c r="D225"/>
      <c r="E225"/>
      <c r="F225"/>
      <c r="G225"/>
      <c r="H225"/>
      <c r="I225"/>
      <c r="J225"/>
      <c r="K225"/>
      <c r="L225"/>
      <c r="M225"/>
      <c r="S225" s="54"/>
    </row>
    <row r="226" spans="1:19" s="15" customFormat="1" x14ac:dyDescent="0.3">
      <c r="A226" s="17"/>
      <c r="B226"/>
      <c r="C226"/>
      <c r="D226"/>
      <c r="E226"/>
      <c r="F226"/>
      <c r="G226"/>
      <c r="H226"/>
      <c r="I226"/>
      <c r="J226"/>
      <c r="K226"/>
      <c r="L226"/>
      <c r="M226"/>
      <c r="S226" s="54"/>
    </row>
    <row r="227" spans="1:19" s="15" customFormat="1" x14ac:dyDescent="0.3">
      <c r="A227" s="17"/>
      <c r="B227"/>
      <c r="C227"/>
      <c r="D227"/>
      <c r="E227"/>
      <c r="F227"/>
      <c r="G227"/>
      <c r="H227"/>
      <c r="I227"/>
      <c r="J227"/>
      <c r="K227"/>
      <c r="L227"/>
      <c r="M227"/>
      <c r="S227" s="54"/>
    </row>
    <row r="228" spans="1:19" s="15" customFormat="1" x14ac:dyDescent="0.3">
      <c r="A228" s="17"/>
      <c r="B228"/>
      <c r="C228"/>
      <c r="D228"/>
      <c r="E228"/>
      <c r="F228"/>
      <c r="G228"/>
      <c r="H228"/>
      <c r="I228"/>
      <c r="J228"/>
      <c r="K228"/>
      <c r="L228"/>
      <c r="M228"/>
      <c r="S228" s="54"/>
    </row>
    <row r="229" spans="1:19" s="15" customFormat="1" x14ac:dyDescent="0.3">
      <c r="A229" s="17"/>
      <c r="B229"/>
      <c r="C229"/>
      <c r="D229"/>
      <c r="E229"/>
      <c r="F229"/>
      <c r="G229"/>
      <c r="H229"/>
      <c r="I229"/>
      <c r="J229"/>
      <c r="K229"/>
      <c r="L229"/>
      <c r="M229"/>
      <c r="S229" s="54"/>
    </row>
    <row r="230" spans="1:19" s="15" customFormat="1" x14ac:dyDescent="0.3">
      <c r="A230" s="17"/>
      <c r="B230"/>
      <c r="C230"/>
      <c r="D230"/>
      <c r="E230"/>
      <c r="F230"/>
      <c r="G230"/>
      <c r="H230"/>
      <c r="I230"/>
      <c r="J230"/>
      <c r="K230"/>
      <c r="L230"/>
      <c r="M230"/>
      <c r="S230" s="54"/>
    </row>
    <row r="231" spans="1:19" s="15" customFormat="1" x14ac:dyDescent="0.3">
      <c r="A231" s="17"/>
      <c r="B231"/>
      <c r="C231"/>
      <c r="D231"/>
      <c r="E231"/>
      <c r="F231"/>
      <c r="G231"/>
      <c r="H231"/>
      <c r="I231"/>
      <c r="J231"/>
      <c r="K231"/>
      <c r="L231"/>
      <c r="M231"/>
      <c r="S231" s="54"/>
    </row>
    <row r="232" spans="1:19" s="15" customFormat="1" x14ac:dyDescent="0.3">
      <c r="A232" s="17"/>
      <c r="B232"/>
      <c r="C232"/>
      <c r="D232"/>
      <c r="E232"/>
      <c r="F232"/>
      <c r="G232"/>
      <c r="H232"/>
      <c r="I232"/>
      <c r="J232"/>
      <c r="K232"/>
      <c r="L232"/>
      <c r="M232"/>
      <c r="S232" s="54"/>
    </row>
    <row r="233" spans="1:19" s="15" customFormat="1" x14ac:dyDescent="0.3">
      <c r="A233" s="17"/>
      <c r="B233"/>
      <c r="C233"/>
      <c r="D233"/>
      <c r="E233"/>
      <c r="F233"/>
      <c r="G233"/>
      <c r="H233"/>
      <c r="I233"/>
      <c r="J233"/>
      <c r="K233"/>
      <c r="L233"/>
      <c r="M233"/>
      <c r="S233" s="54"/>
    </row>
    <row r="234" spans="1:19" s="15" customFormat="1" x14ac:dyDescent="0.3">
      <c r="A234" s="17"/>
      <c r="B234"/>
      <c r="C234"/>
      <c r="D234"/>
      <c r="E234"/>
      <c r="F234"/>
      <c r="G234"/>
      <c r="H234"/>
      <c r="I234"/>
      <c r="J234"/>
      <c r="K234"/>
      <c r="L234"/>
      <c r="M234"/>
      <c r="S234" s="54"/>
    </row>
    <row r="235" spans="1:19" s="15" customFormat="1" x14ac:dyDescent="0.3">
      <c r="A235" s="17"/>
      <c r="B235"/>
      <c r="C235"/>
      <c r="D235"/>
      <c r="E235"/>
      <c r="F235"/>
      <c r="G235"/>
      <c r="H235"/>
      <c r="I235"/>
      <c r="J235"/>
      <c r="K235"/>
      <c r="L235"/>
      <c r="M235"/>
      <c r="S235" s="54"/>
    </row>
    <row r="236" spans="1:19" s="15" customFormat="1" x14ac:dyDescent="0.3">
      <c r="A236" s="17"/>
      <c r="B236"/>
      <c r="C236"/>
      <c r="D236"/>
      <c r="E236"/>
      <c r="F236"/>
      <c r="G236"/>
      <c r="H236"/>
      <c r="I236"/>
      <c r="J236"/>
      <c r="K236"/>
      <c r="L236"/>
      <c r="M236"/>
      <c r="S236" s="54"/>
    </row>
    <row r="237" spans="1:19" s="15" customFormat="1" x14ac:dyDescent="0.3">
      <c r="A237" s="17"/>
      <c r="B237"/>
      <c r="C237"/>
      <c r="D237"/>
      <c r="E237"/>
      <c r="F237"/>
      <c r="G237"/>
      <c r="H237"/>
      <c r="I237"/>
      <c r="J237"/>
      <c r="K237"/>
      <c r="L237"/>
      <c r="M237"/>
      <c r="S237" s="54"/>
    </row>
    <row r="238" spans="1:19" s="15" customFormat="1" x14ac:dyDescent="0.3">
      <c r="A238" s="17"/>
      <c r="B238"/>
      <c r="C238"/>
      <c r="D238"/>
      <c r="E238"/>
      <c r="F238"/>
      <c r="G238"/>
      <c r="H238"/>
      <c r="I238"/>
      <c r="J238"/>
      <c r="K238"/>
      <c r="L238"/>
      <c r="M238"/>
      <c r="S238" s="54"/>
    </row>
    <row r="239" spans="1:19" s="15" customFormat="1" x14ac:dyDescent="0.3">
      <c r="A239" s="17"/>
      <c r="B239"/>
      <c r="C239"/>
      <c r="D239"/>
      <c r="E239"/>
      <c r="F239"/>
      <c r="G239"/>
      <c r="H239"/>
      <c r="I239"/>
      <c r="J239"/>
      <c r="K239"/>
      <c r="L239"/>
      <c r="M239"/>
      <c r="S239" s="54"/>
    </row>
    <row r="240" spans="1:19" s="15" customFormat="1" x14ac:dyDescent="0.3">
      <c r="A240" s="17"/>
      <c r="B240"/>
      <c r="C240"/>
      <c r="D240"/>
      <c r="E240"/>
      <c r="F240"/>
      <c r="G240"/>
      <c r="H240"/>
      <c r="I240"/>
      <c r="J240"/>
      <c r="K240"/>
      <c r="L240"/>
      <c r="M240"/>
      <c r="S240" s="54"/>
    </row>
    <row r="241" spans="1:19" s="15" customFormat="1" x14ac:dyDescent="0.3">
      <c r="A241" s="17"/>
      <c r="B241"/>
      <c r="C241"/>
      <c r="D241"/>
      <c r="E241"/>
      <c r="F241"/>
      <c r="G241"/>
      <c r="H241"/>
      <c r="I241"/>
      <c r="J241"/>
      <c r="K241"/>
      <c r="L241"/>
      <c r="M241"/>
      <c r="S241" s="54"/>
    </row>
    <row r="242" spans="1:19" s="15" customFormat="1" x14ac:dyDescent="0.3">
      <c r="A242" s="17"/>
      <c r="B242"/>
      <c r="C242"/>
      <c r="D242"/>
      <c r="E242"/>
      <c r="F242"/>
      <c r="G242"/>
      <c r="H242"/>
      <c r="I242"/>
      <c r="J242"/>
      <c r="K242"/>
      <c r="L242"/>
      <c r="M242"/>
      <c r="S242" s="54"/>
    </row>
    <row r="243" spans="1:19" s="15" customFormat="1" x14ac:dyDescent="0.3">
      <c r="A243" s="17"/>
      <c r="B243"/>
      <c r="C243"/>
      <c r="D243"/>
      <c r="E243"/>
      <c r="F243"/>
      <c r="G243"/>
      <c r="H243"/>
      <c r="I243"/>
      <c r="J243"/>
      <c r="K243"/>
      <c r="L243"/>
      <c r="M243"/>
      <c r="S243" s="54"/>
    </row>
    <row r="244" spans="1:19" s="15" customFormat="1" x14ac:dyDescent="0.3">
      <c r="A244" s="17"/>
      <c r="B244"/>
      <c r="C244"/>
      <c r="D244"/>
      <c r="E244"/>
      <c r="F244"/>
      <c r="G244"/>
      <c r="H244"/>
      <c r="I244"/>
      <c r="J244"/>
      <c r="K244"/>
      <c r="L244"/>
      <c r="M244"/>
      <c r="S244" s="54"/>
    </row>
    <row r="245" spans="1:19" s="15" customFormat="1" x14ac:dyDescent="0.3">
      <c r="A245" s="17"/>
      <c r="B245"/>
      <c r="C245"/>
      <c r="D245"/>
      <c r="E245"/>
      <c r="F245"/>
      <c r="G245"/>
      <c r="H245"/>
      <c r="I245"/>
      <c r="J245"/>
      <c r="K245"/>
      <c r="L245"/>
      <c r="M245"/>
      <c r="S245" s="54"/>
    </row>
    <row r="246" spans="1:19" s="15" customFormat="1" x14ac:dyDescent="0.3">
      <c r="A246" s="17"/>
      <c r="B246"/>
      <c r="C246"/>
      <c r="D246"/>
      <c r="E246"/>
      <c r="F246"/>
      <c r="G246"/>
      <c r="H246"/>
      <c r="I246"/>
      <c r="J246"/>
      <c r="K246"/>
      <c r="L246"/>
      <c r="M246"/>
      <c r="S246" s="54"/>
    </row>
    <row r="247" spans="1:19" s="15" customFormat="1" x14ac:dyDescent="0.3">
      <c r="A247" s="17"/>
      <c r="B247"/>
      <c r="C247"/>
      <c r="D247"/>
      <c r="E247"/>
      <c r="F247"/>
      <c r="G247"/>
      <c r="H247"/>
      <c r="I247"/>
      <c r="J247"/>
      <c r="K247"/>
      <c r="L247"/>
      <c r="M247"/>
      <c r="S247" s="54"/>
    </row>
    <row r="248" spans="1:19" s="15" customFormat="1" x14ac:dyDescent="0.3">
      <c r="A248" s="17"/>
      <c r="B248"/>
      <c r="C248"/>
      <c r="D248"/>
      <c r="E248"/>
      <c r="F248"/>
      <c r="G248"/>
      <c r="H248"/>
      <c r="I248"/>
      <c r="J248"/>
      <c r="K248"/>
      <c r="L248"/>
      <c r="M248"/>
      <c r="S248" s="54"/>
    </row>
    <row r="249" spans="1:19" s="15" customFormat="1" x14ac:dyDescent="0.3">
      <c r="A249" s="17"/>
      <c r="B249"/>
      <c r="C249"/>
      <c r="D249"/>
      <c r="E249"/>
      <c r="F249"/>
      <c r="G249"/>
      <c r="H249"/>
      <c r="I249"/>
      <c r="J249"/>
      <c r="K249"/>
      <c r="L249"/>
      <c r="M249"/>
      <c r="S249" s="54"/>
    </row>
    <row r="250" spans="1:19" s="15" customFormat="1" x14ac:dyDescent="0.3">
      <c r="A250" s="17"/>
      <c r="B250"/>
      <c r="C250"/>
      <c r="D250"/>
      <c r="E250"/>
      <c r="F250"/>
      <c r="G250"/>
      <c r="H250"/>
      <c r="I250"/>
      <c r="J250"/>
      <c r="K250"/>
      <c r="L250"/>
      <c r="M250"/>
      <c r="S250" s="54"/>
    </row>
    <row r="251" spans="1:19" s="15" customFormat="1" x14ac:dyDescent="0.3">
      <c r="A251" s="17"/>
      <c r="B251"/>
      <c r="C251"/>
      <c r="D251"/>
      <c r="E251"/>
      <c r="F251"/>
      <c r="G251"/>
      <c r="H251"/>
      <c r="I251"/>
      <c r="J251"/>
      <c r="K251"/>
      <c r="L251"/>
      <c r="M251"/>
      <c r="S251" s="54"/>
    </row>
    <row r="252" spans="1:19" s="15" customFormat="1" x14ac:dyDescent="0.3">
      <c r="A252" s="17"/>
      <c r="B252"/>
      <c r="C252"/>
      <c r="D252"/>
      <c r="E252"/>
      <c r="F252"/>
      <c r="G252"/>
      <c r="H252"/>
      <c r="I252"/>
      <c r="J252"/>
      <c r="K252"/>
      <c r="L252"/>
      <c r="M252"/>
      <c r="S252" s="54"/>
    </row>
    <row r="253" spans="1:19" s="15" customFormat="1" x14ac:dyDescent="0.3">
      <c r="A253" s="17"/>
      <c r="B253"/>
      <c r="C253"/>
      <c r="D253"/>
      <c r="E253"/>
      <c r="F253"/>
      <c r="G253"/>
      <c r="H253"/>
      <c r="I253"/>
      <c r="J253"/>
      <c r="K253"/>
      <c r="L253"/>
      <c r="M253"/>
      <c r="S253" s="54"/>
    </row>
    <row r="254" spans="1:19" s="15" customFormat="1" x14ac:dyDescent="0.3">
      <c r="A254" s="17"/>
      <c r="B254"/>
      <c r="C254"/>
      <c r="D254"/>
      <c r="E254"/>
      <c r="F254"/>
      <c r="G254"/>
      <c r="H254"/>
      <c r="I254"/>
      <c r="J254"/>
      <c r="K254"/>
      <c r="L254"/>
      <c r="M254"/>
      <c r="S254" s="54"/>
    </row>
    <row r="255" spans="1:19" s="15" customFormat="1" x14ac:dyDescent="0.3">
      <c r="A255" s="17"/>
      <c r="B255"/>
      <c r="C255"/>
      <c r="D255"/>
      <c r="E255"/>
      <c r="F255"/>
      <c r="G255"/>
      <c r="H255"/>
      <c r="I255"/>
      <c r="J255"/>
      <c r="K255"/>
      <c r="L255"/>
      <c r="M255"/>
      <c r="S255" s="54"/>
    </row>
    <row r="256" spans="1:19" s="15" customFormat="1" x14ac:dyDescent="0.3">
      <c r="A256" s="17"/>
      <c r="B256"/>
      <c r="C256"/>
      <c r="D256"/>
      <c r="E256"/>
      <c r="F256"/>
      <c r="G256"/>
      <c r="H256"/>
      <c r="I256"/>
      <c r="J256"/>
      <c r="K256"/>
      <c r="L256"/>
      <c r="M256"/>
      <c r="S256" s="54"/>
    </row>
    <row r="257" spans="1:19" s="15" customFormat="1" x14ac:dyDescent="0.3">
      <c r="A257" s="17"/>
      <c r="B257"/>
      <c r="C257"/>
      <c r="D257"/>
      <c r="E257"/>
      <c r="F257"/>
      <c r="G257"/>
      <c r="H257"/>
      <c r="I257"/>
      <c r="J257"/>
      <c r="K257"/>
      <c r="L257"/>
      <c r="M257"/>
      <c r="S257" s="54"/>
    </row>
    <row r="258" spans="1:19" s="15" customFormat="1" x14ac:dyDescent="0.3">
      <c r="A258" s="17"/>
      <c r="B258"/>
      <c r="C258"/>
      <c r="D258"/>
      <c r="E258"/>
      <c r="F258"/>
      <c r="G258"/>
      <c r="H258"/>
      <c r="I258"/>
      <c r="J258"/>
      <c r="K258"/>
      <c r="L258"/>
      <c r="M258"/>
      <c r="S258" s="54"/>
    </row>
    <row r="259" spans="1:19" s="15" customFormat="1" x14ac:dyDescent="0.3">
      <c r="A259" s="17"/>
      <c r="B259"/>
      <c r="C259"/>
      <c r="D259"/>
      <c r="E259"/>
      <c r="F259"/>
      <c r="G259"/>
      <c r="H259"/>
      <c r="I259"/>
      <c r="J259"/>
      <c r="K259"/>
      <c r="L259"/>
      <c r="M259"/>
      <c r="S259" s="54"/>
    </row>
    <row r="260" spans="1:19" s="15" customFormat="1" x14ac:dyDescent="0.3">
      <c r="A260" s="17"/>
      <c r="B260"/>
      <c r="C260"/>
      <c r="D260"/>
      <c r="E260"/>
      <c r="F260"/>
      <c r="G260"/>
      <c r="H260"/>
      <c r="I260"/>
      <c r="J260"/>
      <c r="K260"/>
      <c r="L260"/>
      <c r="M260"/>
      <c r="S260" s="54"/>
    </row>
    <row r="261" spans="1:19" s="15" customFormat="1" x14ac:dyDescent="0.3">
      <c r="A261" s="17"/>
      <c r="B261"/>
      <c r="C261"/>
      <c r="D261"/>
      <c r="E261"/>
      <c r="F261"/>
      <c r="G261"/>
      <c r="H261"/>
      <c r="I261"/>
      <c r="J261"/>
      <c r="K261"/>
      <c r="L261"/>
      <c r="M261"/>
      <c r="S261" s="54"/>
    </row>
    <row r="262" spans="1:19" s="15" customFormat="1" x14ac:dyDescent="0.3">
      <c r="A262" s="17"/>
      <c r="B262"/>
      <c r="C262"/>
      <c r="D262"/>
      <c r="E262"/>
      <c r="F262"/>
      <c r="G262"/>
      <c r="H262"/>
      <c r="I262"/>
      <c r="J262"/>
      <c r="K262"/>
      <c r="L262"/>
      <c r="M262"/>
      <c r="S262" s="54"/>
    </row>
    <row r="263" spans="1:19" s="15" customFormat="1" x14ac:dyDescent="0.3">
      <c r="A263" s="17"/>
      <c r="B263"/>
      <c r="C263"/>
      <c r="D263"/>
      <c r="E263"/>
      <c r="F263"/>
      <c r="G263"/>
      <c r="H263"/>
      <c r="I263"/>
      <c r="J263"/>
      <c r="K263"/>
      <c r="L263"/>
      <c r="M263"/>
      <c r="S263" s="54"/>
    </row>
    <row r="264" spans="1:19" s="15" customFormat="1" x14ac:dyDescent="0.3">
      <c r="A264" s="17"/>
      <c r="B264"/>
      <c r="C264"/>
      <c r="D264"/>
      <c r="E264"/>
      <c r="F264"/>
      <c r="G264"/>
      <c r="H264"/>
      <c r="I264"/>
      <c r="J264"/>
      <c r="K264"/>
      <c r="L264"/>
      <c r="M264"/>
      <c r="S264" s="54"/>
    </row>
    <row r="265" spans="1:19" s="15" customFormat="1" x14ac:dyDescent="0.3">
      <c r="A265" s="17"/>
      <c r="B265"/>
      <c r="C265"/>
      <c r="D265"/>
      <c r="E265"/>
      <c r="F265"/>
      <c r="G265"/>
      <c r="H265"/>
      <c r="I265"/>
      <c r="J265"/>
      <c r="K265"/>
      <c r="L265"/>
      <c r="M265"/>
      <c r="S265" s="54"/>
    </row>
    <row r="266" spans="1:19" s="15" customFormat="1" x14ac:dyDescent="0.3">
      <c r="A266" s="17"/>
      <c r="B266"/>
      <c r="C266"/>
      <c r="D266"/>
      <c r="E266"/>
      <c r="F266"/>
      <c r="G266"/>
      <c r="H266"/>
      <c r="I266"/>
      <c r="J266"/>
      <c r="K266"/>
      <c r="L266"/>
      <c r="M266"/>
      <c r="S266" s="54"/>
    </row>
    <row r="267" spans="1:19" s="15" customFormat="1" x14ac:dyDescent="0.3">
      <c r="A267" s="17"/>
      <c r="B267"/>
      <c r="C267"/>
      <c r="D267"/>
      <c r="E267"/>
      <c r="F267"/>
      <c r="G267"/>
      <c r="H267"/>
      <c r="I267"/>
      <c r="J267"/>
      <c r="K267"/>
      <c r="L267"/>
      <c r="M267"/>
      <c r="S267" s="54"/>
    </row>
    <row r="268" spans="1:19" s="15" customFormat="1" x14ac:dyDescent="0.3">
      <c r="A268" s="17"/>
      <c r="B268"/>
      <c r="C268"/>
      <c r="D268"/>
      <c r="E268"/>
      <c r="F268"/>
      <c r="G268"/>
      <c r="H268"/>
      <c r="I268"/>
      <c r="J268"/>
      <c r="K268"/>
      <c r="L268"/>
      <c r="M268"/>
      <c r="S268" s="54"/>
    </row>
    <row r="269" spans="1:19" s="15" customFormat="1" x14ac:dyDescent="0.3">
      <c r="A269" s="17"/>
      <c r="B269"/>
      <c r="C269"/>
      <c r="D269"/>
      <c r="E269"/>
      <c r="F269"/>
      <c r="G269"/>
      <c r="H269"/>
      <c r="I269"/>
      <c r="J269"/>
      <c r="K269"/>
      <c r="L269"/>
      <c r="M269"/>
      <c r="S269" s="54"/>
    </row>
    <row r="270" spans="1:19" s="15" customFormat="1" x14ac:dyDescent="0.3">
      <c r="A270" s="17"/>
      <c r="B270"/>
      <c r="C270"/>
      <c r="D270"/>
      <c r="E270"/>
      <c r="F270"/>
      <c r="G270"/>
      <c r="H270"/>
      <c r="I270"/>
      <c r="J270"/>
      <c r="K270"/>
      <c r="L270"/>
      <c r="M270"/>
      <c r="S270" s="54"/>
    </row>
    <row r="271" spans="1:19" s="15" customFormat="1" x14ac:dyDescent="0.3">
      <c r="A271" s="17"/>
      <c r="B271"/>
      <c r="C271"/>
      <c r="D271"/>
      <c r="E271"/>
      <c r="F271"/>
      <c r="G271"/>
      <c r="H271"/>
      <c r="I271"/>
      <c r="J271"/>
      <c r="K271"/>
      <c r="L271"/>
      <c r="M271"/>
      <c r="S271" s="54"/>
    </row>
    <row r="272" spans="1:19" s="15" customFormat="1" x14ac:dyDescent="0.3">
      <c r="A272" s="17"/>
      <c r="B272"/>
      <c r="C272"/>
      <c r="D272"/>
      <c r="E272"/>
      <c r="F272"/>
      <c r="G272"/>
      <c r="H272"/>
      <c r="I272"/>
      <c r="J272"/>
      <c r="K272"/>
      <c r="L272"/>
      <c r="M272"/>
      <c r="S272" s="54"/>
    </row>
    <row r="273" spans="1:19" s="15" customFormat="1" x14ac:dyDescent="0.3">
      <c r="A273" s="17"/>
      <c r="B273"/>
      <c r="C273"/>
      <c r="D273"/>
      <c r="E273"/>
      <c r="F273"/>
      <c r="G273"/>
      <c r="H273"/>
      <c r="I273"/>
      <c r="J273"/>
      <c r="K273"/>
      <c r="L273"/>
      <c r="M273"/>
      <c r="S273" s="54"/>
    </row>
    <row r="274" spans="1:19" s="15" customFormat="1" x14ac:dyDescent="0.3">
      <c r="A274" s="17"/>
      <c r="B274"/>
      <c r="C274"/>
      <c r="D274"/>
      <c r="E274"/>
      <c r="F274"/>
      <c r="G274"/>
      <c r="H274"/>
      <c r="I274"/>
      <c r="J274"/>
      <c r="K274"/>
      <c r="L274"/>
      <c r="M274"/>
      <c r="S274" s="54"/>
    </row>
    <row r="275" spans="1:19" s="15" customFormat="1" x14ac:dyDescent="0.3">
      <c r="A275" s="17"/>
      <c r="B275"/>
      <c r="C275"/>
      <c r="D275"/>
      <c r="E275"/>
      <c r="F275"/>
      <c r="G275"/>
      <c r="H275"/>
      <c r="I275"/>
      <c r="J275"/>
      <c r="K275"/>
      <c r="L275"/>
      <c r="M275"/>
      <c r="S275" s="54"/>
    </row>
    <row r="276" spans="1:19" s="15" customFormat="1" x14ac:dyDescent="0.3">
      <c r="A276" s="17"/>
      <c r="B276"/>
      <c r="C276"/>
      <c r="D276"/>
      <c r="E276"/>
      <c r="F276"/>
      <c r="G276"/>
      <c r="H276"/>
      <c r="I276"/>
      <c r="J276"/>
      <c r="K276"/>
      <c r="L276"/>
      <c r="M276"/>
      <c r="S276" s="54"/>
    </row>
    <row r="277" spans="1:19" s="15" customFormat="1" x14ac:dyDescent="0.3">
      <c r="A277" s="17"/>
      <c r="B277"/>
      <c r="C277"/>
      <c r="D277"/>
      <c r="E277"/>
      <c r="F277"/>
      <c r="G277"/>
      <c r="H277"/>
      <c r="I277"/>
      <c r="J277"/>
      <c r="K277"/>
      <c r="L277"/>
      <c r="M277"/>
      <c r="S277" s="54"/>
    </row>
    <row r="278" spans="1:19" s="15" customFormat="1" x14ac:dyDescent="0.3">
      <c r="A278" s="17"/>
      <c r="B278"/>
      <c r="C278"/>
      <c r="D278"/>
      <c r="E278"/>
      <c r="F278"/>
      <c r="G278"/>
      <c r="H278"/>
      <c r="I278"/>
      <c r="J278"/>
      <c r="K278"/>
      <c r="L278"/>
      <c r="M278"/>
      <c r="S278" s="54"/>
    </row>
    <row r="279" spans="1:19" s="15" customFormat="1" x14ac:dyDescent="0.3">
      <c r="A279" s="17"/>
      <c r="B279"/>
      <c r="C279"/>
      <c r="D279"/>
      <c r="E279"/>
      <c r="F279"/>
      <c r="G279"/>
      <c r="H279"/>
      <c r="I279"/>
      <c r="J279"/>
      <c r="K279"/>
      <c r="L279"/>
      <c r="M279"/>
      <c r="S279" s="54"/>
    </row>
    <row r="280" spans="1:19" s="15" customFormat="1" x14ac:dyDescent="0.3">
      <c r="A280" s="17"/>
      <c r="B280"/>
      <c r="C280"/>
      <c r="D280"/>
      <c r="E280"/>
      <c r="F280"/>
      <c r="G280"/>
      <c r="H280"/>
      <c r="I280"/>
      <c r="J280"/>
      <c r="K280"/>
      <c r="L280"/>
      <c r="M280"/>
      <c r="S280" s="54"/>
    </row>
    <row r="281" spans="1:19" s="15" customFormat="1" x14ac:dyDescent="0.3">
      <c r="A281" s="17"/>
      <c r="B281"/>
      <c r="C281"/>
      <c r="D281"/>
      <c r="E281"/>
      <c r="F281"/>
      <c r="G281"/>
      <c r="H281"/>
      <c r="I281"/>
      <c r="J281"/>
      <c r="K281"/>
      <c r="L281"/>
      <c r="M281"/>
      <c r="S281" s="54"/>
    </row>
    <row r="282" spans="1:19" s="15" customFormat="1" x14ac:dyDescent="0.3">
      <c r="A282" s="17"/>
      <c r="B282"/>
      <c r="C282"/>
      <c r="D282"/>
      <c r="E282"/>
      <c r="F282"/>
      <c r="G282"/>
      <c r="H282"/>
      <c r="I282"/>
      <c r="J282"/>
      <c r="K282"/>
      <c r="L282"/>
      <c r="M282"/>
      <c r="S282" s="54"/>
    </row>
    <row r="283" spans="1:19" s="15" customFormat="1" x14ac:dyDescent="0.3">
      <c r="A283" s="17"/>
      <c r="B283"/>
      <c r="C283"/>
      <c r="D283"/>
      <c r="E283"/>
      <c r="F283"/>
      <c r="G283"/>
      <c r="H283"/>
      <c r="I283"/>
      <c r="J283"/>
      <c r="K283"/>
      <c r="L283"/>
      <c r="M283"/>
      <c r="S283" s="54"/>
    </row>
    <row r="284" spans="1:19" s="15" customFormat="1" x14ac:dyDescent="0.3">
      <c r="A284" s="17"/>
      <c r="B284"/>
      <c r="C284"/>
      <c r="D284"/>
      <c r="E284"/>
      <c r="F284"/>
      <c r="G284"/>
      <c r="H284"/>
      <c r="I284"/>
      <c r="J284"/>
      <c r="K284"/>
      <c r="L284"/>
      <c r="M284"/>
      <c r="S284" s="54"/>
    </row>
    <row r="285" spans="1:19" s="15" customFormat="1" x14ac:dyDescent="0.3">
      <c r="A285" s="17"/>
      <c r="B285"/>
      <c r="C285"/>
      <c r="D285"/>
      <c r="E285"/>
      <c r="F285"/>
      <c r="G285"/>
      <c r="H285"/>
      <c r="I285"/>
      <c r="J285"/>
      <c r="K285"/>
      <c r="L285"/>
      <c r="M285"/>
      <c r="S285" s="54"/>
    </row>
    <row r="286" spans="1:19" s="15" customFormat="1" x14ac:dyDescent="0.3">
      <c r="A286" s="17"/>
      <c r="B286"/>
      <c r="C286"/>
      <c r="D286"/>
      <c r="E286"/>
      <c r="F286"/>
      <c r="G286"/>
      <c r="H286"/>
      <c r="I286"/>
      <c r="J286"/>
      <c r="K286"/>
      <c r="L286"/>
      <c r="M286"/>
      <c r="S286" s="54"/>
    </row>
    <row r="287" spans="1:19" s="15" customFormat="1" x14ac:dyDescent="0.3">
      <c r="A287" s="17"/>
      <c r="B287"/>
      <c r="C287"/>
      <c r="D287"/>
      <c r="E287"/>
      <c r="F287"/>
      <c r="G287"/>
      <c r="H287"/>
      <c r="I287"/>
      <c r="J287"/>
      <c r="K287"/>
      <c r="L287"/>
      <c r="M287"/>
      <c r="S287" s="54"/>
    </row>
    <row r="288" spans="1:19" s="15" customFormat="1" x14ac:dyDescent="0.3">
      <c r="A288" s="17"/>
      <c r="B288"/>
      <c r="C288"/>
      <c r="D288"/>
      <c r="E288"/>
      <c r="F288"/>
      <c r="G288"/>
      <c r="H288"/>
      <c r="I288"/>
      <c r="J288"/>
      <c r="K288"/>
      <c r="L288"/>
      <c r="M288"/>
      <c r="S288" s="54"/>
    </row>
    <row r="289" spans="1:19" s="15" customFormat="1" x14ac:dyDescent="0.3">
      <c r="A289" s="17"/>
      <c r="B289"/>
      <c r="C289"/>
      <c r="D289"/>
      <c r="E289"/>
      <c r="F289"/>
      <c r="G289"/>
      <c r="H289"/>
      <c r="I289"/>
      <c r="J289"/>
      <c r="K289"/>
      <c r="L289"/>
      <c r="M289"/>
      <c r="S289" s="54"/>
    </row>
    <row r="290" spans="1:19" s="15" customFormat="1" x14ac:dyDescent="0.3">
      <c r="A290" s="17"/>
      <c r="B290"/>
      <c r="C290"/>
      <c r="D290"/>
      <c r="E290"/>
      <c r="F290"/>
      <c r="G290"/>
      <c r="H290"/>
      <c r="I290"/>
      <c r="J290"/>
      <c r="K290"/>
      <c r="L290"/>
      <c r="M290"/>
      <c r="S290" s="54"/>
    </row>
    <row r="291" spans="1:19" s="15" customFormat="1" x14ac:dyDescent="0.3">
      <c r="A291" s="17"/>
      <c r="B291"/>
      <c r="C291"/>
      <c r="D291"/>
      <c r="E291"/>
      <c r="F291"/>
      <c r="G291"/>
      <c r="H291"/>
      <c r="I291"/>
      <c r="J291"/>
      <c r="K291"/>
      <c r="L291"/>
      <c r="M291"/>
      <c r="S291" s="54"/>
    </row>
    <row r="292" spans="1:19" s="15" customFormat="1" x14ac:dyDescent="0.3">
      <c r="A292" s="17"/>
      <c r="B292"/>
      <c r="C292"/>
      <c r="D292"/>
      <c r="E292"/>
      <c r="F292"/>
      <c r="G292"/>
      <c r="H292"/>
      <c r="I292"/>
      <c r="J292"/>
      <c r="K292"/>
      <c r="L292"/>
      <c r="M292"/>
      <c r="S292" s="54"/>
    </row>
    <row r="293" spans="1:19" s="15" customFormat="1" x14ac:dyDescent="0.3">
      <c r="A293" s="17"/>
      <c r="B293"/>
      <c r="C293"/>
      <c r="D293"/>
      <c r="E293"/>
      <c r="F293"/>
      <c r="G293"/>
      <c r="H293"/>
      <c r="I293"/>
      <c r="J293"/>
      <c r="K293"/>
      <c r="L293"/>
      <c r="M293"/>
      <c r="S293" s="54"/>
    </row>
    <row r="294" spans="1:19" s="15" customFormat="1" x14ac:dyDescent="0.3">
      <c r="A294" s="17"/>
      <c r="B294"/>
      <c r="C294"/>
      <c r="D294"/>
      <c r="E294"/>
      <c r="F294"/>
      <c r="G294"/>
      <c r="H294"/>
      <c r="I294"/>
      <c r="J294"/>
      <c r="K294"/>
      <c r="L294"/>
      <c r="M294"/>
      <c r="S294" s="54"/>
    </row>
    <row r="295" spans="1:19" s="15" customFormat="1" x14ac:dyDescent="0.3">
      <c r="A295" s="17"/>
      <c r="B295"/>
      <c r="C295"/>
      <c r="D295"/>
      <c r="E295"/>
      <c r="F295"/>
      <c r="G295"/>
      <c r="H295"/>
      <c r="I295"/>
      <c r="J295"/>
      <c r="K295"/>
      <c r="L295"/>
      <c r="M295"/>
      <c r="S295" s="54"/>
    </row>
    <row r="296" spans="1:19" s="15" customFormat="1" x14ac:dyDescent="0.3">
      <c r="A296" s="17"/>
      <c r="B296"/>
      <c r="C296"/>
      <c r="D296"/>
      <c r="E296"/>
      <c r="F296"/>
      <c r="G296"/>
      <c r="H296"/>
      <c r="I296"/>
      <c r="J296"/>
      <c r="K296"/>
      <c r="L296"/>
      <c r="M296"/>
      <c r="S296" s="54"/>
    </row>
    <row r="297" spans="1:19" s="15" customFormat="1" x14ac:dyDescent="0.3">
      <c r="A297" s="17"/>
      <c r="B297"/>
      <c r="C297"/>
      <c r="D297"/>
      <c r="E297"/>
      <c r="F297"/>
      <c r="G297"/>
      <c r="H297"/>
      <c r="I297"/>
      <c r="J297"/>
      <c r="K297"/>
      <c r="L297"/>
      <c r="M297"/>
      <c r="S297" s="54"/>
    </row>
    <row r="298" spans="1:19" s="15" customFormat="1" x14ac:dyDescent="0.3">
      <c r="A298" s="17"/>
      <c r="B298"/>
      <c r="C298"/>
      <c r="D298"/>
      <c r="E298"/>
      <c r="F298"/>
      <c r="G298"/>
      <c r="H298"/>
      <c r="I298"/>
      <c r="J298"/>
      <c r="K298"/>
      <c r="L298"/>
      <c r="M298"/>
      <c r="S298" s="54"/>
    </row>
    <row r="299" spans="1:19" s="15" customFormat="1" x14ac:dyDescent="0.3">
      <c r="A299" s="17"/>
      <c r="B299"/>
      <c r="C299"/>
      <c r="D299"/>
      <c r="E299"/>
      <c r="F299"/>
      <c r="G299"/>
      <c r="H299"/>
      <c r="I299"/>
      <c r="J299"/>
      <c r="K299"/>
      <c r="L299"/>
      <c r="M299"/>
      <c r="S299" s="54"/>
    </row>
    <row r="300" spans="1:19" s="15" customFormat="1" x14ac:dyDescent="0.3">
      <c r="A300" s="17"/>
      <c r="B300"/>
      <c r="C300"/>
      <c r="D300"/>
      <c r="E300"/>
      <c r="F300"/>
      <c r="G300"/>
      <c r="H300"/>
      <c r="I300"/>
      <c r="J300"/>
      <c r="K300"/>
      <c r="L300"/>
      <c r="M300"/>
      <c r="S300" s="54"/>
    </row>
    <row r="301" spans="1:19" s="15" customFormat="1" x14ac:dyDescent="0.3">
      <c r="A301" s="17"/>
      <c r="B301"/>
      <c r="C301"/>
      <c r="D301"/>
      <c r="E301"/>
      <c r="F301"/>
      <c r="G301"/>
      <c r="H301"/>
      <c r="I301"/>
      <c r="J301"/>
      <c r="K301"/>
      <c r="L301"/>
      <c r="M301"/>
      <c r="S301" s="54"/>
    </row>
    <row r="302" spans="1:19" s="15" customFormat="1" x14ac:dyDescent="0.3">
      <c r="A302" s="17"/>
      <c r="B302"/>
      <c r="C302"/>
      <c r="D302"/>
      <c r="E302"/>
      <c r="F302"/>
      <c r="G302"/>
      <c r="H302"/>
      <c r="I302"/>
      <c r="J302"/>
      <c r="K302"/>
      <c r="L302"/>
      <c r="M302"/>
      <c r="S302" s="54"/>
    </row>
    <row r="303" spans="1:19" s="15" customFormat="1" x14ac:dyDescent="0.3">
      <c r="A303" s="17"/>
      <c r="B303"/>
      <c r="C303"/>
      <c r="D303"/>
      <c r="E303"/>
      <c r="F303"/>
      <c r="G303"/>
      <c r="H303"/>
      <c r="I303"/>
      <c r="J303"/>
      <c r="K303"/>
      <c r="L303"/>
      <c r="M303"/>
      <c r="S303" s="54"/>
    </row>
    <row r="304" spans="1:19" s="15" customFormat="1" x14ac:dyDescent="0.3">
      <c r="A304" s="17"/>
      <c r="B304"/>
      <c r="C304"/>
      <c r="D304"/>
      <c r="E304"/>
      <c r="F304"/>
      <c r="G304"/>
      <c r="H304"/>
      <c r="I304"/>
      <c r="J304"/>
      <c r="K304"/>
      <c r="L304"/>
      <c r="M304"/>
      <c r="S304" s="54"/>
    </row>
    <row r="305" spans="1:19" s="15" customFormat="1" x14ac:dyDescent="0.3">
      <c r="A305" s="17"/>
      <c r="B305"/>
      <c r="C305"/>
      <c r="D305"/>
      <c r="E305"/>
      <c r="F305"/>
      <c r="G305"/>
      <c r="H305"/>
      <c r="I305"/>
      <c r="J305"/>
      <c r="K305"/>
      <c r="L305"/>
      <c r="M305"/>
      <c r="S305" s="54"/>
    </row>
    <row r="306" spans="1:19" s="15" customFormat="1" x14ac:dyDescent="0.3">
      <c r="A306" s="17"/>
      <c r="B306"/>
      <c r="C306"/>
      <c r="D306"/>
      <c r="E306"/>
      <c r="F306"/>
      <c r="G306"/>
      <c r="H306"/>
      <c r="I306"/>
      <c r="J306"/>
      <c r="K306"/>
      <c r="L306"/>
      <c r="M306"/>
      <c r="S306" s="54"/>
    </row>
    <row r="307" spans="1:19" s="15" customFormat="1" x14ac:dyDescent="0.3">
      <c r="A307" s="17"/>
      <c r="B307"/>
      <c r="C307"/>
      <c r="D307"/>
      <c r="E307"/>
      <c r="F307"/>
      <c r="G307"/>
      <c r="H307"/>
      <c r="I307"/>
      <c r="J307"/>
      <c r="K307"/>
      <c r="L307"/>
      <c r="M307"/>
      <c r="S307" s="54"/>
    </row>
    <row r="308" spans="1:19" s="15" customFormat="1" x14ac:dyDescent="0.3">
      <c r="A308" s="17"/>
      <c r="B308"/>
      <c r="C308"/>
      <c r="D308"/>
      <c r="E308"/>
      <c r="F308"/>
      <c r="G308"/>
      <c r="H308"/>
      <c r="I308"/>
      <c r="J308"/>
      <c r="K308"/>
      <c r="L308"/>
      <c r="M308"/>
      <c r="S308" s="54"/>
    </row>
    <row r="309" spans="1:19" s="15" customFormat="1" x14ac:dyDescent="0.3">
      <c r="A309" s="17"/>
      <c r="B309"/>
      <c r="C309"/>
      <c r="D309"/>
      <c r="E309"/>
      <c r="F309"/>
      <c r="G309"/>
      <c r="H309"/>
      <c r="I309"/>
      <c r="J309"/>
      <c r="K309"/>
      <c r="L309"/>
      <c r="M309"/>
      <c r="S309" s="54"/>
    </row>
    <row r="310" spans="1:19" s="15" customFormat="1" x14ac:dyDescent="0.3">
      <c r="A310" s="17"/>
      <c r="B310"/>
      <c r="C310"/>
      <c r="D310"/>
      <c r="E310"/>
      <c r="F310"/>
      <c r="G310"/>
      <c r="H310"/>
      <c r="I310"/>
      <c r="J310"/>
      <c r="K310"/>
      <c r="L310"/>
      <c r="M310"/>
      <c r="S310" s="54"/>
    </row>
    <row r="311" spans="1:19" s="15" customFormat="1" x14ac:dyDescent="0.3">
      <c r="A311" s="17"/>
      <c r="B311"/>
      <c r="C311"/>
      <c r="D311"/>
      <c r="E311"/>
      <c r="F311"/>
      <c r="G311"/>
      <c r="H311"/>
      <c r="I311"/>
      <c r="J311"/>
      <c r="K311"/>
      <c r="L311"/>
      <c r="M311"/>
      <c r="S311" s="54"/>
    </row>
    <row r="312" spans="1:19" s="15" customFormat="1" x14ac:dyDescent="0.3">
      <c r="A312" s="17"/>
      <c r="B312"/>
      <c r="C312"/>
      <c r="D312"/>
      <c r="E312"/>
      <c r="F312"/>
      <c r="G312"/>
      <c r="H312"/>
      <c r="I312"/>
      <c r="J312"/>
      <c r="K312"/>
      <c r="L312"/>
      <c r="M312"/>
      <c r="S312" s="54"/>
    </row>
    <row r="313" spans="1:19" s="15" customFormat="1" x14ac:dyDescent="0.3">
      <c r="A313" s="17"/>
      <c r="B313"/>
      <c r="C313"/>
      <c r="D313"/>
      <c r="E313"/>
      <c r="F313"/>
      <c r="G313"/>
      <c r="H313"/>
      <c r="I313"/>
      <c r="J313"/>
      <c r="K313"/>
      <c r="L313"/>
      <c r="M313"/>
      <c r="S313" s="54"/>
    </row>
    <row r="314" spans="1:19" s="15" customFormat="1" x14ac:dyDescent="0.3">
      <c r="A314" s="17"/>
      <c r="B314"/>
      <c r="C314"/>
      <c r="D314"/>
      <c r="E314"/>
      <c r="F314"/>
      <c r="G314"/>
      <c r="H314"/>
      <c r="I314"/>
      <c r="J314"/>
      <c r="K314"/>
      <c r="L314"/>
      <c r="M314"/>
      <c r="S314" s="54"/>
    </row>
    <row r="315" spans="1:19" s="15" customFormat="1" x14ac:dyDescent="0.3">
      <c r="A315" s="17"/>
      <c r="B315"/>
      <c r="C315"/>
      <c r="D315"/>
      <c r="E315"/>
      <c r="F315"/>
      <c r="G315"/>
      <c r="H315"/>
      <c r="I315"/>
      <c r="J315"/>
      <c r="K315"/>
      <c r="L315"/>
      <c r="M315"/>
      <c r="S315" s="54"/>
    </row>
    <row r="316" spans="1:19" s="15" customFormat="1" x14ac:dyDescent="0.3">
      <c r="A316" s="17"/>
      <c r="B316"/>
      <c r="C316"/>
      <c r="D316"/>
      <c r="E316"/>
      <c r="F316"/>
      <c r="G316"/>
      <c r="H316"/>
      <c r="I316"/>
      <c r="J316"/>
      <c r="K316"/>
      <c r="L316"/>
      <c r="M316"/>
      <c r="S316" s="54"/>
    </row>
    <row r="317" spans="1:19" s="15" customFormat="1" x14ac:dyDescent="0.3">
      <c r="A317" s="17"/>
      <c r="B317"/>
      <c r="C317"/>
      <c r="D317"/>
      <c r="E317"/>
      <c r="F317"/>
      <c r="G317"/>
      <c r="H317"/>
      <c r="I317"/>
      <c r="J317"/>
      <c r="K317"/>
      <c r="L317"/>
      <c r="M317"/>
      <c r="S317" s="54"/>
    </row>
    <row r="318" spans="1:19" s="15" customFormat="1" x14ac:dyDescent="0.3">
      <c r="A318" s="17"/>
      <c r="B318"/>
      <c r="C318"/>
      <c r="D318"/>
      <c r="E318"/>
      <c r="F318"/>
      <c r="G318"/>
      <c r="H318"/>
      <c r="I318"/>
      <c r="J318"/>
      <c r="K318"/>
      <c r="L318"/>
      <c r="M318"/>
      <c r="S318" s="54"/>
    </row>
    <row r="319" spans="1:19" s="15" customFormat="1" x14ac:dyDescent="0.3">
      <c r="A319" s="17"/>
      <c r="B319"/>
      <c r="C319"/>
      <c r="D319"/>
      <c r="E319"/>
      <c r="F319"/>
      <c r="G319"/>
      <c r="H319"/>
      <c r="I319"/>
      <c r="J319"/>
      <c r="K319"/>
      <c r="L319"/>
      <c r="M319"/>
      <c r="S319" s="54"/>
    </row>
    <row r="320" spans="1:19" s="15" customFormat="1" x14ac:dyDescent="0.3">
      <c r="A320" s="17"/>
      <c r="B320"/>
      <c r="C320"/>
      <c r="D320"/>
      <c r="E320"/>
      <c r="F320"/>
      <c r="G320"/>
      <c r="H320"/>
      <c r="I320"/>
      <c r="J320"/>
      <c r="K320"/>
      <c r="L320"/>
      <c r="M320"/>
      <c r="S320" s="54"/>
    </row>
    <row r="321" spans="1:19" s="15" customFormat="1" x14ac:dyDescent="0.3">
      <c r="A321" s="17"/>
      <c r="B321"/>
      <c r="C321"/>
      <c r="D321"/>
      <c r="E321"/>
      <c r="F321"/>
      <c r="G321"/>
      <c r="H321"/>
      <c r="I321"/>
      <c r="J321"/>
      <c r="K321"/>
      <c r="L321"/>
      <c r="M321"/>
      <c r="S321" s="54"/>
    </row>
    <row r="322" spans="1:19" s="15" customFormat="1" x14ac:dyDescent="0.3">
      <c r="A322" s="17"/>
      <c r="B322"/>
      <c r="C322"/>
      <c r="D322"/>
      <c r="E322"/>
      <c r="F322"/>
      <c r="G322"/>
      <c r="H322"/>
      <c r="I322"/>
      <c r="J322"/>
      <c r="K322"/>
      <c r="L322"/>
      <c r="M322"/>
      <c r="S322" s="54"/>
    </row>
    <row r="323" spans="1:19" s="15" customFormat="1" x14ac:dyDescent="0.3">
      <c r="A323" s="17"/>
      <c r="B323"/>
      <c r="C323"/>
      <c r="D323"/>
      <c r="E323"/>
      <c r="F323"/>
      <c r="G323"/>
      <c r="H323"/>
      <c r="I323"/>
      <c r="J323"/>
      <c r="K323"/>
      <c r="L323"/>
      <c r="M323"/>
      <c r="S323" s="54"/>
    </row>
    <row r="324" spans="1:19" s="15" customFormat="1" x14ac:dyDescent="0.3">
      <c r="A324" s="17"/>
      <c r="B324"/>
      <c r="C324"/>
      <c r="D324"/>
      <c r="E324"/>
      <c r="F324"/>
      <c r="G324"/>
      <c r="H324"/>
      <c r="I324"/>
      <c r="J324"/>
      <c r="K324"/>
      <c r="L324"/>
      <c r="M324"/>
      <c r="S324" s="54"/>
    </row>
    <row r="325" spans="1:19" s="15" customFormat="1" x14ac:dyDescent="0.3">
      <c r="A325" s="17"/>
      <c r="B325"/>
      <c r="C325"/>
      <c r="D325"/>
      <c r="E325"/>
      <c r="F325"/>
      <c r="G325"/>
      <c r="H325"/>
      <c r="I325"/>
      <c r="J325"/>
      <c r="K325"/>
      <c r="L325"/>
      <c r="M325"/>
      <c r="S325" s="54"/>
    </row>
    <row r="326" spans="1:19" s="15" customFormat="1" x14ac:dyDescent="0.3">
      <c r="A326" s="17"/>
      <c r="B326"/>
      <c r="C326"/>
      <c r="D326"/>
      <c r="E326"/>
      <c r="F326"/>
      <c r="G326"/>
      <c r="H326"/>
      <c r="I326"/>
      <c r="J326"/>
      <c r="K326"/>
      <c r="L326"/>
      <c r="M326"/>
      <c r="S326" s="54"/>
    </row>
    <row r="327" spans="1:19" s="15" customFormat="1" x14ac:dyDescent="0.3">
      <c r="A327" s="17"/>
      <c r="B327"/>
      <c r="C327"/>
      <c r="D327"/>
      <c r="E327"/>
      <c r="F327"/>
      <c r="G327"/>
      <c r="H327"/>
      <c r="I327"/>
      <c r="J327"/>
      <c r="K327"/>
      <c r="L327"/>
      <c r="M327"/>
      <c r="S327" s="54"/>
    </row>
    <row r="328" spans="1:19" s="15" customFormat="1" x14ac:dyDescent="0.3">
      <c r="A328" s="17"/>
      <c r="B328"/>
      <c r="C328"/>
      <c r="D328"/>
      <c r="E328"/>
      <c r="F328"/>
      <c r="G328"/>
      <c r="H328"/>
      <c r="I328"/>
      <c r="J328"/>
      <c r="K328"/>
      <c r="L328"/>
      <c r="M328"/>
      <c r="S328" s="54"/>
    </row>
    <row r="329" spans="1:19" s="15" customFormat="1" x14ac:dyDescent="0.3">
      <c r="A329" s="17"/>
      <c r="B329"/>
      <c r="C329"/>
      <c r="D329"/>
      <c r="E329"/>
      <c r="F329"/>
      <c r="G329"/>
      <c r="H329"/>
      <c r="I329"/>
      <c r="J329"/>
      <c r="K329"/>
      <c r="L329"/>
      <c r="M329"/>
      <c r="S329" s="54"/>
    </row>
    <row r="330" spans="1:19" s="15" customFormat="1" x14ac:dyDescent="0.3">
      <c r="A330" s="17"/>
      <c r="B330"/>
      <c r="C330"/>
      <c r="D330"/>
      <c r="E330"/>
      <c r="F330"/>
      <c r="G330"/>
      <c r="H330"/>
      <c r="I330"/>
      <c r="J330"/>
      <c r="K330"/>
      <c r="L330"/>
      <c r="M330"/>
      <c r="S330" s="54"/>
    </row>
    <row r="331" spans="1:19" s="15" customFormat="1" x14ac:dyDescent="0.3">
      <c r="A331" s="17"/>
      <c r="B331"/>
      <c r="C331"/>
      <c r="D331"/>
      <c r="E331"/>
      <c r="F331"/>
      <c r="G331"/>
      <c r="H331"/>
      <c r="I331"/>
      <c r="J331"/>
      <c r="K331"/>
      <c r="L331"/>
      <c r="M331"/>
      <c r="S331" s="54"/>
    </row>
    <row r="332" spans="1:19" s="15" customFormat="1" x14ac:dyDescent="0.3">
      <c r="A332" s="17"/>
      <c r="B332"/>
      <c r="C332"/>
      <c r="D332"/>
      <c r="E332"/>
      <c r="F332"/>
      <c r="G332"/>
      <c r="H332"/>
      <c r="I332"/>
      <c r="J332"/>
      <c r="K332"/>
      <c r="L332"/>
      <c r="M332"/>
      <c r="S332" s="54"/>
    </row>
    <row r="333" spans="1:19" s="15" customFormat="1" x14ac:dyDescent="0.3">
      <c r="A333" s="17"/>
      <c r="B333"/>
      <c r="C333"/>
      <c r="D333"/>
      <c r="E333"/>
      <c r="F333"/>
      <c r="G333"/>
      <c r="H333"/>
      <c r="I333"/>
      <c r="J333"/>
      <c r="K333"/>
      <c r="L333"/>
      <c r="M333"/>
      <c r="S333" s="54"/>
    </row>
    <row r="334" spans="1:19" s="15" customFormat="1" x14ac:dyDescent="0.3">
      <c r="A334" s="17"/>
      <c r="B334"/>
      <c r="C334"/>
      <c r="D334"/>
      <c r="E334"/>
      <c r="F334"/>
      <c r="G334"/>
      <c r="H334"/>
      <c r="I334"/>
      <c r="J334"/>
      <c r="K334"/>
      <c r="L334"/>
      <c r="M334"/>
      <c r="S334" s="54"/>
    </row>
    <row r="335" spans="1:19" s="15" customFormat="1" x14ac:dyDescent="0.3">
      <c r="A335" s="17"/>
      <c r="B335"/>
      <c r="C335"/>
      <c r="D335"/>
      <c r="E335"/>
      <c r="F335"/>
      <c r="G335"/>
      <c r="H335"/>
      <c r="I335"/>
      <c r="J335"/>
      <c r="K335"/>
      <c r="L335"/>
      <c r="M335"/>
      <c r="S335" s="54"/>
    </row>
    <row r="336" spans="1:19" s="15" customFormat="1" x14ac:dyDescent="0.3">
      <c r="A336" s="17"/>
      <c r="B336"/>
      <c r="C336"/>
      <c r="D336"/>
      <c r="E336"/>
      <c r="F336"/>
      <c r="G336"/>
      <c r="H336"/>
      <c r="I336"/>
      <c r="J336"/>
      <c r="K336"/>
      <c r="L336"/>
      <c r="M336"/>
      <c r="S336" s="54"/>
    </row>
    <row r="337" spans="1:19" s="15" customFormat="1" x14ac:dyDescent="0.3">
      <c r="A337" s="17"/>
      <c r="B337"/>
      <c r="C337"/>
      <c r="D337"/>
      <c r="E337"/>
      <c r="F337"/>
      <c r="G337"/>
      <c r="H337"/>
      <c r="I337"/>
      <c r="J337"/>
      <c r="K337"/>
      <c r="L337"/>
      <c r="M337"/>
      <c r="S337" s="54"/>
    </row>
    <row r="338" spans="1:19" s="15" customFormat="1" x14ac:dyDescent="0.3">
      <c r="A338" s="17"/>
      <c r="B338"/>
      <c r="C338"/>
      <c r="D338"/>
      <c r="E338"/>
      <c r="F338"/>
      <c r="G338"/>
      <c r="H338"/>
      <c r="I338"/>
      <c r="J338"/>
      <c r="K338"/>
      <c r="L338"/>
      <c r="M338"/>
      <c r="S338" s="54"/>
    </row>
    <row r="339" spans="1:19" s="15" customFormat="1" x14ac:dyDescent="0.3">
      <c r="A339" s="17"/>
      <c r="B339"/>
      <c r="C339"/>
      <c r="D339"/>
      <c r="E339"/>
      <c r="F339"/>
      <c r="G339"/>
      <c r="H339"/>
      <c r="I339"/>
      <c r="J339"/>
      <c r="K339"/>
      <c r="L339"/>
      <c r="M339"/>
      <c r="S339" s="54"/>
    </row>
    <row r="340" spans="1:19" s="15" customFormat="1" x14ac:dyDescent="0.3">
      <c r="A340" s="17"/>
      <c r="B340"/>
      <c r="C340"/>
      <c r="D340"/>
      <c r="E340"/>
      <c r="F340"/>
      <c r="G340"/>
      <c r="H340"/>
      <c r="I340"/>
      <c r="J340"/>
      <c r="K340"/>
      <c r="L340"/>
      <c r="M340"/>
      <c r="S340" s="54"/>
    </row>
    <row r="341" spans="1:19" s="15" customFormat="1" x14ac:dyDescent="0.3">
      <c r="A341" s="17"/>
      <c r="B341"/>
      <c r="C341"/>
      <c r="D341"/>
      <c r="E341"/>
      <c r="F341"/>
      <c r="G341"/>
      <c r="H341"/>
      <c r="I341"/>
      <c r="J341"/>
      <c r="K341"/>
      <c r="L341"/>
      <c r="M341"/>
      <c r="S341" s="54"/>
    </row>
    <row r="342" spans="1:19" s="15" customFormat="1" x14ac:dyDescent="0.3">
      <c r="A342" s="17"/>
      <c r="B342"/>
      <c r="C342"/>
      <c r="D342"/>
      <c r="E342"/>
      <c r="F342"/>
      <c r="G342"/>
      <c r="H342"/>
      <c r="I342"/>
      <c r="J342"/>
      <c r="K342"/>
      <c r="L342"/>
      <c r="M342"/>
      <c r="S342" s="54"/>
    </row>
    <row r="343" spans="1:19" s="15" customFormat="1" x14ac:dyDescent="0.3">
      <c r="A343" s="17"/>
      <c r="B343"/>
      <c r="C343"/>
      <c r="D343"/>
      <c r="E343"/>
      <c r="F343"/>
      <c r="G343"/>
      <c r="H343"/>
      <c r="I343"/>
      <c r="J343"/>
      <c r="K343"/>
      <c r="L343"/>
      <c r="M343"/>
      <c r="S343" s="54"/>
    </row>
    <row r="344" spans="1:19" s="15" customFormat="1" x14ac:dyDescent="0.3">
      <c r="A344" s="17"/>
      <c r="B344"/>
      <c r="C344"/>
      <c r="D344"/>
      <c r="E344"/>
      <c r="F344"/>
      <c r="G344"/>
      <c r="H344"/>
      <c r="I344"/>
      <c r="J344"/>
      <c r="K344"/>
      <c r="L344"/>
      <c r="M344"/>
      <c r="S344" s="54"/>
    </row>
    <row r="345" spans="1:19" s="15" customFormat="1" x14ac:dyDescent="0.3">
      <c r="A345" s="17"/>
      <c r="B345"/>
      <c r="C345"/>
      <c r="D345"/>
      <c r="E345"/>
      <c r="F345"/>
      <c r="G345"/>
      <c r="H345"/>
      <c r="I345"/>
      <c r="J345"/>
      <c r="K345"/>
      <c r="L345"/>
      <c r="M345"/>
      <c r="S345" s="54"/>
    </row>
    <row r="346" spans="1:19" s="15" customFormat="1" x14ac:dyDescent="0.3">
      <c r="A346" s="17"/>
      <c r="B346"/>
      <c r="C346"/>
      <c r="D346"/>
      <c r="E346"/>
      <c r="F346"/>
      <c r="G346"/>
      <c r="H346"/>
      <c r="I346"/>
      <c r="J346"/>
      <c r="K346"/>
      <c r="L346"/>
      <c r="M346"/>
      <c r="S346" s="54"/>
    </row>
    <row r="347" spans="1:19" s="15" customFormat="1" x14ac:dyDescent="0.3">
      <c r="A347" s="17"/>
      <c r="B347"/>
      <c r="C347"/>
      <c r="D347"/>
      <c r="E347"/>
      <c r="F347"/>
      <c r="G347"/>
      <c r="H347"/>
      <c r="I347"/>
      <c r="J347"/>
      <c r="K347"/>
      <c r="L347"/>
      <c r="M347"/>
      <c r="S347" s="54"/>
    </row>
    <row r="348" spans="1:19" s="15" customFormat="1" x14ac:dyDescent="0.3">
      <c r="A348" s="17"/>
      <c r="B348"/>
      <c r="C348"/>
      <c r="D348"/>
      <c r="E348"/>
      <c r="F348"/>
      <c r="G348"/>
      <c r="H348"/>
      <c r="I348"/>
      <c r="J348"/>
      <c r="K348"/>
      <c r="L348"/>
      <c r="M348"/>
      <c r="S348" s="54"/>
    </row>
    <row r="349" spans="1:19" s="15" customFormat="1" x14ac:dyDescent="0.3">
      <c r="A349" s="17"/>
      <c r="B349"/>
      <c r="C349"/>
      <c r="D349"/>
      <c r="E349"/>
      <c r="F349"/>
      <c r="G349"/>
      <c r="H349"/>
      <c r="I349"/>
      <c r="J349"/>
      <c r="K349"/>
      <c r="L349"/>
      <c r="M349"/>
      <c r="S349" s="54"/>
    </row>
    <row r="350" spans="1:19" s="15" customFormat="1" x14ac:dyDescent="0.3">
      <c r="A350" s="17"/>
      <c r="B350"/>
      <c r="C350"/>
      <c r="D350"/>
      <c r="E350"/>
      <c r="F350"/>
      <c r="G350"/>
      <c r="H350"/>
      <c r="I350"/>
      <c r="J350"/>
      <c r="K350"/>
      <c r="L350"/>
      <c r="M350"/>
      <c r="S350" s="54"/>
    </row>
    <row r="351" spans="1:19" s="15" customFormat="1" x14ac:dyDescent="0.3">
      <c r="A351" s="17"/>
      <c r="B351"/>
      <c r="C351"/>
      <c r="D351"/>
      <c r="E351"/>
      <c r="F351"/>
      <c r="G351"/>
      <c r="H351"/>
      <c r="I351"/>
      <c r="J351"/>
      <c r="K351"/>
      <c r="L351"/>
      <c r="M351"/>
      <c r="S351" s="54"/>
    </row>
    <row r="352" spans="1:19" s="15" customFormat="1" x14ac:dyDescent="0.3">
      <c r="A352" s="17"/>
      <c r="B352"/>
      <c r="C352"/>
      <c r="D352"/>
      <c r="E352"/>
      <c r="F352"/>
      <c r="G352"/>
      <c r="H352"/>
      <c r="I352"/>
      <c r="J352"/>
      <c r="K352"/>
      <c r="L352"/>
      <c r="M352"/>
      <c r="S352" s="54"/>
    </row>
    <row r="353" spans="1:19" s="15" customFormat="1" x14ac:dyDescent="0.3">
      <c r="A353" s="17"/>
      <c r="B353"/>
      <c r="C353"/>
      <c r="D353"/>
      <c r="E353"/>
      <c r="F353"/>
      <c r="G353"/>
      <c r="H353"/>
      <c r="I353"/>
      <c r="J353"/>
      <c r="K353"/>
      <c r="L353"/>
      <c r="M353"/>
      <c r="S353" s="54"/>
    </row>
    <row r="354" spans="1:19" s="15" customFormat="1" x14ac:dyDescent="0.3">
      <c r="A354" s="17"/>
      <c r="B354"/>
      <c r="C354"/>
      <c r="D354"/>
      <c r="E354"/>
      <c r="F354"/>
      <c r="G354"/>
      <c r="H354"/>
      <c r="I354"/>
      <c r="J354"/>
      <c r="K354"/>
      <c r="L354"/>
      <c r="M354"/>
      <c r="S354" s="54"/>
    </row>
    <row r="355" spans="1:19" s="15" customFormat="1" x14ac:dyDescent="0.3">
      <c r="A355" s="17"/>
      <c r="B355"/>
      <c r="C355"/>
      <c r="D355"/>
      <c r="E355"/>
      <c r="F355"/>
      <c r="G355"/>
      <c r="H355"/>
      <c r="I355"/>
      <c r="J355"/>
      <c r="K355"/>
      <c r="L355"/>
      <c r="M355"/>
      <c r="S355" s="54"/>
    </row>
    <row r="356" spans="1:19" s="15" customFormat="1" x14ac:dyDescent="0.3">
      <c r="A356" s="17"/>
      <c r="B356"/>
      <c r="C356"/>
      <c r="D356"/>
      <c r="E356"/>
      <c r="F356"/>
      <c r="G356"/>
      <c r="H356"/>
      <c r="I356"/>
      <c r="J356"/>
      <c r="K356"/>
      <c r="L356"/>
      <c r="M356"/>
      <c r="S356" s="54"/>
    </row>
    <row r="357" spans="1:19" s="15" customFormat="1" x14ac:dyDescent="0.3">
      <c r="A357" s="17"/>
      <c r="B357"/>
      <c r="C357"/>
      <c r="D357"/>
      <c r="E357"/>
      <c r="F357"/>
      <c r="G357"/>
      <c r="H357"/>
      <c r="I357"/>
      <c r="J357"/>
      <c r="K357"/>
      <c r="L357"/>
      <c r="M357"/>
      <c r="S357" s="54"/>
    </row>
    <row r="358" spans="1:19" s="15" customFormat="1" x14ac:dyDescent="0.3">
      <c r="A358" s="17"/>
      <c r="B358"/>
      <c r="C358"/>
      <c r="D358"/>
      <c r="E358"/>
      <c r="F358"/>
      <c r="G358"/>
      <c r="H358"/>
      <c r="I358"/>
      <c r="J358"/>
      <c r="K358"/>
      <c r="L358"/>
      <c r="M358"/>
      <c r="S358" s="54"/>
    </row>
    <row r="359" spans="1:19" s="15" customFormat="1" x14ac:dyDescent="0.3">
      <c r="A359" s="17"/>
      <c r="B359"/>
      <c r="C359"/>
      <c r="D359"/>
      <c r="E359"/>
      <c r="F359"/>
      <c r="G359"/>
      <c r="H359"/>
      <c r="I359"/>
      <c r="J359"/>
      <c r="K359"/>
      <c r="L359"/>
      <c r="M359"/>
      <c r="S359" s="54"/>
    </row>
    <row r="360" spans="1:19" s="15" customFormat="1" x14ac:dyDescent="0.3">
      <c r="A360" s="17"/>
      <c r="B360"/>
      <c r="C360"/>
      <c r="D360"/>
      <c r="E360"/>
      <c r="F360"/>
      <c r="G360"/>
      <c r="H360"/>
      <c r="I360"/>
      <c r="J360"/>
      <c r="K360"/>
      <c r="L360"/>
      <c r="M360"/>
      <c r="S360" s="54"/>
    </row>
    <row r="361" spans="1:19" s="15" customFormat="1" x14ac:dyDescent="0.3">
      <c r="A361" s="17"/>
      <c r="B361"/>
      <c r="C361"/>
      <c r="D361"/>
      <c r="E361"/>
      <c r="F361"/>
      <c r="G361"/>
      <c r="H361"/>
      <c r="I361"/>
      <c r="J361"/>
      <c r="K361"/>
      <c r="L361"/>
      <c r="M361"/>
      <c r="S361" s="54"/>
    </row>
    <row r="362" spans="1:19" s="15" customFormat="1" x14ac:dyDescent="0.3">
      <c r="A362" s="17"/>
      <c r="B362"/>
      <c r="C362"/>
      <c r="D362"/>
      <c r="E362"/>
      <c r="F362"/>
      <c r="G362"/>
      <c r="H362"/>
      <c r="I362"/>
      <c r="J362"/>
      <c r="K362"/>
      <c r="L362"/>
      <c r="M362"/>
      <c r="S362" s="54"/>
    </row>
    <row r="363" spans="1:19" s="15" customFormat="1" x14ac:dyDescent="0.3">
      <c r="A363" s="17"/>
      <c r="B363"/>
      <c r="C363"/>
      <c r="D363"/>
      <c r="E363"/>
      <c r="F363"/>
      <c r="G363"/>
      <c r="H363"/>
      <c r="I363"/>
      <c r="J363"/>
      <c r="K363"/>
      <c r="L363"/>
      <c r="M363"/>
      <c r="S363" s="54"/>
    </row>
    <row r="364" spans="1:19" s="15" customFormat="1" x14ac:dyDescent="0.3">
      <c r="A364" s="17"/>
      <c r="B364"/>
      <c r="C364"/>
      <c r="D364"/>
      <c r="E364"/>
      <c r="F364"/>
      <c r="G364"/>
      <c r="H364"/>
      <c r="I364"/>
      <c r="J364"/>
      <c r="K364"/>
      <c r="L364"/>
      <c r="M364"/>
      <c r="S364" s="54"/>
    </row>
    <row r="365" spans="1:19" s="15" customFormat="1" x14ac:dyDescent="0.3">
      <c r="A365" s="17"/>
      <c r="B365"/>
      <c r="C365"/>
      <c r="D365"/>
      <c r="E365"/>
      <c r="F365"/>
      <c r="G365"/>
      <c r="H365"/>
      <c r="I365"/>
      <c r="J365"/>
      <c r="K365"/>
      <c r="L365"/>
      <c r="M365"/>
      <c r="S365" s="54"/>
    </row>
    <row r="366" spans="1:19" s="15" customFormat="1" x14ac:dyDescent="0.3">
      <c r="A366" s="17"/>
      <c r="B366"/>
      <c r="C366"/>
      <c r="D366"/>
      <c r="E366"/>
      <c r="F366"/>
      <c r="G366"/>
      <c r="H366"/>
      <c r="I366"/>
      <c r="J366"/>
      <c r="K366"/>
      <c r="L366"/>
      <c r="M366"/>
      <c r="S366" s="54"/>
    </row>
    <row r="367" spans="1:19" s="15" customFormat="1" x14ac:dyDescent="0.3">
      <c r="A367" s="17"/>
      <c r="B367"/>
      <c r="C367"/>
      <c r="D367"/>
      <c r="E367"/>
      <c r="F367"/>
      <c r="G367"/>
      <c r="H367"/>
      <c r="I367"/>
      <c r="J367"/>
      <c r="K367"/>
      <c r="L367"/>
      <c r="M367"/>
      <c r="S367" s="54"/>
    </row>
    <row r="368" spans="1:19" s="15" customFormat="1" x14ac:dyDescent="0.3">
      <c r="A368" s="17"/>
      <c r="B368"/>
      <c r="C368"/>
      <c r="D368"/>
      <c r="E368"/>
      <c r="F368"/>
      <c r="G368"/>
      <c r="H368"/>
      <c r="I368"/>
      <c r="J368"/>
      <c r="K368"/>
      <c r="L368"/>
      <c r="M368"/>
      <c r="S368" s="54"/>
    </row>
    <row r="369" spans="1:19" s="15" customFormat="1" x14ac:dyDescent="0.3">
      <c r="A369" s="17"/>
      <c r="B369"/>
      <c r="C369"/>
      <c r="D369"/>
      <c r="E369"/>
      <c r="F369"/>
      <c r="G369"/>
      <c r="H369"/>
      <c r="I369"/>
      <c r="J369"/>
      <c r="K369"/>
      <c r="L369"/>
      <c r="M369"/>
      <c r="S369" s="54"/>
    </row>
    <row r="370" spans="1:19" s="15" customFormat="1" x14ac:dyDescent="0.3">
      <c r="A370" s="17"/>
      <c r="B370"/>
      <c r="C370"/>
      <c r="D370"/>
      <c r="E370"/>
      <c r="F370"/>
      <c r="G370"/>
      <c r="H370"/>
      <c r="I370"/>
      <c r="J370"/>
      <c r="K370"/>
      <c r="L370"/>
      <c r="M370"/>
      <c r="S370" s="54"/>
    </row>
    <row r="371" spans="1:19" s="15" customFormat="1" x14ac:dyDescent="0.3">
      <c r="A371" s="17"/>
      <c r="B371"/>
      <c r="C371"/>
      <c r="D371"/>
      <c r="E371"/>
      <c r="F371"/>
      <c r="G371"/>
      <c r="H371"/>
      <c r="I371"/>
      <c r="J371"/>
      <c r="K371"/>
      <c r="L371"/>
      <c r="M371"/>
      <c r="S371" s="54"/>
    </row>
    <row r="372" spans="1:19" s="15" customFormat="1" x14ac:dyDescent="0.3">
      <c r="A372" s="17"/>
      <c r="B372"/>
      <c r="C372"/>
      <c r="D372"/>
      <c r="E372"/>
      <c r="F372"/>
      <c r="G372"/>
      <c r="H372"/>
      <c r="I372"/>
      <c r="J372"/>
      <c r="K372"/>
      <c r="L372"/>
      <c r="M372"/>
      <c r="S372" s="54"/>
    </row>
    <row r="373" spans="1:19" s="15" customFormat="1" x14ac:dyDescent="0.3">
      <c r="A373" s="17"/>
      <c r="B373"/>
      <c r="C373"/>
      <c r="D373"/>
      <c r="E373"/>
      <c r="F373"/>
      <c r="G373"/>
      <c r="H373"/>
      <c r="I373"/>
      <c r="J373"/>
      <c r="K373"/>
      <c r="L373"/>
      <c r="M373"/>
      <c r="S373" s="54"/>
    </row>
    <row r="374" spans="1:19" s="15" customFormat="1" x14ac:dyDescent="0.3">
      <c r="A374" s="17"/>
      <c r="B374"/>
      <c r="C374"/>
      <c r="D374"/>
      <c r="E374"/>
      <c r="F374"/>
      <c r="G374"/>
      <c r="H374"/>
      <c r="I374"/>
      <c r="J374"/>
      <c r="K374"/>
      <c r="L374"/>
      <c r="M374"/>
      <c r="S374" s="54"/>
    </row>
    <row r="375" spans="1:19" s="15" customFormat="1" x14ac:dyDescent="0.3">
      <c r="A375" s="17"/>
      <c r="B375"/>
      <c r="C375"/>
      <c r="D375"/>
      <c r="E375"/>
      <c r="F375"/>
      <c r="G375"/>
      <c r="H375"/>
      <c r="I375"/>
      <c r="J375"/>
      <c r="K375"/>
      <c r="L375"/>
      <c r="M375"/>
      <c r="S375" s="54"/>
    </row>
    <row r="376" spans="1:19" s="15" customFormat="1" x14ac:dyDescent="0.3">
      <c r="A376" s="17"/>
      <c r="B376"/>
      <c r="C376"/>
      <c r="D376"/>
      <c r="E376"/>
      <c r="F376"/>
      <c r="G376"/>
      <c r="H376"/>
      <c r="I376"/>
      <c r="J376"/>
      <c r="K376"/>
      <c r="L376"/>
      <c r="M376"/>
      <c r="S376" s="54"/>
    </row>
    <row r="377" spans="1:19" s="15" customFormat="1" x14ac:dyDescent="0.3">
      <c r="A377" s="17"/>
      <c r="B377"/>
      <c r="C377"/>
      <c r="D377"/>
      <c r="E377"/>
      <c r="F377"/>
      <c r="G377"/>
      <c r="H377"/>
      <c r="I377"/>
      <c r="J377"/>
      <c r="K377"/>
      <c r="L377"/>
      <c r="M377"/>
      <c r="S377" s="54"/>
    </row>
    <row r="378" spans="1:19" s="15" customFormat="1" x14ac:dyDescent="0.3">
      <c r="A378" s="17"/>
      <c r="B378"/>
      <c r="C378"/>
      <c r="D378"/>
      <c r="E378"/>
      <c r="F378"/>
      <c r="G378"/>
      <c r="H378"/>
      <c r="I378"/>
      <c r="J378"/>
      <c r="K378"/>
      <c r="L378"/>
      <c r="M378"/>
      <c r="S378" s="54"/>
    </row>
    <row r="379" spans="1:19" s="15" customFormat="1" x14ac:dyDescent="0.3">
      <c r="A379" s="17"/>
      <c r="B379"/>
      <c r="C379"/>
      <c r="D379"/>
      <c r="E379"/>
      <c r="F379"/>
      <c r="G379"/>
      <c r="H379"/>
      <c r="I379"/>
      <c r="J379"/>
      <c r="K379"/>
      <c r="L379"/>
      <c r="M379"/>
      <c r="S379" s="54"/>
    </row>
    <row r="380" spans="1:19" s="15" customFormat="1" x14ac:dyDescent="0.3">
      <c r="A380" s="17"/>
      <c r="B380"/>
      <c r="C380"/>
      <c r="D380"/>
      <c r="E380"/>
      <c r="F380"/>
      <c r="G380"/>
      <c r="H380"/>
      <c r="I380"/>
      <c r="J380"/>
      <c r="K380"/>
      <c r="L380"/>
      <c r="M380"/>
      <c r="S380" s="54"/>
    </row>
    <row r="381" spans="1:19" s="15" customFormat="1" x14ac:dyDescent="0.3">
      <c r="A381" s="17"/>
      <c r="B381"/>
      <c r="C381"/>
      <c r="D381"/>
      <c r="E381"/>
      <c r="F381"/>
      <c r="G381"/>
      <c r="H381"/>
      <c r="I381"/>
      <c r="J381"/>
      <c r="K381"/>
      <c r="L381"/>
      <c r="M381"/>
      <c r="S381" s="54"/>
    </row>
    <row r="382" spans="1:19" s="15" customFormat="1" x14ac:dyDescent="0.3">
      <c r="A382" s="17"/>
      <c r="B382"/>
      <c r="C382"/>
      <c r="D382"/>
      <c r="E382"/>
      <c r="F382"/>
      <c r="G382"/>
      <c r="H382"/>
      <c r="I382"/>
      <c r="J382"/>
      <c r="K382"/>
      <c r="L382"/>
      <c r="M382"/>
      <c r="S382" s="54"/>
    </row>
    <row r="383" spans="1:19" s="15" customFormat="1" x14ac:dyDescent="0.3">
      <c r="A383" s="17"/>
      <c r="B383"/>
      <c r="C383"/>
      <c r="D383"/>
      <c r="E383"/>
      <c r="F383"/>
      <c r="G383"/>
      <c r="H383"/>
      <c r="I383"/>
      <c r="J383"/>
      <c r="K383"/>
      <c r="L383"/>
      <c r="M383"/>
      <c r="S383" s="54"/>
    </row>
    <row r="384" spans="1:19" s="15" customFormat="1" x14ac:dyDescent="0.3">
      <c r="A384" s="17"/>
      <c r="B384"/>
      <c r="C384"/>
      <c r="D384"/>
      <c r="E384"/>
      <c r="F384"/>
      <c r="G384"/>
      <c r="H384"/>
      <c r="I384"/>
      <c r="J384"/>
      <c r="K384"/>
      <c r="L384"/>
      <c r="M384"/>
      <c r="S384" s="54"/>
    </row>
    <row r="385" spans="1:19" s="15" customFormat="1" x14ac:dyDescent="0.3">
      <c r="A385" s="17"/>
      <c r="B385"/>
      <c r="C385"/>
      <c r="D385"/>
      <c r="E385"/>
      <c r="F385"/>
      <c r="G385"/>
      <c r="H385"/>
      <c r="I385"/>
      <c r="J385"/>
      <c r="K385"/>
      <c r="L385"/>
      <c r="M385"/>
      <c r="S385" s="54"/>
    </row>
    <row r="386" spans="1:19" s="15" customFormat="1" x14ac:dyDescent="0.3">
      <c r="A386" s="17"/>
      <c r="B386"/>
      <c r="C386"/>
      <c r="D386"/>
      <c r="E386"/>
      <c r="F386"/>
      <c r="G386"/>
      <c r="H386"/>
      <c r="I386"/>
      <c r="J386"/>
      <c r="K386"/>
      <c r="L386"/>
      <c r="M386"/>
      <c r="S386" s="54"/>
    </row>
    <row r="387" spans="1:19" s="15" customFormat="1" x14ac:dyDescent="0.3">
      <c r="A387" s="17"/>
      <c r="B387"/>
      <c r="C387"/>
      <c r="D387"/>
      <c r="E387"/>
      <c r="F387"/>
      <c r="G387"/>
      <c r="H387"/>
      <c r="I387"/>
      <c r="J387"/>
      <c r="K387"/>
      <c r="L387"/>
      <c r="M387"/>
      <c r="S387" s="54"/>
    </row>
    <row r="388" spans="1:19" s="15" customFormat="1" x14ac:dyDescent="0.3">
      <c r="A388" s="17"/>
      <c r="B388"/>
      <c r="C388"/>
      <c r="D388"/>
      <c r="E388"/>
      <c r="F388"/>
      <c r="G388"/>
      <c r="H388"/>
      <c r="I388"/>
      <c r="J388"/>
      <c r="K388"/>
      <c r="L388"/>
      <c r="M388"/>
      <c r="S388" s="54"/>
    </row>
    <row r="389" spans="1:19" s="15" customFormat="1" x14ac:dyDescent="0.3">
      <c r="A389" s="17"/>
      <c r="B389"/>
      <c r="C389"/>
      <c r="D389"/>
      <c r="E389"/>
      <c r="F389"/>
      <c r="G389"/>
      <c r="H389"/>
      <c r="I389"/>
      <c r="J389"/>
      <c r="K389"/>
      <c r="L389"/>
      <c r="M389"/>
      <c r="S389" s="54"/>
    </row>
    <row r="390" spans="1:19" s="15" customFormat="1" x14ac:dyDescent="0.3">
      <c r="A390" s="17"/>
      <c r="B390"/>
      <c r="C390"/>
      <c r="D390"/>
      <c r="E390"/>
      <c r="F390"/>
      <c r="G390"/>
      <c r="H390"/>
      <c r="I390"/>
      <c r="J390"/>
      <c r="K390"/>
      <c r="L390"/>
      <c r="M390"/>
      <c r="S390" s="54"/>
    </row>
    <row r="391" spans="1:19" s="15" customFormat="1" x14ac:dyDescent="0.3">
      <c r="A391" s="17"/>
      <c r="B391"/>
      <c r="C391"/>
      <c r="D391"/>
      <c r="E391"/>
      <c r="F391"/>
      <c r="G391"/>
      <c r="H391"/>
      <c r="I391"/>
      <c r="J391"/>
      <c r="K391"/>
      <c r="L391"/>
      <c r="M391"/>
      <c r="S391" s="54"/>
    </row>
    <row r="392" spans="1:19" s="15" customFormat="1" x14ac:dyDescent="0.3">
      <c r="A392" s="17"/>
      <c r="B392"/>
      <c r="C392"/>
      <c r="D392"/>
      <c r="E392"/>
      <c r="F392"/>
      <c r="G392"/>
      <c r="H392"/>
      <c r="I392"/>
      <c r="J392"/>
      <c r="K392"/>
      <c r="L392"/>
      <c r="M392"/>
      <c r="S392" s="54"/>
    </row>
    <row r="393" spans="1:19" s="15" customFormat="1" x14ac:dyDescent="0.3">
      <c r="A393" s="17"/>
      <c r="B393"/>
      <c r="C393"/>
      <c r="D393"/>
      <c r="E393"/>
      <c r="F393"/>
      <c r="G393"/>
      <c r="H393"/>
      <c r="I393"/>
      <c r="J393"/>
      <c r="K393"/>
      <c r="L393"/>
      <c r="M393"/>
      <c r="S393" s="54"/>
    </row>
    <row r="394" spans="1:19" s="15" customFormat="1" x14ac:dyDescent="0.3">
      <c r="A394" s="17"/>
      <c r="B394"/>
      <c r="C394"/>
      <c r="D394"/>
      <c r="E394"/>
      <c r="F394"/>
      <c r="G394"/>
      <c r="H394"/>
      <c r="I394"/>
      <c r="J394"/>
      <c r="K394"/>
      <c r="L394"/>
      <c r="M394"/>
      <c r="S394" s="54"/>
    </row>
    <row r="395" spans="1:19" s="15" customFormat="1" x14ac:dyDescent="0.3">
      <c r="A395" s="17"/>
      <c r="B395"/>
      <c r="C395"/>
      <c r="D395"/>
      <c r="E395"/>
      <c r="F395"/>
      <c r="G395"/>
      <c r="H395"/>
      <c r="I395"/>
      <c r="J395"/>
      <c r="K395"/>
      <c r="L395"/>
      <c r="M395"/>
      <c r="S395" s="54"/>
    </row>
    <row r="396" spans="1:19" s="15" customFormat="1" x14ac:dyDescent="0.3">
      <c r="A396" s="17"/>
      <c r="B396"/>
      <c r="C396"/>
      <c r="D396"/>
      <c r="E396"/>
      <c r="F396"/>
      <c r="G396"/>
      <c r="H396"/>
      <c r="I396"/>
      <c r="J396"/>
      <c r="K396"/>
      <c r="L396"/>
      <c r="M396"/>
      <c r="S396" s="54"/>
    </row>
    <row r="397" spans="1:19" s="15" customFormat="1" x14ac:dyDescent="0.3">
      <c r="A397" s="17"/>
      <c r="B397"/>
      <c r="C397"/>
      <c r="D397"/>
      <c r="E397"/>
      <c r="F397"/>
      <c r="G397"/>
      <c r="H397"/>
      <c r="I397"/>
      <c r="J397"/>
      <c r="K397"/>
      <c r="L397"/>
      <c r="M397"/>
      <c r="S397" s="54"/>
    </row>
    <row r="398" spans="1:19" s="15" customFormat="1" x14ac:dyDescent="0.3">
      <c r="A398" s="17"/>
      <c r="B398"/>
      <c r="C398"/>
      <c r="D398"/>
      <c r="E398"/>
      <c r="F398"/>
      <c r="G398"/>
      <c r="H398"/>
      <c r="I398"/>
      <c r="J398"/>
      <c r="K398"/>
      <c r="L398"/>
      <c r="M398"/>
      <c r="S398" s="54"/>
    </row>
    <row r="399" spans="1:19" s="15" customFormat="1" x14ac:dyDescent="0.3">
      <c r="A399" s="17"/>
      <c r="B399"/>
      <c r="C399"/>
      <c r="D399"/>
      <c r="E399"/>
      <c r="F399"/>
      <c r="G399"/>
      <c r="H399"/>
      <c r="I399"/>
      <c r="J399"/>
      <c r="K399"/>
      <c r="L399"/>
      <c r="M399"/>
      <c r="S399" s="54"/>
    </row>
    <row r="400" spans="1:19" s="15" customFormat="1" x14ac:dyDescent="0.3">
      <c r="A400" s="17"/>
      <c r="B400"/>
      <c r="C400"/>
      <c r="D400"/>
      <c r="E400"/>
      <c r="F400"/>
      <c r="G400"/>
      <c r="H400"/>
      <c r="I400"/>
      <c r="J400"/>
      <c r="K400"/>
      <c r="L400"/>
      <c r="M400"/>
      <c r="S400" s="54"/>
    </row>
    <row r="401" spans="1:19" s="15" customFormat="1" x14ac:dyDescent="0.3">
      <c r="A401" s="17"/>
      <c r="B401"/>
      <c r="C401"/>
      <c r="D401"/>
      <c r="E401"/>
      <c r="F401"/>
      <c r="G401"/>
      <c r="H401"/>
      <c r="I401"/>
      <c r="J401"/>
      <c r="K401"/>
      <c r="L401"/>
      <c r="M401"/>
      <c r="S401" s="54"/>
    </row>
    <row r="402" spans="1:19" s="15" customFormat="1" x14ac:dyDescent="0.3">
      <c r="A402" s="17"/>
      <c r="B402"/>
      <c r="C402"/>
      <c r="D402"/>
      <c r="E402"/>
      <c r="F402"/>
      <c r="G402"/>
      <c r="H402"/>
      <c r="I402"/>
      <c r="J402"/>
      <c r="K402"/>
      <c r="L402"/>
      <c r="M402"/>
      <c r="S402" s="54"/>
    </row>
    <row r="403" spans="1:19" s="15" customFormat="1" x14ac:dyDescent="0.3">
      <c r="A403" s="17"/>
      <c r="B403"/>
      <c r="C403"/>
      <c r="D403"/>
      <c r="E403"/>
      <c r="F403"/>
      <c r="G403"/>
      <c r="H403"/>
      <c r="I403"/>
      <c r="J403"/>
      <c r="K403"/>
      <c r="L403"/>
      <c r="M403"/>
      <c r="S403" s="54"/>
    </row>
    <row r="404" spans="1:19" s="15" customFormat="1" x14ac:dyDescent="0.3">
      <c r="A404" s="17"/>
      <c r="B404"/>
      <c r="C404"/>
      <c r="D404"/>
      <c r="E404"/>
      <c r="F404"/>
      <c r="G404"/>
      <c r="H404"/>
      <c r="I404"/>
      <c r="J404"/>
      <c r="K404"/>
      <c r="L404"/>
      <c r="M404"/>
      <c r="S404" s="54"/>
    </row>
    <row r="405" spans="1:19" s="15" customFormat="1" x14ac:dyDescent="0.3">
      <c r="A405" s="17"/>
      <c r="B405"/>
      <c r="C405"/>
      <c r="D405"/>
      <c r="E405"/>
      <c r="F405"/>
      <c r="G405"/>
      <c r="H405"/>
      <c r="I405"/>
      <c r="J405"/>
      <c r="K405"/>
      <c r="L405"/>
      <c r="M405"/>
      <c r="S405" s="54"/>
    </row>
    <row r="406" spans="1:19" s="15" customFormat="1" x14ac:dyDescent="0.3">
      <c r="A406" s="17"/>
      <c r="B406"/>
      <c r="C406"/>
      <c r="D406"/>
      <c r="E406"/>
      <c r="F406"/>
      <c r="G406"/>
      <c r="H406"/>
      <c r="I406"/>
      <c r="J406"/>
      <c r="K406"/>
      <c r="L406"/>
      <c r="M406"/>
      <c r="S406" s="54"/>
    </row>
    <row r="407" spans="1:19" s="15" customFormat="1" x14ac:dyDescent="0.3">
      <c r="A407" s="17"/>
      <c r="B407"/>
      <c r="C407"/>
      <c r="D407"/>
      <c r="E407"/>
      <c r="F407"/>
      <c r="G407"/>
      <c r="H407"/>
      <c r="I407"/>
      <c r="J407"/>
      <c r="K407"/>
      <c r="L407"/>
      <c r="M407"/>
      <c r="S407" s="54"/>
    </row>
    <row r="408" spans="1:19" s="15" customFormat="1" x14ac:dyDescent="0.3">
      <c r="A408" s="17"/>
      <c r="B408"/>
      <c r="C408"/>
      <c r="D408"/>
      <c r="E408"/>
      <c r="F408"/>
      <c r="G408"/>
      <c r="H408"/>
      <c r="I408"/>
      <c r="J408"/>
      <c r="K408"/>
      <c r="L408"/>
      <c r="M408"/>
      <c r="S408" s="54"/>
    </row>
    <row r="409" spans="1:19" s="15" customFormat="1" x14ac:dyDescent="0.3">
      <c r="A409" s="17"/>
      <c r="B409"/>
      <c r="C409"/>
      <c r="D409"/>
      <c r="E409"/>
      <c r="F409"/>
      <c r="G409"/>
      <c r="H409"/>
      <c r="I409"/>
      <c r="J409"/>
      <c r="K409"/>
      <c r="L409"/>
      <c r="M409"/>
      <c r="S409" s="54"/>
    </row>
    <row r="410" spans="1:19" s="15" customFormat="1" x14ac:dyDescent="0.3">
      <c r="A410" s="17"/>
      <c r="B410"/>
      <c r="C410"/>
      <c r="D410"/>
      <c r="E410"/>
      <c r="F410"/>
      <c r="G410"/>
      <c r="H410"/>
      <c r="I410"/>
      <c r="J410"/>
      <c r="K410"/>
      <c r="L410"/>
      <c r="M410"/>
      <c r="S410" s="54"/>
    </row>
    <row r="411" spans="1:19" s="15" customFormat="1" x14ac:dyDescent="0.3">
      <c r="A411" s="17"/>
      <c r="B411"/>
      <c r="C411"/>
      <c r="D411"/>
      <c r="E411"/>
      <c r="F411"/>
      <c r="G411"/>
      <c r="H411"/>
      <c r="I411"/>
      <c r="J411"/>
      <c r="K411"/>
      <c r="L411"/>
      <c r="M411"/>
      <c r="S411" s="54"/>
    </row>
    <row r="412" spans="1:19" s="15" customFormat="1" x14ac:dyDescent="0.3">
      <c r="A412" s="17"/>
      <c r="B412"/>
      <c r="C412"/>
      <c r="D412"/>
      <c r="E412"/>
      <c r="F412"/>
      <c r="G412"/>
      <c r="H412"/>
      <c r="I412"/>
      <c r="J412"/>
      <c r="K412"/>
      <c r="L412"/>
      <c r="M412"/>
      <c r="S412" s="54"/>
    </row>
    <row r="413" spans="1:19" s="15" customFormat="1" x14ac:dyDescent="0.3">
      <c r="A413" s="17"/>
      <c r="B413"/>
      <c r="C413"/>
      <c r="D413"/>
      <c r="E413"/>
      <c r="F413"/>
      <c r="G413"/>
      <c r="H413"/>
      <c r="I413"/>
      <c r="J413"/>
      <c r="K413"/>
      <c r="L413"/>
      <c r="M413"/>
      <c r="S413" s="54"/>
    </row>
    <row r="414" spans="1:19" s="15" customFormat="1" x14ac:dyDescent="0.3">
      <c r="A414" s="17"/>
      <c r="B414"/>
      <c r="C414"/>
      <c r="D414"/>
      <c r="E414"/>
      <c r="F414"/>
      <c r="G414"/>
      <c r="H414"/>
      <c r="I414"/>
      <c r="J414"/>
      <c r="K414"/>
      <c r="L414"/>
      <c r="M414"/>
      <c r="S414" s="54"/>
    </row>
    <row r="415" spans="1:19" s="15" customFormat="1" x14ac:dyDescent="0.3">
      <c r="A415" s="17"/>
      <c r="B415"/>
      <c r="C415"/>
      <c r="D415"/>
      <c r="E415"/>
      <c r="F415"/>
      <c r="G415"/>
      <c r="H415"/>
      <c r="I415"/>
      <c r="J415"/>
      <c r="K415"/>
      <c r="L415"/>
      <c r="M415"/>
      <c r="S415" s="54"/>
    </row>
    <row r="416" spans="1:19" s="15" customFormat="1" x14ac:dyDescent="0.3">
      <c r="A416" s="17"/>
      <c r="B416"/>
      <c r="C416"/>
      <c r="D416"/>
      <c r="E416"/>
      <c r="F416"/>
      <c r="G416"/>
      <c r="H416"/>
      <c r="I416"/>
      <c r="J416"/>
      <c r="K416"/>
      <c r="L416"/>
      <c r="M416"/>
      <c r="S416" s="54"/>
    </row>
    <row r="417" spans="1:19" s="15" customFormat="1" x14ac:dyDescent="0.3">
      <c r="A417" s="17"/>
      <c r="B417"/>
      <c r="C417"/>
      <c r="D417"/>
      <c r="E417"/>
      <c r="F417"/>
      <c r="G417"/>
      <c r="H417"/>
      <c r="I417"/>
      <c r="J417"/>
      <c r="K417"/>
      <c r="L417"/>
      <c r="M417"/>
      <c r="S417" s="54"/>
    </row>
    <row r="418" spans="1:19" s="15" customFormat="1" x14ac:dyDescent="0.3">
      <c r="A418" s="17"/>
      <c r="B418"/>
      <c r="C418"/>
      <c r="D418"/>
      <c r="E418"/>
      <c r="F418"/>
      <c r="G418"/>
      <c r="H418"/>
      <c r="I418"/>
      <c r="J418"/>
      <c r="K418"/>
      <c r="L418"/>
      <c r="M418"/>
      <c r="S418" s="54"/>
    </row>
    <row r="419" spans="1:19" s="15" customFormat="1" x14ac:dyDescent="0.3">
      <c r="A419" s="17"/>
      <c r="B419"/>
      <c r="C419"/>
      <c r="D419"/>
      <c r="E419"/>
      <c r="F419"/>
      <c r="G419"/>
      <c r="H419"/>
      <c r="I419"/>
      <c r="J419"/>
      <c r="K419"/>
      <c r="L419"/>
      <c r="M419"/>
      <c r="S419" s="54"/>
    </row>
    <row r="420" spans="1:19" s="15" customFormat="1" x14ac:dyDescent="0.3">
      <c r="A420" s="17"/>
      <c r="B420"/>
      <c r="C420"/>
      <c r="D420"/>
      <c r="E420"/>
      <c r="F420"/>
      <c r="G420"/>
      <c r="H420"/>
      <c r="I420"/>
      <c r="J420"/>
      <c r="K420"/>
      <c r="L420"/>
      <c r="M420"/>
      <c r="S420" s="54"/>
    </row>
    <row r="421" spans="1:19" s="15" customFormat="1" x14ac:dyDescent="0.3">
      <c r="A421" s="17"/>
      <c r="B421"/>
      <c r="C421"/>
      <c r="D421"/>
      <c r="E421"/>
      <c r="F421"/>
      <c r="G421"/>
      <c r="H421"/>
      <c r="I421"/>
      <c r="J421"/>
      <c r="K421"/>
      <c r="L421"/>
      <c r="M421"/>
      <c r="S421" s="54"/>
    </row>
    <row r="422" spans="1:19" s="15" customFormat="1" x14ac:dyDescent="0.3">
      <c r="A422" s="17"/>
      <c r="B422"/>
      <c r="C422"/>
      <c r="D422"/>
      <c r="E422"/>
      <c r="F422"/>
      <c r="G422"/>
      <c r="H422"/>
      <c r="I422"/>
      <c r="J422"/>
      <c r="K422"/>
      <c r="L422"/>
      <c r="M422"/>
      <c r="S422" s="54"/>
    </row>
    <row r="423" spans="1:19" s="15" customFormat="1" x14ac:dyDescent="0.3">
      <c r="A423" s="17"/>
      <c r="B423"/>
      <c r="C423"/>
      <c r="D423"/>
      <c r="E423"/>
      <c r="F423"/>
      <c r="G423"/>
      <c r="H423"/>
      <c r="I423"/>
      <c r="J423"/>
      <c r="K423"/>
      <c r="L423"/>
      <c r="M423"/>
      <c r="S423" s="54"/>
    </row>
    <row r="424" spans="1:19" s="15" customFormat="1" x14ac:dyDescent="0.3">
      <c r="A424" s="17"/>
      <c r="B424"/>
      <c r="C424"/>
      <c r="D424"/>
      <c r="E424"/>
      <c r="F424"/>
      <c r="G424"/>
      <c r="H424"/>
      <c r="I424"/>
      <c r="J424"/>
      <c r="K424"/>
      <c r="L424"/>
      <c r="M424"/>
      <c r="S424" s="54"/>
    </row>
    <row r="425" spans="1:19" s="15" customFormat="1" x14ac:dyDescent="0.3">
      <c r="A425" s="17"/>
      <c r="B425"/>
      <c r="C425"/>
      <c r="D425"/>
      <c r="E425"/>
      <c r="F425"/>
      <c r="G425"/>
      <c r="H425"/>
      <c r="I425"/>
      <c r="J425"/>
      <c r="K425"/>
      <c r="L425"/>
      <c r="M425"/>
      <c r="S425" s="54"/>
    </row>
    <row r="426" spans="1:19" s="15" customFormat="1" x14ac:dyDescent="0.3">
      <c r="A426" s="17"/>
      <c r="B426"/>
      <c r="C426"/>
      <c r="D426"/>
      <c r="E426"/>
      <c r="F426"/>
      <c r="G426"/>
      <c r="H426"/>
      <c r="I426"/>
      <c r="J426"/>
      <c r="K426"/>
      <c r="L426"/>
      <c r="M426"/>
      <c r="S426" s="54"/>
    </row>
    <row r="427" spans="1:19" s="15" customFormat="1" x14ac:dyDescent="0.3">
      <c r="A427" s="17"/>
      <c r="B427"/>
      <c r="C427"/>
      <c r="D427"/>
      <c r="E427"/>
      <c r="F427"/>
      <c r="G427"/>
      <c r="H427"/>
      <c r="I427"/>
      <c r="J427"/>
      <c r="K427"/>
      <c r="L427"/>
      <c r="M427"/>
      <c r="S427" s="54"/>
    </row>
    <row r="428" spans="1:19" s="15" customFormat="1" x14ac:dyDescent="0.3">
      <c r="A428" s="17"/>
      <c r="B428"/>
      <c r="C428"/>
      <c r="D428"/>
      <c r="E428"/>
      <c r="F428"/>
      <c r="G428"/>
      <c r="H428"/>
      <c r="I428"/>
      <c r="J428"/>
      <c r="K428"/>
      <c r="L428"/>
      <c r="M428"/>
      <c r="S428" s="54"/>
    </row>
    <row r="429" spans="1:19" s="15" customFormat="1" x14ac:dyDescent="0.3">
      <c r="A429" s="17"/>
      <c r="B429"/>
      <c r="C429"/>
      <c r="D429"/>
      <c r="E429"/>
      <c r="F429"/>
      <c r="G429"/>
      <c r="H429"/>
      <c r="I429"/>
      <c r="J429"/>
      <c r="K429"/>
      <c r="L429"/>
      <c r="M429"/>
      <c r="S429" s="54"/>
    </row>
    <row r="430" spans="1:19" s="15" customFormat="1" x14ac:dyDescent="0.3">
      <c r="A430" s="17"/>
      <c r="B430"/>
      <c r="C430"/>
      <c r="D430"/>
      <c r="E430"/>
      <c r="F430"/>
      <c r="G430"/>
      <c r="H430"/>
      <c r="I430"/>
      <c r="J430"/>
      <c r="K430"/>
      <c r="L430"/>
      <c r="M430"/>
      <c r="S430" s="54"/>
    </row>
    <row r="431" spans="1:19" s="15" customFormat="1" x14ac:dyDescent="0.3">
      <c r="A431" s="17"/>
      <c r="B431"/>
      <c r="C431"/>
      <c r="D431"/>
      <c r="E431"/>
      <c r="F431"/>
      <c r="G431"/>
      <c r="H431"/>
      <c r="I431"/>
      <c r="J431"/>
      <c r="K431"/>
      <c r="L431"/>
      <c r="M431"/>
      <c r="S431" s="54"/>
    </row>
    <row r="432" spans="1:19" s="15" customFormat="1" x14ac:dyDescent="0.3">
      <c r="A432" s="17"/>
      <c r="B432"/>
      <c r="C432"/>
      <c r="D432"/>
      <c r="E432"/>
      <c r="F432"/>
      <c r="G432"/>
      <c r="H432"/>
      <c r="I432"/>
      <c r="J432"/>
      <c r="K432"/>
      <c r="L432"/>
      <c r="M432"/>
      <c r="S432" s="54"/>
    </row>
    <row r="433" spans="1:19" s="15" customFormat="1" x14ac:dyDescent="0.3">
      <c r="A433" s="17"/>
      <c r="B433"/>
      <c r="C433"/>
      <c r="D433"/>
      <c r="E433"/>
      <c r="F433"/>
      <c r="G433"/>
      <c r="H433"/>
      <c r="I433"/>
      <c r="J433"/>
      <c r="K433"/>
      <c r="L433"/>
      <c r="M433"/>
      <c r="S433" s="54"/>
    </row>
    <row r="434" spans="1:19" s="15" customFormat="1" x14ac:dyDescent="0.3">
      <c r="A434" s="17"/>
      <c r="B434"/>
      <c r="C434"/>
      <c r="D434"/>
      <c r="E434"/>
      <c r="F434"/>
      <c r="G434"/>
      <c r="H434"/>
      <c r="I434"/>
      <c r="J434"/>
      <c r="K434"/>
      <c r="L434"/>
      <c r="M434"/>
      <c r="S434" s="54"/>
    </row>
    <row r="435" spans="1:19" s="15" customFormat="1" x14ac:dyDescent="0.3">
      <c r="A435" s="17"/>
      <c r="B435"/>
      <c r="C435"/>
      <c r="D435"/>
      <c r="E435"/>
      <c r="F435"/>
      <c r="G435"/>
      <c r="H435"/>
      <c r="I435"/>
      <c r="J435"/>
      <c r="K435"/>
      <c r="L435"/>
      <c r="M435"/>
      <c r="S435" s="54"/>
    </row>
    <row r="436" spans="1:19" s="15" customFormat="1" x14ac:dyDescent="0.3">
      <c r="A436" s="17"/>
      <c r="B436"/>
      <c r="C436"/>
      <c r="D436"/>
      <c r="E436"/>
      <c r="F436"/>
      <c r="G436"/>
      <c r="H436"/>
      <c r="I436"/>
      <c r="J436"/>
      <c r="K436"/>
      <c r="L436"/>
      <c r="M436"/>
      <c r="S436" s="54"/>
    </row>
    <row r="437" spans="1:19" s="15" customFormat="1" x14ac:dyDescent="0.3">
      <c r="A437" s="17"/>
      <c r="B437"/>
      <c r="C437"/>
      <c r="D437"/>
      <c r="E437"/>
      <c r="F437"/>
      <c r="G437"/>
      <c r="H437"/>
      <c r="I437"/>
      <c r="J437"/>
      <c r="K437"/>
      <c r="L437"/>
      <c r="M437"/>
      <c r="S437" s="54"/>
    </row>
    <row r="438" spans="1:19" s="15" customFormat="1" x14ac:dyDescent="0.3">
      <c r="A438" s="17"/>
      <c r="B438"/>
      <c r="C438"/>
      <c r="D438"/>
      <c r="E438"/>
      <c r="F438"/>
      <c r="G438"/>
      <c r="H438"/>
      <c r="I438"/>
      <c r="J438"/>
      <c r="K438"/>
      <c r="L438"/>
      <c r="M438"/>
      <c r="S438" s="54"/>
    </row>
    <row r="439" spans="1:19" s="15" customFormat="1" x14ac:dyDescent="0.3">
      <c r="A439" s="17"/>
      <c r="B439"/>
      <c r="C439"/>
      <c r="D439"/>
      <c r="E439"/>
      <c r="F439"/>
      <c r="G439"/>
      <c r="H439"/>
      <c r="I439"/>
      <c r="J439"/>
      <c r="K439"/>
      <c r="L439"/>
      <c r="M439"/>
      <c r="S439" s="54"/>
    </row>
    <row r="440" spans="1:19" s="15" customFormat="1" x14ac:dyDescent="0.3">
      <c r="A440" s="17"/>
      <c r="B440"/>
      <c r="C440"/>
      <c r="D440"/>
      <c r="E440"/>
      <c r="F440"/>
      <c r="G440"/>
      <c r="H440"/>
      <c r="I440"/>
      <c r="J440"/>
      <c r="K440"/>
      <c r="L440"/>
      <c r="M440"/>
      <c r="S440" s="54"/>
    </row>
    <row r="441" spans="1:19" s="15" customFormat="1" x14ac:dyDescent="0.3">
      <c r="A441" s="17"/>
      <c r="B441"/>
      <c r="C441"/>
      <c r="D441"/>
      <c r="E441"/>
      <c r="F441"/>
      <c r="G441"/>
      <c r="H441"/>
      <c r="I441"/>
      <c r="J441"/>
      <c r="K441"/>
      <c r="L441"/>
      <c r="M441"/>
      <c r="S441" s="54"/>
    </row>
    <row r="442" spans="1:19" s="15" customFormat="1" x14ac:dyDescent="0.3">
      <c r="A442" s="17"/>
      <c r="B442"/>
      <c r="C442"/>
      <c r="D442"/>
      <c r="E442"/>
      <c r="F442"/>
      <c r="G442"/>
      <c r="H442"/>
      <c r="I442"/>
      <c r="J442"/>
      <c r="K442"/>
      <c r="L442"/>
      <c r="M442"/>
      <c r="S442" s="54"/>
    </row>
    <row r="443" spans="1:19" s="15" customFormat="1" x14ac:dyDescent="0.3">
      <c r="A443" s="17"/>
      <c r="B443"/>
      <c r="C443"/>
      <c r="D443"/>
      <c r="E443"/>
      <c r="F443"/>
      <c r="G443"/>
      <c r="H443"/>
      <c r="I443"/>
      <c r="J443"/>
      <c r="K443"/>
      <c r="L443"/>
      <c r="M443"/>
      <c r="S443" s="54"/>
    </row>
    <row r="444" spans="1:19" s="15" customFormat="1" x14ac:dyDescent="0.3">
      <c r="A444" s="17"/>
      <c r="B444"/>
      <c r="C444"/>
      <c r="D444"/>
      <c r="E444"/>
      <c r="F444"/>
      <c r="G444"/>
      <c r="H444"/>
      <c r="I444"/>
      <c r="J444"/>
      <c r="K444"/>
      <c r="L444"/>
      <c r="M444"/>
      <c r="S444" s="54"/>
    </row>
    <row r="445" spans="1:19" s="15" customFormat="1" x14ac:dyDescent="0.3">
      <c r="A445" s="17"/>
      <c r="B445"/>
      <c r="C445"/>
      <c r="D445"/>
      <c r="E445"/>
      <c r="F445"/>
      <c r="G445"/>
      <c r="H445"/>
      <c r="I445"/>
      <c r="J445"/>
      <c r="K445"/>
      <c r="L445"/>
      <c r="M445"/>
      <c r="S445" s="54"/>
    </row>
    <row r="446" spans="1:19" s="15" customFormat="1" x14ac:dyDescent="0.3">
      <c r="A446" s="17"/>
      <c r="B446"/>
      <c r="C446"/>
      <c r="D446"/>
      <c r="E446"/>
      <c r="F446"/>
      <c r="G446"/>
      <c r="H446"/>
      <c r="I446"/>
      <c r="J446"/>
      <c r="K446"/>
      <c r="L446"/>
      <c r="M446"/>
      <c r="S446" s="54"/>
    </row>
    <row r="447" spans="1:19" s="15" customFormat="1" x14ac:dyDescent="0.3">
      <c r="A447" s="17"/>
      <c r="B447"/>
      <c r="C447"/>
      <c r="D447"/>
      <c r="E447"/>
      <c r="F447"/>
      <c r="G447"/>
      <c r="H447"/>
      <c r="I447"/>
      <c r="J447"/>
      <c r="K447"/>
      <c r="L447"/>
      <c r="M447"/>
      <c r="S447" s="54"/>
    </row>
    <row r="448" spans="1:19" s="15" customFormat="1" x14ac:dyDescent="0.3">
      <c r="A448" s="17"/>
      <c r="B448"/>
      <c r="C448"/>
      <c r="D448"/>
      <c r="E448"/>
      <c r="F448"/>
      <c r="G448"/>
      <c r="H448"/>
      <c r="I448"/>
      <c r="J448"/>
      <c r="K448"/>
      <c r="L448"/>
      <c r="M448"/>
      <c r="S448" s="54"/>
    </row>
    <row r="449" spans="1:19" s="15" customFormat="1" x14ac:dyDescent="0.3">
      <c r="A449" s="17"/>
      <c r="B449"/>
      <c r="C449"/>
      <c r="D449"/>
      <c r="E449"/>
      <c r="F449"/>
      <c r="G449"/>
      <c r="H449"/>
      <c r="I449"/>
      <c r="J449"/>
      <c r="K449"/>
      <c r="L449"/>
      <c r="M449"/>
      <c r="S449" s="54"/>
    </row>
    <row r="450" spans="1:19" s="15" customFormat="1" x14ac:dyDescent="0.3">
      <c r="A450" s="17"/>
      <c r="B450"/>
      <c r="C450"/>
      <c r="D450"/>
      <c r="E450"/>
      <c r="F450"/>
      <c r="G450"/>
      <c r="H450"/>
      <c r="I450"/>
      <c r="J450"/>
      <c r="K450"/>
      <c r="L450"/>
      <c r="M450"/>
      <c r="S450" s="54"/>
    </row>
    <row r="451" spans="1:19" s="15" customFormat="1" x14ac:dyDescent="0.3">
      <c r="A451" s="17"/>
      <c r="B451"/>
      <c r="C451"/>
      <c r="D451"/>
      <c r="E451"/>
      <c r="F451"/>
      <c r="G451"/>
      <c r="H451"/>
      <c r="I451"/>
      <c r="J451"/>
      <c r="K451"/>
      <c r="L451"/>
      <c r="M451"/>
      <c r="S451" s="54"/>
    </row>
    <row r="452" spans="1:19" s="15" customFormat="1" x14ac:dyDescent="0.3">
      <c r="A452" s="17"/>
      <c r="B452"/>
      <c r="C452"/>
      <c r="D452"/>
      <c r="E452"/>
      <c r="F452"/>
      <c r="G452"/>
      <c r="H452"/>
      <c r="I452"/>
      <c r="J452"/>
      <c r="K452"/>
      <c r="L452"/>
      <c r="M452"/>
      <c r="S452" s="54"/>
    </row>
    <row r="453" spans="1:19" s="15" customFormat="1" x14ac:dyDescent="0.3">
      <c r="A453" s="17"/>
      <c r="B453"/>
      <c r="C453"/>
      <c r="D453"/>
      <c r="E453"/>
      <c r="F453"/>
      <c r="G453"/>
      <c r="H453"/>
      <c r="I453"/>
      <c r="J453"/>
      <c r="K453"/>
      <c r="L453"/>
      <c r="M453"/>
      <c r="S453" s="54"/>
    </row>
    <row r="454" spans="1:19" s="15" customFormat="1" x14ac:dyDescent="0.3">
      <c r="A454" s="17"/>
      <c r="B454"/>
      <c r="C454"/>
      <c r="D454"/>
      <c r="E454"/>
      <c r="F454"/>
      <c r="G454"/>
      <c r="H454"/>
      <c r="I454"/>
      <c r="J454"/>
      <c r="K454"/>
      <c r="L454"/>
      <c r="M454"/>
      <c r="S454" s="54"/>
    </row>
    <row r="455" spans="1:19" s="15" customFormat="1" x14ac:dyDescent="0.3">
      <c r="A455" s="17"/>
      <c r="B455"/>
      <c r="C455"/>
      <c r="D455"/>
      <c r="E455"/>
      <c r="F455"/>
      <c r="G455"/>
      <c r="H455"/>
      <c r="I455"/>
      <c r="J455"/>
      <c r="K455"/>
      <c r="L455"/>
      <c r="M455"/>
      <c r="S455" s="54"/>
    </row>
    <row r="456" spans="1:19" s="15" customFormat="1" x14ac:dyDescent="0.3">
      <c r="A456" s="17"/>
      <c r="B456"/>
      <c r="C456"/>
      <c r="D456"/>
      <c r="E456"/>
      <c r="F456"/>
      <c r="G456"/>
      <c r="H456"/>
      <c r="I456"/>
      <c r="J456"/>
      <c r="K456"/>
      <c r="L456"/>
      <c r="M456"/>
      <c r="S456" s="54"/>
    </row>
    <row r="457" spans="1:19" s="15" customFormat="1" x14ac:dyDescent="0.3">
      <c r="A457" s="17"/>
      <c r="B457"/>
      <c r="C457"/>
      <c r="D457"/>
      <c r="E457"/>
      <c r="F457"/>
      <c r="G457"/>
      <c r="H457"/>
      <c r="I457"/>
      <c r="J457"/>
      <c r="K457"/>
      <c r="L457"/>
      <c r="M457"/>
      <c r="S457" s="54"/>
    </row>
    <row r="458" spans="1:19" s="15" customFormat="1" x14ac:dyDescent="0.3">
      <c r="A458" s="17"/>
      <c r="B458"/>
      <c r="C458"/>
      <c r="D458"/>
      <c r="E458"/>
      <c r="F458"/>
      <c r="G458"/>
      <c r="H458"/>
      <c r="I458"/>
      <c r="J458"/>
      <c r="K458"/>
      <c r="L458"/>
      <c r="M458"/>
      <c r="S458" s="54"/>
    </row>
    <row r="459" spans="1:19" s="15" customFormat="1" x14ac:dyDescent="0.3">
      <c r="A459" s="17"/>
      <c r="B459"/>
      <c r="C459"/>
      <c r="D459"/>
      <c r="E459"/>
      <c r="F459"/>
      <c r="G459"/>
      <c r="H459"/>
      <c r="I459"/>
      <c r="J459"/>
      <c r="K459"/>
      <c r="L459"/>
      <c r="M459"/>
      <c r="S459" s="54"/>
    </row>
    <row r="460" spans="1:19" s="15" customFormat="1" x14ac:dyDescent="0.3">
      <c r="A460" s="17"/>
      <c r="B460"/>
      <c r="C460"/>
      <c r="D460"/>
      <c r="E460"/>
      <c r="F460"/>
      <c r="G460"/>
      <c r="H460"/>
      <c r="I460"/>
      <c r="J460"/>
      <c r="K460"/>
      <c r="L460"/>
      <c r="M460"/>
      <c r="S460" s="54"/>
    </row>
    <row r="461" spans="1:19" s="15" customFormat="1" x14ac:dyDescent="0.3">
      <c r="A461" s="17"/>
      <c r="B461"/>
      <c r="C461"/>
      <c r="D461"/>
      <c r="E461"/>
      <c r="F461"/>
      <c r="G461"/>
      <c r="H461"/>
      <c r="I461"/>
      <c r="J461"/>
      <c r="K461"/>
      <c r="L461"/>
      <c r="M461"/>
      <c r="S461" s="54"/>
    </row>
    <row r="462" spans="1:19" s="15" customFormat="1" x14ac:dyDescent="0.3">
      <c r="A462" s="17"/>
      <c r="B462"/>
      <c r="C462"/>
      <c r="D462"/>
      <c r="E462"/>
      <c r="F462"/>
      <c r="G462"/>
      <c r="H462"/>
      <c r="I462"/>
      <c r="J462"/>
      <c r="K462"/>
      <c r="L462"/>
      <c r="M462"/>
      <c r="S462" s="54"/>
    </row>
    <row r="463" spans="1:19" s="15" customFormat="1" x14ac:dyDescent="0.3">
      <c r="A463" s="17"/>
      <c r="B463"/>
      <c r="C463"/>
      <c r="D463"/>
      <c r="E463"/>
      <c r="F463"/>
      <c r="G463"/>
      <c r="H463"/>
      <c r="I463"/>
      <c r="J463"/>
      <c r="K463"/>
      <c r="L463"/>
      <c r="M463"/>
      <c r="S463" s="54"/>
    </row>
    <row r="464" spans="1:19" s="15" customFormat="1" x14ac:dyDescent="0.3">
      <c r="A464" s="17"/>
      <c r="B464"/>
      <c r="C464"/>
      <c r="D464"/>
      <c r="E464"/>
      <c r="F464"/>
      <c r="G464"/>
      <c r="H464"/>
      <c r="I464"/>
      <c r="J464"/>
      <c r="K464"/>
      <c r="L464"/>
      <c r="M464"/>
      <c r="S464" s="54"/>
    </row>
    <row r="465" spans="1:19" s="15" customFormat="1" x14ac:dyDescent="0.3">
      <c r="A465" s="17"/>
      <c r="B465"/>
      <c r="C465"/>
      <c r="D465"/>
      <c r="E465"/>
      <c r="F465"/>
      <c r="G465"/>
      <c r="H465"/>
      <c r="I465"/>
      <c r="J465"/>
      <c r="K465"/>
      <c r="L465"/>
      <c r="M465"/>
      <c r="S465" s="54"/>
    </row>
    <row r="466" spans="1:19" s="15" customFormat="1" x14ac:dyDescent="0.3">
      <c r="A466" s="17"/>
      <c r="B466"/>
      <c r="C466"/>
      <c r="D466"/>
      <c r="E466"/>
      <c r="F466"/>
      <c r="G466"/>
      <c r="H466"/>
      <c r="I466"/>
      <c r="J466"/>
      <c r="K466"/>
      <c r="L466"/>
      <c r="M466"/>
      <c r="S466" s="54"/>
    </row>
    <row r="467" spans="1:19" s="15" customFormat="1" x14ac:dyDescent="0.3">
      <c r="A467" s="17"/>
      <c r="B467"/>
      <c r="C467"/>
      <c r="D467"/>
      <c r="E467"/>
      <c r="F467"/>
      <c r="G467"/>
      <c r="H467"/>
      <c r="I467"/>
      <c r="J467"/>
      <c r="K467"/>
      <c r="L467"/>
      <c r="M467"/>
      <c r="S467" s="54"/>
    </row>
    <row r="468" spans="1:19" s="15" customFormat="1" x14ac:dyDescent="0.3">
      <c r="A468" s="17"/>
      <c r="B468"/>
      <c r="C468"/>
      <c r="D468"/>
      <c r="E468"/>
      <c r="F468"/>
      <c r="G468"/>
      <c r="H468"/>
      <c r="I468"/>
      <c r="J468"/>
      <c r="K468"/>
      <c r="L468"/>
      <c r="M468"/>
      <c r="S468" s="54"/>
    </row>
    <row r="469" spans="1:19" s="15" customFormat="1" x14ac:dyDescent="0.3">
      <c r="A469" s="17"/>
      <c r="B469"/>
      <c r="C469"/>
      <c r="D469"/>
      <c r="E469"/>
      <c r="F469"/>
      <c r="G469"/>
      <c r="H469"/>
      <c r="I469"/>
      <c r="J469"/>
      <c r="K469"/>
      <c r="L469"/>
      <c r="M469"/>
      <c r="S469" s="54"/>
    </row>
    <row r="470" spans="1:19" s="15" customFormat="1" x14ac:dyDescent="0.3">
      <c r="A470" s="17"/>
      <c r="B470"/>
      <c r="C470"/>
      <c r="D470"/>
      <c r="E470"/>
      <c r="F470"/>
      <c r="G470"/>
      <c r="H470"/>
      <c r="I470"/>
      <c r="J470"/>
      <c r="K470"/>
      <c r="L470"/>
      <c r="M470"/>
      <c r="S470" s="54"/>
    </row>
    <row r="471" spans="1:19" s="15" customFormat="1" x14ac:dyDescent="0.3">
      <c r="A471" s="17"/>
      <c r="B471"/>
      <c r="C471"/>
      <c r="D471"/>
      <c r="E471"/>
      <c r="F471"/>
      <c r="G471"/>
      <c r="H471"/>
      <c r="I471"/>
      <c r="J471"/>
      <c r="K471"/>
      <c r="L471"/>
      <c r="M471"/>
      <c r="S471" s="54"/>
    </row>
    <row r="472" spans="1:19" s="15" customFormat="1" x14ac:dyDescent="0.3">
      <c r="A472" s="17"/>
      <c r="B472"/>
      <c r="C472"/>
      <c r="D472"/>
      <c r="E472"/>
      <c r="F472"/>
      <c r="G472"/>
      <c r="H472"/>
      <c r="I472"/>
      <c r="J472"/>
      <c r="K472"/>
      <c r="L472"/>
      <c r="M472"/>
      <c r="S472" s="54"/>
    </row>
    <row r="473" spans="1:19" s="15" customFormat="1" x14ac:dyDescent="0.3">
      <c r="A473" s="17"/>
      <c r="B473"/>
      <c r="C473"/>
      <c r="D473"/>
      <c r="E473"/>
      <c r="F473"/>
      <c r="G473"/>
      <c r="H473"/>
      <c r="I473"/>
      <c r="J473"/>
      <c r="K473"/>
      <c r="L473"/>
      <c r="M473"/>
      <c r="S473" s="54"/>
    </row>
    <row r="474" spans="1:19" s="15" customFormat="1" x14ac:dyDescent="0.3">
      <c r="A474" s="17"/>
      <c r="B474"/>
      <c r="C474"/>
      <c r="D474"/>
      <c r="E474"/>
      <c r="F474"/>
      <c r="G474"/>
      <c r="H474"/>
      <c r="I474"/>
      <c r="J474"/>
      <c r="K474"/>
      <c r="L474"/>
      <c r="M474"/>
      <c r="S474" s="54"/>
    </row>
    <row r="475" spans="1:19" s="15" customFormat="1" x14ac:dyDescent="0.3">
      <c r="A475" s="17"/>
      <c r="B475"/>
      <c r="C475"/>
      <c r="D475"/>
      <c r="E475"/>
      <c r="F475"/>
      <c r="G475"/>
      <c r="H475"/>
      <c r="I475"/>
      <c r="J475"/>
      <c r="K475"/>
      <c r="L475"/>
      <c r="M475"/>
      <c r="S475" s="54"/>
    </row>
    <row r="476" spans="1:19" s="15" customFormat="1" x14ac:dyDescent="0.3">
      <c r="A476" s="17"/>
      <c r="B476"/>
      <c r="C476"/>
      <c r="D476"/>
      <c r="E476"/>
      <c r="F476"/>
      <c r="G476"/>
      <c r="H476"/>
      <c r="I476"/>
      <c r="J476"/>
      <c r="K476"/>
      <c r="L476"/>
      <c r="M476"/>
      <c r="S476" s="54"/>
    </row>
    <row r="477" spans="1:19" s="15" customFormat="1" x14ac:dyDescent="0.3">
      <c r="A477" s="17"/>
      <c r="B477"/>
      <c r="C477"/>
      <c r="D477"/>
      <c r="E477"/>
      <c r="F477"/>
      <c r="G477"/>
      <c r="H477"/>
      <c r="I477"/>
      <c r="J477"/>
      <c r="K477"/>
      <c r="L477"/>
      <c r="M477"/>
      <c r="S477" s="54"/>
    </row>
    <row r="478" spans="1:19" s="15" customFormat="1" x14ac:dyDescent="0.3">
      <c r="A478" s="17"/>
      <c r="B478"/>
      <c r="C478"/>
      <c r="D478"/>
      <c r="E478"/>
      <c r="F478"/>
      <c r="G478"/>
      <c r="H478"/>
      <c r="I478"/>
      <c r="J478"/>
      <c r="K478"/>
      <c r="L478"/>
      <c r="M478"/>
      <c r="S478" s="54"/>
    </row>
    <row r="479" spans="1:19" s="15" customFormat="1" x14ac:dyDescent="0.3">
      <c r="A479" s="17"/>
      <c r="B479"/>
      <c r="C479"/>
      <c r="D479"/>
      <c r="E479"/>
      <c r="F479"/>
      <c r="G479"/>
      <c r="H479"/>
      <c r="I479"/>
      <c r="J479"/>
      <c r="K479"/>
      <c r="L479"/>
      <c r="M479"/>
      <c r="S479" s="54"/>
    </row>
    <row r="480" spans="1:19" s="15" customFormat="1" x14ac:dyDescent="0.3">
      <c r="A480" s="17"/>
      <c r="B480"/>
      <c r="C480"/>
      <c r="D480"/>
      <c r="E480"/>
      <c r="F480"/>
      <c r="G480"/>
      <c r="H480"/>
      <c r="I480"/>
      <c r="J480"/>
      <c r="K480"/>
      <c r="L480"/>
      <c r="M480"/>
      <c r="S480" s="54"/>
    </row>
    <row r="481" spans="1:19" s="15" customFormat="1" x14ac:dyDescent="0.3">
      <c r="A481" s="17"/>
      <c r="B481"/>
      <c r="C481"/>
      <c r="D481"/>
      <c r="E481"/>
      <c r="F481"/>
      <c r="G481"/>
      <c r="H481"/>
      <c r="I481"/>
      <c r="J481"/>
      <c r="K481"/>
      <c r="L481"/>
      <c r="M481"/>
      <c r="S481" s="54"/>
    </row>
    <row r="482" spans="1:19" s="15" customFormat="1" x14ac:dyDescent="0.3">
      <c r="A482" s="17"/>
      <c r="B482"/>
      <c r="C482"/>
      <c r="D482"/>
      <c r="E482"/>
      <c r="F482"/>
      <c r="G482"/>
      <c r="H482"/>
      <c r="I482"/>
      <c r="J482"/>
      <c r="K482"/>
      <c r="L482"/>
      <c r="M482"/>
      <c r="S482" s="54"/>
    </row>
    <row r="483" spans="1:19" s="15" customFormat="1" x14ac:dyDescent="0.3">
      <c r="A483" s="17"/>
      <c r="B483"/>
      <c r="C483"/>
      <c r="D483"/>
      <c r="E483"/>
      <c r="F483"/>
      <c r="G483"/>
      <c r="H483"/>
      <c r="I483"/>
      <c r="J483"/>
      <c r="K483"/>
      <c r="L483"/>
      <c r="M483"/>
      <c r="S483" s="54"/>
    </row>
    <row r="484" spans="1:19" s="15" customFormat="1" x14ac:dyDescent="0.3">
      <c r="A484" s="17"/>
      <c r="B484"/>
      <c r="C484"/>
      <c r="D484"/>
      <c r="E484"/>
      <c r="F484"/>
      <c r="G484"/>
      <c r="H484"/>
      <c r="I484"/>
      <c r="J484"/>
      <c r="K484"/>
      <c r="L484"/>
      <c r="M484"/>
      <c r="S484" s="54"/>
    </row>
    <row r="485" spans="1:19" s="15" customFormat="1" x14ac:dyDescent="0.3">
      <c r="A485" s="17"/>
      <c r="B485"/>
      <c r="C485"/>
      <c r="D485"/>
      <c r="E485"/>
      <c r="F485"/>
      <c r="G485"/>
      <c r="H485"/>
      <c r="I485"/>
      <c r="J485"/>
      <c r="K485"/>
      <c r="L485"/>
      <c r="M485"/>
      <c r="S485" s="54"/>
    </row>
    <row r="486" spans="1:19" s="15" customFormat="1" x14ac:dyDescent="0.3">
      <c r="A486" s="17"/>
      <c r="B486"/>
      <c r="C486"/>
      <c r="D486"/>
      <c r="E486"/>
      <c r="F486"/>
      <c r="G486"/>
      <c r="H486"/>
      <c r="I486"/>
      <c r="J486"/>
      <c r="K486"/>
      <c r="L486"/>
      <c r="M486"/>
      <c r="S486" s="54"/>
    </row>
    <row r="487" spans="1:19" s="15" customFormat="1" x14ac:dyDescent="0.3">
      <c r="A487" s="17"/>
      <c r="B487"/>
      <c r="C487"/>
      <c r="D487"/>
      <c r="E487"/>
      <c r="F487"/>
      <c r="G487"/>
      <c r="H487"/>
      <c r="I487"/>
      <c r="J487"/>
      <c r="K487"/>
      <c r="L487"/>
      <c r="M487"/>
      <c r="S487" s="54"/>
    </row>
    <row r="488" spans="1:19" s="15" customFormat="1" x14ac:dyDescent="0.3">
      <c r="A488" s="17"/>
      <c r="B488"/>
      <c r="C488"/>
      <c r="D488"/>
      <c r="E488"/>
      <c r="F488"/>
      <c r="G488"/>
      <c r="H488"/>
      <c r="I488"/>
      <c r="J488"/>
      <c r="K488"/>
      <c r="L488"/>
      <c r="M488"/>
      <c r="S488" s="54"/>
    </row>
    <row r="489" spans="1:19" s="15" customFormat="1" x14ac:dyDescent="0.3">
      <c r="A489" s="17"/>
      <c r="B489"/>
      <c r="C489"/>
      <c r="D489"/>
      <c r="E489"/>
      <c r="F489"/>
      <c r="G489"/>
      <c r="H489"/>
      <c r="I489"/>
      <c r="J489"/>
      <c r="K489"/>
      <c r="L489"/>
      <c r="M489"/>
      <c r="S489" s="54"/>
    </row>
    <row r="490" spans="1:19" s="15" customFormat="1" x14ac:dyDescent="0.3">
      <c r="A490" s="17"/>
      <c r="B490"/>
      <c r="C490"/>
      <c r="D490"/>
      <c r="E490"/>
      <c r="F490"/>
      <c r="G490"/>
      <c r="H490"/>
      <c r="I490"/>
      <c r="J490"/>
      <c r="K490"/>
      <c r="L490"/>
      <c r="M490"/>
      <c r="S490" s="54"/>
    </row>
    <row r="491" spans="1:19" s="15" customFormat="1" x14ac:dyDescent="0.3">
      <c r="A491" s="17"/>
      <c r="B491"/>
      <c r="C491"/>
      <c r="D491"/>
      <c r="E491"/>
      <c r="F491"/>
      <c r="G491"/>
      <c r="H491"/>
      <c r="I491"/>
      <c r="J491"/>
      <c r="K491"/>
      <c r="L491"/>
      <c r="M491"/>
      <c r="S491" s="54"/>
    </row>
    <row r="492" spans="1:19" s="15" customFormat="1" x14ac:dyDescent="0.3">
      <c r="A492" s="17"/>
      <c r="B492"/>
      <c r="C492"/>
      <c r="D492"/>
      <c r="E492"/>
      <c r="F492"/>
      <c r="G492"/>
      <c r="H492"/>
      <c r="I492"/>
      <c r="J492"/>
      <c r="K492"/>
      <c r="L492"/>
      <c r="M492"/>
      <c r="S492" s="54"/>
    </row>
    <row r="493" spans="1:19" s="15" customFormat="1" x14ac:dyDescent="0.3">
      <c r="A493" s="17"/>
      <c r="B493"/>
      <c r="C493"/>
      <c r="D493"/>
      <c r="E493"/>
      <c r="F493"/>
      <c r="G493"/>
      <c r="H493"/>
      <c r="I493"/>
      <c r="J493"/>
      <c r="K493"/>
      <c r="L493"/>
      <c r="M493"/>
      <c r="S493" s="54"/>
    </row>
    <row r="494" spans="1:19" s="15" customFormat="1" x14ac:dyDescent="0.3">
      <c r="A494" s="17"/>
      <c r="B494"/>
      <c r="C494"/>
      <c r="D494"/>
      <c r="E494"/>
      <c r="F494"/>
      <c r="G494"/>
      <c r="H494"/>
      <c r="I494"/>
      <c r="J494"/>
      <c r="K494"/>
      <c r="L494"/>
      <c r="M494"/>
      <c r="S494" s="54"/>
    </row>
    <row r="495" spans="1:19" s="15" customFormat="1" x14ac:dyDescent="0.3">
      <c r="A495" s="17"/>
      <c r="B495"/>
      <c r="C495"/>
      <c r="D495"/>
      <c r="E495"/>
      <c r="F495"/>
      <c r="G495"/>
      <c r="H495"/>
      <c r="I495"/>
      <c r="J495"/>
      <c r="K495"/>
      <c r="L495"/>
      <c r="M495"/>
      <c r="S495" s="54"/>
    </row>
    <row r="496" spans="1:19" s="15" customFormat="1" x14ac:dyDescent="0.3">
      <c r="A496" s="17"/>
      <c r="B496"/>
      <c r="C496"/>
      <c r="D496"/>
      <c r="E496"/>
      <c r="F496"/>
      <c r="G496"/>
      <c r="H496"/>
      <c r="I496"/>
      <c r="J496"/>
      <c r="K496"/>
      <c r="L496"/>
      <c r="M496"/>
      <c r="S496" s="54"/>
    </row>
    <row r="497" spans="1:19" s="15" customFormat="1" x14ac:dyDescent="0.3">
      <c r="A497" s="17"/>
      <c r="B497"/>
      <c r="C497"/>
      <c r="D497"/>
      <c r="E497"/>
      <c r="F497"/>
      <c r="G497"/>
      <c r="H497"/>
      <c r="I497"/>
      <c r="J497"/>
      <c r="K497"/>
      <c r="L497"/>
      <c r="M497"/>
      <c r="S497" s="54"/>
    </row>
    <row r="498" spans="1:19" s="15" customFormat="1" x14ac:dyDescent="0.3">
      <c r="A498" s="17"/>
      <c r="B498"/>
      <c r="C498"/>
      <c r="D498"/>
      <c r="E498"/>
      <c r="F498"/>
      <c r="G498"/>
      <c r="H498"/>
      <c r="I498"/>
      <c r="J498"/>
      <c r="K498"/>
      <c r="L498"/>
      <c r="M498"/>
      <c r="S498" s="54"/>
    </row>
    <row r="499" spans="1:19" s="15" customFormat="1" x14ac:dyDescent="0.3">
      <c r="A499" s="17"/>
      <c r="B499"/>
      <c r="C499"/>
      <c r="D499"/>
      <c r="E499"/>
      <c r="F499"/>
      <c r="G499"/>
      <c r="H499"/>
      <c r="I499"/>
      <c r="J499"/>
      <c r="K499"/>
      <c r="L499"/>
      <c r="M499"/>
      <c r="S499" s="54"/>
    </row>
    <row r="500" spans="1:19" s="15" customFormat="1" x14ac:dyDescent="0.3">
      <c r="A500" s="17"/>
      <c r="B500"/>
      <c r="C500"/>
      <c r="D500"/>
      <c r="E500"/>
      <c r="F500"/>
      <c r="G500"/>
      <c r="H500"/>
      <c r="I500"/>
      <c r="J500"/>
      <c r="K500"/>
      <c r="L500"/>
      <c r="M500"/>
      <c r="S500" s="54"/>
    </row>
    <row r="501" spans="1:19" s="15" customFormat="1" x14ac:dyDescent="0.3">
      <c r="A501" s="17"/>
      <c r="B501"/>
      <c r="C501"/>
      <c r="D501"/>
      <c r="E501"/>
      <c r="F501"/>
      <c r="G501"/>
      <c r="H501"/>
      <c r="I501"/>
      <c r="J501"/>
      <c r="K501"/>
      <c r="L501"/>
      <c r="M501"/>
      <c r="S501" s="54"/>
    </row>
    <row r="502" spans="1:19" s="15" customFormat="1" x14ac:dyDescent="0.3">
      <c r="A502" s="17"/>
      <c r="B502"/>
      <c r="C502"/>
      <c r="D502"/>
      <c r="E502"/>
      <c r="F502"/>
      <c r="G502"/>
      <c r="H502"/>
      <c r="I502"/>
      <c r="J502"/>
      <c r="K502"/>
      <c r="L502"/>
      <c r="M502"/>
      <c r="S502" s="54"/>
    </row>
    <row r="503" spans="1:19" s="15" customFormat="1" x14ac:dyDescent="0.3">
      <c r="A503" s="17"/>
      <c r="B503"/>
      <c r="C503"/>
      <c r="D503"/>
      <c r="E503"/>
      <c r="F503"/>
      <c r="G503"/>
      <c r="H503"/>
      <c r="I503"/>
      <c r="J503"/>
      <c r="K503"/>
      <c r="L503"/>
      <c r="M503"/>
      <c r="S503" s="54"/>
    </row>
    <row r="504" spans="1:19" s="15" customFormat="1" x14ac:dyDescent="0.3">
      <c r="A504" s="17"/>
      <c r="B504"/>
      <c r="C504"/>
      <c r="D504"/>
      <c r="E504"/>
      <c r="F504"/>
      <c r="G504"/>
      <c r="H504"/>
      <c r="I504"/>
      <c r="J504"/>
      <c r="K504"/>
      <c r="L504"/>
      <c r="M504"/>
      <c r="S504" s="54"/>
    </row>
    <row r="505" spans="1:19" s="15" customFormat="1" x14ac:dyDescent="0.3">
      <c r="A505" s="17"/>
      <c r="B505"/>
      <c r="C505"/>
      <c r="D505"/>
      <c r="E505"/>
      <c r="F505"/>
      <c r="G505"/>
      <c r="H505"/>
      <c r="I505"/>
      <c r="J505"/>
      <c r="K505"/>
      <c r="L505"/>
      <c r="M505"/>
      <c r="S505" s="54"/>
    </row>
    <row r="506" spans="1:19" s="15" customFormat="1" x14ac:dyDescent="0.3">
      <c r="A506" s="17"/>
      <c r="B506"/>
      <c r="C506"/>
      <c r="D506"/>
      <c r="E506"/>
      <c r="F506"/>
      <c r="G506"/>
      <c r="H506"/>
      <c r="I506"/>
      <c r="J506"/>
      <c r="K506"/>
      <c r="L506"/>
      <c r="M506"/>
      <c r="S506" s="54"/>
    </row>
    <row r="507" spans="1:19" s="15" customFormat="1" x14ac:dyDescent="0.3">
      <c r="A507" s="17"/>
      <c r="B507"/>
      <c r="C507"/>
      <c r="D507"/>
      <c r="E507"/>
      <c r="F507"/>
      <c r="G507"/>
      <c r="H507"/>
      <c r="I507"/>
      <c r="J507"/>
      <c r="K507"/>
      <c r="L507"/>
      <c r="M507"/>
      <c r="S507" s="54"/>
    </row>
    <row r="508" spans="1:19" s="15" customFormat="1" x14ac:dyDescent="0.3">
      <c r="A508" s="17"/>
      <c r="B508"/>
      <c r="C508"/>
      <c r="D508"/>
      <c r="E508"/>
      <c r="F508"/>
      <c r="G508"/>
      <c r="H508"/>
      <c r="I508"/>
      <c r="J508"/>
      <c r="K508"/>
      <c r="L508"/>
      <c r="M508"/>
      <c r="S508" s="54"/>
    </row>
    <row r="509" spans="1:19" s="15" customFormat="1" x14ac:dyDescent="0.3">
      <c r="A509" s="17"/>
      <c r="B509"/>
      <c r="C509"/>
      <c r="D509"/>
      <c r="E509"/>
      <c r="F509"/>
      <c r="G509"/>
      <c r="H509"/>
      <c r="I509"/>
      <c r="J509"/>
      <c r="K509"/>
      <c r="L509"/>
      <c r="M509"/>
      <c r="S509" s="54"/>
    </row>
    <row r="510" spans="1:19" s="15" customFormat="1" x14ac:dyDescent="0.3">
      <c r="A510" s="17"/>
      <c r="B510"/>
      <c r="C510"/>
      <c r="D510"/>
      <c r="E510"/>
      <c r="F510"/>
      <c r="G510"/>
      <c r="H510"/>
      <c r="I510"/>
      <c r="J510"/>
      <c r="K510"/>
      <c r="L510"/>
      <c r="M510"/>
      <c r="S510" s="54"/>
    </row>
    <row r="511" spans="1:19" s="15" customFormat="1" x14ac:dyDescent="0.3">
      <c r="A511" s="17"/>
      <c r="B511"/>
      <c r="C511"/>
      <c r="D511"/>
      <c r="E511"/>
      <c r="F511"/>
      <c r="G511"/>
      <c r="H511"/>
      <c r="I511"/>
      <c r="J511"/>
      <c r="K511"/>
      <c r="L511"/>
      <c r="M511"/>
      <c r="S511" s="54"/>
    </row>
    <row r="512" spans="1:19" s="15" customFormat="1" x14ac:dyDescent="0.3">
      <c r="A512" s="17"/>
      <c r="B512"/>
      <c r="C512"/>
      <c r="D512"/>
      <c r="E512"/>
      <c r="F512"/>
      <c r="G512"/>
      <c r="H512"/>
      <c r="I512"/>
      <c r="J512"/>
      <c r="K512"/>
      <c r="L512"/>
      <c r="M512"/>
      <c r="S512" s="54"/>
    </row>
    <row r="513" spans="1:19" s="15" customFormat="1" x14ac:dyDescent="0.3">
      <c r="A513" s="17"/>
      <c r="B513"/>
      <c r="C513"/>
      <c r="D513"/>
      <c r="E513"/>
      <c r="F513"/>
      <c r="G513"/>
      <c r="H513"/>
      <c r="I513"/>
      <c r="J513"/>
      <c r="K513"/>
      <c r="L513"/>
      <c r="M513"/>
      <c r="S513" s="54"/>
    </row>
    <row r="514" spans="1:19" s="15" customFormat="1" x14ac:dyDescent="0.3">
      <c r="A514" s="17"/>
      <c r="B514"/>
      <c r="C514"/>
      <c r="D514"/>
      <c r="E514"/>
      <c r="F514"/>
      <c r="G514"/>
      <c r="H514"/>
      <c r="I514"/>
      <c r="J514"/>
      <c r="K514"/>
      <c r="L514"/>
      <c r="M514"/>
      <c r="S514" s="54"/>
    </row>
    <row r="515" spans="1:19" s="15" customFormat="1" x14ac:dyDescent="0.3">
      <c r="A515" s="17"/>
      <c r="B515"/>
      <c r="C515"/>
      <c r="D515"/>
      <c r="E515"/>
      <c r="F515"/>
      <c r="G515"/>
      <c r="H515"/>
      <c r="I515"/>
      <c r="J515"/>
      <c r="K515"/>
      <c r="L515"/>
      <c r="M515"/>
      <c r="S515" s="54"/>
    </row>
    <row r="516" spans="1:19" s="15" customFormat="1" x14ac:dyDescent="0.3">
      <c r="A516" s="17"/>
      <c r="B516"/>
      <c r="C516"/>
      <c r="D516"/>
      <c r="E516"/>
      <c r="F516"/>
      <c r="G516"/>
      <c r="H516"/>
      <c r="I516"/>
      <c r="J516"/>
      <c r="K516"/>
      <c r="L516"/>
      <c r="M516"/>
      <c r="S516" s="54"/>
    </row>
    <row r="517" spans="1:19" s="15" customFormat="1" x14ac:dyDescent="0.3">
      <c r="A517" s="17"/>
      <c r="B517"/>
      <c r="C517"/>
      <c r="D517"/>
      <c r="E517"/>
      <c r="F517"/>
      <c r="G517"/>
      <c r="H517"/>
      <c r="I517"/>
      <c r="J517"/>
      <c r="K517"/>
      <c r="L517"/>
      <c r="M517"/>
      <c r="S517" s="54"/>
    </row>
    <row r="518" spans="1:19" s="15" customFormat="1" x14ac:dyDescent="0.3">
      <c r="A518" s="17"/>
      <c r="B518"/>
      <c r="C518"/>
      <c r="D518"/>
      <c r="E518"/>
      <c r="F518"/>
      <c r="G518"/>
      <c r="H518"/>
      <c r="I518"/>
      <c r="J518"/>
      <c r="K518"/>
      <c r="L518"/>
      <c r="M518"/>
      <c r="S518" s="54"/>
    </row>
    <row r="519" spans="1:19" s="15" customFormat="1" x14ac:dyDescent="0.3">
      <c r="A519" s="17"/>
      <c r="B519"/>
      <c r="C519"/>
      <c r="D519"/>
      <c r="E519"/>
      <c r="F519"/>
      <c r="G519"/>
      <c r="H519"/>
      <c r="I519"/>
      <c r="J519"/>
      <c r="K519"/>
      <c r="L519"/>
      <c r="M519"/>
      <c r="S519" s="54"/>
    </row>
    <row r="520" spans="1:19" s="15" customFormat="1" x14ac:dyDescent="0.3">
      <c r="A520" s="17"/>
      <c r="B520"/>
      <c r="C520"/>
      <c r="D520"/>
      <c r="E520"/>
      <c r="F520"/>
      <c r="G520"/>
      <c r="H520"/>
      <c r="I520"/>
      <c r="J520"/>
      <c r="K520"/>
      <c r="L520"/>
      <c r="M520"/>
      <c r="S520" s="54"/>
    </row>
    <row r="521" spans="1:19" s="15" customFormat="1" x14ac:dyDescent="0.3">
      <c r="A521" s="17"/>
      <c r="B521"/>
      <c r="C521"/>
      <c r="D521"/>
      <c r="E521"/>
      <c r="F521"/>
      <c r="G521"/>
      <c r="H521"/>
      <c r="I521"/>
      <c r="J521"/>
      <c r="K521"/>
      <c r="L521"/>
      <c r="M521"/>
      <c r="S521" s="54"/>
    </row>
    <row r="522" spans="1:19" s="15" customFormat="1" x14ac:dyDescent="0.3">
      <c r="A522" s="17"/>
      <c r="B522"/>
      <c r="C522"/>
      <c r="D522"/>
      <c r="E522"/>
      <c r="F522"/>
      <c r="G522"/>
      <c r="H522"/>
      <c r="I522"/>
      <c r="J522"/>
      <c r="K522"/>
      <c r="L522"/>
      <c r="M522"/>
      <c r="S522" s="54"/>
    </row>
    <row r="523" spans="1:19" s="15" customFormat="1" x14ac:dyDescent="0.3">
      <c r="A523" s="17"/>
      <c r="B523"/>
      <c r="C523"/>
      <c r="D523"/>
      <c r="E523"/>
      <c r="F523"/>
      <c r="G523"/>
      <c r="H523"/>
      <c r="I523"/>
      <c r="J523"/>
      <c r="K523"/>
      <c r="L523"/>
      <c r="M523"/>
      <c r="S523" s="54"/>
    </row>
    <row r="524" spans="1:19" s="15" customFormat="1" x14ac:dyDescent="0.3">
      <c r="A524" s="17"/>
      <c r="B524"/>
      <c r="C524"/>
      <c r="D524"/>
      <c r="E524"/>
      <c r="F524"/>
      <c r="G524"/>
      <c r="H524"/>
      <c r="I524"/>
      <c r="J524"/>
      <c r="K524"/>
      <c r="L524"/>
      <c r="M524"/>
      <c r="S524" s="54"/>
    </row>
    <row r="525" spans="1:19" s="15" customFormat="1" x14ac:dyDescent="0.3">
      <c r="A525" s="17"/>
      <c r="B525"/>
      <c r="C525"/>
      <c r="D525"/>
      <c r="E525"/>
      <c r="F525"/>
      <c r="G525"/>
      <c r="H525"/>
      <c r="I525"/>
      <c r="J525"/>
      <c r="K525"/>
      <c r="L525"/>
      <c r="M525"/>
      <c r="S525" s="54"/>
    </row>
    <row r="526" spans="1:19" s="15" customFormat="1" x14ac:dyDescent="0.3">
      <c r="A526" s="17"/>
      <c r="B526"/>
      <c r="C526"/>
      <c r="D526"/>
      <c r="E526"/>
      <c r="F526"/>
      <c r="G526"/>
      <c r="H526"/>
      <c r="I526"/>
      <c r="J526"/>
      <c r="K526"/>
      <c r="L526"/>
      <c r="M526"/>
      <c r="S526" s="54"/>
    </row>
    <row r="527" spans="1:19" s="15" customFormat="1" x14ac:dyDescent="0.3">
      <c r="A527" s="17"/>
      <c r="B527"/>
      <c r="C527"/>
      <c r="D527"/>
      <c r="E527"/>
      <c r="F527"/>
      <c r="G527"/>
      <c r="H527"/>
      <c r="I527"/>
      <c r="J527"/>
      <c r="K527"/>
      <c r="L527"/>
      <c r="M527"/>
      <c r="S527" s="54"/>
    </row>
    <row r="528" spans="1:19" s="15" customFormat="1" x14ac:dyDescent="0.3">
      <c r="A528" s="17"/>
      <c r="B528"/>
      <c r="C528"/>
      <c r="D528"/>
      <c r="E528"/>
      <c r="F528"/>
      <c r="G528"/>
      <c r="H528"/>
      <c r="I528"/>
      <c r="J528"/>
      <c r="K528"/>
      <c r="L528"/>
      <c r="M528"/>
      <c r="S528" s="54"/>
    </row>
    <row r="529" spans="1:19" s="15" customFormat="1" x14ac:dyDescent="0.3">
      <c r="A529" s="17"/>
      <c r="B529"/>
      <c r="C529"/>
      <c r="D529"/>
      <c r="E529"/>
      <c r="F529"/>
      <c r="G529"/>
      <c r="H529"/>
      <c r="I529"/>
      <c r="J529"/>
      <c r="K529"/>
      <c r="L529"/>
      <c r="M529"/>
      <c r="S529" s="54"/>
    </row>
    <row r="530" spans="1:19" s="15" customFormat="1" x14ac:dyDescent="0.3">
      <c r="A530" s="17"/>
      <c r="B530"/>
      <c r="C530"/>
      <c r="D530"/>
      <c r="E530"/>
      <c r="F530"/>
      <c r="G530"/>
      <c r="H530"/>
      <c r="I530"/>
      <c r="J530"/>
      <c r="K530"/>
      <c r="L530"/>
      <c r="M530"/>
      <c r="S530" s="54"/>
    </row>
    <row r="531" spans="1:19" s="15" customFormat="1" x14ac:dyDescent="0.3">
      <c r="A531" s="17"/>
      <c r="B531"/>
      <c r="C531"/>
      <c r="D531"/>
      <c r="E531"/>
      <c r="F531"/>
      <c r="G531"/>
      <c r="H531"/>
      <c r="I531"/>
      <c r="J531"/>
      <c r="K531"/>
      <c r="L531"/>
      <c r="M531"/>
      <c r="S531" s="54"/>
    </row>
    <row r="532" spans="1:19" s="15" customFormat="1" x14ac:dyDescent="0.3">
      <c r="A532" s="17"/>
      <c r="B532"/>
      <c r="C532"/>
      <c r="D532"/>
      <c r="E532"/>
      <c r="F532"/>
      <c r="G532"/>
      <c r="H532"/>
      <c r="I532"/>
      <c r="J532"/>
      <c r="K532"/>
      <c r="L532"/>
      <c r="M532"/>
      <c r="S532" s="54"/>
    </row>
    <row r="533" spans="1:19" s="15" customFormat="1" x14ac:dyDescent="0.3">
      <c r="A533" s="17"/>
      <c r="B533"/>
      <c r="C533"/>
      <c r="D533"/>
      <c r="E533"/>
      <c r="F533"/>
      <c r="G533"/>
      <c r="H533"/>
      <c r="I533"/>
      <c r="J533"/>
      <c r="K533"/>
      <c r="L533"/>
      <c r="M533"/>
      <c r="S533" s="54"/>
    </row>
    <row r="534" spans="1:19" s="15" customFormat="1" x14ac:dyDescent="0.3">
      <c r="A534" s="17"/>
      <c r="B534"/>
      <c r="C534"/>
      <c r="D534"/>
      <c r="E534"/>
      <c r="F534"/>
      <c r="G534"/>
      <c r="H534"/>
      <c r="I534"/>
      <c r="J534"/>
      <c r="K534"/>
      <c r="L534"/>
      <c r="M534"/>
      <c r="S534" s="54"/>
    </row>
    <row r="535" spans="1:19" s="15" customFormat="1" x14ac:dyDescent="0.3">
      <c r="A535" s="17"/>
      <c r="B535"/>
      <c r="C535"/>
      <c r="D535"/>
      <c r="E535"/>
      <c r="F535"/>
      <c r="G535"/>
      <c r="H535"/>
      <c r="I535"/>
      <c r="J535"/>
      <c r="K535"/>
      <c r="L535"/>
      <c r="M535"/>
      <c r="S535" s="54"/>
    </row>
    <row r="536" spans="1:19" s="15" customFormat="1" x14ac:dyDescent="0.3">
      <c r="A536" s="17"/>
      <c r="B536"/>
      <c r="C536"/>
      <c r="D536"/>
      <c r="E536"/>
      <c r="F536"/>
      <c r="G536"/>
      <c r="H536"/>
      <c r="I536"/>
      <c r="J536"/>
      <c r="K536"/>
      <c r="L536"/>
      <c r="M536"/>
      <c r="S536" s="54"/>
    </row>
    <row r="537" spans="1:19" s="15" customFormat="1" x14ac:dyDescent="0.3">
      <c r="A537" s="17"/>
      <c r="B537"/>
      <c r="C537"/>
      <c r="D537"/>
      <c r="E537"/>
      <c r="F537"/>
      <c r="G537"/>
      <c r="H537"/>
      <c r="I537"/>
      <c r="J537"/>
      <c r="K537"/>
      <c r="L537"/>
      <c r="M537"/>
      <c r="S537" s="54"/>
    </row>
    <row r="538" spans="1:19" s="15" customFormat="1" x14ac:dyDescent="0.3">
      <c r="A538" s="17"/>
      <c r="B538"/>
      <c r="C538"/>
      <c r="D538"/>
      <c r="E538"/>
      <c r="F538"/>
      <c r="G538"/>
      <c r="H538"/>
      <c r="I538"/>
      <c r="J538"/>
      <c r="K538"/>
      <c r="L538"/>
      <c r="M538"/>
      <c r="S538" s="54"/>
    </row>
    <row r="539" spans="1:19" s="15" customFormat="1" x14ac:dyDescent="0.3">
      <c r="A539" s="17"/>
      <c r="B539"/>
      <c r="C539"/>
      <c r="D539"/>
      <c r="E539"/>
      <c r="F539"/>
      <c r="G539"/>
      <c r="H539"/>
      <c r="I539"/>
      <c r="J539"/>
      <c r="K539"/>
      <c r="L539"/>
      <c r="M539"/>
      <c r="S539" s="54"/>
    </row>
    <row r="540" spans="1:19" s="15" customFormat="1" x14ac:dyDescent="0.3">
      <c r="A540" s="17"/>
      <c r="B540"/>
      <c r="C540"/>
      <c r="D540"/>
      <c r="E540"/>
      <c r="F540"/>
      <c r="G540"/>
      <c r="H540"/>
      <c r="I540"/>
      <c r="J540"/>
      <c r="K540"/>
      <c r="L540"/>
      <c r="M540"/>
      <c r="S540" s="54"/>
    </row>
    <row r="541" spans="1:19" s="15" customFormat="1" x14ac:dyDescent="0.3">
      <c r="A541" s="17"/>
      <c r="B541"/>
      <c r="C541"/>
      <c r="D541"/>
      <c r="E541"/>
      <c r="F541"/>
      <c r="G541"/>
      <c r="H541"/>
      <c r="I541"/>
      <c r="J541"/>
      <c r="K541"/>
      <c r="L541"/>
      <c r="M541"/>
      <c r="S541" s="54"/>
    </row>
    <row r="542" spans="1:19" s="15" customFormat="1" x14ac:dyDescent="0.3">
      <c r="A542" s="17"/>
      <c r="B542"/>
      <c r="C542"/>
      <c r="D542"/>
      <c r="E542"/>
      <c r="F542"/>
      <c r="G542"/>
      <c r="H542"/>
      <c r="I542"/>
      <c r="J542"/>
      <c r="K542"/>
      <c r="L542"/>
      <c r="M542"/>
      <c r="S542" s="54"/>
    </row>
    <row r="543" spans="1:19" s="15" customFormat="1" x14ac:dyDescent="0.3">
      <c r="A543" s="17"/>
      <c r="B543"/>
      <c r="C543"/>
      <c r="D543"/>
      <c r="E543"/>
      <c r="F543"/>
      <c r="G543"/>
      <c r="H543"/>
      <c r="I543"/>
      <c r="J543"/>
      <c r="K543"/>
      <c r="L543"/>
      <c r="M543"/>
      <c r="S543" s="54"/>
    </row>
    <row r="544" spans="1:19" s="15" customFormat="1" x14ac:dyDescent="0.3">
      <c r="A544" s="17"/>
      <c r="B544"/>
      <c r="C544"/>
      <c r="D544"/>
      <c r="E544"/>
      <c r="F544"/>
      <c r="G544"/>
      <c r="H544"/>
      <c r="I544"/>
      <c r="J544"/>
      <c r="K544"/>
      <c r="L544"/>
      <c r="M544"/>
      <c r="S544" s="54"/>
    </row>
    <row r="545" spans="1:19" s="15" customFormat="1" x14ac:dyDescent="0.3">
      <c r="A545" s="17"/>
      <c r="B545"/>
      <c r="C545"/>
      <c r="D545"/>
      <c r="E545"/>
      <c r="F545"/>
      <c r="G545"/>
      <c r="H545"/>
      <c r="I545"/>
      <c r="J545"/>
      <c r="K545"/>
      <c r="L545"/>
      <c r="M545"/>
      <c r="S545" s="54"/>
    </row>
    <row r="546" spans="1:19" s="15" customFormat="1" x14ac:dyDescent="0.3">
      <c r="A546" s="17"/>
      <c r="B546"/>
      <c r="C546"/>
      <c r="D546"/>
      <c r="E546"/>
      <c r="F546"/>
      <c r="G546"/>
      <c r="H546"/>
      <c r="I546"/>
      <c r="J546"/>
      <c r="K546"/>
      <c r="L546"/>
      <c r="M546"/>
      <c r="S546" s="54"/>
    </row>
    <row r="547" spans="1:19" s="15" customFormat="1" x14ac:dyDescent="0.3">
      <c r="A547" s="17"/>
      <c r="B547"/>
      <c r="C547"/>
      <c r="D547"/>
      <c r="E547"/>
      <c r="F547"/>
      <c r="G547"/>
      <c r="H547"/>
      <c r="I547"/>
      <c r="J547"/>
      <c r="K547"/>
      <c r="L547"/>
      <c r="M547"/>
      <c r="S547" s="54"/>
    </row>
    <row r="548" spans="1:19" s="15" customFormat="1" x14ac:dyDescent="0.3">
      <c r="A548" s="17"/>
      <c r="B548"/>
      <c r="C548"/>
      <c r="D548"/>
      <c r="E548"/>
      <c r="F548"/>
      <c r="G548"/>
      <c r="H548"/>
      <c r="I548"/>
      <c r="J548"/>
      <c r="K548"/>
      <c r="L548"/>
      <c r="M548"/>
      <c r="S548" s="54"/>
    </row>
    <row r="549" spans="1:19" s="15" customFormat="1" x14ac:dyDescent="0.3">
      <c r="A549" s="17"/>
      <c r="B549"/>
      <c r="C549"/>
      <c r="D549"/>
      <c r="E549"/>
      <c r="F549"/>
      <c r="G549"/>
      <c r="H549"/>
      <c r="I549"/>
      <c r="J549"/>
      <c r="K549"/>
      <c r="L549"/>
      <c r="M549"/>
      <c r="S549" s="54"/>
    </row>
    <row r="550" spans="1:19" s="15" customFormat="1" x14ac:dyDescent="0.3">
      <c r="A550" s="17"/>
      <c r="B550"/>
      <c r="C550"/>
      <c r="D550"/>
      <c r="E550"/>
      <c r="F550"/>
      <c r="G550"/>
      <c r="H550"/>
      <c r="I550"/>
      <c r="J550"/>
      <c r="K550"/>
      <c r="L550"/>
      <c r="M550"/>
      <c r="S550" s="54"/>
    </row>
    <row r="551" spans="1:19" s="15" customFormat="1" x14ac:dyDescent="0.3">
      <c r="A551" s="17"/>
      <c r="B551"/>
      <c r="C551"/>
      <c r="D551"/>
      <c r="E551"/>
      <c r="F551"/>
      <c r="G551"/>
      <c r="H551"/>
      <c r="I551"/>
      <c r="J551"/>
      <c r="K551"/>
      <c r="L551"/>
      <c r="M551"/>
      <c r="S551" s="54"/>
    </row>
    <row r="552" spans="1:19" s="15" customFormat="1" x14ac:dyDescent="0.3">
      <c r="A552" s="17"/>
      <c r="B552"/>
      <c r="C552"/>
      <c r="D552"/>
      <c r="E552"/>
      <c r="F552"/>
      <c r="G552"/>
      <c r="H552"/>
      <c r="I552"/>
      <c r="J552"/>
      <c r="K552"/>
      <c r="L552"/>
      <c r="M552"/>
      <c r="S552" s="54"/>
    </row>
    <row r="553" spans="1:19" s="15" customFormat="1" x14ac:dyDescent="0.3">
      <c r="A553" s="17"/>
      <c r="B553"/>
      <c r="C553"/>
      <c r="D553"/>
      <c r="E553"/>
      <c r="F553"/>
      <c r="G553"/>
      <c r="H553"/>
      <c r="I553"/>
      <c r="J553"/>
      <c r="K553"/>
      <c r="L553"/>
      <c r="M553"/>
      <c r="S553" s="54"/>
    </row>
    <row r="554" spans="1:19" s="15" customFormat="1" x14ac:dyDescent="0.3">
      <c r="A554" s="17"/>
      <c r="B554"/>
      <c r="C554"/>
      <c r="D554"/>
      <c r="E554"/>
      <c r="F554"/>
      <c r="G554"/>
      <c r="H554"/>
      <c r="I554"/>
      <c r="J554"/>
      <c r="K554"/>
      <c r="L554"/>
      <c r="M554"/>
      <c r="S554" s="54"/>
    </row>
    <row r="555" spans="1:19" s="15" customFormat="1" x14ac:dyDescent="0.3">
      <c r="A555" s="17"/>
      <c r="B555"/>
      <c r="C555"/>
      <c r="D555"/>
      <c r="E555"/>
      <c r="F555"/>
      <c r="G555"/>
      <c r="H555"/>
      <c r="I555"/>
      <c r="J555"/>
      <c r="K555"/>
      <c r="L555"/>
      <c r="M555"/>
      <c r="S555" s="54"/>
    </row>
    <row r="556" spans="1:19" s="15" customFormat="1" x14ac:dyDescent="0.3">
      <c r="A556" s="17"/>
      <c r="B556"/>
      <c r="C556"/>
      <c r="D556"/>
      <c r="E556"/>
      <c r="F556"/>
      <c r="G556"/>
      <c r="H556"/>
      <c r="I556"/>
      <c r="J556"/>
      <c r="K556"/>
      <c r="L556"/>
      <c r="M556"/>
      <c r="S556" s="54"/>
    </row>
    <row r="557" spans="1:19" s="15" customFormat="1" x14ac:dyDescent="0.3">
      <c r="A557" s="17"/>
      <c r="B557"/>
      <c r="C557"/>
      <c r="D557"/>
      <c r="E557"/>
      <c r="F557"/>
      <c r="G557"/>
      <c r="H557"/>
      <c r="I557"/>
      <c r="J557"/>
      <c r="K557"/>
      <c r="L557"/>
      <c r="M557"/>
      <c r="S557" s="54"/>
    </row>
    <row r="558" spans="1:19" s="15" customFormat="1" x14ac:dyDescent="0.3">
      <c r="A558" s="17"/>
      <c r="B558"/>
      <c r="C558"/>
      <c r="D558"/>
      <c r="E558"/>
      <c r="F558"/>
      <c r="G558"/>
      <c r="H558"/>
      <c r="I558"/>
      <c r="J558"/>
      <c r="K558"/>
      <c r="L558"/>
      <c r="M558"/>
      <c r="S558" s="54"/>
    </row>
    <row r="559" spans="1:19" s="15" customFormat="1" x14ac:dyDescent="0.3">
      <c r="A559" s="17"/>
      <c r="B559"/>
      <c r="C559"/>
      <c r="D559"/>
      <c r="E559"/>
      <c r="F559"/>
      <c r="G559"/>
      <c r="H559"/>
      <c r="I559"/>
      <c r="J559"/>
      <c r="K559"/>
      <c r="L559"/>
      <c r="M559"/>
      <c r="S559" s="54"/>
    </row>
    <row r="560" spans="1:19" s="15" customFormat="1" x14ac:dyDescent="0.3">
      <c r="A560" s="17"/>
      <c r="B560"/>
      <c r="C560"/>
      <c r="D560"/>
      <c r="E560"/>
      <c r="F560"/>
      <c r="G560"/>
      <c r="H560"/>
      <c r="I560"/>
      <c r="J560"/>
      <c r="K560"/>
      <c r="L560"/>
      <c r="M560"/>
      <c r="S560" s="54"/>
    </row>
    <row r="561" spans="1:19" s="15" customFormat="1" x14ac:dyDescent="0.3">
      <c r="A561" s="17"/>
      <c r="B561"/>
      <c r="C561"/>
      <c r="D561"/>
      <c r="E561"/>
      <c r="F561"/>
      <c r="G561"/>
      <c r="H561"/>
      <c r="I561"/>
      <c r="J561"/>
      <c r="K561"/>
      <c r="L561"/>
      <c r="M561"/>
      <c r="S561" s="54"/>
    </row>
    <row r="562" spans="1:19" s="15" customFormat="1" x14ac:dyDescent="0.3">
      <c r="A562" s="17"/>
      <c r="B562"/>
      <c r="C562"/>
      <c r="D562"/>
      <c r="E562"/>
      <c r="F562"/>
      <c r="G562"/>
      <c r="H562"/>
      <c r="I562"/>
      <c r="J562"/>
      <c r="K562"/>
      <c r="L562"/>
      <c r="M562"/>
      <c r="S562" s="54"/>
    </row>
    <row r="563" spans="1:19" s="15" customFormat="1" x14ac:dyDescent="0.3">
      <c r="A563" s="17"/>
      <c r="B563"/>
      <c r="C563"/>
      <c r="D563"/>
      <c r="E563"/>
      <c r="F563"/>
      <c r="G563"/>
      <c r="H563"/>
      <c r="I563"/>
      <c r="J563"/>
      <c r="K563"/>
      <c r="L563"/>
      <c r="M563"/>
      <c r="S563" s="54"/>
    </row>
    <row r="564" spans="1:19" s="15" customFormat="1" x14ac:dyDescent="0.3">
      <c r="A564" s="17"/>
      <c r="B564"/>
      <c r="C564"/>
      <c r="D564"/>
      <c r="E564"/>
      <c r="F564"/>
      <c r="G564"/>
      <c r="H564"/>
      <c r="I564"/>
      <c r="J564"/>
      <c r="K564"/>
      <c r="L564"/>
      <c r="M564"/>
      <c r="S564" s="54"/>
    </row>
    <row r="565" spans="1:19" s="15" customFormat="1" x14ac:dyDescent="0.3">
      <c r="A565" s="17"/>
      <c r="B565"/>
      <c r="C565"/>
      <c r="D565"/>
      <c r="E565"/>
      <c r="F565"/>
      <c r="G565"/>
      <c r="H565"/>
      <c r="I565"/>
      <c r="J565"/>
      <c r="K565"/>
      <c r="L565"/>
      <c r="M565"/>
      <c r="S565" s="54"/>
    </row>
    <row r="566" spans="1:19" s="15" customFormat="1" x14ac:dyDescent="0.3">
      <c r="A566" s="17"/>
      <c r="B566"/>
      <c r="C566"/>
      <c r="D566"/>
      <c r="E566"/>
      <c r="F566"/>
      <c r="G566"/>
      <c r="H566"/>
      <c r="I566"/>
      <c r="J566"/>
      <c r="K566"/>
      <c r="L566"/>
      <c r="M566"/>
      <c r="S566" s="54"/>
    </row>
    <row r="567" spans="1:19" s="15" customFormat="1" x14ac:dyDescent="0.3">
      <c r="A567" s="17"/>
      <c r="B567"/>
      <c r="C567"/>
      <c r="D567"/>
      <c r="E567"/>
      <c r="F567"/>
      <c r="G567"/>
      <c r="H567"/>
      <c r="I567"/>
      <c r="J567"/>
      <c r="K567"/>
      <c r="L567"/>
      <c r="M567"/>
      <c r="S567" s="54"/>
    </row>
    <row r="568" spans="1:19" s="15" customFormat="1" x14ac:dyDescent="0.3">
      <c r="A568" s="17"/>
      <c r="B568"/>
      <c r="C568"/>
      <c r="D568"/>
      <c r="E568"/>
      <c r="F568"/>
      <c r="G568"/>
      <c r="H568"/>
      <c r="I568"/>
      <c r="J568"/>
      <c r="K568"/>
      <c r="L568"/>
      <c r="M568"/>
      <c r="S568" s="54"/>
    </row>
    <row r="569" spans="1:19" s="15" customFormat="1" x14ac:dyDescent="0.3">
      <c r="A569" s="17"/>
      <c r="B569"/>
      <c r="C569"/>
      <c r="D569"/>
      <c r="E569"/>
      <c r="F569"/>
      <c r="G569"/>
      <c r="H569"/>
      <c r="I569"/>
      <c r="J569"/>
      <c r="K569"/>
      <c r="L569"/>
      <c r="M569"/>
      <c r="S569" s="54"/>
    </row>
    <row r="570" spans="1:19" s="15" customFormat="1" x14ac:dyDescent="0.3">
      <c r="A570" s="17"/>
      <c r="B570"/>
      <c r="C570"/>
      <c r="D570"/>
      <c r="E570"/>
      <c r="F570"/>
      <c r="G570"/>
      <c r="H570"/>
      <c r="I570"/>
      <c r="J570"/>
      <c r="K570"/>
      <c r="L570"/>
      <c r="M570"/>
      <c r="S570" s="54"/>
    </row>
    <row r="571" spans="1:19" s="15" customFormat="1" x14ac:dyDescent="0.3">
      <c r="A571" s="17"/>
      <c r="B571"/>
      <c r="C571"/>
      <c r="D571"/>
      <c r="E571"/>
      <c r="F571"/>
      <c r="G571"/>
      <c r="H571"/>
      <c r="I571"/>
      <c r="J571"/>
      <c r="K571"/>
      <c r="L571"/>
      <c r="M571"/>
      <c r="S571" s="54"/>
    </row>
    <row r="572" spans="1:19" s="15" customFormat="1" x14ac:dyDescent="0.3">
      <c r="A572" s="17"/>
      <c r="B572"/>
      <c r="C572"/>
      <c r="D572"/>
      <c r="E572"/>
      <c r="F572"/>
      <c r="G572"/>
      <c r="H572"/>
      <c r="I572"/>
      <c r="J572"/>
      <c r="K572"/>
      <c r="L572"/>
      <c r="M572"/>
      <c r="S572" s="54"/>
    </row>
    <row r="573" spans="1:19" s="15" customFormat="1" x14ac:dyDescent="0.3">
      <c r="A573" s="17"/>
      <c r="B573"/>
      <c r="C573"/>
      <c r="D573"/>
      <c r="E573"/>
      <c r="F573"/>
      <c r="G573"/>
      <c r="H573"/>
      <c r="I573"/>
      <c r="J573"/>
      <c r="K573"/>
      <c r="L573"/>
      <c r="M573"/>
      <c r="S573" s="54"/>
    </row>
    <row r="574" spans="1:19" s="15" customFormat="1" x14ac:dyDescent="0.3">
      <c r="A574" s="17"/>
      <c r="B574"/>
      <c r="C574"/>
      <c r="D574"/>
      <c r="E574"/>
      <c r="F574"/>
      <c r="G574"/>
      <c r="H574"/>
      <c r="I574"/>
      <c r="J574"/>
      <c r="K574"/>
      <c r="L574"/>
      <c r="M574"/>
      <c r="S574" s="54"/>
    </row>
    <row r="575" spans="1:19" s="15" customFormat="1" x14ac:dyDescent="0.3">
      <c r="A575" s="17"/>
      <c r="B575"/>
      <c r="C575"/>
      <c r="D575"/>
      <c r="E575"/>
      <c r="F575"/>
      <c r="G575"/>
      <c r="H575"/>
      <c r="I575"/>
      <c r="J575"/>
      <c r="K575"/>
      <c r="L575"/>
      <c r="M575"/>
      <c r="S575" s="54"/>
    </row>
    <row r="576" spans="1:19" s="15" customFormat="1" x14ac:dyDescent="0.3">
      <c r="A576" s="17"/>
      <c r="B576"/>
      <c r="C576"/>
      <c r="D576"/>
      <c r="E576"/>
      <c r="F576"/>
      <c r="G576"/>
      <c r="H576"/>
      <c r="I576"/>
      <c r="J576"/>
      <c r="K576"/>
      <c r="L576"/>
      <c r="M576"/>
      <c r="S576" s="54"/>
    </row>
    <row r="577" spans="1:19" s="15" customFormat="1" x14ac:dyDescent="0.3">
      <c r="A577" s="17"/>
      <c r="B577"/>
      <c r="C577"/>
      <c r="D577"/>
      <c r="E577"/>
      <c r="F577"/>
      <c r="G577"/>
      <c r="H577"/>
      <c r="I577"/>
      <c r="J577"/>
      <c r="K577"/>
      <c r="L577"/>
      <c r="M577"/>
      <c r="S577" s="54"/>
    </row>
    <row r="578" spans="1:19" s="15" customFormat="1" x14ac:dyDescent="0.3">
      <c r="A578" s="17"/>
      <c r="B578"/>
      <c r="C578"/>
      <c r="D578"/>
      <c r="E578"/>
      <c r="F578"/>
      <c r="G578"/>
      <c r="H578"/>
      <c r="I578"/>
      <c r="J578"/>
      <c r="K578"/>
      <c r="L578"/>
      <c r="M578"/>
      <c r="S578" s="54"/>
    </row>
    <row r="579" spans="1:19" s="15" customFormat="1" x14ac:dyDescent="0.3">
      <c r="A579" s="17"/>
      <c r="B579"/>
      <c r="C579"/>
      <c r="D579"/>
      <c r="E579"/>
      <c r="F579"/>
      <c r="G579"/>
      <c r="H579"/>
      <c r="I579"/>
      <c r="J579"/>
      <c r="K579"/>
      <c r="L579"/>
      <c r="M579"/>
      <c r="S579" s="54"/>
    </row>
    <row r="580" spans="1:19" s="15" customFormat="1" x14ac:dyDescent="0.3">
      <c r="A580" s="17"/>
      <c r="B580"/>
      <c r="C580"/>
      <c r="D580"/>
      <c r="E580"/>
      <c r="F580"/>
      <c r="G580"/>
      <c r="H580"/>
      <c r="I580"/>
      <c r="J580"/>
      <c r="K580"/>
      <c r="L580"/>
      <c r="M580"/>
      <c r="S580" s="54"/>
    </row>
    <row r="581" spans="1:19" s="15" customFormat="1" x14ac:dyDescent="0.3">
      <c r="A581" s="17"/>
      <c r="B581"/>
      <c r="C581"/>
      <c r="D581"/>
      <c r="E581"/>
      <c r="F581"/>
      <c r="G581"/>
      <c r="H581"/>
      <c r="I581"/>
      <c r="J581"/>
      <c r="K581"/>
      <c r="L581"/>
      <c r="M581"/>
      <c r="S581" s="54"/>
    </row>
    <row r="582" spans="1:19" s="15" customFormat="1" x14ac:dyDescent="0.3">
      <c r="A582" s="17"/>
      <c r="B582"/>
      <c r="C582"/>
      <c r="D582"/>
      <c r="E582"/>
      <c r="F582"/>
      <c r="G582"/>
      <c r="H582"/>
      <c r="I582"/>
      <c r="J582"/>
      <c r="K582"/>
      <c r="L582"/>
      <c r="M582"/>
      <c r="S582" s="54"/>
    </row>
    <row r="583" spans="1:19" s="15" customFormat="1" x14ac:dyDescent="0.3">
      <c r="A583" s="17"/>
      <c r="B583"/>
      <c r="C583"/>
      <c r="D583"/>
      <c r="E583"/>
      <c r="F583"/>
      <c r="G583"/>
      <c r="H583"/>
      <c r="I583"/>
      <c r="J583"/>
      <c r="K583"/>
      <c r="L583"/>
      <c r="M583"/>
      <c r="S583" s="54"/>
    </row>
    <row r="584" spans="1:19" s="15" customFormat="1" x14ac:dyDescent="0.3">
      <c r="A584" s="17"/>
      <c r="B584"/>
      <c r="C584"/>
      <c r="D584"/>
      <c r="E584"/>
      <c r="F584"/>
      <c r="G584"/>
      <c r="H584"/>
      <c r="I584"/>
      <c r="J584"/>
      <c r="K584"/>
      <c r="L584"/>
      <c r="M584"/>
      <c r="S584" s="54"/>
    </row>
    <row r="585" spans="1:19" s="15" customFormat="1" x14ac:dyDescent="0.3">
      <c r="A585" s="17"/>
      <c r="B585"/>
      <c r="C585"/>
      <c r="D585"/>
      <c r="E585"/>
      <c r="F585"/>
      <c r="G585"/>
      <c r="H585"/>
      <c r="I585"/>
      <c r="J585"/>
      <c r="K585"/>
      <c r="L585"/>
      <c r="M585"/>
      <c r="S585" s="54"/>
    </row>
    <row r="586" spans="1:19" s="15" customFormat="1" x14ac:dyDescent="0.3">
      <c r="A586" s="17"/>
      <c r="B586"/>
      <c r="C586"/>
      <c r="D586"/>
      <c r="E586"/>
      <c r="F586"/>
      <c r="G586"/>
      <c r="H586"/>
      <c r="I586"/>
      <c r="J586"/>
      <c r="K586"/>
      <c r="L586"/>
      <c r="M586"/>
      <c r="S586" s="54"/>
    </row>
    <row r="587" spans="1:19" s="15" customFormat="1" x14ac:dyDescent="0.3">
      <c r="A587" s="17"/>
      <c r="B587"/>
      <c r="C587"/>
      <c r="D587"/>
      <c r="E587"/>
      <c r="F587"/>
      <c r="G587"/>
      <c r="H587"/>
      <c r="I587"/>
      <c r="J587"/>
      <c r="K587"/>
      <c r="L587"/>
      <c r="M587"/>
      <c r="S587" s="54"/>
    </row>
    <row r="588" spans="1:19" s="15" customFormat="1" x14ac:dyDescent="0.3">
      <c r="A588" s="17"/>
      <c r="B588"/>
      <c r="C588"/>
      <c r="D588"/>
      <c r="E588"/>
      <c r="F588"/>
      <c r="G588"/>
      <c r="H588"/>
      <c r="I588"/>
      <c r="J588"/>
      <c r="K588"/>
      <c r="L588"/>
      <c r="M588"/>
      <c r="S588" s="54"/>
    </row>
    <row r="589" spans="1:19" s="15" customFormat="1" x14ac:dyDescent="0.3">
      <c r="A589" s="17"/>
      <c r="B589"/>
      <c r="C589"/>
      <c r="D589"/>
      <c r="E589"/>
      <c r="F589"/>
      <c r="G589"/>
      <c r="H589"/>
      <c r="I589"/>
      <c r="J589"/>
      <c r="K589"/>
      <c r="L589"/>
      <c r="M589"/>
      <c r="S589" s="54"/>
    </row>
    <row r="590" spans="1:19" s="15" customFormat="1" x14ac:dyDescent="0.3">
      <c r="A590" s="17"/>
      <c r="B590"/>
      <c r="C590"/>
      <c r="D590"/>
      <c r="E590"/>
      <c r="F590"/>
      <c r="G590"/>
      <c r="H590"/>
      <c r="I590"/>
      <c r="J590"/>
      <c r="K590"/>
      <c r="L590"/>
      <c r="M590"/>
      <c r="S590" s="54"/>
    </row>
    <row r="591" spans="1:19" s="15" customFormat="1" x14ac:dyDescent="0.3">
      <c r="A591" s="17"/>
      <c r="B591"/>
      <c r="C591"/>
      <c r="D591"/>
      <c r="E591"/>
      <c r="F591"/>
      <c r="G591"/>
      <c r="H591"/>
      <c r="I591"/>
      <c r="J591"/>
      <c r="K591"/>
      <c r="L591"/>
      <c r="M591"/>
      <c r="S591" s="54"/>
    </row>
    <row r="592" spans="1:19" s="15" customFormat="1" x14ac:dyDescent="0.3">
      <c r="A592" s="17"/>
      <c r="B592"/>
      <c r="C592"/>
      <c r="D592"/>
      <c r="E592"/>
      <c r="F592"/>
      <c r="G592"/>
      <c r="H592"/>
      <c r="I592"/>
      <c r="J592"/>
      <c r="K592"/>
      <c r="L592"/>
      <c r="M592"/>
      <c r="S592" s="54"/>
    </row>
    <row r="593" spans="1:19" s="15" customFormat="1" x14ac:dyDescent="0.3">
      <c r="A593" s="17"/>
      <c r="B593"/>
      <c r="C593"/>
      <c r="D593"/>
      <c r="E593"/>
      <c r="F593"/>
      <c r="G593"/>
      <c r="H593"/>
      <c r="I593"/>
      <c r="J593"/>
      <c r="K593"/>
      <c r="L593"/>
      <c r="M593"/>
      <c r="S593" s="54"/>
    </row>
    <row r="594" spans="1:19" s="15" customFormat="1" x14ac:dyDescent="0.3">
      <c r="A594" s="17"/>
      <c r="B594"/>
      <c r="C594"/>
      <c r="D594"/>
      <c r="E594"/>
      <c r="F594"/>
      <c r="G594"/>
      <c r="H594"/>
      <c r="I594"/>
      <c r="J594"/>
      <c r="K594"/>
      <c r="L594"/>
      <c r="M594"/>
      <c r="S594" s="54"/>
    </row>
    <row r="595" spans="1:19" s="15" customFormat="1" x14ac:dyDescent="0.3">
      <c r="A595" s="17"/>
      <c r="B595"/>
      <c r="C595"/>
      <c r="D595"/>
      <c r="E595"/>
      <c r="F595"/>
      <c r="G595"/>
      <c r="H595"/>
      <c r="I595"/>
      <c r="J595"/>
      <c r="K595"/>
      <c r="L595"/>
      <c r="M595"/>
      <c r="S595" s="54"/>
    </row>
    <row r="596" spans="1:19" s="15" customFormat="1" x14ac:dyDescent="0.3">
      <c r="A596" s="17"/>
      <c r="B596"/>
      <c r="C596"/>
      <c r="D596"/>
      <c r="E596"/>
      <c r="F596"/>
      <c r="G596"/>
      <c r="H596"/>
      <c r="I596"/>
      <c r="J596"/>
      <c r="K596"/>
      <c r="L596"/>
      <c r="M596"/>
      <c r="S596" s="54"/>
    </row>
    <row r="597" spans="1:19" s="15" customFormat="1" x14ac:dyDescent="0.3">
      <c r="A597" s="17"/>
      <c r="B597"/>
      <c r="C597"/>
      <c r="D597"/>
      <c r="E597"/>
      <c r="F597"/>
      <c r="G597"/>
      <c r="H597"/>
      <c r="I597"/>
      <c r="J597"/>
      <c r="K597"/>
      <c r="L597"/>
      <c r="M597"/>
      <c r="S597" s="54"/>
    </row>
    <row r="598" spans="1:19" s="15" customFormat="1" x14ac:dyDescent="0.3">
      <c r="A598" s="17"/>
      <c r="B598"/>
      <c r="C598"/>
      <c r="D598"/>
      <c r="E598"/>
      <c r="F598"/>
      <c r="G598"/>
      <c r="H598"/>
      <c r="I598"/>
      <c r="J598"/>
      <c r="K598"/>
      <c r="L598"/>
      <c r="M598"/>
      <c r="S598" s="54"/>
    </row>
    <row r="599" spans="1:19" s="15" customFormat="1" x14ac:dyDescent="0.3">
      <c r="A599" s="17"/>
      <c r="B599"/>
      <c r="C599"/>
      <c r="D599"/>
      <c r="E599"/>
      <c r="F599"/>
      <c r="G599"/>
      <c r="H599"/>
      <c r="I599"/>
      <c r="J599"/>
      <c r="K599"/>
      <c r="L599"/>
      <c r="M599"/>
      <c r="S599" s="54"/>
    </row>
    <row r="600" spans="1:19" s="15" customFormat="1" x14ac:dyDescent="0.3">
      <c r="A600" s="17"/>
      <c r="B600"/>
      <c r="C600"/>
      <c r="D600"/>
      <c r="E600"/>
      <c r="F600"/>
      <c r="G600"/>
      <c r="H600"/>
      <c r="I600"/>
      <c r="J600"/>
      <c r="K600"/>
      <c r="L600"/>
      <c r="M600"/>
      <c r="S600" s="54"/>
    </row>
    <row r="601" spans="1:19" s="15" customFormat="1" x14ac:dyDescent="0.3">
      <c r="A601" s="17"/>
      <c r="B601"/>
      <c r="C601"/>
      <c r="D601"/>
      <c r="E601"/>
      <c r="F601"/>
      <c r="G601"/>
      <c r="H601"/>
      <c r="I601"/>
      <c r="J601"/>
      <c r="K601"/>
      <c r="L601"/>
      <c r="M601"/>
      <c r="S601" s="54"/>
    </row>
    <row r="602" spans="1:19" s="15" customFormat="1" x14ac:dyDescent="0.3">
      <c r="A602" s="17"/>
      <c r="B602"/>
      <c r="C602"/>
      <c r="D602"/>
      <c r="E602"/>
      <c r="F602"/>
      <c r="G602"/>
      <c r="H602"/>
      <c r="I602"/>
      <c r="J602"/>
      <c r="K602"/>
      <c r="L602"/>
      <c r="M602"/>
      <c r="S602" s="54"/>
    </row>
    <row r="603" spans="1:19" s="15" customFormat="1" x14ac:dyDescent="0.3">
      <c r="A603" s="17"/>
      <c r="B603"/>
      <c r="C603"/>
      <c r="D603"/>
      <c r="E603"/>
      <c r="F603"/>
      <c r="G603"/>
      <c r="H603"/>
      <c r="I603"/>
      <c r="J603"/>
      <c r="K603"/>
      <c r="L603"/>
      <c r="M603"/>
      <c r="S603" s="54"/>
    </row>
    <row r="604" spans="1:19" s="15" customFormat="1" x14ac:dyDescent="0.3">
      <c r="A604" s="17"/>
      <c r="B604"/>
      <c r="C604"/>
      <c r="D604"/>
      <c r="E604"/>
      <c r="F604"/>
      <c r="G604"/>
      <c r="H604"/>
      <c r="I604"/>
      <c r="J604"/>
      <c r="K604"/>
      <c r="L604"/>
      <c r="M604"/>
      <c r="S604" s="54"/>
    </row>
    <row r="605" spans="1:19" s="15" customFormat="1" x14ac:dyDescent="0.3">
      <c r="A605" s="17"/>
      <c r="B605"/>
      <c r="C605"/>
      <c r="D605"/>
      <c r="E605"/>
      <c r="F605"/>
      <c r="G605"/>
      <c r="H605"/>
      <c r="I605"/>
      <c r="J605"/>
      <c r="K605"/>
      <c r="L605"/>
      <c r="M605"/>
      <c r="S605" s="54"/>
    </row>
    <row r="606" spans="1:19" s="15" customFormat="1" x14ac:dyDescent="0.3">
      <c r="A606" s="17"/>
      <c r="B606"/>
      <c r="C606"/>
      <c r="D606"/>
      <c r="E606"/>
      <c r="F606"/>
      <c r="G606"/>
      <c r="H606"/>
      <c r="I606"/>
      <c r="J606"/>
      <c r="K606"/>
      <c r="L606"/>
      <c r="M606"/>
      <c r="S606" s="54"/>
    </row>
    <row r="607" spans="1:19" s="15" customFormat="1" x14ac:dyDescent="0.3">
      <c r="A607" s="17"/>
      <c r="B607"/>
      <c r="C607"/>
      <c r="D607"/>
      <c r="E607"/>
      <c r="F607"/>
      <c r="G607"/>
      <c r="H607"/>
      <c r="I607"/>
      <c r="J607"/>
      <c r="K607"/>
      <c r="L607"/>
      <c r="M607"/>
      <c r="S607" s="54"/>
    </row>
    <row r="608" spans="1:19" s="15" customFormat="1" x14ac:dyDescent="0.3">
      <c r="A608" s="17"/>
      <c r="B608"/>
      <c r="C608"/>
      <c r="D608"/>
      <c r="E608"/>
      <c r="F608"/>
      <c r="G608"/>
      <c r="H608"/>
      <c r="I608"/>
      <c r="J608"/>
      <c r="K608"/>
      <c r="L608"/>
      <c r="M608"/>
      <c r="S608" s="54"/>
    </row>
    <row r="609" spans="1:19" s="15" customFormat="1" x14ac:dyDescent="0.3">
      <c r="A609" s="17"/>
      <c r="B609"/>
      <c r="C609"/>
      <c r="D609"/>
      <c r="E609"/>
      <c r="F609"/>
      <c r="G609"/>
      <c r="H609"/>
      <c r="I609"/>
      <c r="J609"/>
      <c r="K609"/>
      <c r="L609"/>
      <c r="M609"/>
      <c r="S609" s="54"/>
    </row>
    <row r="610" spans="1:19" s="15" customFormat="1" x14ac:dyDescent="0.3">
      <c r="A610" s="17"/>
      <c r="B610"/>
      <c r="C610"/>
      <c r="D610"/>
      <c r="E610"/>
      <c r="F610"/>
      <c r="G610"/>
      <c r="H610"/>
      <c r="I610"/>
      <c r="J610"/>
      <c r="K610"/>
      <c r="L610"/>
      <c r="M610"/>
      <c r="S610" s="54"/>
    </row>
    <row r="611" spans="1:19" s="15" customFormat="1" x14ac:dyDescent="0.3">
      <c r="A611" s="17"/>
      <c r="B611"/>
      <c r="C611"/>
      <c r="D611"/>
      <c r="E611"/>
      <c r="F611"/>
      <c r="G611"/>
      <c r="H611"/>
      <c r="I611"/>
      <c r="J611"/>
      <c r="K611"/>
      <c r="L611"/>
      <c r="M611"/>
      <c r="S611" s="54"/>
    </row>
    <row r="612" spans="1:19" s="15" customFormat="1" x14ac:dyDescent="0.3">
      <c r="A612" s="17"/>
      <c r="B612"/>
      <c r="C612"/>
      <c r="D612"/>
      <c r="E612"/>
      <c r="F612"/>
      <c r="G612"/>
      <c r="H612"/>
      <c r="I612"/>
      <c r="J612"/>
      <c r="K612"/>
      <c r="L612"/>
      <c r="M612"/>
      <c r="S612" s="54"/>
    </row>
    <row r="613" spans="1:19" s="15" customFormat="1" x14ac:dyDescent="0.3">
      <c r="A613" s="17"/>
      <c r="B613"/>
      <c r="C613"/>
      <c r="D613"/>
      <c r="E613"/>
      <c r="F613"/>
      <c r="G613"/>
      <c r="H613"/>
      <c r="I613"/>
      <c r="J613"/>
      <c r="K613"/>
      <c r="L613"/>
      <c r="M613"/>
      <c r="S613" s="54"/>
    </row>
    <row r="614" spans="1:19" s="15" customFormat="1" x14ac:dyDescent="0.3">
      <c r="A614" s="17"/>
      <c r="B614"/>
      <c r="C614"/>
      <c r="D614"/>
      <c r="E614"/>
      <c r="F614"/>
      <c r="G614"/>
      <c r="H614"/>
      <c r="I614"/>
      <c r="J614"/>
      <c r="K614"/>
      <c r="L614"/>
      <c r="M614"/>
      <c r="S614" s="54"/>
    </row>
    <row r="615" spans="1:19" s="15" customFormat="1" x14ac:dyDescent="0.3">
      <c r="A615" s="17"/>
      <c r="B615"/>
      <c r="C615"/>
      <c r="D615"/>
      <c r="E615"/>
      <c r="F615"/>
      <c r="G615"/>
      <c r="H615"/>
      <c r="I615"/>
      <c r="J615"/>
      <c r="K615"/>
      <c r="L615"/>
      <c r="M615"/>
      <c r="S615" s="54"/>
    </row>
    <row r="616" spans="1:19" s="15" customFormat="1" x14ac:dyDescent="0.3">
      <c r="A616" s="17"/>
      <c r="B616"/>
      <c r="C616"/>
      <c r="D616"/>
      <c r="E616"/>
      <c r="F616"/>
      <c r="G616"/>
      <c r="H616"/>
      <c r="I616"/>
      <c r="J616"/>
      <c r="K616"/>
      <c r="L616"/>
      <c r="M616"/>
      <c r="S616" s="54"/>
    </row>
    <row r="617" spans="1:19" s="15" customFormat="1" x14ac:dyDescent="0.3">
      <c r="A617" s="17"/>
      <c r="B617"/>
      <c r="C617"/>
      <c r="D617"/>
      <c r="E617"/>
      <c r="F617"/>
      <c r="G617"/>
      <c r="H617"/>
      <c r="I617"/>
      <c r="J617"/>
      <c r="K617"/>
      <c r="L617"/>
      <c r="M617"/>
      <c r="S617" s="54"/>
    </row>
    <row r="618" spans="1:19" s="15" customFormat="1" x14ac:dyDescent="0.3">
      <c r="A618" s="17"/>
      <c r="B618"/>
      <c r="C618"/>
      <c r="D618"/>
      <c r="E618"/>
      <c r="F618"/>
      <c r="G618"/>
      <c r="H618"/>
      <c r="I618"/>
      <c r="J618"/>
      <c r="K618"/>
      <c r="L618"/>
      <c r="M618"/>
      <c r="S618" s="54"/>
    </row>
    <row r="619" spans="1:19" s="15" customFormat="1" x14ac:dyDescent="0.3">
      <c r="A619" s="17"/>
      <c r="B619"/>
      <c r="C619"/>
      <c r="D619"/>
      <c r="E619"/>
      <c r="F619"/>
      <c r="G619"/>
      <c r="H619"/>
      <c r="I619"/>
      <c r="J619"/>
      <c r="K619"/>
      <c r="L619"/>
      <c r="M619"/>
      <c r="S619" s="54"/>
    </row>
    <row r="620" spans="1:19" s="15" customFormat="1" x14ac:dyDescent="0.3">
      <c r="A620" s="17"/>
      <c r="B620"/>
      <c r="C620"/>
      <c r="D620"/>
      <c r="E620"/>
      <c r="F620"/>
      <c r="G620"/>
      <c r="H620"/>
      <c r="I620"/>
      <c r="J620"/>
      <c r="K620"/>
      <c r="L620"/>
      <c r="M620"/>
      <c r="S620" s="54"/>
    </row>
    <row r="621" spans="1:19" s="15" customFormat="1" x14ac:dyDescent="0.3">
      <c r="A621" s="17"/>
      <c r="B621"/>
      <c r="C621"/>
      <c r="D621"/>
      <c r="E621"/>
      <c r="F621"/>
      <c r="G621"/>
      <c r="H621"/>
      <c r="I621"/>
      <c r="J621"/>
      <c r="K621"/>
      <c r="L621"/>
      <c r="M621"/>
      <c r="S621" s="54"/>
    </row>
    <row r="622" spans="1:19" s="15" customFormat="1" x14ac:dyDescent="0.3">
      <c r="A622" s="17"/>
      <c r="B622"/>
      <c r="C622"/>
      <c r="D622"/>
      <c r="E622"/>
      <c r="F622"/>
      <c r="G622"/>
      <c r="H622"/>
      <c r="I622"/>
      <c r="J622"/>
      <c r="K622"/>
      <c r="L622"/>
      <c r="M622"/>
      <c r="S622" s="54"/>
    </row>
    <row r="623" spans="1:19" s="15" customFormat="1" x14ac:dyDescent="0.3">
      <c r="A623" s="17"/>
      <c r="B623"/>
      <c r="C623"/>
      <c r="D623"/>
      <c r="E623"/>
      <c r="F623"/>
      <c r="G623"/>
      <c r="H623"/>
      <c r="I623"/>
      <c r="J623"/>
      <c r="K623"/>
      <c r="L623"/>
      <c r="M623"/>
      <c r="S623" s="54"/>
    </row>
    <row r="624" spans="1:19" s="15" customFormat="1" x14ac:dyDescent="0.3">
      <c r="A624" s="17"/>
      <c r="B624"/>
      <c r="C624"/>
      <c r="D624"/>
      <c r="E624"/>
      <c r="F624"/>
      <c r="G624"/>
      <c r="H624"/>
      <c r="I624"/>
      <c r="J624"/>
      <c r="K624"/>
      <c r="L624"/>
      <c r="M624"/>
      <c r="S624" s="54"/>
    </row>
    <row r="625" spans="1:19" s="15" customFormat="1" x14ac:dyDescent="0.3">
      <c r="A625" s="17"/>
      <c r="B625"/>
      <c r="C625"/>
      <c r="D625"/>
      <c r="E625"/>
      <c r="F625"/>
      <c r="G625"/>
      <c r="H625"/>
      <c r="I625"/>
      <c r="J625"/>
      <c r="K625"/>
      <c r="L625"/>
      <c r="M625"/>
      <c r="S625" s="54"/>
    </row>
    <row r="626" spans="1:19" s="15" customFormat="1" x14ac:dyDescent="0.3">
      <c r="A626" s="17"/>
      <c r="B626"/>
      <c r="C626"/>
      <c r="D626"/>
      <c r="E626"/>
      <c r="F626"/>
      <c r="G626"/>
      <c r="H626"/>
      <c r="I626"/>
      <c r="J626"/>
      <c r="K626"/>
      <c r="L626"/>
      <c r="M626"/>
      <c r="S626" s="54"/>
    </row>
    <row r="627" spans="1:19" s="15" customFormat="1" x14ac:dyDescent="0.3">
      <c r="A627" s="17"/>
      <c r="B627"/>
      <c r="C627"/>
      <c r="D627"/>
      <c r="E627"/>
      <c r="F627"/>
      <c r="G627"/>
      <c r="H627"/>
      <c r="I627"/>
      <c r="J627"/>
      <c r="K627"/>
      <c r="L627"/>
      <c r="M627"/>
      <c r="S627" s="54"/>
    </row>
    <row r="628" spans="1:19" s="15" customFormat="1" x14ac:dyDescent="0.3">
      <c r="A628" s="17"/>
      <c r="B628"/>
      <c r="C628"/>
      <c r="D628"/>
      <c r="E628"/>
      <c r="F628"/>
      <c r="G628"/>
      <c r="H628"/>
      <c r="I628"/>
      <c r="J628"/>
      <c r="K628"/>
      <c r="L628"/>
      <c r="M628"/>
      <c r="S628" s="54"/>
    </row>
    <row r="629" spans="1:19" s="15" customFormat="1" x14ac:dyDescent="0.3">
      <c r="A629" s="17"/>
      <c r="B629"/>
      <c r="C629"/>
      <c r="D629"/>
      <c r="E629"/>
      <c r="F629"/>
      <c r="G629"/>
      <c r="H629"/>
      <c r="I629"/>
      <c r="J629"/>
      <c r="K629"/>
      <c r="L629"/>
      <c r="M629"/>
      <c r="S629" s="54"/>
    </row>
    <row r="630" spans="1:19" s="15" customFormat="1" x14ac:dyDescent="0.3">
      <c r="A630" s="17"/>
      <c r="B630"/>
      <c r="C630"/>
      <c r="D630"/>
      <c r="E630"/>
      <c r="F630"/>
      <c r="G630"/>
      <c r="H630"/>
      <c r="I630"/>
      <c r="J630"/>
      <c r="K630"/>
      <c r="L630"/>
      <c r="M630"/>
      <c r="S630" s="54"/>
    </row>
    <row r="631" spans="1:19" s="15" customFormat="1" x14ac:dyDescent="0.3">
      <c r="A631" s="17"/>
      <c r="B631"/>
      <c r="C631"/>
      <c r="D631"/>
      <c r="E631"/>
      <c r="F631"/>
      <c r="G631"/>
      <c r="H631"/>
      <c r="I631"/>
      <c r="J631"/>
      <c r="K631"/>
      <c r="L631"/>
      <c r="M631"/>
      <c r="S631" s="54"/>
    </row>
    <row r="632" spans="1:19" s="15" customFormat="1" x14ac:dyDescent="0.3">
      <c r="A632" s="17"/>
      <c r="B632"/>
      <c r="C632"/>
      <c r="D632"/>
      <c r="E632"/>
      <c r="F632"/>
      <c r="G632"/>
      <c r="H632"/>
      <c r="I632"/>
      <c r="J632"/>
      <c r="K632"/>
      <c r="L632"/>
      <c r="M632"/>
      <c r="S632" s="54"/>
    </row>
    <row r="633" spans="1:19" s="15" customFormat="1" x14ac:dyDescent="0.3">
      <c r="A633" s="17"/>
      <c r="B633"/>
      <c r="C633"/>
      <c r="D633"/>
      <c r="E633"/>
      <c r="F633"/>
      <c r="G633"/>
      <c r="H633"/>
      <c r="I633"/>
      <c r="J633"/>
      <c r="K633"/>
      <c r="L633"/>
      <c r="M633"/>
      <c r="S633" s="54"/>
    </row>
    <row r="634" spans="1:19" s="15" customFormat="1" x14ac:dyDescent="0.3">
      <c r="A634" s="17"/>
      <c r="B634"/>
      <c r="C634"/>
      <c r="D634"/>
      <c r="E634"/>
      <c r="F634"/>
      <c r="G634"/>
      <c r="H634"/>
      <c r="I634"/>
      <c r="J634"/>
      <c r="K634"/>
      <c r="L634"/>
      <c r="M634"/>
      <c r="S634" s="54"/>
    </row>
    <row r="635" spans="1:19" s="15" customFormat="1" x14ac:dyDescent="0.3">
      <c r="A635" s="17"/>
      <c r="B635"/>
      <c r="C635"/>
      <c r="D635"/>
      <c r="E635"/>
      <c r="F635"/>
      <c r="G635"/>
      <c r="H635"/>
      <c r="I635"/>
      <c r="J635"/>
      <c r="K635"/>
      <c r="L635"/>
      <c r="M635"/>
      <c r="S635" s="54"/>
    </row>
    <row r="636" spans="1:19" s="15" customFormat="1" x14ac:dyDescent="0.3">
      <c r="A636" s="17"/>
      <c r="B636"/>
      <c r="C636"/>
      <c r="D636"/>
      <c r="E636"/>
      <c r="F636"/>
      <c r="G636"/>
      <c r="H636"/>
      <c r="I636"/>
      <c r="J636"/>
      <c r="K636"/>
      <c r="L636"/>
      <c r="M636"/>
      <c r="S636" s="54"/>
    </row>
    <row r="637" spans="1:19" s="15" customFormat="1" x14ac:dyDescent="0.3">
      <c r="A637" s="17"/>
      <c r="B637"/>
      <c r="C637"/>
      <c r="D637"/>
      <c r="E637"/>
      <c r="F637"/>
      <c r="G637"/>
      <c r="H637"/>
      <c r="I637"/>
      <c r="J637"/>
      <c r="K637"/>
      <c r="L637"/>
      <c r="M637"/>
      <c r="S637" s="54"/>
    </row>
    <row r="638" spans="1:19" s="15" customFormat="1" x14ac:dyDescent="0.3">
      <c r="A638" s="17"/>
      <c r="B638"/>
      <c r="C638"/>
      <c r="D638"/>
      <c r="E638"/>
      <c r="F638"/>
      <c r="G638"/>
      <c r="H638"/>
      <c r="I638"/>
      <c r="J638"/>
      <c r="K638"/>
      <c r="L638"/>
      <c r="M638"/>
      <c r="S638" s="54"/>
    </row>
    <row r="639" spans="1:19" s="15" customFormat="1" x14ac:dyDescent="0.3">
      <c r="A639" s="17"/>
      <c r="B639"/>
      <c r="C639"/>
      <c r="D639"/>
      <c r="E639"/>
      <c r="F639"/>
      <c r="G639"/>
      <c r="H639"/>
      <c r="I639"/>
      <c r="J639"/>
      <c r="K639"/>
      <c r="L639"/>
      <c r="M639"/>
      <c r="S639" s="54"/>
    </row>
    <row r="640" spans="1:19" s="15" customFormat="1" x14ac:dyDescent="0.3">
      <c r="A640" s="17"/>
      <c r="B640"/>
      <c r="C640"/>
      <c r="D640"/>
      <c r="E640"/>
      <c r="F640"/>
      <c r="G640"/>
      <c r="H640"/>
      <c r="I640"/>
      <c r="J640"/>
      <c r="K640"/>
      <c r="L640"/>
      <c r="M640"/>
      <c r="S640" s="54"/>
    </row>
    <row r="641" spans="1:19" s="15" customFormat="1" x14ac:dyDescent="0.3">
      <c r="A641" s="17"/>
      <c r="B641"/>
      <c r="C641"/>
      <c r="D641"/>
      <c r="E641"/>
      <c r="F641"/>
      <c r="G641"/>
      <c r="H641"/>
      <c r="I641"/>
      <c r="J641"/>
      <c r="K641"/>
      <c r="L641"/>
      <c r="M641"/>
      <c r="S641" s="54"/>
    </row>
    <row r="642" spans="1:19" s="15" customFormat="1" x14ac:dyDescent="0.3">
      <c r="A642" s="17"/>
      <c r="B642"/>
      <c r="C642"/>
      <c r="D642"/>
      <c r="E642"/>
      <c r="F642"/>
      <c r="G642"/>
      <c r="H642"/>
      <c r="I642"/>
      <c r="J642"/>
      <c r="K642"/>
      <c r="L642"/>
      <c r="M642"/>
      <c r="S642" s="54"/>
    </row>
    <row r="643" spans="1:19" s="15" customFormat="1" x14ac:dyDescent="0.3">
      <c r="A643" s="17"/>
      <c r="B643"/>
      <c r="C643"/>
      <c r="D643"/>
      <c r="E643"/>
      <c r="F643"/>
      <c r="G643"/>
      <c r="H643"/>
      <c r="I643"/>
      <c r="J643"/>
      <c r="K643"/>
      <c r="L643"/>
      <c r="M643"/>
      <c r="S643" s="54"/>
    </row>
    <row r="644" spans="1:19" s="15" customFormat="1" x14ac:dyDescent="0.3">
      <c r="A644" s="17"/>
      <c r="B644"/>
      <c r="C644"/>
      <c r="D644"/>
      <c r="E644"/>
      <c r="F644"/>
      <c r="G644"/>
      <c r="H644"/>
      <c r="I644"/>
      <c r="J644"/>
      <c r="K644"/>
      <c r="L644"/>
      <c r="M644"/>
      <c r="S644" s="54"/>
    </row>
    <row r="645" spans="1:19" s="15" customFormat="1" x14ac:dyDescent="0.3">
      <c r="A645" s="17"/>
      <c r="B645"/>
      <c r="C645"/>
      <c r="D645"/>
      <c r="E645"/>
      <c r="F645"/>
      <c r="G645"/>
      <c r="H645"/>
      <c r="I645"/>
      <c r="J645"/>
      <c r="K645"/>
      <c r="L645"/>
      <c r="M645"/>
      <c r="S645" s="54"/>
    </row>
    <row r="646" spans="1:19" s="15" customFormat="1" x14ac:dyDescent="0.3">
      <c r="A646" s="17"/>
      <c r="B646"/>
      <c r="C646"/>
      <c r="D646"/>
      <c r="E646"/>
      <c r="F646"/>
      <c r="G646"/>
      <c r="H646"/>
      <c r="I646"/>
      <c r="J646"/>
      <c r="K646"/>
      <c r="L646"/>
      <c r="M646"/>
      <c r="S646" s="54"/>
    </row>
    <row r="647" spans="1:19" s="15" customFormat="1" x14ac:dyDescent="0.3">
      <c r="A647" s="17"/>
      <c r="B647"/>
      <c r="C647"/>
      <c r="D647"/>
      <c r="E647"/>
      <c r="F647"/>
      <c r="G647"/>
      <c r="H647"/>
      <c r="I647"/>
      <c r="J647"/>
      <c r="K647"/>
      <c r="L647"/>
      <c r="M647"/>
      <c r="S647" s="54"/>
    </row>
    <row r="648" spans="1:19" s="15" customFormat="1" x14ac:dyDescent="0.3">
      <c r="A648" s="17"/>
      <c r="B648"/>
      <c r="C648"/>
      <c r="D648"/>
      <c r="E648"/>
      <c r="F648"/>
      <c r="G648"/>
      <c r="H648"/>
      <c r="I648"/>
      <c r="J648"/>
      <c r="K648"/>
      <c r="L648"/>
      <c r="M648"/>
      <c r="S648" s="54"/>
    </row>
    <row r="649" spans="1:19" s="15" customFormat="1" x14ac:dyDescent="0.3">
      <c r="A649" s="17"/>
      <c r="B649"/>
      <c r="C649"/>
      <c r="D649"/>
      <c r="E649"/>
      <c r="F649"/>
      <c r="G649"/>
      <c r="H649"/>
      <c r="I649"/>
      <c r="J649"/>
      <c r="K649"/>
      <c r="L649"/>
      <c r="M649"/>
      <c r="S649" s="54"/>
    </row>
    <row r="650" spans="1:19" s="15" customFormat="1" x14ac:dyDescent="0.3">
      <c r="A650" s="17"/>
      <c r="B650"/>
      <c r="C650"/>
      <c r="D650"/>
      <c r="E650"/>
      <c r="F650"/>
      <c r="G650"/>
      <c r="H650"/>
      <c r="I650"/>
      <c r="J650"/>
      <c r="K650"/>
      <c r="L650"/>
      <c r="M650"/>
      <c r="S650" s="54"/>
    </row>
    <row r="651" spans="1:19" s="15" customFormat="1" x14ac:dyDescent="0.3">
      <c r="A651" s="17"/>
      <c r="B651"/>
      <c r="C651"/>
      <c r="D651"/>
      <c r="E651"/>
      <c r="F651"/>
      <c r="G651"/>
      <c r="H651"/>
      <c r="I651"/>
      <c r="J651"/>
      <c r="K651"/>
      <c r="L651"/>
      <c r="M651"/>
      <c r="S651" s="54"/>
    </row>
    <row r="652" spans="1:19" s="15" customFormat="1" x14ac:dyDescent="0.3">
      <c r="A652" s="17"/>
      <c r="B652"/>
      <c r="C652"/>
      <c r="D652"/>
      <c r="E652"/>
      <c r="F652"/>
      <c r="G652"/>
      <c r="H652"/>
      <c r="I652"/>
      <c r="J652"/>
      <c r="K652"/>
      <c r="L652"/>
      <c r="M652"/>
      <c r="S652" s="54"/>
    </row>
    <row r="653" spans="1:19" s="15" customFormat="1" x14ac:dyDescent="0.3">
      <c r="A653" s="17"/>
      <c r="B653"/>
      <c r="C653"/>
      <c r="D653"/>
      <c r="E653"/>
      <c r="F653"/>
      <c r="G653"/>
      <c r="H653"/>
      <c r="I653"/>
      <c r="J653"/>
      <c r="K653"/>
      <c r="L653"/>
      <c r="M653"/>
      <c r="S653" s="54"/>
    </row>
    <row r="654" spans="1:19" s="15" customFormat="1" x14ac:dyDescent="0.3">
      <c r="A654" s="17"/>
      <c r="B654"/>
      <c r="C654"/>
      <c r="D654"/>
      <c r="E654"/>
      <c r="F654"/>
      <c r="G654"/>
      <c r="H654"/>
      <c r="I654"/>
      <c r="J654"/>
      <c r="K654"/>
      <c r="L654"/>
      <c r="M654"/>
      <c r="S654" s="54"/>
    </row>
    <row r="655" spans="1:19" s="15" customFormat="1" x14ac:dyDescent="0.3">
      <c r="A655" s="17"/>
      <c r="B655"/>
      <c r="C655"/>
      <c r="D655"/>
      <c r="E655"/>
      <c r="F655"/>
      <c r="G655"/>
      <c r="H655"/>
      <c r="I655"/>
      <c r="J655"/>
      <c r="K655"/>
      <c r="L655"/>
      <c r="M655"/>
      <c r="S655" s="54"/>
    </row>
    <row r="656" spans="1:19" s="15" customFormat="1" x14ac:dyDescent="0.3">
      <c r="A656" s="17"/>
      <c r="B656"/>
      <c r="C656"/>
      <c r="D656"/>
      <c r="E656"/>
      <c r="F656"/>
      <c r="G656"/>
      <c r="H656"/>
      <c r="I656"/>
      <c r="J656"/>
      <c r="K656"/>
      <c r="L656"/>
      <c r="M656"/>
      <c r="S656" s="54"/>
    </row>
    <row r="657" spans="1:19" s="15" customFormat="1" x14ac:dyDescent="0.3">
      <c r="A657" s="17"/>
      <c r="B657"/>
      <c r="C657"/>
      <c r="D657"/>
      <c r="E657"/>
      <c r="F657"/>
      <c r="G657"/>
      <c r="H657"/>
      <c r="I657"/>
      <c r="J657"/>
      <c r="K657"/>
      <c r="L657"/>
      <c r="M657"/>
      <c r="S657" s="54"/>
    </row>
    <row r="658" spans="1:19" s="15" customFormat="1" x14ac:dyDescent="0.3">
      <c r="A658" s="17"/>
      <c r="B658"/>
      <c r="C658"/>
      <c r="D658"/>
      <c r="E658"/>
      <c r="F658"/>
      <c r="G658"/>
      <c r="H658"/>
      <c r="I658"/>
      <c r="J658"/>
      <c r="K658"/>
      <c r="L658"/>
      <c r="M658"/>
      <c r="S658" s="54"/>
    </row>
    <row r="659" spans="1:19" s="15" customFormat="1" x14ac:dyDescent="0.3">
      <c r="A659" s="17"/>
      <c r="B659"/>
      <c r="C659"/>
      <c r="D659"/>
      <c r="E659"/>
      <c r="F659"/>
      <c r="G659"/>
      <c r="H659"/>
      <c r="I659"/>
      <c r="J659"/>
      <c r="K659"/>
      <c r="L659"/>
      <c r="M659"/>
      <c r="S659" s="54"/>
    </row>
    <row r="660" spans="1:19" s="15" customFormat="1" x14ac:dyDescent="0.3">
      <c r="A660" s="17"/>
      <c r="B660"/>
      <c r="C660"/>
      <c r="D660"/>
      <c r="E660"/>
      <c r="F660"/>
      <c r="G660"/>
      <c r="H660"/>
      <c r="I660"/>
      <c r="J660"/>
      <c r="K660"/>
      <c r="L660"/>
      <c r="M660"/>
      <c r="S660" s="54"/>
    </row>
    <row r="661" spans="1:19" s="15" customFormat="1" x14ac:dyDescent="0.3">
      <c r="A661" s="17"/>
      <c r="B661"/>
      <c r="C661"/>
      <c r="D661"/>
      <c r="E661"/>
      <c r="F661"/>
      <c r="G661"/>
      <c r="H661"/>
      <c r="I661"/>
      <c r="J661"/>
      <c r="K661"/>
      <c r="L661"/>
      <c r="M661"/>
      <c r="S661" s="54"/>
    </row>
    <row r="662" spans="1:19" s="15" customFormat="1" x14ac:dyDescent="0.3">
      <c r="A662" s="17"/>
      <c r="B662"/>
      <c r="C662"/>
      <c r="D662"/>
      <c r="E662"/>
      <c r="F662"/>
      <c r="G662"/>
      <c r="H662"/>
      <c r="I662"/>
      <c r="J662"/>
      <c r="K662"/>
      <c r="L662"/>
      <c r="M662"/>
      <c r="S662" s="54"/>
    </row>
    <row r="663" spans="1:19" s="15" customFormat="1" x14ac:dyDescent="0.3">
      <c r="A663" s="17"/>
      <c r="B663"/>
      <c r="C663"/>
      <c r="D663"/>
      <c r="E663"/>
      <c r="F663"/>
      <c r="G663"/>
      <c r="H663"/>
      <c r="I663"/>
      <c r="J663"/>
      <c r="K663"/>
      <c r="L663"/>
      <c r="M663"/>
      <c r="S663" s="54"/>
    </row>
    <row r="664" spans="1:19" s="15" customFormat="1" x14ac:dyDescent="0.3">
      <c r="A664" s="17"/>
      <c r="B664"/>
      <c r="C664"/>
      <c r="D664"/>
      <c r="E664"/>
      <c r="F664"/>
      <c r="G664"/>
      <c r="H664"/>
      <c r="I664"/>
      <c r="J664"/>
      <c r="K664"/>
      <c r="L664"/>
      <c r="M664"/>
      <c r="S664" s="54"/>
    </row>
    <row r="665" spans="1:19" s="15" customFormat="1" x14ac:dyDescent="0.3">
      <c r="A665" s="17"/>
      <c r="B665"/>
      <c r="C665"/>
      <c r="D665"/>
      <c r="E665"/>
      <c r="F665"/>
      <c r="G665"/>
      <c r="H665"/>
      <c r="I665"/>
      <c r="J665"/>
      <c r="K665"/>
      <c r="L665"/>
      <c r="M665"/>
      <c r="S665" s="54"/>
    </row>
    <row r="666" spans="1:19" s="15" customFormat="1" x14ac:dyDescent="0.3">
      <c r="A666" s="17"/>
      <c r="B666"/>
      <c r="C666"/>
      <c r="D666"/>
      <c r="E666"/>
      <c r="F666"/>
      <c r="G666"/>
      <c r="H666"/>
      <c r="I666"/>
      <c r="J666"/>
      <c r="K666"/>
      <c r="L666"/>
      <c r="M666"/>
      <c r="S666" s="54"/>
    </row>
    <row r="667" spans="1:19" s="15" customFormat="1" x14ac:dyDescent="0.3">
      <c r="A667" s="17"/>
      <c r="B667"/>
      <c r="C667"/>
      <c r="D667"/>
      <c r="E667"/>
      <c r="F667"/>
      <c r="G667"/>
      <c r="H667"/>
      <c r="I667"/>
      <c r="J667"/>
      <c r="K667"/>
      <c r="L667"/>
      <c r="M667"/>
      <c r="S667" s="54"/>
    </row>
    <row r="668" spans="1:19" s="15" customFormat="1" x14ac:dyDescent="0.3">
      <c r="A668" s="17"/>
      <c r="B668"/>
      <c r="C668"/>
      <c r="D668"/>
      <c r="E668"/>
      <c r="F668"/>
      <c r="G668"/>
      <c r="H668"/>
      <c r="I668"/>
      <c r="J668"/>
      <c r="K668"/>
      <c r="L668"/>
      <c r="M668"/>
      <c r="S668" s="54"/>
    </row>
    <row r="669" spans="1:19" s="15" customFormat="1" x14ac:dyDescent="0.3">
      <c r="A669" s="17"/>
      <c r="B669"/>
      <c r="C669"/>
      <c r="D669"/>
      <c r="E669"/>
      <c r="F669"/>
      <c r="G669"/>
      <c r="H669"/>
      <c r="I669"/>
      <c r="J669"/>
      <c r="K669"/>
      <c r="L669"/>
      <c r="M669"/>
      <c r="S669" s="54"/>
    </row>
    <row r="670" spans="1:19" s="15" customFormat="1" x14ac:dyDescent="0.3">
      <c r="A670" s="17"/>
      <c r="B670"/>
      <c r="C670"/>
      <c r="D670"/>
      <c r="E670"/>
      <c r="F670"/>
      <c r="G670"/>
      <c r="H670"/>
      <c r="I670"/>
      <c r="J670"/>
      <c r="K670"/>
      <c r="L670"/>
      <c r="M670"/>
      <c r="S670" s="54"/>
    </row>
    <row r="671" spans="1:19" s="15" customFormat="1" x14ac:dyDescent="0.3">
      <c r="A671" s="17"/>
      <c r="B671"/>
      <c r="C671"/>
      <c r="D671"/>
      <c r="E671"/>
      <c r="F671"/>
      <c r="G671"/>
      <c r="H671"/>
      <c r="I671"/>
      <c r="J671"/>
      <c r="K671"/>
      <c r="L671"/>
      <c r="M671"/>
      <c r="S671" s="54"/>
    </row>
    <row r="672" spans="1:19" s="15" customFormat="1" x14ac:dyDescent="0.3">
      <c r="A672" s="17"/>
      <c r="B672"/>
      <c r="C672"/>
      <c r="D672"/>
      <c r="E672"/>
      <c r="F672"/>
      <c r="G672"/>
      <c r="H672"/>
      <c r="I672"/>
      <c r="J672"/>
      <c r="K672"/>
      <c r="L672"/>
      <c r="M672"/>
      <c r="S672" s="54"/>
    </row>
    <row r="673" spans="1:19" s="15" customFormat="1" x14ac:dyDescent="0.3">
      <c r="A673" s="17"/>
      <c r="B673"/>
      <c r="C673"/>
      <c r="D673"/>
      <c r="E673"/>
      <c r="F673"/>
      <c r="G673"/>
      <c r="H673"/>
      <c r="I673"/>
      <c r="J673"/>
      <c r="K673"/>
      <c r="L673"/>
      <c r="M673"/>
      <c r="S673" s="54"/>
    </row>
    <row r="674" spans="1:19" s="15" customFormat="1" x14ac:dyDescent="0.3">
      <c r="A674" s="17"/>
      <c r="B674"/>
      <c r="C674"/>
      <c r="D674"/>
      <c r="E674"/>
      <c r="F674"/>
      <c r="G674"/>
      <c r="H674"/>
      <c r="I674"/>
      <c r="J674"/>
      <c r="K674"/>
      <c r="L674"/>
      <c r="M674"/>
      <c r="S674" s="54"/>
    </row>
    <row r="675" spans="1:19" s="15" customFormat="1" x14ac:dyDescent="0.3">
      <c r="A675" s="17"/>
      <c r="B675"/>
      <c r="C675"/>
      <c r="D675"/>
      <c r="E675"/>
      <c r="F675"/>
      <c r="G675"/>
      <c r="H675"/>
      <c r="I675"/>
      <c r="J675"/>
      <c r="K675"/>
      <c r="L675"/>
      <c r="M675"/>
      <c r="S675" s="54"/>
    </row>
    <row r="676" spans="1:19" s="15" customFormat="1" x14ac:dyDescent="0.3">
      <c r="A676" s="17"/>
      <c r="B676"/>
      <c r="C676"/>
      <c r="D676"/>
      <c r="E676"/>
      <c r="F676"/>
      <c r="G676"/>
      <c r="H676"/>
      <c r="I676"/>
      <c r="J676"/>
      <c r="K676"/>
      <c r="L676"/>
      <c r="M676"/>
      <c r="S676" s="54"/>
    </row>
    <row r="677" spans="1:19" s="15" customFormat="1" x14ac:dyDescent="0.3">
      <c r="A677" s="17"/>
      <c r="B677"/>
      <c r="C677"/>
      <c r="D677"/>
      <c r="E677"/>
      <c r="F677"/>
      <c r="G677"/>
      <c r="H677"/>
      <c r="I677"/>
      <c r="J677"/>
      <c r="K677"/>
      <c r="L677"/>
      <c r="M677"/>
      <c r="S677" s="54"/>
    </row>
    <row r="678" spans="1:19" s="15" customFormat="1" x14ac:dyDescent="0.3">
      <c r="A678" s="17"/>
      <c r="B678"/>
      <c r="C678"/>
      <c r="D678"/>
      <c r="E678"/>
      <c r="F678"/>
      <c r="G678"/>
      <c r="H678"/>
      <c r="I678"/>
      <c r="J678"/>
      <c r="K678"/>
      <c r="L678"/>
      <c r="M678"/>
      <c r="S678" s="54"/>
    </row>
    <row r="679" spans="1:19" s="15" customFormat="1" x14ac:dyDescent="0.3">
      <c r="A679" s="17"/>
      <c r="B679"/>
      <c r="C679"/>
      <c r="D679"/>
      <c r="E679"/>
      <c r="F679"/>
      <c r="G679"/>
      <c r="H679"/>
      <c r="I679"/>
      <c r="J679"/>
      <c r="K679"/>
      <c r="L679"/>
      <c r="M679"/>
      <c r="S679" s="54"/>
    </row>
    <row r="680" spans="1:19" s="15" customFormat="1" x14ac:dyDescent="0.3">
      <c r="A680" s="17"/>
      <c r="B680"/>
      <c r="C680"/>
      <c r="D680"/>
      <c r="E680"/>
      <c r="F680"/>
      <c r="G680"/>
      <c r="H680"/>
      <c r="I680"/>
      <c r="J680"/>
      <c r="K680"/>
      <c r="L680"/>
      <c r="M680"/>
      <c r="S680" s="54"/>
    </row>
    <row r="681" spans="1:19" s="15" customFormat="1" x14ac:dyDescent="0.3">
      <c r="A681" s="17"/>
      <c r="B681"/>
      <c r="C681"/>
      <c r="D681"/>
      <c r="E681"/>
      <c r="F681"/>
      <c r="G681"/>
      <c r="H681"/>
      <c r="I681"/>
      <c r="J681"/>
      <c r="K681"/>
      <c r="L681"/>
      <c r="M681"/>
      <c r="S681" s="54"/>
    </row>
    <row r="682" spans="1:19" s="15" customFormat="1" x14ac:dyDescent="0.3">
      <c r="A682" s="17"/>
      <c r="B682"/>
      <c r="C682"/>
      <c r="D682"/>
      <c r="E682"/>
      <c r="F682"/>
      <c r="G682"/>
      <c r="H682"/>
      <c r="I682"/>
      <c r="J682"/>
      <c r="K682"/>
      <c r="L682"/>
      <c r="M682"/>
      <c r="S682" s="54"/>
    </row>
    <row r="683" spans="1:19" s="15" customFormat="1" x14ac:dyDescent="0.3">
      <c r="A683" s="17"/>
      <c r="B683"/>
      <c r="C683"/>
      <c r="D683"/>
      <c r="E683"/>
      <c r="F683"/>
      <c r="G683"/>
      <c r="H683"/>
      <c r="I683"/>
      <c r="J683"/>
      <c r="K683"/>
      <c r="L683"/>
      <c r="M683"/>
      <c r="S683" s="54"/>
    </row>
    <row r="684" spans="1:19" s="15" customFormat="1" x14ac:dyDescent="0.3">
      <c r="A684" s="17"/>
      <c r="B684"/>
      <c r="C684"/>
      <c r="D684"/>
      <c r="E684"/>
      <c r="F684"/>
      <c r="G684"/>
      <c r="H684"/>
      <c r="I684"/>
      <c r="J684"/>
      <c r="K684"/>
      <c r="L684"/>
      <c r="M684"/>
      <c r="S684" s="54"/>
    </row>
    <row r="685" spans="1:19" s="15" customFormat="1" x14ac:dyDescent="0.3">
      <c r="A685" s="17"/>
      <c r="B685"/>
      <c r="C685"/>
      <c r="D685"/>
      <c r="E685"/>
      <c r="F685"/>
      <c r="G685"/>
      <c r="H685"/>
      <c r="I685"/>
      <c r="J685"/>
      <c r="K685"/>
      <c r="L685"/>
      <c r="M685"/>
      <c r="S685" s="54"/>
    </row>
    <row r="686" spans="1:19" s="15" customFormat="1" x14ac:dyDescent="0.3">
      <c r="A686" s="17"/>
      <c r="B686"/>
      <c r="C686"/>
      <c r="D686"/>
      <c r="E686"/>
      <c r="F686"/>
      <c r="G686"/>
      <c r="H686"/>
      <c r="I686"/>
      <c r="J686"/>
      <c r="K686"/>
      <c r="L686"/>
      <c r="M686"/>
      <c r="S686" s="54"/>
    </row>
    <row r="687" spans="1:19" s="15" customFormat="1" x14ac:dyDescent="0.3">
      <c r="A687" s="17"/>
      <c r="B687"/>
      <c r="C687"/>
      <c r="D687"/>
      <c r="E687"/>
      <c r="F687"/>
      <c r="G687"/>
      <c r="H687"/>
      <c r="I687"/>
      <c r="J687"/>
      <c r="K687"/>
      <c r="L687"/>
      <c r="M687"/>
      <c r="S687" s="54"/>
    </row>
    <row r="688" spans="1:19" s="15" customFormat="1" x14ac:dyDescent="0.3">
      <c r="A688" s="17"/>
      <c r="B688"/>
      <c r="C688"/>
      <c r="D688"/>
      <c r="E688"/>
      <c r="F688"/>
      <c r="G688"/>
      <c r="H688"/>
      <c r="I688"/>
      <c r="J688"/>
      <c r="K688"/>
      <c r="L688"/>
      <c r="M688"/>
      <c r="S688" s="54"/>
    </row>
    <row r="689" spans="1:19" s="15" customFormat="1" x14ac:dyDescent="0.3">
      <c r="A689" s="17"/>
      <c r="B689"/>
      <c r="C689"/>
      <c r="D689"/>
      <c r="E689"/>
      <c r="F689"/>
      <c r="G689"/>
      <c r="H689"/>
      <c r="I689"/>
      <c r="J689"/>
      <c r="K689"/>
      <c r="L689"/>
      <c r="M689"/>
      <c r="S689" s="54"/>
    </row>
    <row r="690" spans="1:19" s="15" customFormat="1" x14ac:dyDescent="0.3">
      <c r="A690" s="17"/>
      <c r="B690"/>
      <c r="C690"/>
      <c r="D690"/>
      <c r="E690"/>
      <c r="F690"/>
      <c r="G690"/>
      <c r="H690"/>
      <c r="I690"/>
      <c r="J690"/>
      <c r="K690"/>
      <c r="L690"/>
      <c r="M690"/>
      <c r="S690" s="54"/>
    </row>
    <row r="691" spans="1:19" s="15" customFormat="1" x14ac:dyDescent="0.3">
      <c r="A691" s="17"/>
      <c r="B691"/>
      <c r="C691"/>
      <c r="D691"/>
      <c r="E691"/>
      <c r="F691"/>
      <c r="G691"/>
      <c r="H691"/>
      <c r="I691"/>
      <c r="J691"/>
      <c r="K691"/>
      <c r="L691"/>
      <c r="M691"/>
      <c r="S691" s="54"/>
    </row>
    <row r="692" spans="1:19" s="15" customFormat="1" x14ac:dyDescent="0.3">
      <c r="A692" s="17"/>
      <c r="B692"/>
      <c r="C692"/>
      <c r="D692"/>
      <c r="E692"/>
      <c r="F692"/>
      <c r="G692"/>
      <c r="H692"/>
      <c r="I692"/>
      <c r="J692"/>
      <c r="K692"/>
      <c r="L692"/>
      <c r="M692"/>
      <c r="S692" s="54"/>
    </row>
    <row r="693" spans="1:19" s="15" customFormat="1" x14ac:dyDescent="0.3">
      <c r="A693" s="17"/>
      <c r="B693"/>
      <c r="C693"/>
      <c r="D693"/>
      <c r="E693"/>
      <c r="F693"/>
      <c r="G693"/>
      <c r="H693"/>
      <c r="I693"/>
      <c r="J693"/>
      <c r="K693"/>
      <c r="L693"/>
      <c r="M693"/>
      <c r="S693" s="54"/>
    </row>
    <row r="694" spans="1:19" s="15" customFormat="1" x14ac:dyDescent="0.3">
      <c r="A694" s="17"/>
      <c r="B694"/>
      <c r="C694"/>
      <c r="D694"/>
      <c r="E694"/>
      <c r="F694"/>
      <c r="G694"/>
      <c r="H694"/>
      <c r="I694"/>
      <c r="J694"/>
      <c r="K694"/>
      <c r="L694"/>
      <c r="M694"/>
      <c r="S694" s="54"/>
    </row>
    <row r="695" spans="1:19" s="15" customFormat="1" x14ac:dyDescent="0.3">
      <c r="A695" s="17"/>
      <c r="B695"/>
      <c r="C695"/>
      <c r="D695"/>
      <c r="E695"/>
      <c r="F695"/>
      <c r="G695"/>
      <c r="H695"/>
      <c r="I695"/>
      <c r="J695"/>
      <c r="K695"/>
      <c r="L695"/>
      <c r="M695"/>
      <c r="S695" s="54"/>
    </row>
    <row r="696" spans="1:19" s="15" customFormat="1" x14ac:dyDescent="0.3">
      <c r="A696" s="17"/>
      <c r="B696"/>
      <c r="C696"/>
      <c r="D696"/>
      <c r="E696"/>
      <c r="F696"/>
      <c r="G696"/>
      <c r="H696"/>
      <c r="I696"/>
      <c r="J696"/>
      <c r="K696"/>
      <c r="L696"/>
      <c r="M696"/>
      <c r="S696" s="54"/>
    </row>
    <row r="697" spans="1:19" s="15" customFormat="1" x14ac:dyDescent="0.3">
      <c r="A697" s="17"/>
      <c r="B697"/>
      <c r="C697"/>
      <c r="D697"/>
      <c r="E697"/>
      <c r="F697"/>
      <c r="G697"/>
      <c r="H697"/>
      <c r="I697"/>
      <c r="J697"/>
      <c r="K697"/>
      <c r="L697"/>
      <c r="M697"/>
      <c r="S697" s="54"/>
    </row>
    <row r="698" spans="1:19" s="15" customFormat="1" x14ac:dyDescent="0.3">
      <c r="A698" s="17"/>
      <c r="B698"/>
      <c r="C698"/>
      <c r="D698"/>
      <c r="E698"/>
      <c r="F698"/>
      <c r="G698"/>
      <c r="H698"/>
      <c r="I698"/>
      <c r="J698"/>
      <c r="K698"/>
      <c r="L698"/>
      <c r="M698"/>
      <c r="S698" s="54"/>
    </row>
    <row r="699" spans="1:19" s="15" customFormat="1" x14ac:dyDescent="0.3">
      <c r="A699" s="17"/>
      <c r="B699"/>
      <c r="C699"/>
      <c r="D699"/>
      <c r="E699"/>
      <c r="F699"/>
      <c r="G699"/>
      <c r="H699"/>
      <c r="I699"/>
      <c r="J699"/>
      <c r="K699"/>
      <c r="L699"/>
      <c r="M699"/>
      <c r="S699" s="54"/>
    </row>
    <row r="700" spans="1:19" s="15" customFormat="1" x14ac:dyDescent="0.3">
      <c r="A700" s="17"/>
      <c r="B700"/>
      <c r="C700"/>
      <c r="D700"/>
      <c r="E700"/>
      <c r="F700"/>
      <c r="G700"/>
      <c r="H700"/>
      <c r="I700"/>
      <c r="J700"/>
      <c r="K700"/>
      <c r="L700"/>
      <c r="M700"/>
      <c r="S700" s="54"/>
    </row>
    <row r="701" spans="1:19" s="15" customFormat="1" x14ac:dyDescent="0.3">
      <c r="A701" s="17"/>
      <c r="B701"/>
      <c r="C701"/>
      <c r="D701"/>
      <c r="E701"/>
      <c r="F701"/>
      <c r="G701"/>
      <c r="H701"/>
      <c r="I701"/>
      <c r="J701"/>
      <c r="K701"/>
      <c r="L701"/>
      <c r="M701"/>
      <c r="S701" s="54"/>
    </row>
    <row r="702" spans="1:19" s="15" customFormat="1" x14ac:dyDescent="0.3">
      <c r="A702" s="17"/>
      <c r="B702"/>
      <c r="C702"/>
      <c r="D702"/>
      <c r="E702"/>
      <c r="F702"/>
      <c r="G702"/>
      <c r="H702"/>
      <c r="I702"/>
      <c r="J702"/>
      <c r="K702"/>
      <c r="L702"/>
      <c r="M702"/>
      <c r="S702" s="54"/>
    </row>
    <row r="703" spans="1:19" s="15" customFormat="1" x14ac:dyDescent="0.3">
      <c r="A703" s="17"/>
      <c r="B703"/>
      <c r="C703"/>
      <c r="D703"/>
      <c r="E703"/>
      <c r="F703"/>
      <c r="G703"/>
      <c r="H703"/>
      <c r="I703"/>
      <c r="J703"/>
      <c r="K703"/>
      <c r="L703"/>
      <c r="M703"/>
      <c r="S703" s="54"/>
    </row>
    <row r="704" spans="1:19" s="15" customFormat="1" x14ac:dyDescent="0.3">
      <c r="A704" s="17"/>
      <c r="B704"/>
      <c r="C704"/>
      <c r="D704"/>
      <c r="E704"/>
      <c r="F704"/>
      <c r="G704"/>
      <c r="H704"/>
      <c r="I704"/>
      <c r="J704"/>
      <c r="K704"/>
      <c r="L704"/>
      <c r="M704"/>
      <c r="S704" s="54"/>
    </row>
    <row r="705" spans="1:19" s="15" customFormat="1" x14ac:dyDescent="0.3">
      <c r="A705" s="17"/>
      <c r="B705"/>
      <c r="C705"/>
      <c r="D705"/>
      <c r="E705"/>
      <c r="F705"/>
      <c r="G705"/>
      <c r="H705"/>
      <c r="I705"/>
      <c r="J705"/>
      <c r="K705"/>
      <c r="L705"/>
      <c r="M705"/>
      <c r="S705" s="54"/>
    </row>
    <row r="706" spans="1:19" s="15" customFormat="1" x14ac:dyDescent="0.3">
      <c r="A706" s="17"/>
      <c r="B706"/>
      <c r="C706"/>
      <c r="D706"/>
      <c r="E706"/>
      <c r="F706"/>
      <c r="G706"/>
      <c r="H706"/>
      <c r="I706"/>
      <c r="J706"/>
      <c r="K706"/>
      <c r="L706"/>
      <c r="M706"/>
      <c r="S706" s="54"/>
    </row>
    <row r="707" spans="1:19" s="15" customFormat="1" x14ac:dyDescent="0.3">
      <c r="A707" s="17"/>
      <c r="B707"/>
      <c r="C707"/>
      <c r="D707"/>
      <c r="E707"/>
      <c r="F707"/>
      <c r="G707"/>
      <c r="H707"/>
      <c r="I707"/>
      <c r="J707"/>
      <c r="K707"/>
      <c r="L707"/>
      <c r="M707"/>
      <c r="S707" s="54"/>
    </row>
    <row r="708" spans="1:19" s="15" customFormat="1" x14ac:dyDescent="0.3">
      <c r="A708" s="17"/>
      <c r="B708"/>
      <c r="C708"/>
      <c r="D708"/>
      <c r="E708"/>
      <c r="F708"/>
      <c r="G708"/>
      <c r="H708"/>
      <c r="I708"/>
      <c r="J708"/>
      <c r="K708"/>
      <c r="L708"/>
      <c r="M708"/>
      <c r="S708" s="54"/>
    </row>
    <row r="709" spans="1:19" s="15" customFormat="1" x14ac:dyDescent="0.3">
      <c r="A709" s="17"/>
      <c r="B709"/>
      <c r="C709"/>
      <c r="D709"/>
      <c r="E709"/>
      <c r="F709"/>
      <c r="G709"/>
      <c r="H709"/>
      <c r="I709"/>
      <c r="J709"/>
      <c r="K709"/>
      <c r="L709"/>
      <c r="M709"/>
      <c r="S709" s="54"/>
    </row>
    <row r="710" spans="1:19" s="15" customFormat="1" x14ac:dyDescent="0.3">
      <c r="A710" s="17"/>
      <c r="B710"/>
      <c r="C710"/>
      <c r="D710"/>
      <c r="E710"/>
      <c r="F710"/>
      <c r="G710"/>
      <c r="H710"/>
      <c r="I710"/>
      <c r="J710"/>
      <c r="K710"/>
      <c r="L710"/>
      <c r="M710"/>
      <c r="S710" s="54"/>
    </row>
    <row r="711" spans="1:19" s="15" customFormat="1" x14ac:dyDescent="0.3">
      <c r="A711" s="17"/>
      <c r="B711"/>
      <c r="C711"/>
      <c r="D711"/>
      <c r="E711"/>
      <c r="F711"/>
      <c r="G711"/>
      <c r="H711"/>
      <c r="I711"/>
      <c r="J711"/>
      <c r="K711"/>
      <c r="L711"/>
      <c r="M711"/>
      <c r="S711" s="54"/>
    </row>
    <row r="712" spans="1:19" s="15" customFormat="1" x14ac:dyDescent="0.3">
      <c r="A712" s="17"/>
      <c r="B712"/>
      <c r="C712"/>
      <c r="D712"/>
      <c r="E712"/>
      <c r="F712"/>
      <c r="G712"/>
      <c r="H712"/>
      <c r="I712"/>
      <c r="J712"/>
      <c r="K712"/>
      <c r="L712"/>
      <c r="M712"/>
      <c r="S712" s="54"/>
    </row>
    <row r="713" spans="1:19" s="15" customFormat="1" x14ac:dyDescent="0.3">
      <c r="A713" s="17"/>
      <c r="B713"/>
      <c r="C713"/>
      <c r="D713"/>
      <c r="E713"/>
      <c r="F713"/>
      <c r="G713"/>
      <c r="H713"/>
      <c r="I713"/>
      <c r="J713"/>
      <c r="K713"/>
      <c r="L713"/>
      <c r="M713"/>
      <c r="S713" s="54"/>
    </row>
    <row r="714" spans="1:19" s="15" customFormat="1" x14ac:dyDescent="0.3">
      <c r="A714" s="17"/>
      <c r="B714"/>
      <c r="C714"/>
      <c r="D714"/>
      <c r="E714"/>
      <c r="F714"/>
      <c r="G714"/>
      <c r="H714"/>
      <c r="I714"/>
      <c r="J714"/>
      <c r="K714"/>
      <c r="L714"/>
      <c r="M714"/>
      <c r="S714" s="54"/>
    </row>
    <row r="715" spans="1:19" s="15" customFormat="1" x14ac:dyDescent="0.3">
      <c r="A715" s="17"/>
      <c r="B715"/>
      <c r="C715"/>
      <c r="D715"/>
      <c r="E715"/>
      <c r="F715"/>
      <c r="G715"/>
      <c r="H715"/>
      <c r="I715"/>
      <c r="J715"/>
      <c r="K715"/>
      <c r="L715"/>
      <c r="M715"/>
      <c r="S715" s="54"/>
    </row>
    <row r="716" spans="1:19" s="15" customFormat="1" x14ac:dyDescent="0.3">
      <c r="A716" s="17"/>
      <c r="B716"/>
      <c r="C716"/>
      <c r="D716"/>
      <c r="E716"/>
      <c r="F716"/>
      <c r="G716"/>
      <c r="H716"/>
      <c r="I716"/>
      <c r="J716"/>
      <c r="K716"/>
      <c r="L716"/>
      <c r="M716"/>
      <c r="S716" s="54"/>
    </row>
    <row r="717" spans="1:19" s="15" customFormat="1" x14ac:dyDescent="0.3">
      <c r="A717" s="17"/>
      <c r="B717"/>
      <c r="C717"/>
      <c r="D717"/>
      <c r="E717"/>
      <c r="F717"/>
      <c r="G717"/>
      <c r="H717"/>
      <c r="I717"/>
      <c r="J717"/>
      <c r="K717"/>
      <c r="L717"/>
      <c r="M717"/>
      <c r="S717" s="54"/>
    </row>
    <row r="718" spans="1:19" s="15" customFormat="1" x14ac:dyDescent="0.3">
      <c r="A718" s="17"/>
      <c r="B718"/>
      <c r="C718"/>
      <c r="D718"/>
      <c r="E718"/>
      <c r="F718"/>
      <c r="G718"/>
      <c r="H718"/>
      <c r="I718"/>
      <c r="J718"/>
      <c r="K718"/>
      <c r="L718"/>
      <c r="M718"/>
      <c r="S718" s="54"/>
    </row>
    <row r="719" spans="1:19" s="15" customFormat="1" x14ac:dyDescent="0.3">
      <c r="A719" s="17"/>
      <c r="B719"/>
      <c r="C719"/>
      <c r="D719"/>
      <c r="E719"/>
      <c r="F719"/>
      <c r="G719"/>
      <c r="H719"/>
      <c r="I719"/>
      <c r="J719"/>
      <c r="K719"/>
      <c r="L719"/>
      <c r="M719"/>
      <c r="S719" s="54"/>
    </row>
    <row r="720" spans="1:19" s="15" customFormat="1" x14ac:dyDescent="0.3">
      <c r="A720" s="17"/>
      <c r="B720"/>
      <c r="C720"/>
      <c r="D720"/>
      <c r="E720"/>
      <c r="F720"/>
      <c r="G720"/>
      <c r="H720"/>
      <c r="I720"/>
      <c r="J720"/>
      <c r="K720"/>
      <c r="L720"/>
      <c r="M720"/>
      <c r="S720" s="54"/>
    </row>
    <row r="721" spans="1:19" s="15" customFormat="1" x14ac:dyDescent="0.3">
      <c r="A721" s="17"/>
      <c r="B721"/>
      <c r="C721"/>
      <c r="D721"/>
      <c r="E721"/>
      <c r="F721"/>
      <c r="G721"/>
      <c r="H721"/>
      <c r="I721"/>
      <c r="J721"/>
      <c r="K721"/>
      <c r="L721"/>
      <c r="M721"/>
      <c r="S721" s="54"/>
    </row>
    <row r="722" spans="1:19" s="15" customFormat="1" x14ac:dyDescent="0.3">
      <c r="A722" s="17"/>
      <c r="B722"/>
      <c r="C722"/>
      <c r="D722"/>
      <c r="E722"/>
      <c r="F722"/>
      <c r="G722"/>
      <c r="H722"/>
      <c r="I722"/>
      <c r="J722"/>
      <c r="K722"/>
      <c r="L722"/>
      <c r="M722"/>
      <c r="S722" s="54"/>
    </row>
    <row r="723" spans="1:19" s="15" customFormat="1" x14ac:dyDescent="0.3">
      <c r="A723" s="17"/>
      <c r="B723"/>
      <c r="C723"/>
      <c r="D723"/>
      <c r="E723"/>
      <c r="F723"/>
      <c r="G723"/>
      <c r="H723"/>
      <c r="I723"/>
      <c r="J723"/>
      <c r="K723"/>
      <c r="L723"/>
      <c r="M723"/>
      <c r="S723" s="54"/>
    </row>
    <row r="724" spans="1:19" s="15" customFormat="1" x14ac:dyDescent="0.3">
      <c r="A724" s="17"/>
      <c r="B724"/>
      <c r="C724"/>
      <c r="D724"/>
      <c r="E724"/>
      <c r="F724"/>
      <c r="G724"/>
      <c r="H724"/>
      <c r="I724"/>
      <c r="J724"/>
      <c r="K724"/>
      <c r="L724"/>
      <c r="M724"/>
      <c r="S724" s="54"/>
    </row>
    <row r="725" spans="1:19" s="15" customFormat="1" x14ac:dyDescent="0.3">
      <c r="A725" s="17"/>
      <c r="B725"/>
      <c r="C725"/>
      <c r="D725"/>
      <c r="E725"/>
      <c r="F725"/>
      <c r="G725"/>
      <c r="H725"/>
      <c r="I725"/>
      <c r="J725"/>
      <c r="K725"/>
      <c r="L725"/>
      <c r="M725"/>
      <c r="S725" s="54"/>
    </row>
    <row r="726" spans="1:19" s="15" customFormat="1" x14ac:dyDescent="0.3">
      <c r="A726" s="17"/>
      <c r="B726"/>
      <c r="C726"/>
      <c r="D726"/>
      <c r="E726"/>
      <c r="F726"/>
      <c r="G726"/>
      <c r="H726"/>
      <c r="I726"/>
      <c r="J726"/>
      <c r="K726"/>
      <c r="L726"/>
      <c r="M726"/>
      <c r="S726" s="54"/>
    </row>
    <row r="727" spans="1:19" s="15" customFormat="1" x14ac:dyDescent="0.3">
      <c r="A727" s="17"/>
      <c r="B727"/>
      <c r="C727"/>
      <c r="D727"/>
      <c r="E727"/>
      <c r="F727"/>
      <c r="G727"/>
      <c r="H727"/>
      <c r="I727"/>
      <c r="J727"/>
      <c r="K727"/>
      <c r="L727"/>
      <c r="M727"/>
      <c r="S727" s="54"/>
    </row>
    <row r="728" spans="1:19" s="15" customFormat="1" x14ac:dyDescent="0.3">
      <c r="A728" s="17"/>
      <c r="B728"/>
      <c r="C728"/>
      <c r="D728"/>
      <c r="E728"/>
      <c r="F728"/>
      <c r="G728"/>
      <c r="H728"/>
      <c r="I728"/>
      <c r="J728"/>
      <c r="K728"/>
      <c r="L728"/>
      <c r="M728"/>
      <c r="S728" s="54"/>
    </row>
    <row r="729" spans="1:19" s="15" customFormat="1" x14ac:dyDescent="0.3">
      <c r="A729" s="17"/>
      <c r="B729"/>
      <c r="C729"/>
      <c r="D729"/>
      <c r="E729"/>
      <c r="F729"/>
      <c r="G729"/>
      <c r="H729"/>
      <c r="I729"/>
      <c r="J729"/>
      <c r="K729"/>
      <c r="L729"/>
      <c r="M729"/>
      <c r="S729" s="54"/>
    </row>
    <row r="730" spans="1:19" s="15" customFormat="1" x14ac:dyDescent="0.3">
      <c r="A730" s="17"/>
      <c r="B730"/>
      <c r="C730"/>
      <c r="D730"/>
      <c r="E730"/>
      <c r="F730"/>
      <c r="G730"/>
      <c r="H730"/>
      <c r="I730"/>
      <c r="J730"/>
      <c r="K730"/>
      <c r="L730"/>
      <c r="M730"/>
      <c r="S730" s="54"/>
    </row>
    <row r="731" spans="1:19" s="15" customFormat="1" x14ac:dyDescent="0.3">
      <c r="A731" s="17"/>
      <c r="B731"/>
      <c r="C731"/>
      <c r="D731"/>
      <c r="E731"/>
      <c r="F731"/>
      <c r="G731"/>
      <c r="H731"/>
      <c r="I731"/>
      <c r="J731"/>
      <c r="K731"/>
      <c r="L731"/>
      <c r="M731"/>
      <c r="S731" s="54"/>
    </row>
    <row r="732" spans="1:19" s="15" customFormat="1" x14ac:dyDescent="0.3">
      <c r="A732" s="17"/>
      <c r="B732"/>
      <c r="C732"/>
      <c r="D732"/>
      <c r="E732"/>
      <c r="F732"/>
      <c r="G732"/>
      <c r="H732"/>
      <c r="I732"/>
      <c r="J732"/>
      <c r="K732"/>
      <c r="L732"/>
      <c r="M732"/>
      <c r="S732" s="54"/>
    </row>
    <row r="733" spans="1:19" s="15" customFormat="1" x14ac:dyDescent="0.3">
      <c r="A733" s="17"/>
      <c r="B733"/>
      <c r="C733"/>
      <c r="D733"/>
      <c r="E733"/>
      <c r="F733"/>
      <c r="G733"/>
      <c r="H733"/>
      <c r="I733"/>
      <c r="J733"/>
      <c r="K733"/>
      <c r="L733"/>
      <c r="M733"/>
      <c r="S733" s="54"/>
    </row>
    <row r="734" spans="1:19" s="15" customFormat="1" x14ac:dyDescent="0.3">
      <c r="A734" s="17"/>
      <c r="B734"/>
      <c r="C734"/>
      <c r="D734"/>
      <c r="E734"/>
      <c r="F734"/>
      <c r="G734"/>
      <c r="H734"/>
      <c r="I734"/>
      <c r="J734"/>
      <c r="K734"/>
      <c r="L734"/>
      <c r="M734"/>
      <c r="S734" s="54"/>
    </row>
    <row r="735" spans="1:19" s="15" customFormat="1" x14ac:dyDescent="0.3">
      <c r="A735" s="17"/>
      <c r="B735"/>
      <c r="C735"/>
      <c r="D735"/>
      <c r="E735"/>
      <c r="F735"/>
      <c r="G735"/>
      <c r="H735"/>
      <c r="I735"/>
      <c r="J735"/>
      <c r="K735"/>
      <c r="L735"/>
      <c r="M735"/>
      <c r="S735" s="54"/>
    </row>
    <row r="736" spans="1:19" s="15" customFormat="1" x14ac:dyDescent="0.3">
      <c r="A736" s="17"/>
      <c r="B736"/>
      <c r="C736"/>
      <c r="D736"/>
      <c r="E736"/>
      <c r="F736"/>
      <c r="G736"/>
      <c r="H736"/>
      <c r="I736"/>
      <c r="J736"/>
      <c r="K736"/>
      <c r="L736"/>
      <c r="M736"/>
      <c r="S736" s="54"/>
    </row>
    <row r="737" spans="1:19" s="15" customFormat="1" x14ac:dyDescent="0.3">
      <c r="A737" s="17"/>
      <c r="B737"/>
      <c r="C737"/>
      <c r="D737"/>
      <c r="E737"/>
      <c r="F737"/>
      <c r="G737"/>
      <c r="H737"/>
      <c r="I737"/>
      <c r="J737"/>
      <c r="K737"/>
      <c r="L737"/>
      <c r="M737"/>
      <c r="S737" s="54"/>
    </row>
    <row r="738" spans="1:19" s="15" customFormat="1" x14ac:dyDescent="0.3">
      <c r="A738" s="17"/>
      <c r="B738"/>
      <c r="C738"/>
      <c r="D738"/>
      <c r="E738"/>
      <c r="F738"/>
      <c r="G738"/>
      <c r="H738"/>
      <c r="I738"/>
      <c r="J738"/>
      <c r="K738"/>
      <c r="L738"/>
      <c r="M738"/>
      <c r="S738" s="54"/>
    </row>
    <row r="739" spans="1:19" s="15" customFormat="1" x14ac:dyDescent="0.3">
      <c r="A739" s="17"/>
      <c r="B739"/>
      <c r="C739"/>
      <c r="D739"/>
      <c r="E739"/>
      <c r="F739"/>
      <c r="G739"/>
      <c r="H739"/>
      <c r="I739"/>
      <c r="J739"/>
      <c r="K739"/>
      <c r="L739"/>
      <c r="M739"/>
      <c r="S739" s="54"/>
    </row>
    <row r="740" spans="1:19" s="15" customFormat="1" x14ac:dyDescent="0.3">
      <c r="A740" s="17"/>
      <c r="B740"/>
      <c r="C740"/>
      <c r="D740"/>
      <c r="E740"/>
      <c r="F740"/>
      <c r="G740"/>
      <c r="H740"/>
      <c r="I740"/>
      <c r="J740"/>
      <c r="K740"/>
      <c r="L740"/>
      <c r="M740"/>
      <c r="S740" s="54"/>
    </row>
    <row r="741" spans="1:19" s="15" customFormat="1" x14ac:dyDescent="0.3">
      <c r="A741" s="17"/>
      <c r="B741"/>
      <c r="C741"/>
      <c r="D741"/>
      <c r="E741"/>
      <c r="F741"/>
      <c r="G741"/>
      <c r="H741"/>
      <c r="I741"/>
      <c r="J741"/>
      <c r="K741"/>
      <c r="L741"/>
      <c r="M741"/>
      <c r="S741" s="54"/>
    </row>
    <row r="742" spans="1:19" s="15" customFormat="1" x14ac:dyDescent="0.3">
      <c r="A742" s="17"/>
      <c r="B742"/>
      <c r="C742"/>
      <c r="D742"/>
      <c r="E742"/>
      <c r="F742"/>
      <c r="G742"/>
      <c r="H742"/>
      <c r="I742"/>
      <c r="J742"/>
      <c r="K742"/>
      <c r="L742"/>
      <c r="M742"/>
      <c r="S742" s="54"/>
    </row>
    <row r="743" spans="1:19" s="15" customFormat="1" x14ac:dyDescent="0.3">
      <c r="A743" s="17"/>
      <c r="B743"/>
      <c r="C743"/>
      <c r="D743"/>
      <c r="E743"/>
      <c r="F743"/>
      <c r="G743"/>
      <c r="H743"/>
      <c r="I743"/>
      <c r="J743"/>
      <c r="K743"/>
      <c r="L743"/>
      <c r="M743"/>
      <c r="S743" s="54"/>
    </row>
    <row r="744" spans="1:19" s="15" customFormat="1" x14ac:dyDescent="0.3">
      <c r="A744" s="17"/>
      <c r="B744"/>
      <c r="C744"/>
      <c r="D744"/>
      <c r="E744"/>
      <c r="F744"/>
      <c r="G744"/>
      <c r="H744"/>
      <c r="I744"/>
      <c r="J744"/>
      <c r="K744"/>
      <c r="L744"/>
      <c r="M744"/>
      <c r="S744" s="54"/>
    </row>
    <row r="745" spans="1:19" s="15" customFormat="1" x14ac:dyDescent="0.3">
      <c r="A745" s="17"/>
      <c r="B745"/>
      <c r="C745"/>
      <c r="D745"/>
      <c r="E745"/>
      <c r="F745"/>
      <c r="G745"/>
      <c r="H745"/>
      <c r="I745"/>
      <c r="J745"/>
      <c r="K745"/>
      <c r="L745"/>
      <c r="M745"/>
      <c r="S745" s="54"/>
    </row>
    <row r="746" spans="1:19" s="15" customFormat="1" x14ac:dyDescent="0.3">
      <c r="A746" s="17"/>
      <c r="B746"/>
      <c r="C746"/>
      <c r="D746"/>
      <c r="E746"/>
      <c r="F746"/>
      <c r="G746"/>
      <c r="H746"/>
      <c r="I746"/>
      <c r="J746"/>
      <c r="K746"/>
      <c r="L746"/>
      <c r="M746"/>
      <c r="S746" s="54"/>
    </row>
    <row r="747" spans="1:19" s="15" customFormat="1" x14ac:dyDescent="0.3">
      <c r="A747" s="17"/>
      <c r="B747"/>
      <c r="C747"/>
      <c r="D747"/>
      <c r="E747"/>
      <c r="F747"/>
      <c r="G747"/>
      <c r="H747"/>
      <c r="I747"/>
      <c r="J747"/>
      <c r="K747"/>
      <c r="L747"/>
      <c r="M747"/>
      <c r="S747" s="54"/>
    </row>
    <row r="748" spans="1:19" s="15" customFormat="1" x14ac:dyDescent="0.3">
      <c r="A748" s="17"/>
      <c r="B748"/>
      <c r="C748"/>
      <c r="D748"/>
      <c r="E748"/>
      <c r="F748"/>
      <c r="G748"/>
      <c r="H748"/>
      <c r="I748"/>
      <c r="J748"/>
      <c r="K748"/>
      <c r="L748"/>
      <c r="M748"/>
      <c r="S748" s="54"/>
    </row>
    <row r="749" spans="1:19" s="15" customFormat="1" x14ac:dyDescent="0.3">
      <c r="A749" s="17"/>
      <c r="B749"/>
      <c r="C749"/>
      <c r="D749"/>
      <c r="E749"/>
      <c r="F749"/>
      <c r="G749"/>
      <c r="H749"/>
      <c r="I749"/>
      <c r="J749"/>
      <c r="K749"/>
      <c r="L749"/>
      <c r="M749"/>
      <c r="S749" s="54"/>
    </row>
    <row r="750" spans="1:19" s="15" customFormat="1" x14ac:dyDescent="0.3">
      <c r="A750" s="17"/>
      <c r="B750"/>
      <c r="C750"/>
      <c r="D750"/>
      <c r="E750"/>
      <c r="F750"/>
      <c r="G750"/>
      <c r="H750"/>
      <c r="I750"/>
      <c r="J750"/>
      <c r="K750"/>
      <c r="L750"/>
      <c r="M750"/>
      <c r="S750" s="54"/>
    </row>
    <row r="751" spans="1:19" s="15" customFormat="1" x14ac:dyDescent="0.3">
      <c r="A751" s="17"/>
      <c r="B751"/>
      <c r="C751"/>
      <c r="D751"/>
      <c r="E751"/>
      <c r="F751"/>
      <c r="G751"/>
      <c r="H751"/>
      <c r="I751"/>
      <c r="J751"/>
      <c r="K751"/>
      <c r="L751"/>
      <c r="M751"/>
      <c r="S751" s="54"/>
    </row>
    <row r="752" spans="1:19" s="15" customFormat="1" x14ac:dyDescent="0.3">
      <c r="A752" s="17"/>
      <c r="B752"/>
      <c r="C752"/>
      <c r="D752"/>
      <c r="E752"/>
      <c r="F752"/>
      <c r="G752"/>
      <c r="H752"/>
      <c r="I752"/>
      <c r="J752"/>
      <c r="K752"/>
      <c r="L752"/>
      <c r="M752"/>
      <c r="S752" s="54"/>
    </row>
    <row r="753" spans="1:19" s="15" customFormat="1" x14ac:dyDescent="0.3">
      <c r="A753" s="17"/>
      <c r="B753"/>
      <c r="C753"/>
      <c r="D753"/>
      <c r="E753"/>
      <c r="F753"/>
      <c r="G753"/>
      <c r="H753"/>
      <c r="I753"/>
      <c r="J753"/>
      <c r="K753"/>
      <c r="L753"/>
      <c r="M753"/>
      <c r="S753" s="54"/>
    </row>
    <row r="754" spans="1:19" s="15" customFormat="1" x14ac:dyDescent="0.3">
      <c r="A754" s="17"/>
      <c r="B754"/>
      <c r="C754"/>
      <c r="D754"/>
      <c r="E754"/>
      <c r="F754"/>
      <c r="G754"/>
      <c r="H754"/>
      <c r="I754"/>
      <c r="J754"/>
      <c r="K754"/>
      <c r="L754"/>
      <c r="M754"/>
      <c r="S754" s="54"/>
    </row>
    <row r="755" spans="1:19" s="15" customFormat="1" x14ac:dyDescent="0.3">
      <c r="A755" s="17"/>
      <c r="B755"/>
      <c r="C755"/>
      <c r="D755"/>
      <c r="E755"/>
      <c r="F755"/>
      <c r="G755"/>
      <c r="H755"/>
      <c r="I755"/>
      <c r="J755"/>
      <c r="K755"/>
      <c r="L755"/>
      <c r="M755"/>
      <c r="S755" s="54"/>
    </row>
    <row r="756" spans="1:19" s="15" customFormat="1" x14ac:dyDescent="0.3">
      <c r="A756" s="17"/>
      <c r="B756"/>
      <c r="C756"/>
      <c r="D756"/>
      <c r="E756"/>
      <c r="F756"/>
      <c r="G756"/>
      <c r="H756"/>
      <c r="I756"/>
      <c r="J756"/>
      <c r="K756"/>
      <c r="L756"/>
      <c r="M756"/>
      <c r="S756" s="54"/>
    </row>
    <row r="757" spans="1:19" s="15" customFormat="1" x14ac:dyDescent="0.3">
      <c r="A757" s="17"/>
      <c r="B757"/>
      <c r="C757"/>
      <c r="D757"/>
      <c r="E757"/>
      <c r="F757"/>
      <c r="G757"/>
      <c r="H757"/>
      <c r="I757"/>
      <c r="J757"/>
      <c r="K757"/>
      <c r="L757"/>
      <c r="M757"/>
      <c r="S757" s="54"/>
    </row>
    <row r="758" spans="1:19" s="15" customFormat="1" x14ac:dyDescent="0.3">
      <c r="A758" s="17"/>
      <c r="B758"/>
      <c r="C758"/>
      <c r="D758"/>
      <c r="E758"/>
      <c r="F758"/>
      <c r="G758"/>
      <c r="H758"/>
      <c r="I758"/>
      <c r="J758"/>
      <c r="K758"/>
      <c r="L758"/>
      <c r="M758"/>
      <c r="S758" s="54"/>
    </row>
    <row r="759" spans="1:19" s="15" customFormat="1" x14ac:dyDescent="0.3">
      <c r="A759" s="17"/>
      <c r="B759"/>
      <c r="C759"/>
      <c r="D759"/>
      <c r="E759"/>
      <c r="F759"/>
      <c r="G759"/>
      <c r="H759"/>
      <c r="I759"/>
      <c r="J759"/>
      <c r="K759"/>
      <c r="L759"/>
      <c r="M759"/>
      <c r="S759" s="54"/>
    </row>
    <row r="760" spans="1:19" s="15" customFormat="1" x14ac:dyDescent="0.3">
      <c r="A760" s="17"/>
      <c r="B760"/>
      <c r="C760"/>
      <c r="D760"/>
      <c r="E760"/>
      <c r="F760"/>
      <c r="G760"/>
      <c r="H760"/>
      <c r="I760"/>
      <c r="J760"/>
      <c r="K760"/>
      <c r="L760"/>
      <c r="M760"/>
      <c r="S760" s="54"/>
    </row>
    <row r="761" spans="1:19" s="15" customFormat="1" x14ac:dyDescent="0.3">
      <c r="A761" s="17"/>
      <c r="B761"/>
      <c r="C761"/>
      <c r="D761"/>
      <c r="E761"/>
      <c r="F761"/>
      <c r="G761"/>
      <c r="H761"/>
      <c r="I761"/>
      <c r="J761"/>
      <c r="K761"/>
      <c r="L761"/>
      <c r="M761"/>
      <c r="S761" s="54"/>
    </row>
    <row r="762" spans="1:19" s="15" customFormat="1" x14ac:dyDescent="0.3">
      <c r="A762" s="17"/>
      <c r="B762"/>
      <c r="C762"/>
      <c r="D762"/>
      <c r="E762"/>
      <c r="F762"/>
      <c r="G762"/>
      <c r="H762"/>
      <c r="I762"/>
      <c r="J762"/>
      <c r="K762"/>
      <c r="L762"/>
      <c r="M762"/>
      <c r="S762" s="54"/>
    </row>
    <row r="763" spans="1:19" s="15" customFormat="1" x14ac:dyDescent="0.3">
      <c r="A763" s="17"/>
      <c r="B763"/>
      <c r="C763"/>
      <c r="D763"/>
      <c r="E763"/>
      <c r="F763"/>
      <c r="G763"/>
      <c r="H763"/>
      <c r="I763"/>
      <c r="J763"/>
      <c r="K763"/>
      <c r="L763"/>
      <c r="M763"/>
      <c r="S763" s="54"/>
    </row>
    <row r="764" spans="1:19" s="15" customFormat="1" x14ac:dyDescent="0.3">
      <c r="A764" s="17"/>
      <c r="B764"/>
      <c r="C764"/>
      <c r="D764"/>
      <c r="E764"/>
      <c r="F764"/>
      <c r="G764"/>
      <c r="H764"/>
      <c r="I764"/>
      <c r="J764"/>
      <c r="K764"/>
      <c r="L764"/>
      <c r="M764"/>
      <c r="S764" s="54"/>
    </row>
    <row r="765" spans="1:19" s="15" customFormat="1" x14ac:dyDescent="0.3">
      <c r="A765" s="17"/>
      <c r="B765"/>
      <c r="C765"/>
      <c r="D765"/>
      <c r="E765"/>
      <c r="F765"/>
      <c r="G765"/>
      <c r="H765"/>
      <c r="I765"/>
      <c r="J765"/>
      <c r="K765"/>
      <c r="L765"/>
      <c r="M765"/>
      <c r="S765" s="54"/>
    </row>
    <row r="766" spans="1:19" s="15" customFormat="1" x14ac:dyDescent="0.3">
      <c r="A766" s="17"/>
      <c r="B766"/>
      <c r="C766"/>
      <c r="D766"/>
      <c r="E766"/>
      <c r="F766"/>
      <c r="G766"/>
      <c r="H766"/>
      <c r="I766"/>
      <c r="J766"/>
      <c r="K766"/>
      <c r="L766"/>
      <c r="M766"/>
      <c r="S766" s="54"/>
    </row>
    <row r="767" spans="1:19" s="15" customFormat="1" x14ac:dyDescent="0.3">
      <c r="A767" s="17"/>
      <c r="B767"/>
      <c r="C767"/>
      <c r="D767"/>
      <c r="E767"/>
      <c r="F767"/>
      <c r="G767"/>
      <c r="H767"/>
      <c r="I767"/>
      <c r="J767"/>
      <c r="K767"/>
      <c r="L767"/>
      <c r="M767"/>
      <c r="S767" s="54"/>
    </row>
    <row r="768" spans="1:19" s="15" customFormat="1" x14ac:dyDescent="0.3">
      <c r="A768" s="17"/>
      <c r="B768"/>
      <c r="C768"/>
      <c r="D768"/>
      <c r="E768"/>
      <c r="F768"/>
      <c r="G768"/>
      <c r="H768"/>
      <c r="I768"/>
      <c r="J768"/>
      <c r="K768"/>
      <c r="L768"/>
      <c r="M768"/>
      <c r="S768" s="54"/>
    </row>
    <row r="769" spans="1:19" s="15" customFormat="1" x14ac:dyDescent="0.3">
      <c r="A769" s="17"/>
      <c r="B769"/>
      <c r="C769"/>
      <c r="D769"/>
      <c r="E769"/>
      <c r="F769"/>
      <c r="G769"/>
      <c r="H769"/>
      <c r="I769"/>
      <c r="J769"/>
      <c r="K769"/>
      <c r="L769"/>
      <c r="M769"/>
      <c r="S769" s="54"/>
    </row>
    <row r="770" spans="1:19" s="15" customFormat="1" x14ac:dyDescent="0.3">
      <c r="A770" s="17"/>
      <c r="B770"/>
      <c r="C770"/>
      <c r="D770"/>
      <c r="E770"/>
      <c r="F770"/>
      <c r="G770"/>
      <c r="H770"/>
      <c r="I770"/>
      <c r="J770"/>
      <c r="K770"/>
      <c r="L770"/>
      <c r="M770"/>
      <c r="S770" s="54"/>
    </row>
    <row r="771" spans="1:19" s="15" customFormat="1" x14ac:dyDescent="0.3">
      <c r="A771" s="17"/>
      <c r="B771"/>
      <c r="C771"/>
      <c r="D771"/>
      <c r="E771"/>
      <c r="F771"/>
      <c r="G771"/>
      <c r="H771"/>
      <c r="I771"/>
      <c r="J771"/>
      <c r="K771"/>
      <c r="L771"/>
      <c r="M771"/>
      <c r="S771" s="54"/>
    </row>
    <row r="772" spans="1:19" s="15" customFormat="1" x14ac:dyDescent="0.3">
      <c r="A772" s="17"/>
      <c r="B772"/>
      <c r="C772"/>
      <c r="D772"/>
      <c r="E772"/>
      <c r="F772"/>
      <c r="G772"/>
      <c r="H772"/>
      <c r="I772"/>
      <c r="J772"/>
      <c r="K772"/>
      <c r="L772"/>
      <c r="M772"/>
      <c r="S772" s="54"/>
    </row>
    <row r="773" spans="1:19" s="15" customFormat="1" x14ac:dyDescent="0.3">
      <c r="A773" s="17"/>
      <c r="B773"/>
      <c r="C773"/>
      <c r="D773"/>
      <c r="E773"/>
      <c r="F773"/>
      <c r="G773"/>
      <c r="H773"/>
      <c r="I773"/>
      <c r="J773"/>
      <c r="K773"/>
      <c r="L773"/>
      <c r="M773"/>
      <c r="S773" s="54"/>
    </row>
    <row r="774" spans="1:19" s="15" customFormat="1" x14ac:dyDescent="0.3">
      <c r="A774" s="17"/>
      <c r="B774"/>
      <c r="C774"/>
      <c r="D774"/>
      <c r="E774"/>
      <c r="F774"/>
      <c r="G774"/>
      <c r="H774"/>
      <c r="I774"/>
      <c r="J774"/>
      <c r="K774"/>
      <c r="L774"/>
      <c r="M774"/>
      <c r="S774" s="54"/>
    </row>
    <row r="775" spans="1:19" s="15" customFormat="1" x14ac:dyDescent="0.3">
      <c r="A775" s="17"/>
      <c r="B775"/>
      <c r="C775"/>
      <c r="D775"/>
      <c r="E775"/>
      <c r="F775"/>
      <c r="G775"/>
      <c r="H775"/>
      <c r="I775"/>
      <c r="J775"/>
      <c r="K775"/>
      <c r="L775"/>
      <c r="M775"/>
      <c r="S775" s="54"/>
    </row>
    <row r="776" spans="1:19" s="15" customFormat="1" x14ac:dyDescent="0.3">
      <c r="A776" s="17"/>
      <c r="B776"/>
      <c r="C776"/>
      <c r="D776"/>
      <c r="E776"/>
      <c r="F776"/>
      <c r="G776"/>
      <c r="H776"/>
      <c r="I776"/>
      <c r="J776"/>
      <c r="K776"/>
      <c r="L776"/>
      <c r="M776"/>
      <c r="S776" s="54"/>
    </row>
    <row r="777" spans="1:19" s="15" customFormat="1" x14ac:dyDescent="0.3">
      <c r="A777" s="17"/>
      <c r="B777"/>
      <c r="C777"/>
      <c r="D777"/>
      <c r="E777"/>
      <c r="F777"/>
      <c r="G777"/>
      <c r="H777"/>
      <c r="I777"/>
      <c r="J777"/>
      <c r="K777"/>
      <c r="L777"/>
      <c r="M777"/>
      <c r="S777" s="54"/>
    </row>
    <row r="778" spans="1:19" s="15" customFormat="1" x14ac:dyDescent="0.3">
      <c r="A778" s="17"/>
      <c r="B778"/>
      <c r="C778"/>
      <c r="D778"/>
      <c r="E778"/>
      <c r="F778"/>
      <c r="G778"/>
      <c r="H778"/>
      <c r="I778"/>
      <c r="J778"/>
      <c r="K778"/>
      <c r="L778"/>
      <c r="M778"/>
      <c r="S778" s="54"/>
    </row>
    <row r="779" spans="1:19" s="15" customFormat="1" x14ac:dyDescent="0.3">
      <c r="A779" s="17"/>
      <c r="B779"/>
      <c r="C779"/>
      <c r="D779"/>
      <c r="E779"/>
      <c r="F779"/>
      <c r="G779"/>
      <c r="H779"/>
      <c r="I779"/>
      <c r="J779"/>
      <c r="K779"/>
      <c r="L779"/>
      <c r="M779"/>
      <c r="S779" s="54"/>
    </row>
    <row r="780" spans="1:19" s="15" customFormat="1" x14ac:dyDescent="0.3">
      <c r="A780" s="17"/>
      <c r="B780"/>
      <c r="C780"/>
      <c r="D780"/>
      <c r="E780"/>
      <c r="F780"/>
      <c r="G780"/>
      <c r="H780"/>
      <c r="I780"/>
      <c r="J780"/>
      <c r="K780"/>
      <c r="L780"/>
      <c r="M780"/>
      <c r="S780" s="54"/>
    </row>
    <row r="781" spans="1:19" s="15" customFormat="1" x14ac:dyDescent="0.3">
      <c r="A781" s="17"/>
      <c r="B781"/>
      <c r="C781"/>
      <c r="D781"/>
      <c r="E781"/>
      <c r="F781"/>
      <c r="G781"/>
      <c r="H781"/>
      <c r="I781"/>
      <c r="J781"/>
      <c r="K781"/>
      <c r="L781"/>
      <c r="M781"/>
      <c r="S781" s="54"/>
    </row>
    <row r="782" spans="1:19" s="15" customFormat="1" x14ac:dyDescent="0.3">
      <c r="A782" s="17"/>
      <c r="B782"/>
      <c r="C782"/>
      <c r="D782"/>
      <c r="E782"/>
      <c r="F782"/>
      <c r="G782"/>
      <c r="H782"/>
      <c r="I782"/>
      <c r="J782"/>
      <c r="K782"/>
      <c r="L782"/>
      <c r="M782"/>
      <c r="S782" s="54"/>
    </row>
    <row r="783" spans="1:19" s="15" customFormat="1" x14ac:dyDescent="0.3">
      <c r="A783" s="17"/>
      <c r="B783"/>
      <c r="C783"/>
      <c r="D783"/>
      <c r="E783"/>
      <c r="F783"/>
      <c r="G783"/>
      <c r="H783"/>
      <c r="I783"/>
      <c r="J783"/>
      <c r="K783"/>
      <c r="L783"/>
      <c r="M783"/>
      <c r="S783" s="54"/>
    </row>
    <row r="784" spans="1:19" s="15" customFormat="1" x14ac:dyDescent="0.3">
      <c r="A784" s="17"/>
      <c r="B784"/>
      <c r="C784"/>
      <c r="D784"/>
      <c r="E784"/>
      <c r="F784"/>
      <c r="G784"/>
      <c r="H784"/>
      <c r="I784"/>
      <c r="J784"/>
      <c r="K784"/>
      <c r="L784"/>
      <c r="M784"/>
      <c r="S784" s="54"/>
    </row>
    <row r="785" spans="1:19" s="15" customFormat="1" x14ac:dyDescent="0.3">
      <c r="A785" s="17"/>
      <c r="B785"/>
      <c r="C785"/>
      <c r="D785"/>
      <c r="E785"/>
      <c r="F785"/>
      <c r="G785"/>
      <c r="H785"/>
      <c r="I785"/>
      <c r="J785"/>
      <c r="K785"/>
      <c r="L785"/>
      <c r="M785"/>
      <c r="S785" s="54"/>
    </row>
    <row r="786" spans="1:19" s="15" customFormat="1" x14ac:dyDescent="0.3">
      <c r="A786" s="17"/>
      <c r="B786"/>
      <c r="C786"/>
      <c r="D786"/>
      <c r="E786"/>
      <c r="F786"/>
      <c r="G786"/>
      <c r="H786"/>
      <c r="I786"/>
      <c r="J786"/>
      <c r="K786"/>
      <c r="L786"/>
      <c r="M786"/>
      <c r="S786" s="54"/>
    </row>
    <row r="787" spans="1:19" s="15" customFormat="1" x14ac:dyDescent="0.3">
      <c r="A787" s="17"/>
      <c r="B787"/>
      <c r="C787"/>
      <c r="D787"/>
      <c r="E787"/>
      <c r="F787"/>
      <c r="G787"/>
      <c r="H787"/>
      <c r="I787"/>
      <c r="J787"/>
      <c r="K787"/>
      <c r="L787"/>
      <c r="M787"/>
      <c r="S787" s="54"/>
    </row>
    <row r="788" spans="1:19" s="15" customFormat="1" x14ac:dyDescent="0.3">
      <c r="A788" s="17"/>
      <c r="B788"/>
      <c r="C788"/>
      <c r="D788"/>
      <c r="E788"/>
      <c r="F788"/>
      <c r="G788"/>
      <c r="H788"/>
      <c r="I788"/>
      <c r="J788"/>
      <c r="K788"/>
      <c r="L788"/>
      <c r="M788"/>
      <c r="S788" s="54"/>
    </row>
    <row r="789" spans="1:19" s="15" customFormat="1" x14ac:dyDescent="0.3">
      <c r="A789" s="17"/>
      <c r="B789"/>
      <c r="C789"/>
      <c r="D789"/>
      <c r="E789"/>
      <c r="F789"/>
      <c r="G789"/>
      <c r="H789"/>
      <c r="I789"/>
      <c r="J789"/>
      <c r="K789"/>
      <c r="L789"/>
      <c r="M789"/>
      <c r="S789" s="54"/>
    </row>
    <row r="790" spans="1:19" s="15" customFormat="1" x14ac:dyDescent="0.3">
      <c r="A790" s="17"/>
      <c r="B790"/>
      <c r="C790"/>
      <c r="D790"/>
      <c r="E790"/>
      <c r="F790"/>
      <c r="G790"/>
      <c r="H790"/>
      <c r="I790"/>
      <c r="J790"/>
      <c r="K790"/>
      <c r="L790"/>
      <c r="M790"/>
      <c r="S790" s="54"/>
    </row>
    <row r="791" spans="1:19" s="15" customFormat="1" x14ac:dyDescent="0.3">
      <c r="A791" s="17"/>
      <c r="B791"/>
      <c r="C791"/>
      <c r="D791"/>
      <c r="E791"/>
      <c r="F791"/>
      <c r="G791"/>
      <c r="H791"/>
      <c r="I791"/>
      <c r="J791"/>
      <c r="K791"/>
      <c r="L791"/>
      <c r="M791"/>
      <c r="S791" s="54"/>
    </row>
    <row r="792" spans="1:19" s="15" customFormat="1" x14ac:dyDescent="0.3">
      <c r="A792" s="17"/>
      <c r="B792"/>
      <c r="C792"/>
      <c r="D792"/>
      <c r="E792"/>
      <c r="F792"/>
      <c r="G792"/>
      <c r="H792"/>
      <c r="I792"/>
      <c r="J792"/>
      <c r="K792"/>
      <c r="L792"/>
      <c r="M792"/>
      <c r="S792" s="54"/>
    </row>
    <row r="793" spans="1:19" s="15" customFormat="1" x14ac:dyDescent="0.3">
      <c r="A793" s="17"/>
      <c r="B793"/>
      <c r="C793"/>
      <c r="D793"/>
      <c r="E793"/>
      <c r="F793"/>
      <c r="G793"/>
      <c r="H793"/>
      <c r="I793"/>
      <c r="J793"/>
      <c r="K793"/>
      <c r="L793"/>
      <c r="M793"/>
      <c r="S793" s="54"/>
    </row>
    <row r="794" spans="1:19" s="15" customFormat="1" x14ac:dyDescent="0.3">
      <c r="A794" s="17"/>
      <c r="B794"/>
      <c r="C794"/>
      <c r="D794"/>
      <c r="E794"/>
      <c r="F794"/>
      <c r="G794"/>
      <c r="H794"/>
      <c r="I794"/>
      <c r="J794"/>
      <c r="K794"/>
      <c r="L794"/>
      <c r="M794"/>
      <c r="S794" s="54"/>
    </row>
    <row r="795" spans="1:19" s="15" customFormat="1" x14ac:dyDescent="0.3">
      <c r="A795" s="17"/>
      <c r="B795"/>
      <c r="C795"/>
      <c r="D795"/>
      <c r="E795"/>
      <c r="F795"/>
      <c r="G795"/>
      <c r="H795"/>
      <c r="I795"/>
      <c r="J795"/>
      <c r="K795"/>
      <c r="L795"/>
      <c r="M795"/>
      <c r="S795" s="54"/>
    </row>
    <row r="796" spans="1:19" s="15" customFormat="1" x14ac:dyDescent="0.3">
      <c r="A796" s="17"/>
      <c r="B796"/>
      <c r="C796"/>
      <c r="D796"/>
      <c r="E796"/>
      <c r="F796"/>
      <c r="G796"/>
      <c r="H796"/>
      <c r="I796"/>
      <c r="J796"/>
      <c r="K796"/>
      <c r="L796"/>
      <c r="M796"/>
      <c r="S796" s="54"/>
    </row>
    <row r="797" spans="1:19" s="15" customFormat="1" x14ac:dyDescent="0.3">
      <c r="A797" s="17"/>
      <c r="B797"/>
      <c r="C797"/>
      <c r="D797"/>
      <c r="E797"/>
      <c r="F797"/>
      <c r="G797"/>
      <c r="H797"/>
      <c r="I797"/>
      <c r="J797"/>
      <c r="K797"/>
      <c r="L797"/>
      <c r="M797"/>
      <c r="S797" s="54"/>
    </row>
    <row r="798" spans="1:19" s="15" customFormat="1" x14ac:dyDescent="0.3">
      <c r="A798" s="17"/>
      <c r="B798"/>
      <c r="C798"/>
      <c r="D798"/>
      <c r="E798"/>
      <c r="F798"/>
      <c r="G798"/>
      <c r="H798"/>
      <c r="I798"/>
      <c r="J798"/>
      <c r="K798"/>
      <c r="L798"/>
      <c r="M798"/>
      <c r="S798" s="54"/>
    </row>
    <row r="799" spans="1:19" s="15" customFormat="1" x14ac:dyDescent="0.3">
      <c r="A799" s="17"/>
      <c r="B799"/>
      <c r="C799"/>
      <c r="D799"/>
      <c r="E799"/>
      <c r="F799"/>
      <c r="G799"/>
      <c r="H799"/>
      <c r="I799"/>
      <c r="J799"/>
      <c r="K799"/>
      <c r="L799"/>
      <c r="M799"/>
      <c r="S799" s="54"/>
    </row>
    <row r="800" spans="1:19" s="15" customFormat="1" x14ac:dyDescent="0.3">
      <c r="A800" s="17"/>
      <c r="B800"/>
      <c r="C800"/>
      <c r="D800"/>
      <c r="E800"/>
      <c r="F800"/>
      <c r="G800"/>
      <c r="H800"/>
      <c r="I800"/>
      <c r="J800"/>
      <c r="K800"/>
      <c r="L800"/>
      <c r="M800"/>
      <c r="S800" s="54"/>
    </row>
    <row r="801" spans="1:19" s="15" customFormat="1" x14ac:dyDescent="0.3">
      <c r="A801" s="17"/>
      <c r="B801"/>
      <c r="C801"/>
      <c r="D801"/>
      <c r="E801"/>
      <c r="F801"/>
      <c r="G801"/>
      <c r="H801"/>
      <c r="I801"/>
      <c r="J801"/>
      <c r="K801"/>
      <c r="L801"/>
      <c r="M801"/>
      <c r="S801" s="54"/>
    </row>
    <row r="802" spans="1:19" s="15" customFormat="1" x14ac:dyDescent="0.3">
      <c r="A802" s="17"/>
      <c r="B802"/>
      <c r="C802"/>
      <c r="D802"/>
      <c r="E802"/>
      <c r="F802"/>
      <c r="G802"/>
      <c r="H802"/>
      <c r="I802"/>
      <c r="J802"/>
      <c r="K802"/>
      <c r="L802"/>
      <c r="M802"/>
      <c r="S802" s="54"/>
    </row>
    <row r="803" spans="1:19" s="15" customFormat="1" x14ac:dyDescent="0.3">
      <c r="A803" s="17"/>
      <c r="B803"/>
      <c r="C803"/>
      <c r="D803"/>
      <c r="E803"/>
      <c r="F803"/>
      <c r="G803"/>
      <c r="H803"/>
      <c r="I803"/>
      <c r="J803"/>
      <c r="K803"/>
      <c r="L803"/>
      <c r="M803"/>
      <c r="S803" s="54"/>
    </row>
    <row r="804" spans="1:19" s="15" customFormat="1" x14ac:dyDescent="0.3">
      <c r="A804" s="17"/>
      <c r="B804"/>
      <c r="C804"/>
      <c r="D804"/>
      <c r="E804"/>
      <c r="F804"/>
      <c r="G804"/>
      <c r="H804"/>
      <c r="I804"/>
      <c r="J804"/>
      <c r="K804"/>
      <c r="L804"/>
      <c r="M804"/>
      <c r="S804" s="54"/>
    </row>
    <row r="805" spans="1:19" s="15" customFormat="1" x14ac:dyDescent="0.3">
      <c r="A805" s="17"/>
      <c r="B805"/>
      <c r="C805"/>
      <c r="D805"/>
      <c r="E805"/>
      <c r="F805"/>
      <c r="G805"/>
      <c r="H805"/>
      <c r="I805"/>
      <c r="J805"/>
      <c r="K805"/>
      <c r="L805"/>
      <c r="M805"/>
      <c r="S805" s="54"/>
    </row>
    <row r="806" spans="1:19" s="15" customFormat="1" x14ac:dyDescent="0.3">
      <c r="A806" s="17"/>
      <c r="B806"/>
      <c r="C806"/>
      <c r="D806"/>
      <c r="E806"/>
      <c r="F806"/>
      <c r="G806"/>
      <c r="H806"/>
      <c r="I806"/>
      <c r="J806"/>
      <c r="K806"/>
      <c r="L806"/>
      <c r="M806"/>
      <c r="S806" s="54"/>
    </row>
    <row r="807" spans="1:19" s="15" customFormat="1" x14ac:dyDescent="0.3">
      <c r="A807" s="17"/>
      <c r="B807"/>
      <c r="C807"/>
      <c r="D807"/>
      <c r="E807"/>
      <c r="F807"/>
      <c r="G807"/>
      <c r="H807"/>
      <c r="I807"/>
      <c r="J807"/>
      <c r="K807"/>
      <c r="L807"/>
      <c r="M807"/>
      <c r="S807" s="54"/>
    </row>
    <row r="808" spans="1:19" s="15" customFormat="1" x14ac:dyDescent="0.3">
      <c r="A808" s="17"/>
      <c r="B808"/>
      <c r="C808"/>
      <c r="D808"/>
      <c r="E808"/>
      <c r="F808"/>
      <c r="G808"/>
      <c r="H808"/>
      <c r="I808"/>
      <c r="J808"/>
      <c r="K808"/>
      <c r="L808"/>
      <c r="M808"/>
      <c r="S808" s="54"/>
    </row>
    <row r="809" spans="1:19" s="15" customFormat="1" x14ac:dyDescent="0.3">
      <c r="A809" s="17"/>
      <c r="B809"/>
      <c r="C809"/>
      <c r="D809"/>
      <c r="E809"/>
      <c r="F809"/>
      <c r="G809"/>
      <c r="H809"/>
      <c r="I809"/>
      <c r="J809"/>
      <c r="K809"/>
      <c r="L809"/>
      <c r="M809"/>
      <c r="S809" s="54"/>
    </row>
    <row r="810" spans="1:19" s="15" customFormat="1" x14ac:dyDescent="0.3">
      <c r="A810" s="17"/>
      <c r="B810"/>
      <c r="C810"/>
      <c r="D810"/>
      <c r="E810"/>
      <c r="F810"/>
      <c r="G810"/>
      <c r="H810"/>
      <c r="I810"/>
      <c r="J810"/>
      <c r="K810"/>
      <c r="L810"/>
      <c r="M810"/>
      <c r="S810" s="54"/>
    </row>
    <row r="811" spans="1:19" s="15" customFormat="1" x14ac:dyDescent="0.3">
      <c r="A811" s="17"/>
      <c r="B811"/>
      <c r="C811"/>
      <c r="D811"/>
      <c r="E811"/>
      <c r="F811"/>
      <c r="G811"/>
      <c r="H811"/>
      <c r="I811"/>
      <c r="J811"/>
      <c r="K811"/>
      <c r="L811"/>
      <c r="M811"/>
      <c r="S811" s="54"/>
    </row>
    <row r="812" spans="1:19" s="15" customFormat="1" x14ac:dyDescent="0.3">
      <c r="A812" s="17"/>
      <c r="B812"/>
      <c r="C812"/>
      <c r="D812"/>
      <c r="E812"/>
      <c r="F812"/>
      <c r="G812"/>
      <c r="H812"/>
      <c r="I812"/>
      <c r="J812"/>
      <c r="K812"/>
      <c r="L812"/>
      <c r="M812"/>
      <c r="S812" s="54"/>
    </row>
    <row r="813" spans="1:19" s="15" customFormat="1" x14ac:dyDescent="0.3">
      <c r="A813" s="17"/>
      <c r="B813"/>
      <c r="C813"/>
      <c r="D813"/>
      <c r="E813"/>
      <c r="F813"/>
      <c r="G813"/>
      <c r="H813"/>
      <c r="I813"/>
      <c r="J813"/>
      <c r="K813"/>
      <c r="L813"/>
      <c r="M813"/>
      <c r="S813" s="54"/>
    </row>
    <row r="814" spans="1:19" s="15" customFormat="1" x14ac:dyDescent="0.3">
      <c r="A814" s="17"/>
      <c r="B814"/>
      <c r="C814"/>
      <c r="D814"/>
      <c r="E814"/>
      <c r="F814"/>
      <c r="G814"/>
      <c r="H814"/>
      <c r="I814"/>
      <c r="J814"/>
      <c r="K814"/>
      <c r="L814"/>
      <c r="M814"/>
      <c r="S814" s="54"/>
    </row>
    <row r="815" spans="1:19" s="15" customFormat="1" x14ac:dyDescent="0.3">
      <c r="A815" s="17"/>
      <c r="B815"/>
      <c r="C815"/>
      <c r="D815"/>
      <c r="E815"/>
      <c r="F815"/>
      <c r="G815"/>
      <c r="H815"/>
      <c r="I815"/>
      <c r="J815"/>
      <c r="K815"/>
      <c r="L815"/>
      <c r="M815"/>
      <c r="S815" s="54"/>
    </row>
    <row r="816" spans="1:19" s="15" customFormat="1" x14ac:dyDescent="0.3">
      <c r="A816" s="17"/>
      <c r="B816"/>
      <c r="C816"/>
      <c r="D816"/>
      <c r="E816"/>
      <c r="F816"/>
      <c r="G816"/>
      <c r="H816"/>
      <c r="I816"/>
      <c r="J816"/>
      <c r="K816"/>
      <c r="L816"/>
      <c r="M816"/>
      <c r="S816" s="54"/>
    </row>
    <row r="817" spans="1:19" s="15" customFormat="1" x14ac:dyDescent="0.3">
      <c r="A817" s="17"/>
      <c r="B817"/>
      <c r="C817"/>
      <c r="D817"/>
      <c r="E817"/>
      <c r="F817"/>
      <c r="G817"/>
      <c r="H817"/>
      <c r="I817"/>
      <c r="J817"/>
      <c r="K817"/>
      <c r="L817"/>
      <c r="M817"/>
      <c r="S817" s="54"/>
    </row>
    <row r="818" spans="1:19" s="15" customFormat="1" x14ac:dyDescent="0.3">
      <c r="A818" s="17"/>
      <c r="B818"/>
      <c r="C818"/>
      <c r="D818"/>
      <c r="E818"/>
      <c r="F818"/>
      <c r="G818"/>
      <c r="H818"/>
      <c r="I818"/>
      <c r="J818"/>
      <c r="K818"/>
      <c r="L818"/>
      <c r="M818"/>
      <c r="S818" s="54"/>
    </row>
    <row r="819" spans="1:19" s="15" customFormat="1" x14ac:dyDescent="0.3">
      <c r="A819" s="17"/>
      <c r="B819"/>
      <c r="C819"/>
      <c r="D819"/>
      <c r="E819"/>
      <c r="F819"/>
      <c r="G819"/>
      <c r="H819"/>
      <c r="I819"/>
      <c r="J819"/>
      <c r="K819"/>
      <c r="L819"/>
      <c r="M819"/>
      <c r="S819" s="54"/>
    </row>
    <row r="820" spans="1:19" s="15" customFormat="1" x14ac:dyDescent="0.3">
      <c r="A820" s="17"/>
      <c r="B820"/>
      <c r="C820"/>
      <c r="D820"/>
      <c r="E820"/>
      <c r="F820"/>
      <c r="G820"/>
      <c r="H820"/>
      <c r="I820"/>
      <c r="J820"/>
      <c r="K820"/>
      <c r="L820"/>
      <c r="M820"/>
      <c r="S820" s="54"/>
    </row>
    <row r="821" spans="1:19" s="15" customFormat="1" x14ac:dyDescent="0.3">
      <c r="A821" s="17"/>
      <c r="B821"/>
      <c r="C821"/>
      <c r="D821"/>
      <c r="E821"/>
      <c r="F821"/>
      <c r="G821"/>
      <c r="H821"/>
      <c r="I821"/>
      <c r="J821"/>
      <c r="K821"/>
      <c r="L821"/>
      <c r="M821"/>
      <c r="S821" s="54"/>
    </row>
    <row r="822" spans="1:19" s="15" customFormat="1" x14ac:dyDescent="0.3">
      <c r="A822" s="17"/>
      <c r="B822"/>
      <c r="C822"/>
      <c r="D822"/>
      <c r="E822"/>
      <c r="F822"/>
      <c r="G822"/>
      <c r="H822"/>
      <c r="I822"/>
      <c r="J822"/>
      <c r="K822"/>
      <c r="L822"/>
      <c r="M822"/>
      <c r="S822" s="54"/>
    </row>
    <row r="823" spans="1:19" s="15" customFormat="1" x14ac:dyDescent="0.3">
      <c r="A823" s="17"/>
      <c r="B823"/>
      <c r="C823"/>
      <c r="D823"/>
      <c r="E823"/>
      <c r="F823"/>
      <c r="G823"/>
      <c r="H823"/>
      <c r="I823"/>
      <c r="J823"/>
      <c r="K823"/>
      <c r="L823"/>
      <c r="M823"/>
      <c r="S823" s="54"/>
    </row>
    <row r="824" spans="1:19" s="15" customFormat="1" x14ac:dyDescent="0.3">
      <c r="A824" s="17"/>
      <c r="B824"/>
      <c r="C824"/>
      <c r="D824"/>
      <c r="E824"/>
      <c r="F824"/>
      <c r="G824"/>
      <c r="H824"/>
      <c r="I824"/>
      <c r="J824"/>
      <c r="K824"/>
      <c r="L824"/>
      <c r="M824"/>
      <c r="S824" s="54"/>
    </row>
    <row r="825" spans="1:19" s="15" customFormat="1" x14ac:dyDescent="0.3">
      <c r="A825" s="17"/>
      <c r="B825"/>
      <c r="C825"/>
      <c r="D825"/>
      <c r="E825"/>
      <c r="F825"/>
      <c r="G825"/>
      <c r="H825"/>
      <c r="I825"/>
      <c r="J825"/>
      <c r="K825"/>
      <c r="L825"/>
      <c r="M825"/>
      <c r="S825" s="54"/>
    </row>
    <row r="826" spans="1:19" s="15" customFormat="1" x14ac:dyDescent="0.3">
      <c r="A826" s="17"/>
      <c r="B826"/>
      <c r="C826"/>
      <c r="D826"/>
      <c r="E826"/>
      <c r="F826"/>
      <c r="G826"/>
      <c r="H826"/>
      <c r="I826"/>
      <c r="J826"/>
      <c r="K826"/>
      <c r="L826"/>
      <c r="M826"/>
      <c r="S826" s="54"/>
    </row>
    <row r="827" spans="1:19" s="15" customFormat="1" x14ac:dyDescent="0.3">
      <c r="A827" s="17"/>
      <c r="B827"/>
      <c r="C827"/>
      <c r="D827"/>
      <c r="E827"/>
      <c r="F827"/>
      <c r="G827"/>
      <c r="H827"/>
      <c r="I827"/>
      <c r="J827"/>
      <c r="K827"/>
      <c r="L827"/>
      <c r="M827"/>
      <c r="S827" s="54"/>
    </row>
    <row r="828" spans="1:19" s="15" customFormat="1" x14ac:dyDescent="0.3">
      <c r="A828" s="17"/>
      <c r="B828"/>
      <c r="C828"/>
      <c r="D828"/>
      <c r="E828"/>
      <c r="F828"/>
      <c r="G828"/>
      <c r="H828"/>
      <c r="I828"/>
      <c r="J828"/>
      <c r="K828"/>
      <c r="L828"/>
      <c r="M828"/>
      <c r="S828" s="54"/>
    </row>
    <row r="829" spans="1:19" s="15" customFormat="1" x14ac:dyDescent="0.3">
      <c r="A829" s="17"/>
      <c r="B829"/>
      <c r="C829"/>
      <c r="D829"/>
      <c r="E829"/>
      <c r="F829"/>
      <c r="G829"/>
      <c r="H829"/>
      <c r="I829"/>
      <c r="J829"/>
      <c r="K829"/>
      <c r="L829"/>
      <c r="M829"/>
      <c r="S829" s="54"/>
    </row>
    <row r="830" spans="1:19" s="15" customFormat="1" x14ac:dyDescent="0.3">
      <c r="A830" s="17"/>
      <c r="B830"/>
      <c r="C830"/>
      <c r="D830"/>
      <c r="E830"/>
      <c r="F830"/>
      <c r="G830"/>
      <c r="H830"/>
      <c r="I830"/>
      <c r="J830"/>
      <c r="K830"/>
      <c r="L830"/>
      <c r="M830"/>
      <c r="S830" s="54"/>
    </row>
    <row r="831" spans="1:19" s="15" customFormat="1" x14ac:dyDescent="0.3">
      <c r="A831" s="17"/>
      <c r="B831"/>
      <c r="C831"/>
      <c r="D831"/>
      <c r="E831"/>
      <c r="F831"/>
      <c r="G831"/>
      <c r="H831"/>
      <c r="I831"/>
      <c r="J831"/>
      <c r="K831"/>
      <c r="L831"/>
      <c r="M831"/>
      <c r="S831" s="54"/>
    </row>
    <row r="832" spans="1:19" s="15" customFormat="1" x14ac:dyDescent="0.3">
      <c r="A832" s="17"/>
      <c r="B832"/>
      <c r="C832"/>
      <c r="D832"/>
      <c r="E832"/>
      <c r="F832"/>
      <c r="G832"/>
      <c r="H832"/>
      <c r="I832"/>
      <c r="J832"/>
      <c r="K832"/>
      <c r="L832"/>
      <c r="M832"/>
      <c r="S832" s="54"/>
    </row>
    <row r="833" spans="1:19" s="15" customFormat="1" x14ac:dyDescent="0.3">
      <c r="A833" s="17"/>
      <c r="B833"/>
      <c r="C833"/>
      <c r="D833"/>
      <c r="E833"/>
      <c r="F833"/>
      <c r="G833"/>
      <c r="H833"/>
      <c r="I833"/>
      <c r="J833"/>
      <c r="K833"/>
      <c r="L833"/>
      <c r="M833"/>
      <c r="S833" s="54"/>
    </row>
    <row r="834" spans="1:19" s="15" customFormat="1" x14ac:dyDescent="0.3">
      <c r="A834" s="17"/>
      <c r="B834"/>
      <c r="C834"/>
      <c r="D834"/>
      <c r="E834"/>
      <c r="F834"/>
      <c r="G834"/>
      <c r="H834"/>
      <c r="I834"/>
      <c r="J834"/>
      <c r="K834"/>
      <c r="L834"/>
      <c r="M834"/>
      <c r="S834" s="54"/>
    </row>
    <row r="835" spans="1:19" s="15" customFormat="1" x14ac:dyDescent="0.3">
      <c r="A835" s="17"/>
      <c r="B835"/>
      <c r="C835"/>
      <c r="D835"/>
      <c r="E835"/>
      <c r="F835"/>
      <c r="G835"/>
      <c r="H835"/>
      <c r="I835"/>
      <c r="J835"/>
      <c r="K835"/>
      <c r="L835"/>
      <c r="M835"/>
      <c r="S835" s="54"/>
    </row>
    <row r="836" spans="1:19" s="15" customFormat="1" x14ac:dyDescent="0.3">
      <c r="A836" s="17"/>
      <c r="B836"/>
      <c r="C836"/>
      <c r="D836"/>
      <c r="E836"/>
      <c r="F836"/>
      <c r="G836"/>
      <c r="H836"/>
      <c r="I836"/>
      <c r="J836"/>
      <c r="K836"/>
      <c r="L836"/>
      <c r="M836"/>
      <c r="S836" s="54"/>
    </row>
    <row r="837" spans="1:19" s="15" customFormat="1" x14ac:dyDescent="0.3">
      <c r="A837" s="17"/>
      <c r="B837"/>
      <c r="C837"/>
      <c r="D837"/>
      <c r="E837"/>
      <c r="F837"/>
      <c r="G837"/>
      <c r="H837"/>
      <c r="I837"/>
      <c r="J837"/>
      <c r="K837"/>
      <c r="L837"/>
      <c r="M837"/>
      <c r="S837" s="54"/>
    </row>
    <row r="838" spans="1:19" s="15" customFormat="1" x14ac:dyDescent="0.3">
      <c r="A838" s="17"/>
      <c r="B838"/>
      <c r="C838"/>
      <c r="D838"/>
      <c r="E838"/>
      <c r="F838"/>
      <c r="G838"/>
      <c r="H838"/>
      <c r="I838"/>
      <c r="J838"/>
      <c r="K838"/>
      <c r="L838"/>
      <c r="M838"/>
      <c r="S838" s="54"/>
    </row>
    <row r="839" spans="1:19" s="15" customFormat="1" x14ac:dyDescent="0.3">
      <c r="A839" s="17"/>
      <c r="B839"/>
      <c r="C839"/>
      <c r="D839"/>
      <c r="E839"/>
      <c r="F839"/>
      <c r="G839"/>
      <c r="H839"/>
      <c r="I839"/>
      <c r="J839"/>
      <c r="K839"/>
      <c r="L839"/>
      <c r="M839"/>
      <c r="S839" s="54"/>
    </row>
    <row r="840" spans="1:19" s="15" customFormat="1" x14ac:dyDescent="0.3">
      <c r="A840" s="17"/>
      <c r="B840"/>
      <c r="C840"/>
      <c r="D840"/>
      <c r="E840"/>
      <c r="F840"/>
      <c r="G840"/>
      <c r="H840"/>
      <c r="I840"/>
      <c r="J840"/>
      <c r="K840"/>
      <c r="L840"/>
      <c r="M840"/>
      <c r="S840" s="54"/>
    </row>
    <row r="841" spans="1:19" s="15" customFormat="1" x14ac:dyDescent="0.3">
      <c r="A841" s="17"/>
      <c r="B841"/>
      <c r="C841"/>
      <c r="D841"/>
      <c r="E841"/>
      <c r="F841"/>
      <c r="G841"/>
      <c r="H841"/>
      <c r="I841"/>
      <c r="J841"/>
      <c r="K841"/>
      <c r="L841"/>
      <c r="M841"/>
      <c r="S841" s="54"/>
    </row>
    <row r="842" spans="1:19" s="15" customFormat="1" x14ac:dyDescent="0.3">
      <c r="A842" s="17"/>
      <c r="B842"/>
      <c r="C842"/>
      <c r="D842"/>
      <c r="E842"/>
      <c r="F842"/>
      <c r="G842"/>
      <c r="H842"/>
      <c r="I842"/>
      <c r="J842"/>
      <c r="K842"/>
      <c r="L842"/>
      <c r="M842"/>
      <c r="S842" s="54"/>
    </row>
    <row r="843" spans="1:19" s="15" customFormat="1" x14ac:dyDescent="0.3">
      <c r="A843" s="17"/>
      <c r="B843"/>
      <c r="C843"/>
      <c r="D843"/>
      <c r="E843"/>
      <c r="F843"/>
      <c r="G843"/>
      <c r="H843"/>
      <c r="I843"/>
      <c r="J843"/>
      <c r="K843"/>
      <c r="L843"/>
      <c r="M843"/>
      <c r="S843" s="54"/>
    </row>
    <row r="844" spans="1:19" s="15" customFormat="1" x14ac:dyDescent="0.3">
      <c r="A844" s="17"/>
      <c r="B844"/>
      <c r="C844"/>
      <c r="D844"/>
      <c r="E844"/>
      <c r="F844"/>
      <c r="G844"/>
      <c r="H844"/>
      <c r="I844"/>
      <c r="J844"/>
      <c r="K844"/>
      <c r="L844"/>
      <c r="M844"/>
      <c r="S844" s="54"/>
    </row>
    <row r="845" spans="1:19" s="15" customFormat="1" x14ac:dyDescent="0.3">
      <c r="A845" s="17"/>
      <c r="B845"/>
      <c r="C845"/>
      <c r="D845"/>
      <c r="E845"/>
      <c r="F845"/>
      <c r="G845"/>
      <c r="H845"/>
      <c r="I845"/>
      <c r="J845"/>
      <c r="K845"/>
      <c r="L845"/>
      <c r="M845"/>
      <c r="S845" s="54"/>
    </row>
    <row r="846" spans="1:19" s="15" customFormat="1" x14ac:dyDescent="0.3">
      <c r="A846" s="17"/>
      <c r="B846"/>
      <c r="C846"/>
      <c r="D846"/>
      <c r="E846"/>
      <c r="F846"/>
      <c r="G846"/>
      <c r="H846"/>
      <c r="I846"/>
      <c r="J846"/>
      <c r="K846"/>
      <c r="L846"/>
      <c r="M846"/>
      <c r="S846" s="54"/>
    </row>
    <row r="847" spans="1:19" s="15" customFormat="1" x14ac:dyDescent="0.3">
      <c r="A847" s="17"/>
      <c r="B847"/>
      <c r="C847"/>
      <c r="D847"/>
      <c r="E847"/>
      <c r="F847"/>
      <c r="G847"/>
      <c r="H847"/>
      <c r="I847"/>
      <c r="J847"/>
      <c r="K847"/>
      <c r="L847"/>
      <c r="M847"/>
      <c r="S847" s="54"/>
    </row>
    <row r="848" spans="1:19" s="15" customFormat="1" x14ac:dyDescent="0.3">
      <c r="A848" s="17"/>
      <c r="B848"/>
      <c r="C848"/>
      <c r="D848"/>
      <c r="E848"/>
      <c r="F848"/>
      <c r="G848"/>
      <c r="H848"/>
      <c r="I848"/>
      <c r="J848"/>
      <c r="K848"/>
      <c r="L848"/>
      <c r="M848"/>
      <c r="S848" s="54"/>
    </row>
    <row r="849" spans="1:19" s="15" customFormat="1" x14ac:dyDescent="0.3">
      <c r="A849" s="17"/>
      <c r="B849"/>
      <c r="C849"/>
      <c r="D849"/>
      <c r="E849"/>
      <c r="F849"/>
      <c r="G849"/>
      <c r="H849"/>
      <c r="I849"/>
      <c r="J849"/>
      <c r="K849"/>
      <c r="L849"/>
      <c r="M849"/>
      <c r="S849" s="54"/>
    </row>
    <row r="850" spans="1:19" s="15" customFormat="1" x14ac:dyDescent="0.3">
      <c r="A850" s="17"/>
      <c r="B850"/>
      <c r="C850"/>
      <c r="D850"/>
      <c r="E850"/>
      <c r="F850"/>
      <c r="G850"/>
      <c r="H850"/>
      <c r="I850"/>
      <c r="J850"/>
      <c r="K850"/>
      <c r="L850"/>
      <c r="M850"/>
      <c r="S850" s="54"/>
    </row>
    <row r="851" spans="1:19" s="15" customFormat="1" x14ac:dyDescent="0.3">
      <c r="A851" s="17"/>
      <c r="B851"/>
      <c r="C851"/>
      <c r="D851"/>
      <c r="E851"/>
      <c r="F851"/>
      <c r="G851"/>
      <c r="H851"/>
      <c r="I851"/>
      <c r="J851"/>
      <c r="K851"/>
      <c r="L851"/>
      <c r="M851"/>
      <c r="S851" s="54"/>
    </row>
    <row r="852" spans="1:19" s="15" customFormat="1" x14ac:dyDescent="0.3">
      <c r="A852" s="17"/>
      <c r="B852"/>
      <c r="C852"/>
      <c r="D852"/>
      <c r="E852"/>
      <c r="F852"/>
      <c r="G852"/>
      <c r="H852"/>
      <c r="I852"/>
      <c r="J852"/>
      <c r="K852"/>
      <c r="L852"/>
      <c r="M852"/>
      <c r="S852" s="54"/>
    </row>
    <row r="853" spans="1:19" s="15" customFormat="1" x14ac:dyDescent="0.3">
      <c r="A853" s="17"/>
      <c r="B853"/>
      <c r="C853"/>
      <c r="D853"/>
      <c r="E853"/>
      <c r="F853"/>
      <c r="G853"/>
      <c r="H853"/>
      <c r="I853"/>
      <c r="J853"/>
      <c r="K853"/>
      <c r="L853"/>
      <c r="M853"/>
      <c r="S853" s="54"/>
    </row>
    <row r="854" spans="1:19" s="15" customFormat="1" x14ac:dyDescent="0.3">
      <c r="A854" s="17"/>
      <c r="B854"/>
      <c r="C854"/>
      <c r="D854"/>
      <c r="E854"/>
      <c r="F854"/>
      <c r="G854"/>
      <c r="H854"/>
      <c r="I854"/>
      <c r="J854"/>
      <c r="K854"/>
      <c r="L854"/>
      <c r="M854"/>
      <c r="S854" s="54"/>
    </row>
    <row r="855" spans="1:19" s="15" customFormat="1" x14ac:dyDescent="0.3">
      <c r="A855" s="17"/>
      <c r="B855"/>
      <c r="C855"/>
      <c r="D855"/>
      <c r="E855"/>
      <c r="F855"/>
      <c r="G855"/>
      <c r="H855"/>
      <c r="I855"/>
      <c r="J855"/>
      <c r="K855"/>
      <c r="L855"/>
      <c r="M855"/>
      <c r="S855" s="54"/>
    </row>
    <row r="856" spans="1:19" s="15" customFormat="1" x14ac:dyDescent="0.3">
      <c r="A856" s="17"/>
      <c r="B856"/>
      <c r="C856"/>
      <c r="D856"/>
      <c r="E856"/>
      <c r="F856"/>
      <c r="G856"/>
      <c r="H856"/>
      <c r="I856"/>
      <c r="J856"/>
      <c r="K856"/>
      <c r="L856"/>
      <c r="M856"/>
      <c r="S856" s="54"/>
    </row>
    <row r="857" spans="1:19" s="15" customFormat="1" x14ac:dyDescent="0.3">
      <c r="A857" s="17"/>
      <c r="B857"/>
      <c r="C857"/>
      <c r="D857"/>
      <c r="E857"/>
      <c r="F857"/>
      <c r="G857"/>
      <c r="H857"/>
      <c r="I857"/>
      <c r="J857"/>
      <c r="K857"/>
      <c r="L857"/>
      <c r="M857"/>
      <c r="S857" s="54"/>
    </row>
    <row r="858" spans="1:19" s="15" customFormat="1" x14ac:dyDescent="0.3">
      <c r="A858" s="17"/>
      <c r="B858"/>
      <c r="C858"/>
      <c r="D858"/>
      <c r="E858"/>
      <c r="F858"/>
      <c r="G858"/>
      <c r="H858"/>
      <c r="I858"/>
      <c r="J858"/>
      <c r="K858"/>
      <c r="L858"/>
      <c r="M858"/>
      <c r="S858" s="54"/>
    </row>
    <row r="859" spans="1:19" s="15" customFormat="1" x14ac:dyDescent="0.3">
      <c r="A859" s="17"/>
      <c r="B859"/>
      <c r="C859"/>
      <c r="D859"/>
      <c r="E859"/>
      <c r="F859"/>
      <c r="G859"/>
      <c r="H859"/>
      <c r="I859"/>
      <c r="J859"/>
      <c r="K859"/>
      <c r="L859"/>
      <c r="M859"/>
      <c r="S859" s="54"/>
    </row>
    <row r="860" spans="1:19" s="15" customFormat="1" x14ac:dyDescent="0.3">
      <c r="A860" s="17"/>
      <c r="B860"/>
      <c r="C860"/>
      <c r="D860"/>
      <c r="E860"/>
      <c r="F860"/>
      <c r="G860"/>
      <c r="H860"/>
      <c r="I860"/>
      <c r="J860"/>
      <c r="K860"/>
      <c r="L860"/>
      <c r="M860"/>
      <c r="S860" s="54"/>
    </row>
    <row r="861" spans="1:19" s="15" customFormat="1" x14ac:dyDescent="0.3">
      <c r="A861" s="17"/>
      <c r="B861"/>
      <c r="C861"/>
      <c r="D861"/>
      <c r="E861"/>
      <c r="F861"/>
      <c r="G861"/>
      <c r="H861"/>
      <c r="I861"/>
      <c r="J861"/>
      <c r="K861"/>
      <c r="L861"/>
      <c r="M861"/>
      <c r="S861" s="54"/>
    </row>
    <row r="862" spans="1:19" s="15" customFormat="1" x14ac:dyDescent="0.3">
      <c r="A862" s="17"/>
      <c r="B862"/>
      <c r="C862"/>
      <c r="D862"/>
      <c r="E862"/>
      <c r="F862"/>
      <c r="G862"/>
      <c r="H862"/>
      <c r="I862"/>
      <c r="J862"/>
      <c r="K862"/>
      <c r="L862"/>
      <c r="M862"/>
      <c r="S862" s="54"/>
    </row>
    <row r="863" spans="1:19" s="15" customFormat="1" x14ac:dyDescent="0.3">
      <c r="A863" s="17"/>
      <c r="B863"/>
      <c r="C863"/>
      <c r="D863"/>
      <c r="E863"/>
      <c r="F863"/>
      <c r="G863"/>
      <c r="H863"/>
      <c r="I863"/>
      <c r="J863"/>
      <c r="K863"/>
      <c r="L863"/>
      <c r="M863"/>
      <c r="S863" s="54"/>
    </row>
    <row r="864" spans="1:19" s="15" customFormat="1" x14ac:dyDescent="0.3">
      <c r="A864" s="17"/>
      <c r="B864"/>
      <c r="C864"/>
      <c r="D864"/>
      <c r="E864"/>
      <c r="F864"/>
      <c r="G864"/>
      <c r="H864"/>
      <c r="I864"/>
      <c r="J864"/>
      <c r="K864"/>
      <c r="L864"/>
      <c r="M864"/>
      <c r="S864" s="54"/>
    </row>
    <row r="865" spans="1:19" s="15" customFormat="1" x14ac:dyDescent="0.3">
      <c r="A865" s="17"/>
      <c r="B865"/>
      <c r="C865"/>
      <c r="D865"/>
      <c r="E865"/>
      <c r="F865"/>
      <c r="G865"/>
      <c r="H865"/>
      <c r="I865"/>
      <c r="J865"/>
      <c r="K865"/>
      <c r="L865"/>
      <c r="M865"/>
      <c r="S865" s="54"/>
    </row>
    <row r="866" spans="1:19" s="15" customFormat="1" x14ac:dyDescent="0.3">
      <c r="A866" s="17"/>
      <c r="B866"/>
      <c r="C866"/>
      <c r="D866"/>
      <c r="E866"/>
      <c r="F866"/>
      <c r="G866"/>
      <c r="H866"/>
      <c r="I866"/>
      <c r="J866"/>
      <c r="K866"/>
      <c r="L866"/>
      <c r="M866"/>
      <c r="S866" s="54"/>
    </row>
    <row r="867" spans="1:19" s="15" customFormat="1" x14ac:dyDescent="0.3">
      <c r="A867" s="17"/>
      <c r="B867"/>
      <c r="C867"/>
      <c r="D867"/>
      <c r="E867"/>
      <c r="F867"/>
      <c r="G867"/>
      <c r="H867"/>
      <c r="I867"/>
      <c r="J867"/>
      <c r="K867"/>
      <c r="L867"/>
      <c r="M867"/>
      <c r="S867" s="54"/>
    </row>
    <row r="868" spans="1:19" s="15" customFormat="1" x14ac:dyDescent="0.3">
      <c r="A868" s="17"/>
      <c r="B868"/>
      <c r="C868"/>
      <c r="D868"/>
      <c r="E868"/>
      <c r="F868"/>
      <c r="G868"/>
      <c r="H868"/>
      <c r="I868"/>
      <c r="J868"/>
      <c r="K868"/>
      <c r="L868"/>
      <c r="M868"/>
      <c r="S868" s="54"/>
    </row>
    <row r="869" spans="1:19" s="15" customFormat="1" x14ac:dyDescent="0.3">
      <c r="A869" s="17"/>
      <c r="B869"/>
      <c r="C869"/>
      <c r="D869"/>
      <c r="E869"/>
      <c r="F869"/>
      <c r="G869"/>
      <c r="H869"/>
      <c r="I869"/>
      <c r="J869"/>
      <c r="K869"/>
      <c r="L869"/>
      <c r="M869"/>
      <c r="S869" s="54"/>
    </row>
    <row r="870" spans="1:19" s="15" customFormat="1" x14ac:dyDescent="0.3">
      <c r="A870" s="17"/>
      <c r="B870"/>
      <c r="C870"/>
      <c r="D870"/>
      <c r="E870"/>
      <c r="F870"/>
      <c r="G870"/>
      <c r="H870"/>
      <c r="I870"/>
      <c r="J870"/>
      <c r="K870"/>
      <c r="L870"/>
      <c r="M870"/>
      <c r="S870" s="54"/>
    </row>
    <row r="871" spans="1:19" s="15" customFormat="1" x14ac:dyDescent="0.3">
      <c r="A871" s="17"/>
      <c r="B871"/>
      <c r="C871"/>
      <c r="D871"/>
      <c r="E871"/>
      <c r="F871"/>
      <c r="G871"/>
      <c r="H871"/>
      <c r="I871"/>
      <c r="J871"/>
      <c r="K871"/>
      <c r="L871"/>
      <c r="M871"/>
      <c r="S871" s="54"/>
    </row>
    <row r="872" spans="1:19" s="15" customFormat="1" x14ac:dyDescent="0.3">
      <c r="A872" s="17"/>
      <c r="B872"/>
      <c r="C872"/>
      <c r="D872"/>
      <c r="E872"/>
      <c r="F872"/>
      <c r="G872"/>
      <c r="H872"/>
      <c r="I872"/>
      <c r="J872"/>
      <c r="K872"/>
      <c r="L872"/>
      <c r="M872"/>
      <c r="S872" s="54"/>
    </row>
    <row r="873" spans="1:19" s="15" customFormat="1" x14ac:dyDescent="0.3">
      <c r="A873" s="17"/>
      <c r="B873"/>
      <c r="C873"/>
      <c r="D873"/>
      <c r="E873"/>
      <c r="F873"/>
      <c r="G873"/>
      <c r="H873"/>
      <c r="I873"/>
      <c r="J873"/>
      <c r="K873"/>
      <c r="L873"/>
      <c r="M873"/>
      <c r="S873" s="54"/>
    </row>
    <row r="874" spans="1:19" s="15" customFormat="1" x14ac:dyDescent="0.3">
      <c r="A874" s="17"/>
      <c r="B874"/>
      <c r="C874"/>
      <c r="D874"/>
      <c r="E874"/>
      <c r="F874"/>
      <c r="G874"/>
      <c r="H874"/>
      <c r="I874"/>
      <c r="J874"/>
      <c r="K874"/>
      <c r="L874"/>
      <c r="M874"/>
      <c r="S874" s="54"/>
    </row>
    <row r="875" spans="1:19" s="15" customFormat="1" x14ac:dyDescent="0.3">
      <c r="A875" s="17"/>
      <c r="B875"/>
      <c r="C875"/>
      <c r="D875"/>
      <c r="E875"/>
      <c r="F875"/>
      <c r="G875"/>
      <c r="H875"/>
      <c r="I875"/>
      <c r="J875"/>
      <c r="K875"/>
      <c r="L875"/>
      <c r="M875"/>
      <c r="S875" s="54"/>
    </row>
    <row r="876" spans="1:19" s="15" customFormat="1" x14ac:dyDescent="0.3">
      <c r="A876" s="17"/>
      <c r="B876"/>
      <c r="C876"/>
      <c r="D876"/>
      <c r="E876"/>
      <c r="F876"/>
      <c r="G876"/>
      <c r="H876"/>
      <c r="I876"/>
      <c r="J876"/>
      <c r="K876"/>
      <c r="L876"/>
      <c r="M876"/>
      <c r="S876" s="54"/>
    </row>
    <row r="877" spans="1:19" s="15" customFormat="1" x14ac:dyDescent="0.3">
      <c r="A877" s="17"/>
      <c r="B877"/>
      <c r="C877"/>
      <c r="D877"/>
      <c r="E877"/>
      <c r="F877"/>
      <c r="G877"/>
      <c r="H877"/>
      <c r="I877"/>
      <c r="J877"/>
      <c r="K877"/>
      <c r="L877"/>
      <c r="M877"/>
      <c r="S877" s="54"/>
    </row>
    <row r="878" spans="1:19" s="15" customFormat="1" x14ac:dyDescent="0.3">
      <c r="A878" s="17"/>
      <c r="B878"/>
      <c r="C878"/>
      <c r="D878"/>
      <c r="E878"/>
      <c r="F878"/>
      <c r="G878"/>
      <c r="H878"/>
      <c r="I878"/>
      <c r="J878"/>
      <c r="K878"/>
      <c r="L878"/>
      <c r="M878"/>
      <c r="S878" s="54"/>
    </row>
    <row r="879" spans="1:19" s="15" customFormat="1" x14ac:dyDescent="0.3">
      <c r="A879" s="17"/>
      <c r="B879"/>
      <c r="C879"/>
      <c r="D879"/>
      <c r="E879"/>
      <c r="F879"/>
      <c r="G879"/>
      <c r="H879"/>
      <c r="I879"/>
      <c r="J879"/>
      <c r="K879"/>
      <c r="L879"/>
      <c r="M879"/>
      <c r="S879" s="54"/>
    </row>
    <row r="880" spans="1:19" s="15" customFormat="1" x14ac:dyDescent="0.3">
      <c r="A880" s="17"/>
      <c r="B880"/>
      <c r="C880"/>
      <c r="D880"/>
      <c r="E880"/>
      <c r="F880"/>
      <c r="G880"/>
      <c r="H880"/>
      <c r="I880"/>
      <c r="J880"/>
      <c r="K880"/>
      <c r="L880"/>
      <c r="M880"/>
      <c r="S880" s="54"/>
    </row>
    <row r="881" spans="1:19" s="15" customFormat="1" x14ac:dyDescent="0.3">
      <c r="A881" s="17"/>
      <c r="B881"/>
      <c r="C881"/>
      <c r="D881"/>
      <c r="E881"/>
      <c r="F881"/>
      <c r="G881"/>
      <c r="H881"/>
      <c r="I881"/>
      <c r="J881"/>
      <c r="K881"/>
      <c r="L881"/>
      <c r="M881"/>
      <c r="S881" s="54"/>
    </row>
    <row r="882" spans="1:19" s="15" customFormat="1" x14ac:dyDescent="0.3">
      <c r="A882" s="17"/>
      <c r="B882"/>
      <c r="C882"/>
      <c r="D882"/>
      <c r="E882"/>
      <c r="F882"/>
      <c r="G882"/>
      <c r="H882"/>
      <c r="I882"/>
      <c r="J882"/>
      <c r="K882"/>
      <c r="L882"/>
      <c r="M882"/>
      <c r="S882" s="54"/>
    </row>
    <row r="883" spans="1:19" s="15" customFormat="1" x14ac:dyDescent="0.3">
      <c r="A883" s="17"/>
      <c r="B883"/>
      <c r="C883"/>
      <c r="D883"/>
      <c r="E883"/>
      <c r="F883"/>
      <c r="G883"/>
      <c r="H883"/>
      <c r="I883"/>
      <c r="J883"/>
      <c r="K883"/>
      <c r="L883"/>
      <c r="M883"/>
      <c r="S883" s="54"/>
    </row>
    <row r="884" spans="1:19" s="15" customFormat="1" x14ac:dyDescent="0.3">
      <c r="A884" s="17"/>
      <c r="B884"/>
      <c r="C884"/>
      <c r="D884"/>
      <c r="E884"/>
      <c r="F884"/>
      <c r="G884"/>
      <c r="H884"/>
      <c r="I884"/>
      <c r="J884"/>
      <c r="K884"/>
      <c r="L884"/>
      <c r="M884"/>
      <c r="S884" s="54"/>
    </row>
    <row r="885" spans="1:19" s="15" customFormat="1" x14ac:dyDescent="0.3">
      <c r="A885" s="17"/>
      <c r="B885"/>
      <c r="C885"/>
      <c r="D885"/>
      <c r="E885"/>
      <c r="F885"/>
      <c r="G885"/>
      <c r="H885"/>
      <c r="I885"/>
      <c r="J885"/>
      <c r="K885"/>
      <c r="L885"/>
      <c r="M885"/>
      <c r="S885" s="54"/>
    </row>
    <row r="886" spans="1:19" s="15" customFormat="1" x14ac:dyDescent="0.3">
      <c r="A886" s="17"/>
      <c r="B886"/>
      <c r="C886"/>
      <c r="D886"/>
      <c r="E886"/>
      <c r="F886"/>
      <c r="G886"/>
      <c r="H886"/>
      <c r="I886"/>
      <c r="J886"/>
      <c r="K886"/>
      <c r="L886"/>
      <c r="M886"/>
      <c r="S886" s="54"/>
    </row>
    <row r="887" spans="1:19" s="15" customFormat="1" x14ac:dyDescent="0.3">
      <c r="A887" s="17"/>
      <c r="B887"/>
      <c r="C887"/>
      <c r="D887"/>
      <c r="E887"/>
      <c r="F887"/>
      <c r="G887"/>
      <c r="H887"/>
      <c r="I887"/>
      <c r="J887"/>
      <c r="K887"/>
      <c r="L887"/>
      <c r="M887"/>
      <c r="S887" s="54"/>
    </row>
    <row r="888" spans="1:19" s="15" customFormat="1" x14ac:dyDescent="0.3">
      <c r="A888" s="17"/>
      <c r="B888"/>
      <c r="C888"/>
      <c r="D888"/>
      <c r="E888"/>
      <c r="F888"/>
      <c r="G888"/>
      <c r="H888"/>
      <c r="I888"/>
      <c r="J888"/>
      <c r="K888"/>
      <c r="L888"/>
      <c r="M888"/>
      <c r="S888" s="54"/>
    </row>
    <row r="889" spans="1:19" s="15" customFormat="1" x14ac:dyDescent="0.3">
      <c r="A889" s="17"/>
      <c r="B889"/>
      <c r="C889"/>
      <c r="D889"/>
      <c r="E889"/>
      <c r="F889"/>
      <c r="G889"/>
      <c r="H889"/>
      <c r="I889"/>
      <c r="J889"/>
      <c r="K889"/>
      <c r="L889"/>
      <c r="M889"/>
      <c r="S889" s="54"/>
    </row>
    <row r="890" spans="1:19" s="15" customFormat="1" x14ac:dyDescent="0.3">
      <c r="A890" s="17"/>
      <c r="B890"/>
      <c r="C890"/>
      <c r="D890"/>
      <c r="E890"/>
      <c r="F890"/>
      <c r="G890"/>
      <c r="H890"/>
      <c r="I890"/>
      <c r="J890"/>
      <c r="K890"/>
      <c r="L890"/>
      <c r="M890"/>
      <c r="S890" s="54"/>
    </row>
    <row r="891" spans="1:19" s="15" customFormat="1" x14ac:dyDescent="0.3">
      <c r="A891" s="17"/>
      <c r="B891"/>
      <c r="C891"/>
      <c r="D891"/>
      <c r="E891"/>
      <c r="F891"/>
      <c r="G891"/>
      <c r="H891"/>
      <c r="I891"/>
      <c r="J891"/>
      <c r="K891"/>
      <c r="L891"/>
      <c r="M891"/>
      <c r="S891" s="54"/>
    </row>
    <row r="892" spans="1:19" s="15" customFormat="1" x14ac:dyDescent="0.3">
      <c r="A892" s="17"/>
      <c r="B892"/>
      <c r="C892"/>
      <c r="D892"/>
      <c r="E892"/>
      <c r="F892"/>
      <c r="G892"/>
      <c r="H892"/>
      <c r="I892"/>
      <c r="J892"/>
      <c r="K892"/>
      <c r="L892"/>
      <c r="M892"/>
      <c r="S892" s="54"/>
    </row>
    <row r="893" spans="1:19" s="15" customFormat="1" x14ac:dyDescent="0.3">
      <c r="A893" s="17"/>
      <c r="B893"/>
      <c r="C893"/>
      <c r="D893"/>
      <c r="E893"/>
      <c r="F893"/>
      <c r="G893"/>
      <c r="H893"/>
      <c r="I893"/>
      <c r="J893"/>
      <c r="K893"/>
      <c r="L893"/>
      <c r="M893"/>
      <c r="S893" s="54"/>
    </row>
    <row r="894" spans="1:19" s="15" customFormat="1" x14ac:dyDescent="0.3">
      <c r="A894" s="17"/>
      <c r="B894"/>
      <c r="C894"/>
      <c r="D894"/>
      <c r="E894"/>
      <c r="F894"/>
      <c r="G894"/>
      <c r="H894"/>
      <c r="I894"/>
      <c r="J894"/>
      <c r="K894"/>
      <c r="L894"/>
      <c r="M894"/>
      <c r="S894" s="54"/>
    </row>
    <row r="895" spans="1:19" s="15" customFormat="1" x14ac:dyDescent="0.3">
      <c r="A895" s="17"/>
      <c r="B895"/>
      <c r="C895"/>
      <c r="D895"/>
      <c r="E895"/>
      <c r="F895"/>
      <c r="G895"/>
      <c r="H895"/>
      <c r="I895"/>
      <c r="J895"/>
      <c r="K895"/>
      <c r="L895"/>
      <c r="M895"/>
      <c r="S895" s="54"/>
    </row>
    <row r="896" spans="1:19" s="15" customFormat="1" x14ac:dyDescent="0.3">
      <c r="A896" s="17"/>
      <c r="B896"/>
      <c r="C896"/>
      <c r="D896"/>
      <c r="E896"/>
      <c r="F896"/>
      <c r="G896"/>
      <c r="H896"/>
      <c r="I896"/>
      <c r="J896"/>
      <c r="K896"/>
      <c r="L896"/>
      <c r="M896"/>
      <c r="S896" s="54"/>
    </row>
    <row r="897" spans="1:19" s="15" customFormat="1" x14ac:dyDescent="0.3">
      <c r="A897" s="17"/>
      <c r="B897"/>
      <c r="C897"/>
      <c r="D897"/>
      <c r="E897"/>
      <c r="F897"/>
      <c r="G897"/>
      <c r="H897"/>
      <c r="I897"/>
      <c r="J897"/>
      <c r="K897"/>
      <c r="L897"/>
      <c r="M897"/>
      <c r="S897" s="54"/>
    </row>
    <row r="898" spans="1:19" s="15" customFormat="1" x14ac:dyDescent="0.3">
      <c r="A898" s="17"/>
      <c r="B898"/>
      <c r="C898"/>
      <c r="D898"/>
      <c r="E898"/>
      <c r="F898"/>
      <c r="G898"/>
      <c r="H898"/>
      <c r="I898"/>
      <c r="J898"/>
      <c r="K898"/>
      <c r="L898"/>
      <c r="M898"/>
      <c r="S898" s="54"/>
    </row>
    <row r="899" spans="1:19" s="15" customFormat="1" x14ac:dyDescent="0.3">
      <c r="A899" s="17"/>
      <c r="B899"/>
      <c r="C899"/>
      <c r="D899"/>
      <c r="E899"/>
      <c r="F899"/>
      <c r="G899"/>
      <c r="H899"/>
      <c r="I899"/>
      <c r="J899"/>
      <c r="K899"/>
      <c r="L899"/>
      <c r="M899"/>
      <c r="S899" s="54"/>
    </row>
    <row r="900" spans="1:19" s="15" customFormat="1" x14ac:dyDescent="0.3">
      <c r="A900" s="17"/>
      <c r="B900"/>
      <c r="C900"/>
      <c r="D900"/>
      <c r="E900"/>
      <c r="F900"/>
      <c r="G900"/>
      <c r="H900"/>
      <c r="I900"/>
      <c r="J900"/>
      <c r="K900"/>
      <c r="L900"/>
      <c r="M900"/>
      <c r="S900" s="54"/>
    </row>
    <row r="901" spans="1:19" s="15" customFormat="1" x14ac:dyDescent="0.3">
      <c r="A901" s="17"/>
      <c r="B901"/>
      <c r="C901"/>
      <c r="D901"/>
      <c r="E901"/>
      <c r="F901"/>
      <c r="G901"/>
      <c r="H901"/>
      <c r="I901"/>
      <c r="J901"/>
      <c r="K901"/>
      <c r="L901"/>
      <c r="M901"/>
      <c r="S901" s="54"/>
    </row>
    <row r="902" spans="1:19" s="15" customFormat="1" x14ac:dyDescent="0.3">
      <c r="A902" s="17"/>
      <c r="B902"/>
      <c r="C902"/>
      <c r="D902"/>
      <c r="E902"/>
      <c r="F902"/>
      <c r="G902"/>
      <c r="H902"/>
      <c r="I902"/>
      <c r="J902"/>
      <c r="K902"/>
      <c r="L902"/>
      <c r="M902"/>
      <c r="S902" s="54"/>
    </row>
    <row r="903" spans="1:19" s="15" customFormat="1" x14ac:dyDescent="0.3">
      <c r="A903" s="17"/>
      <c r="B903"/>
      <c r="C903"/>
      <c r="D903"/>
      <c r="E903"/>
      <c r="F903"/>
      <c r="G903"/>
      <c r="H903"/>
      <c r="I903"/>
      <c r="J903"/>
      <c r="K903"/>
      <c r="L903"/>
      <c r="M903"/>
      <c r="S903" s="54"/>
    </row>
    <row r="904" spans="1:19" s="15" customFormat="1" x14ac:dyDescent="0.3">
      <c r="A904" s="17"/>
      <c r="B904"/>
      <c r="C904"/>
      <c r="D904"/>
      <c r="E904"/>
      <c r="F904"/>
      <c r="G904"/>
      <c r="H904"/>
      <c r="I904"/>
      <c r="J904"/>
      <c r="K904"/>
      <c r="L904"/>
      <c r="M904"/>
      <c r="S904" s="54"/>
    </row>
    <row r="905" spans="1:19" s="15" customFormat="1" x14ac:dyDescent="0.3">
      <c r="A905" s="17"/>
      <c r="B905"/>
      <c r="C905"/>
      <c r="D905"/>
      <c r="E905"/>
      <c r="F905"/>
      <c r="G905"/>
      <c r="H905"/>
      <c r="I905"/>
      <c r="J905"/>
      <c r="K905"/>
      <c r="L905"/>
      <c r="M905"/>
      <c r="S905" s="54"/>
    </row>
    <row r="906" spans="1:19" s="15" customFormat="1" x14ac:dyDescent="0.3">
      <c r="A906" s="17"/>
      <c r="B906"/>
      <c r="C906"/>
      <c r="D906"/>
      <c r="E906"/>
      <c r="F906"/>
      <c r="G906"/>
      <c r="H906"/>
      <c r="I906"/>
      <c r="J906"/>
      <c r="K906"/>
      <c r="L906"/>
      <c r="M906"/>
      <c r="S906" s="54"/>
    </row>
    <row r="907" spans="1:19" s="15" customFormat="1" x14ac:dyDescent="0.3">
      <c r="A907" s="17"/>
      <c r="B907"/>
      <c r="C907"/>
      <c r="D907"/>
      <c r="E907"/>
      <c r="F907"/>
      <c r="G907"/>
      <c r="H907"/>
      <c r="I907"/>
      <c r="J907"/>
      <c r="K907"/>
      <c r="L907"/>
      <c r="M907"/>
      <c r="S907" s="54"/>
    </row>
    <row r="908" spans="1:19" s="15" customFormat="1" x14ac:dyDescent="0.3">
      <c r="A908" s="17"/>
      <c r="B908"/>
      <c r="C908"/>
      <c r="D908"/>
      <c r="E908"/>
      <c r="F908"/>
      <c r="G908"/>
      <c r="H908"/>
      <c r="I908"/>
      <c r="J908"/>
      <c r="K908"/>
      <c r="L908"/>
      <c r="M908"/>
      <c r="S908" s="54"/>
    </row>
    <row r="909" spans="1:19" s="15" customFormat="1" x14ac:dyDescent="0.3">
      <c r="A909" s="17"/>
      <c r="B909"/>
      <c r="C909"/>
      <c r="D909"/>
      <c r="E909"/>
      <c r="F909"/>
      <c r="G909"/>
      <c r="H909"/>
      <c r="I909"/>
      <c r="J909"/>
      <c r="K909"/>
      <c r="L909"/>
      <c r="M909"/>
      <c r="S909" s="54"/>
    </row>
    <row r="910" spans="1:19" s="15" customFormat="1" x14ac:dyDescent="0.3">
      <c r="A910" s="17"/>
      <c r="B910"/>
      <c r="C910"/>
      <c r="D910"/>
      <c r="E910"/>
      <c r="F910"/>
      <c r="G910"/>
      <c r="H910"/>
      <c r="I910"/>
      <c r="J910"/>
      <c r="K910"/>
      <c r="L910"/>
      <c r="M910"/>
      <c r="S910" s="54"/>
    </row>
    <row r="911" spans="1:19" s="15" customFormat="1" x14ac:dyDescent="0.3">
      <c r="A911" s="17"/>
      <c r="B911"/>
      <c r="C911"/>
      <c r="D911"/>
      <c r="E911"/>
      <c r="F911"/>
      <c r="G911"/>
      <c r="H911"/>
      <c r="I911"/>
      <c r="J911"/>
      <c r="K911"/>
      <c r="L911"/>
      <c r="M911"/>
      <c r="S911" s="54"/>
    </row>
    <row r="912" spans="1:19" s="15" customFormat="1" x14ac:dyDescent="0.3">
      <c r="A912" s="17"/>
      <c r="B912"/>
      <c r="C912"/>
      <c r="D912"/>
      <c r="E912"/>
      <c r="F912"/>
      <c r="G912"/>
      <c r="H912"/>
      <c r="I912"/>
      <c r="J912"/>
      <c r="K912"/>
      <c r="L912"/>
      <c r="M912"/>
      <c r="S912" s="54"/>
    </row>
    <row r="913" spans="1:19" s="15" customFormat="1" x14ac:dyDescent="0.3">
      <c r="A913" s="17"/>
      <c r="B913"/>
      <c r="C913"/>
      <c r="D913"/>
      <c r="E913"/>
      <c r="F913"/>
      <c r="G913"/>
      <c r="H913"/>
      <c r="I913"/>
      <c r="J913"/>
      <c r="K913"/>
      <c r="L913"/>
      <c r="M913"/>
      <c r="S913" s="54"/>
    </row>
    <row r="914" spans="1:19" s="15" customFormat="1" x14ac:dyDescent="0.3">
      <c r="A914" s="17"/>
      <c r="B914"/>
      <c r="C914"/>
      <c r="D914"/>
      <c r="E914"/>
      <c r="F914"/>
      <c r="G914"/>
      <c r="H914"/>
      <c r="I914"/>
      <c r="J914"/>
      <c r="K914"/>
      <c r="L914"/>
      <c r="M914"/>
      <c r="S914" s="54"/>
    </row>
    <row r="915" spans="1:19" s="15" customFormat="1" x14ac:dyDescent="0.3">
      <c r="A915" s="17"/>
      <c r="B915"/>
      <c r="C915"/>
      <c r="D915"/>
      <c r="E915"/>
      <c r="F915"/>
      <c r="G915"/>
      <c r="H915"/>
      <c r="I915"/>
      <c r="J915"/>
      <c r="K915"/>
      <c r="L915"/>
      <c r="M915"/>
      <c r="S915" s="54"/>
    </row>
    <row r="916" spans="1:19" s="15" customFormat="1" x14ac:dyDescent="0.3">
      <c r="A916" s="17"/>
      <c r="B916"/>
      <c r="C916"/>
      <c r="D916"/>
      <c r="E916"/>
      <c r="F916"/>
      <c r="G916"/>
      <c r="H916"/>
      <c r="I916"/>
      <c r="J916"/>
      <c r="K916"/>
      <c r="L916"/>
      <c r="M916"/>
      <c r="S916" s="54"/>
    </row>
    <row r="917" spans="1:19" s="15" customFormat="1" x14ac:dyDescent="0.3">
      <c r="A917" s="17"/>
      <c r="B917"/>
      <c r="C917"/>
      <c r="D917"/>
      <c r="E917"/>
      <c r="F917"/>
      <c r="G917"/>
      <c r="H917"/>
      <c r="I917"/>
      <c r="J917"/>
      <c r="K917"/>
      <c r="L917"/>
      <c r="M917"/>
      <c r="S917" s="54"/>
    </row>
    <row r="918" spans="1:19" s="15" customFormat="1" x14ac:dyDescent="0.3">
      <c r="A918" s="17"/>
      <c r="B918"/>
      <c r="C918"/>
      <c r="D918"/>
      <c r="E918"/>
      <c r="F918"/>
      <c r="G918"/>
      <c r="H918"/>
      <c r="I918"/>
      <c r="J918"/>
      <c r="K918"/>
      <c r="L918"/>
      <c r="M918"/>
      <c r="S918" s="54"/>
    </row>
    <row r="919" spans="1:19" s="15" customFormat="1" x14ac:dyDescent="0.3">
      <c r="A919" s="17"/>
      <c r="B919"/>
      <c r="C919"/>
      <c r="D919"/>
      <c r="E919"/>
      <c r="F919"/>
      <c r="G919"/>
      <c r="H919"/>
      <c r="I919"/>
      <c r="J919"/>
      <c r="K919"/>
      <c r="L919"/>
      <c r="M919"/>
      <c r="S919" s="54"/>
    </row>
    <row r="920" spans="1:19" s="15" customFormat="1" x14ac:dyDescent="0.3">
      <c r="A920" s="17"/>
      <c r="B920"/>
      <c r="C920"/>
      <c r="D920"/>
      <c r="E920"/>
      <c r="F920"/>
      <c r="G920"/>
      <c r="H920"/>
      <c r="I920"/>
      <c r="J920"/>
      <c r="K920"/>
      <c r="L920"/>
      <c r="M920"/>
      <c r="S920" s="54"/>
    </row>
    <row r="921" spans="1:19" s="15" customFormat="1" x14ac:dyDescent="0.3">
      <c r="A921" s="17"/>
      <c r="B921"/>
      <c r="C921"/>
      <c r="D921"/>
      <c r="E921"/>
      <c r="F921"/>
      <c r="G921"/>
      <c r="H921"/>
      <c r="I921"/>
      <c r="J921"/>
      <c r="K921"/>
      <c r="L921"/>
      <c r="M921"/>
      <c r="S921" s="54"/>
    </row>
    <row r="922" spans="1:19" s="15" customFormat="1" x14ac:dyDescent="0.3">
      <c r="A922" s="17"/>
      <c r="B922"/>
      <c r="C922"/>
      <c r="D922"/>
      <c r="E922"/>
      <c r="F922"/>
      <c r="G922"/>
      <c r="H922"/>
      <c r="I922"/>
      <c r="J922"/>
      <c r="K922"/>
      <c r="L922"/>
      <c r="M922"/>
      <c r="S922" s="54"/>
    </row>
    <row r="923" spans="1:19" s="15" customFormat="1" x14ac:dyDescent="0.3">
      <c r="A923" s="17"/>
      <c r="B923"/>
      <c r="C923"/>
      <c r="D923"/>
      <c r="E923"/>
      <c r="F923"/>
      <c r="G923"/>
      <c r="H923"/>
      <c r="I923"/>
      <c r="J923"/>
      <c r="K923"/>
      <c r="L923"/>
      <c r="M923"/>
      <c r="S923" s="54"/>
    </row>
    <row r="924" spans="1:19" s="15" customFormat="1" x14ac:dyDescent="0.3">
      <c r="A924" s="17"/>
      <c r="B924"/>
      <c r="C924"/>
      <c r="D924"/>
      <c r="E924"/>
      <c r="F924"/>
      <c r="G924"/>
      <c r="H924"/>
      <c r="I924"/>
      <c r="J924"/>
      <c r="K924"/>
      <c r="L924"/>
      <c r="M924"/>
      <c r="S924" s="54"/>
    </row>
    <row r="925" spans="1:19" s="15" customFormat="1" x14ac:dyDescent="0.3">
      <c r="A925" s="17"/>
      <c r="B925"/>
      <c r="C925"/>
      <c r="D925"/>
      <c r="E925"/>
      <c r="F925"/>
      <c r="G925"/>
      <c r="H925"/>
      <c r="I925"/>
      <c r="J925"/>
      <c r="K925"/>
      <c r="L925"/>
      <c r="M925"/>
      <c r="S925" s="54"/>
    </row>
    <row r="926" spans="1:19" s="15" customFormat="1" x14ac:dyDescent="0.3">
      <c r="A926" s="17"/>
      <c r="B926"/>
      <c r="C926"/>
      <c r="D926"/>
      <c r="E926"/>
      <c r="F926"/>
      <c r="G926"/>
      <c r="H926"/>
      <c r="I926"/>
      <c r="J926"/>
      <c r="K926"/>
      <c r="L926"/>
      <c r="M926"/>
      <c r="S926" s="54"/>
    </row>
    <row r="927" spans="1:19" s="15" customFormat="1" x14ac:dyDescent="0.3">
      <c r="A927" s="17"/>
      <c r="B927"/>
      <c r="C927"/>
      <c r="D927"/>
      <c r="E927"/>
      <c r="F927"/>
      <c r="G927"/>
      <c r="H927"/>
      <c r="I927"/>
      <c r="J927"/>
      <c r="K927"/>
      <c r="L927"/>
      <c r="M927"/>
      <c r="S927" s="54"/>
    </row>
    <row r="928" spans="1:19" s="15" customFormat="1" x14ac:dyDescent="0.3">
      <c r="A928" s="17"/>
      <c r="B928"/>
      <c r="C928"/>
      <c r="D928"/>
      <c r="E928"/>
      <c r="F928"/>
      <c r="G928"/>
      <c r="H928"/>
      <c r="I928"/>
      <c r="J928"/>
      <c r="K928"/>
      <c r="L928"/>
      <c r="M928"/>
      <c r="S928" s="54"/>
    </row>
    <row r="929" spans="1:19" s="15" customFormat="1" x14ac:dyDescent="0.3">
      <c r="A929" s="17"/>
      <c r="B929"/>
      <c r="C929"/>
      <c r="D929"/>
      <c r="E929"/>
      <c r="F929"/>
      <c r="G929"/>
      <c r="H929"/>
      <c r="I929"/>
      <c r="J929"/>
      <c r="K929"/>
      <c r="L929"/>
      <c r="M929"/>
      <c r="S929" s="54"/>
    </row>
    <row r="930" spans="1:19" s="15" customFormat="1" x14ac:dyDescent="0.3">
      <c r="A930" s="17"/>
      <c r="B930"/>
      <c r="C930"/>
      <c r="D930"/>
      <c r="E930"/>
      <c r="F930"/>
      <c r="G930"/>
      <c r="H930"/>
      <c r="I930"/>
      <c r="J930"/>
      <c r="K930"/>
      <c r="L930"/>
      <c r="M930"/>
      <c r="S930" s="54"/>
    </row>
    <row r="931" spans="1:19" s="15" customFormat="1" x14ac:dyDescent="0.3">
      <c r="A931" s="17"/>
      <c r="B931"/>
      <c r="C931"/>
      <c r="D931"/>
      <c r="E931"/>
      <c r="F931"/>
      <c r="G931"/>
      <c r="H931"/>
      <c r="I931"/>
      <c r="J931"/>
      <c r="K931"/>
      <c r="L931"/>
      <c r="M931"/>
      <c r="S931" s="54"/>
    </row>
    <row r="932" spans="1:19" s="15" customFormat="1" x14ac:dyDescent="0.3">
      <c r="A932" s="17"/>
      <c r="B932"/>
      <c r="C932"/>
      <c r="D932"/>
      <c r="E932"/>
      <c r="F932"/>
      <c r="G932"/>
      <c r="H932"/>
      <c r="I932"/>
      <c r="J932"/>
      <c r="K932"/>
      <c r="L932"/>
      <c r="M932"/>
      <c r="S932" s="54"/>
    </row>
    <row r="933" spans="1:19" s="15" customFormat="1" x14ac:dyDescent="0.3">
      <c r="A933" s="17"/>
      <c r="B933"/>
      <c r="C933"/>
      <c r="D933"/>
      <c r="E933"/>
      <c r="F933"/>
      <c r="G933"/>
      <c r="H933"/>
      <c r="I933"/>
      <c r="J933"/>
      <c r="K933"/>
      <c r="L933"/>
      <c r="M933"/>
      <c r="S933" s="54"/>
    </row>
    <row r="934" spans="1:19" s="15" customFormat="1" x14ac:dyDescent="0.3">
      <c r="A934" s="17"/>
      <c r="B934"/>
      <c r="C934"/>
      <c r="D934"/>
      <c r="E934"/>
      <c r="F934"/>
      <c r="G934"/>
      <c r="H934"/>
      <c r="I934"/>
      <c r="J934"/>
      <c r="K934"/>
      <c r="L934"/>
      <c r="M934"/>
      <c r="S934" s="54"/>
    </row>
    <row r="935" spans="1:19" s="15" customFormat="1" x14ac:dyDescent="0.3">
      <c r="A935" s="17"/>
      <c r="B935"/>
      <c r="C935"/>
      <c r="D935"/>
      <c r="E935"/>
      <c r="F935"/>
      <c r="G935"/>
      <c r="H935"/>
      <c r="I935"/>
      <c r="J935"/>
      <c r="K935"/>
      <c r="L935"/>
      <c r="M935"/>
      <c r="S935" s="54"/>
    </row>
    <row r="936" spans="1:19" s="15" customFormat="1" x14ac:dyDescent="0.3">
      <c r="A936" s="17"/>
      <c r="B936"/>
      <c r="C936"/>
      <c r="D936"/>
      <c r="E936"/>
      <c r="F936"/>
      <c r="G936"/>
      <c r="H936"/>
      <c r="I936"/>
      <c r="J936"/>
      <c r="K936"/>
      <c r="L936"/>
      <c r="M936"/>
      <c r="S936" s="54"/>
    </row>
    <row r="937" spans="1:19" s="15" customFormat="1" x14ac:dyDescent="0.3">
      <c r="A937" s="17"/>
      <c r="B937"/>
      <c r="C937"/>
      <c r="D937"/>
      <c r="E937"/>
      <c r="F937"/>
      <c r="G937"/>
      <c r="H937"/>
      <c r="I937"/>
      <c r="J937"/>
      <c r="K937"/>
      <c r="L937"/>
      <c r="M937"/>
      <c r="S937" s="54"/>
    </row>
    <row r="938" spans="1:19" s="15" customFormat="1" x14ac:dyDescent="0.3">
      <c r="A938" s="17"/>
      <c r="B938"/>
      <c r="C938"/>
      <c r="D938"/>
      <c r="E938"/>
      <c r="F938"/>
      <c r="G938"/>
      <c r="H938"/>
      <c r="I938"/>
      <c r="J938"/>
      <c r="K938"/>
      <c r="L938"/>
      <c r="M938"/>
      <c r="S938" s="54"/>
    </row>
    <row r="939" spans="1:19" s="15" customFormat="1" x14ac:dyDescent="0.3">
      <c r="A939" s="17"/>
      <c r="B939"/>
      <c r="C939"/>
      <c r="D939"/>
      <c r="E939"/>
      <c r="F939"/>
      <c r="G939"/>
      <c r="H939"/>
      <c r="I939"/>
      <c r="J939"/>
      <c r="K939"/>
      <c r="L939"/>
      <c r="M939"/>
      <c r="S939" s="54"/>
    </row>
    <row r="940" spans="1:19" s="15" customFormat="1" x14ac:dyDescent="0.3">
      <c r="A940" s="17"/>
      <c r="B940"/>
      <c r="C940"/>
      <c r="D940"/>
      <c r="E940"/>
      <c r="F940"/>
      <c r="G940"/>
      <c r="H940"/>
      <c r="I940"/>
      <c r="J940"/>
      <c r="K940"/>
      <c r="L940"/>
      <c r="M940"/>
      <c r="S940" s="54"/>
    </row>
    <row r="941" spans="1:19" s="15" customFormat="1" x14ac:dyDescent="0.3">
      <c r="A941" s="17"/>
      <c r="B941"/>
      <c r="C941"/>
      <c r="D941"/>
      <c r="E941"/>
      <c r="F941"/>
      <c r="G941"/>
      <c r="H941"/>
      <c r="I941"/>
      <c r="J941"/>
      <c r="K941"/>
      <c r="L941"/>
      <c r="M941"/>
      <c r="S941" s="54"/>
    </row>
    <row r="942" spans="1:19" s="15" customFormat="1" x14ac:dyDescent="0.3">
      <c r="A942" s="17"/>
      <c r="B942"/>
      <c r="C942"/>
      <c r="D942"/>
      <c r="E942"/>
      <c r="F942"/>
      <c r="G942"/>
      <c r="H942"/>
      <c r="I942"/>
      <c r="J942"/>
      <c r="K942"/>
      <c r="L942"/>
      <c r="M942"/>
      <c r="S942" s="54"/>
    </row>
    <row r="943" spans="1:19" s="15" customFormat="1" x14ac:dyDescent="0.3">
      <c r="A943" s="17"/>
      <c r="B943"/>
      <c r="C943"/>
      <c r="D943"/>
      <c r="E943"/>
      <c r="F943"/>
      <c r="G943"/>
      <c r="H943"/>
      <c r="I943"/>
      <c r="J943"/>
      <c r="K943"/>
      <c r="L943"/>
      <c r="M943"/>
      <c r="S943" s="54"/>
    </row>
    <row r="944" spans="1:19" s="15" customFormat="1" x14ac:dyDescent="0.3">
      <c r="A944" s="17"/>
      <c r="B944"/>
      <c r="C944"/>
      <c r="D944"/>
      <c r="E944"/>
      <c r="F944"/>
      <c r="G944"/>
      <c r="H944"/>
      <c r="I944"/>
      <c r="J944"/>
      <c r="K944"/>
      <c r="L944"/>
      <c r="M944"/>
      <c r="S944" s="54"/>
    </row>
    <row r="945" spans="1:19" s="15" customFormat="1" x14ac:dyDescent="0.3">
      <c r="A945" s="17"/>
      <c r="B945"/>
      <c r="C945"/>
      <c r="D945"/>
      <c r="E945"/>
      <c r="F945"/>
      <c r="G945"/>
      <c r="H945"/>
      <c r="I945"/>
      <c r="J945"/>
      <c r="K945"/>
      <c r="L945"/>
      <c r="M945"/>
      <c r="S945" s="54"/>
    </row>
    <row r="946" spans="1:19" s="15" customFormat="1" x14ac:dyDescent="0.3">
      <c r="A946" s="17"/>
      <c r="B946"/>
      <c r="C946"/>
      <c r="D946"/>
      <c r="E946"/>
      <c r="F946"/>
      <c r="G946"/>
      <c r="H946"/>
      <c r="I946"/>
      <c r="J946"/>
      <c r="K946"/>
      <c r="L946"/>
      <c r="M946"/>
      <c r="S946" s="54"/>
    </row>
    <row r="947" spans="1:19" s="15" customFormat="1" x14ac:dyDescent="0.3">
      <c r="A947" s="17"/>
      <c r="B947"/>
      <c r="C947"/>
      <c r="D947"/>
      <c r="E947"/>
      <c r="F947"/>
      <c r="G947"/>
      <c r="H947"/>
      <c r="I947"/>
      <c r="J947"/>
      <c r="K947"/>
      <c r="L947"/>
      <c r="M947"/>
      <c r="S947" s="54"/>
    </row>
    <row r="948" spans="1:19" s="15" customFormat="1" x14ac:dyDescent="0.3">
      <c r="A948" s="17"/>
      <c r="B948"/>
      <c r="C948"/>
      <c r="D948"/>
      <c r="E948"/>
      <c r="F948"/>
      <c r="G948"/>
      <c r="H948"/>
      <c r="I948"/>
      <c r="J948"/>
      <c r="K948"/>
      <c r="L948"/>
      <c r="M948"/>
      <c r="S948" s="54"/>
    </row>
    <row r="949" spans="1:19" s="15" customFormat="1" x14ac:dyDescent="0.3">
      <c r="A949" s="17"/>
      <c r="B949"/>
      <c r="C949"/>
      <c r="D949"/>
      <c r="E949"/>
      <c r="F949"/>
      <c r="G949"/>
      <c r="H949"/>
      <c r="I949"/>
      <c r="J949"/>
      <c r="K949"/>
      <c r="L949"/>
      <c r="M949"/>
      <c r="S949" s="54"/>
    </row>
    <row r="950" spans="1:19" s="15" customFormat="1" x14ac:dyDescent="0.3">
      <c r="A950" s="17"/>
      <c r="B950"/>
      <c r="C950"/>
      <c r="D950"/>
      <c r="E950"/>
      <c r="F950"/>
      <c r="G950"/>
      <c r="H950"/>
      <c r="I950"/>
      <c r="J950"/>
      <c r="K950"/>
      <c r="L950"/>
      <c r="M950"/>
      <c r="S950" s="54"/>
    </row>
    <row r="951" spans="1:19" s="15" customFormat="1" x14ac:dyDescent="0.3">
      <c r="A951" s="17"/>
      <c r="B951"/>
      <c r="C951"/>
      <c r="D951"/>
      <c r="E951"/>
      <c r="F951"/>
      <c r="G951"/>
      <c r="H951"/>
      <c r="I951"/>
      <c r="J951"/>
      <c r="K951"/>
      <c r="L951"/>
      <c r="M951"/>
      <c r="S951" s="54"/>
    </row>
    <row r="952" spans="1:19" s="15" customFormat="1" x14ac:dyDescent="0.3">
      <c r="A952" s="17"/>
      <c r="B952"/>
      <c r="C952"/>
      <c r="D952"/>
      <c r="E952"/>
      <c r="F952"/>
      <c r="G952"/>
      <c r="H952"/>
      <c r="I952"/>
      <c r="J952"/>
      <c r="K952"/>
      <c r="L952"/>
      <c r="M952"/>
      <c r="S952" s="54"/>
    </row>
    <row r="953" spans="1:19" s="15" customFormat="1" x14ac:dyDescent="0.3">
      <c r="A953" s="17"/>
      <c r="B953"/>
      <c r="C953"/>
      <c r="D953"/>
      <c r="E953"/>
      <c r="F953"/>
      <c r="G953"/>
      <c r="H953"/>
      <c r="I953"/>
      <c r="J953"/>
      <c r="K953"/>
      <c r="L953"/>
      <c r="M953"/>
      <c r="S953" s="54"/>
    </row>
    <row r="954" spans="1:19" s="15" customFormat="1" x14ac:dyDescent="0.3">
      <c r="A954" s="17"/>
      <c r="B954"/>
      <c r="C954"/>
      <c r="D954"/>
      <c r="E954"/>
      <c r="F954"/>
      <c r="G954"/>
      <c r="H954"/>
      <c r="I954"/>
      <c r="J954"/>
      <c r="K954"/>
      <c r="L954"/>
      <c r="M954"/>
      <c r="S954" s="54"/>
    </row>
    <row r="955" spans="1:19" s="15" customFormat="1" x14ac:dyDescent="0.3">
      <c r="A955" s="17"/>
      <c r="B955"/>
      <c r="C955"/>
      <c r="D955"/>
      <c r="E955"/>
      <c r="F955"/>
      <c r="G955"/>
      <c r="H955"/>
      <c r="I955"/>
      <c r="J955"/>
      <c r="K955"/>
      <c r="L955"/>
      <c r="M955"/>
      <c r="S955" s="54"/>
    </row>
    <row r="956" spans="1:19" s="15" customFormat="1" x14ac:dyDescent="0.3">
      <c r="A956" s="17"/>
      <c r="B956"/>
      <c r="C956"/>
      <c r="D956"/>
      <c r="E956"/>
      <c r="F956"/>
      <c r="G956"/>
      <c r="H956"/>
      <c r="I956"/>
      <c r="J956"/>
      <c r="K956"/>
      <c r="L956"/>
      <c r="M956"/>
      <c r="S956" s="54"/>
    </row>
    <row r="957" spans="1:19" s="15" customFormat="1" x14ac:dyDescent="0.3">
      <c r="A957" s="17"/>
      <c r="B957"/>
      <c r="C957"/>
      <c r="D957"/>
      <c r="E957"/>
      <c r="F957"/>
      <c r="G957"/>
      <c r="H957"/>
      <c r="I957"/>
      <c r="J957"/>
      <c r="K957"/>
      <c r="L957"/>
      <c r="M957"/>
      <c r="S957" s="54"/>
    </row>
    <row r="958" spans="1:19" s="15" customFormat="1" x14ac:dyDescent="0.3">
      <c r="A958" s="17"/>
      <c r="B958"/>
      <c r="C958"/>
      <c r="D958"/>
      <c r="E958"/>
      <c r="F958"/>
      <c r="G958"/>
      <c r="H958"/>
      <c r="I958"/>
      <c r="J958"/>
      <c r="K958"/>
      <c r="L958"/>
      <c r="M958"/>
      <c r="S958" s="54"/>
    </row>
    <row r="959" spans="1:19" s="15" customFormat="1" x14ac:dyDescent="0.3">
      <c r="A959" s="17"/>
      <c r="B959"/>
      <c r="C959"/>
      <c r="D959"/>
      <c r="E959"/>
      <c r="F959"/>
      <c r="G959"/>
      <c r="H959"/>
      <c r="I959"/>
      <c r="J959"/>
      <c r="K959"/>
      <c r="L959"/>
      <c r="M959"/>
      <c r="S959" s="54"/>
    </row>
    <row r="960" spans="1:19" s="15" customFormat="1" x14ac:dyDescent="0.3">
      <c r="A960" s="17"/>
      <c r="B960"/>
      <c r="C960"/>
      <c r="D960"/>
      <c r="E960"/>
      <c r="F960"/>
      <c r="G960"/>
      <c r="H960"/>
      <c r="I960"/>
      <c r="J960"/>
      <c r="K960"/>
      <c r="L960"/>
      <c r="M960"/>
      <c r="S960" s="54"/>
    </row>
    <row r="961" spans="1:19" s="15" customFormat="1" x14ac:dyDescent="0.3">
      <c r="A961" s="17"/>
      <c r="B961"/>
      <c r="C961"/>
      <c r="D961"/>
      <c r="E961"/>
      <c r="F961"/>
      <c r="G961"/>
      <c r="H961"/>
      <c r="I961"/>
      <c r="J961"/>
      <c r="K961"/>
      <c r="L961"/>
      <c r="M961"/>
      <c r="S961" s="54"/>
    </row>
    <row r="962" spans="1:19" s="15" customFormat="1" x14ac:dyDescent="0.3">
      <c r="A962" s="17"/>
      <c r="B962"/>
      <c r="C962"/>
      <c r="D962"/>
      <c r="E962"/>
      <c r="F962"/>
      <c r="G962"/>
      <c r="H962"/>
      <c r="I962"/>
      <c r="J962"/>
      <c r="K962"/>
      <c r="L962"/>
      <c r="M962"/>
      <c r="S962" s="54"/>
    </row>
    <row r="963" spans="1:19" s="15" customFormat="1" x14ac:dyDescent="0.3">
      <c r="A963" s="17"/>
      <c r="B963"/>
      <c r="C963"/>
      <c r="D963"/>
      <c r="E963"/>
      <c r="F963"/>
      <c r="G963"/>
      <c r="H963"/>
      <c r="I963"/>
      <c r="J963"/>
      <c r="K963"/>
      <c r="L963"/>
      <c r="M963"/>
      <c r="S963" s="54"/>
    </row>
    <row r="964" spans="1:19" s="15" customFormat="1" x14ac:dyDescent="0.3">
      <c r="A964" s="17"/>
      <c r="B964"/>
      <c r="C964"/>
      <c r="D964"/>
      <c r="E964"/>
      <c r="F964"/>
      <c r="G964"/>
      <c r="H964"/>
      <c r="I964"/>
      <c r="J964"/>
      <c r="K964"/>
      <c r="L964"/>
      <c r="M964"/>
      <c r="S964" s="54"/>
    </row>
    <row r="965" spans="1:19" s="15" customFormat="1" x14ac:dyDescent="0.3">
      <c r="A965" s="17"/>
      <c r="B965"/>
      <c r="C965"/>
      <c r="D965"/>
      <c r="E965"/>
      <c r="F965"/>
      <c r="G965"/>
      <c r="H965"/>
      <c r="I965"/>
      <c r="J965"/>
      <c r="K965"/>
      <c r="L965"/>
      <c r="M965"/>
      <c r="S965" s="54"/>
    </row>
    <row r="966" spans="1:19" s="15" customFormat="1" x14ac:dyDescent="0.3">
      <c r="A966" s="17"/>
      <c r="B966"/>
      <c r="C966"/>
      <c r="D966"/>
      <c r="E966"/>
      <c r="F966"/>
      <c r="G966"/>
      <c r="H966"/>
      <c r="I966"/>
      <c r="J966"/>
      <c r="K966"/>
      <c r="L966"/>
      <c r="M966"/>
      <c r="S966" s="54"/>
    </row>
    <row r="967" spans="1:19" s="15" customFormat="1" x14ac:dyDescent="0.3">
      <c r="A967" s="17"/>
      <c r="B967"/>
      <c r="C967"/>
      <c r="D967"/>
      <c r="E967"/>
      <c r="F967"/>
      <c r="G967"/>
      <c r="H967"/>
      <c r="I967"/>
      <c r="J967"/>
      <c r="K967"/>
      <c r="L967"/>
      <c r="M967"/>
      <c r="S967" s="54"/>
    </row>
    <row r="968" spans="1:19" s="15" customFormat="1" x14ac:dyDescent="0.3">
      <c r="A968" s="17"/>
      <c r="B968"/>
      <c r="C968"/>
      <c r="D968"/>
      <c r="E968"/>
      <c r="F968"/>
      <c r="G968"/>
      <c r="H968"/>
      <c r="I968"/>
      <c r="J968"/>
      <c r="K968"/>
      <c r="L968"/>
      <c r="M968"/>
      <c r="S968" s="54"/>
    </row>
    <row r="969" spans="1:19" s="15" customFormat="1" x14ac:dyDescent="0.3">
      <c r="A969" s="17"/>
      <c r="B969"/>
      <c r="C969"/>
      <c r="D969"/>
      <c r="E969"/>
      <c r="F969"/>
      <c r="G969"/>
      <c r="H969"/>
      <c r="I969"/>
      <c r="J969"/>
      <c r="K969"/>
      <c r="L969"/>
      <c r="M969"/>
      <c r="S969" s="54"/>
    </row>
    <row r="970" spans="1:19" s="15" customFormat="1" x14ac:dyDescent="0.3">
      <c r="A970" s="17"/>
      <c r="B970"/>
      <c r="C970"/>
      <c r="D970"/>
      <c r="E970"/>
      <c r="F970"/>
      <c r="G970"/>
      <c r="H970"/>
      <c r="I970"/>
      <c r="J970"/>
      <c r="K970"/>
      <c r="L970"/>
      <c r="M970"/>
      <c r="S970" s="54"/>
    </row>
    <row r="971" spans="1:19" s="15" customFormat="1" x14ac:dyDescent="0.3">
      <c r="A971" s="17"/>
      <c r="B971"/>
      <c r="C971"/>
      <c r="D971"/>
      <c r="E971"/>
      <c r="F971"/>
      <c r="G971"/>
      <c r="H971"/>
      <c r="I971"/>
      <c r="J971"/>
      <c r="K971"/>
      <c r="L971"/>
      <c r="M971"/>
      <c r="S971" s="54"/>
    </row>
    <row r="972" spans="1:19" s="15" customFormat="1" x14ac:dyDescent="0.3">
      <c r="A972" s="17"/>
      <c r="B972"/>
      <c r="C972"/>
      <c r="D972"/>
      <c r="E972"/>
      <c r="F972"/>
      <c r="G972"/>
      <c r="H972"/>
      <c r="I972"/>
      <c r="J972"/>
      <c r="K972"/>
      <c r="L972"/>
      <c r="M972"/>
      <c r="S972" s="54"/>
    </row>
    <row r="973" spans="1:19" s="15" customFormat="1" x14ac:dyDescent="0.3">
      <c r="A973" s="17"/>
      <c r="B973"/>
      <c r="C973"/>
      <c r="D973"/>
      <c r="E973"/>
      <c r="F973"/>
      <c r="G973"/>
      <c r="H973"/>
      <c r="I973"/>
      <c r="J973"/>
      <c r="K973"/>
      <c r="L973"/>
      <c r="M973"/>
      <c r="S973" s="54"/>
    </row>
    <row r="974" spans="1:19" s="15" customFormat="1" x14ac:dyDescent="0.3">
      <c r="A974" s="17"/>
      <c r="B974"/>
      <c r="C974"/>
      <c r="D974"/>
      <c r="E974"/>
      <c r="F974"/>
      <c r="G974"/>
      <c r="H974"/>
      <c r="I974"/>
      <c r="J974"/>
      <c r="K974"/>
      <c r="L974"/>
      <c r="M974"/>
      <c r="S974" s="54"/>
    </row>
    <row r="975" spans="1:19" s="15" customFormat="1" x14ac:dyDescent="0.3">
      <c r="A975" s="17"/>
      <c r="B975"/>
      <c r="C975"/>
      <c r="D975"/>
      <c r="E975"/>
      <c r="F975"/>
      <c r="G975"/>
      <c r="H975"/>
      <c r="I975"/>
      <c r="J975"/>
      <c r="K975"/>
      <c r="L975"/>
      <c r="M975"/>
      <c r="S975" s="54"/>
    </row>
    <row r="976" spans="1:19" s="15" customFormat="1" x14ac:dyDescent="0.3">
      <c r="A976" s="17"/>
      <c r="B976"/>
      <c r="C976"/>
      <c r="D976"/>
      <c r="E976"/>
      <c r="F976"/>
      <c r="G976"/>
      <c r="H976"/>
      <c r="I976"/>
      <c r="J976"/>
      <c r="K976"/>
      <c r="L976"/>
      <c r="M976"/>
      <c r="S976" s="54"/>
    </row>
    <row r="977" spans="1:19" s="15" customFormat="1" x14ac:dyDescent="0.3">
      <c r="A977" s="17"/>
      <c r="B977"/>
      <c r="C977"/>
      <c r="D977"/>
      <c r="E977"/>
      <c r="F977"/>
      <c r="G977"/>
      <c r="H977"/>
      <c r="I977"/>
      <c r="J977"/>
      <c r="K977"/>
      <c r="L977"/>
      <c r="M977"/>
      <c r="S977" s="54"/>
    </row>
    <row r="978" spans="1:19" s="15" customFormat="1" x14ac:dyDescent="0.3">
      <c r="A978" s="17"/>
      <c r="B978"/>
      <c r="C978"/>
      <c r="D978"/>
      <c r="E978"/>
      <c r="F978"/>
      <c r="G978"/>
      <c r="H978"/>
      <c r="I978"/>
      <c r="J978"/>
      <c r="K978"/>
      <c r="L978"/>
      <c r="M978"/>
      <c r="S978" s="54"/>
    </row>
    <row r="979" spans="1:19" s="15" customFormat="1" x14ac:dyDescent="0.3">
      <c r="A979" s="17"/>
      <c r="B979"/>
      <c r="C979"/>
      <c r="D979"/>
      <c r="E979"/>
      <c r="F979"/>
      <c r="G979"/>
      <c r="H979"/>
      <c r="I979"/>
      <c r="J979"/>
      <c r="K979"/>
      <c r="L979"/>
      <c r="M979"/>
      <c r="S979" s="54"/>
    </row>
    <row r="980" spans="1:19" s="15" customFormat="1" x14ac:dyDescent="0.3">
      <c r="A980" s="17"/>
      <c r="B980"/>
      <c r="C980"/>
      <c r="D980"/>
      <c r="E980"/>
      <c r="F980"/>
      <c r="G980"/>
      <c r="H980"/>
      <c r="I980"/>
      <c r="J980"/>
      <c r="K980"/>
      <c r="L980"/>
      <c r="M980"/>
      <c r="S980" s="54"/>
    </row>
    <row r="981" spans="1:19" s="15" customFormat="1" x14ac:dyDescent="0.3">
      <c r="A981" s="17"/>
      <c r="B981"/>
      <c r="C981"/>
      <c r="D981"/>
      <c r="E981"/>
      <c r="F981"/>
      <c r="G981"/>
      <c r="H981"/>
      <c r="I981"/>
      <c r="J981"/>
      <c r="K981"/>
      <c r="L981"/>
      <c r="M981"/>
      <c r="S981" s="54"/>
    </row>
    <row r="982" spans="1:19" s="15" customFormat="1" x14ac:dyDescent="0.3">
      <c r="A982" s="17"/>
      <c r="B982"/>
      <c r="C982"/>
      <c r="D982"/>
      <c r="E982"/>
      <c r="F982"/>
      <c r="G982"/>
      <c r="H982"/>
      <c r="I982"/>
      <c r="J982"/>
      <c r="K982"/>
      <c r="L982"/>
      <c r="M982"/>
      <c r="S982" s="54"/>
    </row>
    <row r="983" spans="1:19" s="15" customFormat="1" x14ac:dyDescent="0.3">
      <c r="A983" s="17"/>
      <c r="B983"/>
      <c r="C983"/>
      <c r="D983"/>
      <c r="E983"/>
      <c r="F983"/>
      <c r="G983"/>
      <c r="H983"/>
      <c r="I983"/>
      <c r="J983"/>
      <c r="K983"/>
      <c r="L983"/>
      <c r="M983"/>
      <c r="S983" s="54"/>
    </row>
    <row r="984" spans="1:19" s="15" customFormat="1" x14ac:dyDescent="0.3">
      <c r="A984" s="17"/>
      <c r="B984"/>
      <c r="C984"/>
      <c r="D984"/>
      <c r="E984"/>
      <c r="F984"/>
      <c r="G984"/>
      <c r="H984"/>
      <c r="I984"/>
      <c r="J984"/>
      <c r="K984"/>
      <c r="L984"/>
      <c r="M984"/>
      <c r="S984" s="54"/>
    </row>
    <row r="985" spans="1:19" s="15" customFormat="1" x14ac:dyDescent="0.3">
      <c r="A985" s="17"/>
      <c r="B985"/>
      <c r="C985"/>
      <c r="D985"/>
      <c r="E985"/>
      <c r="F985"/>
      <c r="G985"/>
      <c r="H985"/>
      <c r="I985"/>
      <c r="J985"/>
      <c r="K985"/>
      <c r="L985"/>
      <c r="M985"/>
      <c r="S985" s="54"/>
    </row>
    <row r="986" spans="1:19" s="15" customFormat="1" x14ac:dyDescent="0.3">
      <c r="A986" s="17"/>
      <c r="B986"/>
      <c r="C986"/>
      <c r="D986"/>
      <c r="E986"/>
      <c r="F986"/>
      <c r="G986"/>
      <c r="H986"/>
      <c r="I986"/>
      <c r="J986"/>
      <c r="K986"/>
      <c r="L986"/>
      <c r="M986"/>
      <c r="S986" s="54"/>
    </row>
    <row r="987" spans="1:19" s="15" customFormat="1" x14ac:dyDescent="0.3">
      <c r="A987" s="17"/>
      <c r="B987"/>
      <c r="C987"/>
      <c r="D987"/>
      <c r="E987"/>
      <c r="F987"/>
      <c r="G987"/>
      <c r="H987"/>
      <c r="I987"/>
      <c r="J987"/>
      <c r="K987"/>
      <c r="L987"/>
      <c r="M987"/>
      <c r="S987" s="54"/>
    </row>
    <row r="988" spans="1:19" s="15" customFormat="1" x14ac:dyDescent="0.3">
      <c r="A988" s="17"/>
      <c r="B988"/>
      <c r="C988"/>
      <c r="D988"/>
      <c r="E988"/>
      <c r="F988"/>
      <c r="G988"/>
      <c r="H988"/>
      <c r="I988"/>
      <c r="J988"/>
      <c r="K988"/>
      <c r="L988"/>
      <c r="M988"/>
      <c r="S988" s="54"/>
    </row>
    <row r="989" spans="1:19" s="15" customFormat="1" x14ac:dyDescent="0.3">
      <c r="A989" s="17"/>
      <c r="B989"/>
      <c r="C989"/>
      <c r="D989"/>
      <c r="E989"/>
      <c r="F989"/>
      <c r="G989"/>
      <c r="H989"/>
      <c r="I989"/>
      <c r="J989"/>
      <c r="K989"/>
      <c r="L989"/>
      <c r="M989"/>
      <c r="S989" s="54"/>
    </row>
    <row r="990" spans="1:19" s="15" customFormat="1" x14ac:dyDescent="0.3">
      <c r="A990" s="17"/>
      <c r="B990"/>
      <c r="C990"/>
      <c r="D990"/>
      <c r="E990"/>
      <c r="F990"/>
      <c r="G990"/>
      <c r="H990"/>
      <c r="I990"/>
      <c r="J990"/>
      <c r="K990"/>
      <c r="L990"/>
      <c r="M990"/>
      <c r="S990" s="54"/>
    </row>
    <row r="991" spans="1:19" s="15" customFormat="1" x14ac:dyDescent="0.3">
      <c r="A991" s="17"/>
      <c r="B991"/>
      <c r="C991"/>
      <c r="D991"/>
      <c r="E991"/>
      <c r="F991"/>
      <c r="G991"/>
      <c r="H991"/>
      <c r="I991"/>
      <c r="J991"/>
      <c r="K991"/>
      <c r="L991"/>
      <c r="M991"/>
      <c r="S991" s="54"/>
    </row>
    <row r="992" spans="1:19" s="15" customFormat="1" x14ac:dyDescent="0.3">
      <c r="A992" s="17"/>
      <c r="B992"/>
      <c r="C992"/>
      <c r="D992"/>
      <c r="E992"/>
      <c r="F992"/>
      <c r="G992"/>
      <c r="H992"/>
      <c r="I992"/>
      <c r="J992"/>
      <c r="K992"/>
      <c r="L992"/>
      <c r="M992"/>
      <c r="S992" s="54"/>
    </row>
    <row r="993" spans="1:19" s="15" customFormat="1" x14ac:dyDescent="0.3">
      <c r="A993" s="17"/>
      <c r="B993"/>
      <c r="C993"/>
      <c r="D993"/>
      <c r="E993"/>
      <c r="F993"/>
      <c r="G993"/>
      <c r="H993"/>
      <c r="I993"/>
      <c r="J993"/>
      <c r="K993"/>
      <c r="L993"/>
      <c r="M993"/>
      <c r="S993" s="54"/>
    </row>
    <row r="994" spans="1:19" s="15" customFormat="1" x14ac:dyDescent="0.3">
      <c r="A994" s="17"/>
      <c r="B994"/>
      <c r="C994"/>
      <c r="D994"/>
      <c r="E994"/>
      <c r="F994"/>
      <c r="G994"/>
      <c r="H994"/>
      <c r="I994"/>
      <c r="J994"/>
      <c r="K994"/>
      <c r="L994"/>
      <c r="M994"/>
      <c r="S994" s="54"/>
    </row>
    <row r="995" spans="1:19" s="15" customFormat="1" x14ac:dyDescent="0.3">
      <c r="A995" s="17"/>
      <c r="B995"/>
      <c r="C995"/>
      <c r="D995"/>
      <c r="E995"/>
      <c r="F995"/>
      <c r="G995"/>
      <c r="H995"/>
      <c r="I995"/>
      <c r="J995"/>
      <c r="K995"/>
      <c r="L995"/>
      <c r="M995"/>
      <c r="S995" s="54"/>
    </row>
    <row r="996" spans="1:19" s="15" customFormat="1" x14ac:dyDescent="0.3">
      <c r="A996" s="17"/>
      <c r="B996"/>
      <c r="C996"/>
      <c r="D996"/>
      <c r="E996"/>
      <c r="F996"/>
      <c r="G996"/>
      <c r="H996"/>
      <c r="I996"/>
      <c r="J996"/>
      <c r="K996"/>
      <c r="L996"/>
      <c r="M996"/>
      <c r="S996" s="54"/>
    </row>
    <row r="997" spans="1:19" s="15" customFormat="1" x14ac:dyDescent="0.3">
      <c r="A997" s="17"/>
      <c r="B997"/>
      <c r="C997"/>
      <c r="D997"/>
      <c r="E997"/>
      <c r="F997"/>
      <c r="G997"/>
      <c r="H997"/>
      <c r="I997"/>
      <c r="J997"/>
      <c r="K997"/>
      <c r="L997"/>
      <c r="M997"/>
      <c r="S997" s="54"/>
    </row>
    <row r="998" spans="1:19" s="15" customFormat="1" x14ac:dyDescent="0.3">
      <c r="A998" s="17"/>
      <c r="B998"/>
      <c r="C998"/>
      <c r="D998"/>
      <c r="E998"/>
      <c r="F998"/>
      <c r="G998"/>
      <c r="H998"/>
      <c r="I998"/>
      <c r="J998"/>
      <c r="K998"/>
      <c r="L998"/>
      <c r="M998"/>
      <c r="S998" s="54"/>
    </row>
    <row r="999" spans="1:19" s="15" customFormat="1" x14ac:dyDescent="0.3">
      <c r="A999" s="17"/>
      <c r="B999"/>
      <c r="C999"/>
      <c r="D999"/>
      <c r="E999"/>
      <c r="F999"/>
      <c r="G999"/>
      <c r="H999"/>
      <c r="I999"/>
      <c r="J999"/>
      <c r="K999"/>
      <c r="L999"/>
      <c r="M999"/>
      <c r="S999" s="54"/>
    </row>
    <row r="1000" spans="1:19" s="15" customFormat="1" x14ac:dyDescent="0.3">
      <c r="A1000" s="17"/>
      <c r="B1000"/>
      <c r="C1000"/>
      <c r="D1000"/>
      <c r="E1000"/>
      <c r="F1000"/>
      <c r="G1000"/>
      <c r="H1000"/>
      <c r="I1000"/>
      <c r="J1000"/>
      <c r="K1000"/>
      <c r="L1000"/>
      <c r="M1000"/>
      <c r="S1000" s="54"/>
    </row>
    <row r="1001" spans="1:19" s="15" customFormat="1" x14ac:dyDescent="0.3">
      <c r="A1001" s="17"/>
      <c r="B1001"/>
      <c r="C1001"/>
      <c r="D1001"/>
      <c r="E1001"/>
      <c r="F1001"/>
      <c r="G1001"/>
      <c r="H1001"/>
      <c r="I1001"/>
      <c r="J1001"/>
      <c r="K1001"/>
      <c r="L1001"/>
      <c r="M1001"/>
      <c r="S1001" s="54"/>
    </row>
    <row r="1002" spans="1:19" s="15" customFormat="1" x14ac:dyDescent="0.3">
      <c r="A1002" s="17"/>
      <c r="B1002"/>
      <c r="C1002"/>
      <c r="D1002"/>
      <c r="E1002"/>
      <c r="F1002"/>
      <c r="G1002"/>
      <c r="H1002"/>
      <c r="I1002"/>
      <c r="J1002"/>
      <c r="K1002"/>
      <c r="L1002"/>
      <c r="M1002"/>
      <c r="S1002" s="54"/>
    </row>
    <row r="1003" spans="1:19" s="15" customFormat="1" x14ac:dyDescent="0.3">
      <c r="A1003" s="17"/>
      <c r="B1003"/>
      <c r="C1003"/>
      <c r="D1003"/>
      <c r="E1003"/>
      <c r="F1003"/>
      <c r="G1003"/>
      <c r="H1003"/>
      <c r="I1003"/>
      <c r="J1003"/>
      <c r="K1003"/>
      <c r="L1003"/>
      <c r="M1003"/>
      <c r="S1003" s="54"/>
    </row>
    <row r="1004" spans="1:19" s="15" customFormat="1" x14ac:dyDescent="0.3">
      <c r="A1004" s="17"/>
      <c r="B1004"/>
      <c r="C1004"/>
      <c r="D1004"/>
      <c r="E1004"/>
      <c r="F1004"/>
      <c r="G1004"/>
      <c r="H1004"/>
      <c r="I1004"/>
      <c r="J1004"/>
      <c r="K1004"/>
      <c r="L1004"/>
      <c r="M1004"/>
      <c r="S1004" s="54"/>
    </row>
    <row r="1005" spans="1:19" s="15" customFormat="1" x14ac:dyDescent="0.3">
      <c r="A1005" s="17"/>
      <c r="B1005"/>
      <c r="C1005"/>
      <c r="D1005"/>
      <c r="E1005"/>
      <c r="F1005"/>
      <c r="G1005"/>
      <c r="H1005"/>
      <c r="I1005"/>
      <c r="J1005"/>
      <c r="K1005"/>
      <c r="L1005"/>
      <c r="M1005"/>
      <c r="S1005" s="54"/>
    </row>
    <row r="1006" spans="1:19" s="15" customFormat="1" x14ac:dyDescent="0.3">
      <c r="A1006" s="17"/>
      <c r="B1006"/>
      <c r="C1006"/>
      <c r="D1006"/>
      <c r="E1006"/>
      <c r="F1006"/>
      <c r="G1006"/>
      <c r="H1006"/>
      <c r="I1006"/>
      <c r="J1006"/>
      <c r="K1006"/>
      <c r="L1006"/>
      <c r="M1006"/>
      <c r="S1006" s="54"/>
    </row>
    <row r="1007" spans="1:19" s="15" customFormat="1" x14ac:dyDescent="0.3">
      <c r="A1007" s="17"/>
      <c r="B1007"/>
      <c r="C1007"/>
      <c r="D1007"/>
      <c r="E1007"/>
      <c r="F1007"/>
      <c r="G1007"/>
      <c r="H1007"/>
      <c r="I1007"/>
      <c r="J1007"/>
      <c r="K1007"/>
      <c r="L1007"/>
      <c r="M1007"/>
      <c r="S1007" s="54"/>
    </row>
    <row r="1008" spans="1:19" s="15" customFormat="1" x14ac:dyDescent="0.3">
      <c r="A1008" s="17"/>
      <c r="B1008"/>
      <c r="C1008"/>
      <c r="D1008"/>
      <c r="E1008"/>
      <c r="F1008"/>
      <c r="G1008"/>
      <c r="H1008"/>
      <c r="I1008"/>
      <c r="J1008"/>
      <c r="K1008"/>
      <c r="L1008"/>
      <c r="M1008"/>
      <c r="S1008" s="54"/>
    </row>
    <row r="1009" spans="1:19" s="15" customFormat="1" x14ac:dyDescent="0.3">
      <c r="A1009" s="17"/>
      <c r="B1009"/>
      <c r="C1009"/>
      <c r="D1009"/>
      <c r="E1009"/>
      <c r="F1009"/>
      <c r="G1009"/>
      <c r="H1009"/>
      <c r="I1009"/>
      <c r="J1009"/>
      <c r="K1009"/>
      <c r="L1009"/>
      <c r="M1009"/>
      <c r="S1009" s="54"/>
    </row>
    <row r="1010" spans="1:19" s="15" customFormat="1" x14ac:dyDescent="0.3">
      <c r="A1010" s="17"/>
      <c r="B1010"/>
      <c r="C1010"/>
      <c r="D1010"/>
      <c r="E1010"/>
      <c r="F1010"/>
      <c r="G1010"/>
      <c r="H1010"/>
      <c r="I1010"/>
      <c r="J1010"/>
      <c r="K1010"/>
      <c r="L1010"/>
      <c r="M1010"/>
      <c r="S1010" s="54"/>
    </row>
    <row r="1011" spans="1:19" s="15" customFormat="1" x14ac:dyDescent="0.3">
      <c r="A1011" s="17"/>
      <c r="B1011"/>
      <c r="C1011"/>
      <c r="D1011"/>
      <c r="E1011"/>
      <c r="F1011"/>
      <c r="G1011"/>
      <c r="H1011"/>
      <c r="I1011"/>
      <c r="J1011"/>
      <c r="K1011"/>
      <c r="L1011"/>
      <c r="M1011"/>
      <c r="S1011" s="54"/>
    </row>
    <row r="1012" spans="1:19" s="15" customFormat="1" x14ac:dyDescent="0.3">
      <c r="A1012" s="17"/>
      <c r="B1012"/>
      <c r="C1012"/>
      <c r="D1012"/>
      <c r="E1012"/>
      <c r="F1012"/>
      <c r="G1012"/>
      <c r="H1012"/>
      <c r="I1012"/>
      <c r="J1012"/>
      <c r="K1012"/>
      <c r="L1012"/>
      <c r="M1012"/>
      <c r="S1012" s="54"/>
    </row>
    <row r="1013" spans="1:19" s="15" customFormat="1" x14ac:dyDescent="0.3">
      <c r="A1013" s="17"/>
      <c r="B1013"/>
      <c r="C1013"/>
      <c r="D1013"/>
      <c r="E1013"/>
      <c r="F1013"/>
      <c r="G1013"/>
      <c r="H1013"/>
      <c r="I1013"/>
      <c r="J1013"/>
      <c r="K1013"/>
      <c r="L1013"/>
      <c r="M1013"/>
      <c r="S1013" s="54"/>
    </row>
    <row r="1014" spans="1:19" s="15" customFormat="1" x14ac:dyDescent="0.3">
      <c r="A1014" s="17"/>
      <c r="B1014"/>
      <c r="C1014"/>
      <c r="D1014"/>
      <c r="E1014"/>
      <c r="F1014"/>
      <c r="G1014"/>
      <c r="H1014"/>
      <c r="I1014"/>
      <c r="J1014"/>
      <c r="K1014"/>
      <c r="L1014"/>
      <c r="M1014"/>
      <c r="S1014" s="54"/>
    </row>
    <row r="1015" spans="1:19" s="15" customFormat="1" x14ac:dyDescent="0.3">
      <c r="A1015" s="17"/>
      <c r="B1015"/>
      <c r="C1015"/>
      <c r="D1015"/>
      <c r="E1015"/>
      <c r="F1015"/>
      <c r="G1015"/>
      <c r="H1015"/>
      <c r="I1015"/>
      <c r="J1015"/>
      <c r="K1015"/>
      <c r="L1015"/>
      <c r="M1015"/>
      <c r="S1015" s="54"/>
    </row>
    <row r="1016" spans="1:19" s="15" customFormat="1" x14ac:dyDescent="0.3">
      <c r="A1016" s="17"/>
      <c r="B1016"/>
      <c r="C1016"/>
      <c r="D1016"/>
      <c r="E1016"/>
      <c r="F1016"/>
      <c r="G1016"/>
      <c r="H1016"/>
      <c r="I1016"/>
      <c r="J1016"/>
      <c r="K1016"/>
      <c r="L1016"/>
      <c r="M1016"/>
      <c r="S1016" s="54"/>
    </row>
    <row r="1017" spans="1:19" s="15" customFormat="1" x14ac:dyDescent="0.3">
      <c r="A1017" s="17"/>
      <c r="B1017"/>
      <c r="C1017"/>
      <c r="D1017"/>
      <c r="E1017"/>
      <c r="F1017"/>
      <c r="G1017"/>
      <c r="H1017"/>
      <c r="I1017"/>
      <c r="J1017"/>
      <c r="K1017"/>
      <c r="L1017"/>
      <c r="M1017"/>
      <c r="S1017" s="54"/>
    </row>
    <row r="1018" spans="1:19" s="15" customFormat="1" x14ac:dyDescent="0.3">
      <c r="A1018" s="17"/>
      <c r="B1018"/>
      <c r="C1018"/>
      <c r="D1018"/>
      <c r="E1018"/>
      <c r="F1018"/>
      <c r="G1018"/>
      <c r="H1018"/>
      <c r="I1018"/>
      <c r="J1018"/>
      <c r="K1018"/>
      <c r="L1018"/>
      <c r="M1018"/>
      <c r="S1018" s="54"/>
    </row>
    <row r="1019" spans="1:19" s="15" customFormat="1" x14ac:dyDescent="0.3">
      <c r="A1019" s="17"/>
      <c r="B1019"/>
      <c r="C1019"/>
      <c r="D1019"/>
      <c r="E1019"/>
      <c r="F1019"/>
      <c r="G1019"/>
      <c r="H1019"/>
      <c r="I1019"/>
      <c r="J1019"/>
      <c r="K1019"/>
      <c r="L1019"/>
      <c r="M1019"/>
      <c r="S1019" s="54"/>
    </row>
    <row r="1020" spans="1:19" s="15" customFormat="1" x14ac:dyDescent="0.3">
      <c r="A1020" s="17"/>
      <c r="B1020"/>
      <c r="C1020"/>
      <c r="D1020"/>
      <c r="E1020"/>
      <c r="F1020"/>
      <c r="G1020"/>
      <c r="H1020"/>
      <c r="I1020"/>
      <c r="J1020"/>
      <c r="K1020"/>
      <c r="L1020"/>
      <c r="M1020"/>
      <c r="S1020" s="54"/>
    </row>
    <row r="1021" spans="1:19" s="15" customFormat="1" x14ac:dyDescent="0.3">
      <c r="A1021" s="17"/>
      <c r="B1021"/>
      <c r="C1021"/>
      <c r="D1021"/>
      <c r="E1021"/>
      <c r="F1021"/>
      <c r="G1021"/>
      <c r="H1021"/>
      <c r="I1021"/>
      <c r="J1021"/>
      <c r="K1021"/>
      <c r="L1021"/>
      <c r="M1021"/>
      <c r="S1021" s="54"/>
    </row>
    <row r="1022" spans="1:19" s="15" customFormat="1" x14ac:dyDescent="0.3">
      <c r="A1022" s="17"/>
      <c r="B1022"/>
      <c r="C1022"/>
      <c r="D1022"/>
      <c r="E1022"/>
      <c r="F1022"/>
      <c r="G1022"/>
      <c r="H1022"/>
      <c r="I1022"/>
      <c r="J1022"/>
      <c r="K1022"/>
      <c r="L1022"/>
      <c r="M1022"/>
      <c r="S1022" s="54"/>
    </row>
    <row r="1023" spans="1:19" s="15" customFormat="1" x14ac:dyDescent="0.3">
      <c r="A1023" s="17"/>
      <c r="B1023"/>
      <c r="C1023"/>
      <c r="D1023"/>
      <c r="E1023"/>
      <c r="F1023"/>
      <c r="G1023"/>
      <c r="H1023"/>
      <c r="I1023"/>
      <c r="J1023"/>
      <c r="K1023"/>
      <c r="L1023"/>
      <c r="M1023"/>
      <c r="S1023" s="54"/>
    </row>
    <row r="1024" spans="1:19" s="15" customFormat="1" x14ac:dyDescent="0.3">
      <c r="A1024" s="17"/>
      <c r="B1024"/>
      <c r="C1024"/>
      <c r="D1024"/>
      <c r="E1024"/>
      <c r="F1024"/>
      <c r="G1024"/>
      <c r="H1024"/>
      <c r="I1024"/>
      <c r="J1024"/>
      <c r="K1024"/>
      <c r="L1024"/>
      <c r="M1024"/>
      <c r="S1024" s="54"/>
    </row>
    <row r="1025" spans="1:19" s="15" customFormat="1" x14ac:dyDescent="0.3">
      <c r="A1025" s="17"/>
      <c r="B1025"/>
      <c r="C1025"/>
      <c r="D1025"/>
      <c r="E1025"/>
      <c r="F1025"/>
      <c r="G1025"/>
      <c r="H1025"/>
      <c r="I1025"/>
      <c r="J1025"/>
      <c r="K1025"/>
      <c r="L1025"/>
      <c r="M1025"/>
      <c r="S1025" s="54"/>
    </row>
    <row r="1026" spans="1:19" s="15" customFormat="1" x14ac:dyDescent="0.3">
      <c r="A1026" s="17"/>
      <c r="B1026"/>
      <c r="C1026"/>
      <c r="D1026"/>
      <c r="E1026"/>
      <c r="F1026"/>
      <c r="G1026"/>
      <c r="H1026"/>
      <c r="I1026"/>
      <c r="J1026"/>
      <c r="K1026"/>
      <c r="L1026"/>
      <c r="M1026"/>
      <c r="S1026" s="54"/>
    </row>
    <row r="1027" spans="1:19" s="15" customFormat="1" x14ac:dyDescent="0.3">
      <c r="A1027" s="17"/>
      <c r="B1027"/>
      <c r="C1027"/>
      <c r="D1027"/>
      <c r="E1027"/>
      <c r="F1027"/>
      <c r="G1027"/>
      <c r="H1027"/>
      <c r="I1027"/>
      <c r="J1027"/>
      <c r="K1027"/>
      <c r="L1027"/>
      <c r="M1027"/>
      <c r="S1027" s="54"/>
    </row>
    <row r="1028" spans="1:19" s="15" customFormat="1" x14ac:dyDescent="0.3">
      <c r="A1028" s="17"/>
      <c r="B1028"/>
      <c r="C1028"/>
      <c r="D1028"/>
      <c r="E1028"/>
      <c r="F1028"/>
      <c r="G1028"/>
      <c r="H1028"/>
      <c r="I1028"/>
      <c r="J1028"/>
      <c r="K1028"/>
      <c r="L1028"/>
      <c r="M1028"/>
      <c r="S1028" s="54"/>
    </row>
    <row r="1029" spans="1:19" s="15" customFormat="1" x14ac:dyDescent="0.3">
      <c r="A1029" s="17"/>
      <c r="B1029"/>
      <c r="C1029"/>
      <c r="D1029"/>
      <c r="E1029"/>
      <c r="F1029"/>
      <c r="G1029"/>
      <c r="H1029"/>
      <c r="I1029"/>
      <c r="J1029"/>
      <c r="K1029"/>
      <c r="L1029"/>
      <c r="M1029"/>
      <c r="S1029" s="54"/>
    </row>
    <row r="1030" spans="1:19" s="15" customFormat="1" x14ac:dyDescent="0.3">
      <c r="A1030" s="17"/>
      <c r="B1030"/>
      <c r="C1030"/>
      <c r="D1030"/>
      <c r="E1030"/>
      <c r="F1030"/>
      <c r="G1030"/>
      <c r="H1030"/>
      <c r="I1030"/>
      <c r="J1030"/>
      <c r="K1030"/>
      <c r="L1030"/>
      <c r="M1030"/>
      <c r="S1030" s="54"/>
    </row>
    <row r="1031" spans="1:19" s="15" customFormat="1" x14ac:dyDescent="0.3">
      <c r="A1031" s="17"/>
      <c r="B1031"/>
      <c r="C1031"/>
      <c r="D1031"/>
      <c r="E1031"/>
      <c r="F1031"/>
      <c r="G1031"/>
      <c r="H1031"/>
      <c r="I1031"/>
      <c r="J1031"/>
      <c r="K1031"/>
      <c r="L1031"/>
      <c r="M1031"/>
      <c r="S1031" s="54"/>
    </row>
    <row r="1032" spans="1:19" s="15" customFormat="1" x14ac:dyDescent="0.3">
      <c r="A1032" s="17"/>
      <c r="B1032"/>
      <c r="C1032"/>
      <c r="D1032"/>
      <c r="E1032"/>
      <c r="F1032"/>
      <c r="G1032"/>
      <c r="H1032"/>
      <c r="I1032"/>
      <c r="J1032"/>
      <c r="K1032"/>
      <c r="L1032"/>
      <c r="M1032"/>
      <c r="S1032" s="54"/>
    </row>
    <row r="1033" spans="1:19" s="15" customFormat="1" x14ac:dyDescent="0.3">
      <c r="A1033" s="17"/>
      <c r="B1033"/>
      <c r="C1033"/>
      <c r="D1033"/>
      <c r="E1033"/>
      <c r="F1033"/>
      <c r="G1033"/>
      <c r="H1033"/>
      <c r="I1033"/>
      <c r="J1033"/>
      <c r="K1033"/>
      <c r="L1033"/>
      <c r="M1033"/>
      <c r="S1033" s="54"/>
    </row>
    <row r="1034" spans="1:19" s="15" customFormat="1" x14ac:dyDescent="0.3">
      <c r="A1034" s="17"/>
      <c r="B1034"/>
      <c r="C1034"/>
      <c r="D1034"/>
      <c r="E1034"/>
      <c r="F1034"/>
      <c r="G1034"/>
      <c r="H1034"/>
      <c r="I1034"/>
      <c r="J1034"/>
      <c r="K1034"/>
      <c r="L1034"/>
      <c r="M1034"/>
      <c r="S1034" s="54"/>
    </row>
    <row r="1035" spans="1:19" s="15" customFormat="1" x14ac:dyDescent="0.3">
      <c r="A1035" s="17"/>
      <c r="B1035"/>
      <c r="C1035"/>
      <c r="D1035"/>
      <c r="E1035"/>
      <c r="F1035"/>
      <c r="G1035"/>
      <c r="H1035"/>
      <c r="I1035"/>
      <c r="J1035"/>
      <c r="K1035"/>
      <c r="L1035"/>
      <c r="M1035"/>
      <c r="S1035" s="54"/>
    </row>
    <row r="1036" spans="1:19" s="15" customFormat="1" x14ac:dyDescent="0.3">
      <c r="A1036" s="17"/>
      <c r="B1036"/>
      <c r="C1036"/>
      <c r="D1036"/>
      <c r="E1036"/>
      <c r="F1036"/>
      <c r="G1036"/>
      <c r="H1036"/>
      <c r="I1036"/>
      <c r="J1036"/>
      <c r="K1036"/>
      <c r="L1036"/>
      <c r="M1036"/>
      <c r="S1036" s="54"/>
    </row>
    <row r="1037" spans="1:19" s="15" customFormat="1" x14ac:dyDescent="0.3">
      <c r="A1037" s="17"/>
      <c r="B1037"/>
      <c r="C1037"/>
      <c r="D1037"/>
      <c r="E1037"/>
      <c r="F1037"/>
      <c r="G1037"/>
      <c r="H1037"/>
      <c r="I1037"/>
      <c r="J1037"/>
      <c r="K1037"/>
      <c r="L1037"/>
      <c r="M1037"/>
      <c r="S1037" s="54"/>
    </row>
    <row r="1038" spans="1:19" s="15" customFormat="1" x14ac:dyDescent="0.3">
      <c r="A1038" s="17"/>
      <c r="B1038"/>
      <c r="C1038"/>
      <c r="D1038"/>
      <c r="E1038"/>
      <c r="F1038"/>
      <c r="G1038"/>
      <c r="H1038"/>
      <c r="I1038"/>
      <c r="J1038"/>
      <c r="K1038"/>
      <c r="L1038"/>
      <c r="M1038"/>
      <c r="S1038" s="54"/>
    </row>
    <row r="1039" spans="1:19" s="15" customFormat="1" x14ac:dyDescent="0.3">
      <c r="A1039" s="17"/>
      <c r="B1039"/>
      <c r="C1039"/>
      <c r="D1039"/>
      <c r="E1039"/>
      <c r="F1039"/>
      <c r="G1039"/>
      <c r="H1039"/>
      <c r="I1039"/>
      <c r="J1039"/>
      <c r="K1039"/>
      <c r="L1039"/>
      <c r="M1039"/>
      <c r="S1039" s="54"/>
    </row>
    <row r="1040" spans="1:19" s="15" customFormat="1" x14ac:dyDescent="0.3">
      <c r="A1040" s="17"/>
      <c r="B1040"/>
      <c r="C1040"/>
      <c r="D1040"/>
      <c r="E1040"/>
      <c r="F1040"/>
      <c r="G1040"/>
      <c r="H1040"/>
      <c r="I1040"/>
      <c r="J1040"/>
      <c r="K1040"/>
      <c r="L1040"/>
      <c r="M1040"/>
      <c r="S1040" s="54"/>
    </row>
    <row r="1041" spans="1:19" s="15" customFormat="1" x14ac:dyDescent="0.3">
      <c r="A1041" s="17"/>
      <c r="B1041"/>
      <c r="C1041"/>
      <c r="D1041"/>
      <c r="E1041"/>
      <c r="F1041"/>
      <c r="G1041"/>
      <c r="H1041"/>
      <c r="I1041"/>
      <c r="J1041"/>
      <c r="K1041"/>
      <c r="L1041"/>
      <c r="M1041"/>
      <c r="S1041" s="54"/>
    </row>
    <row r="1042" spans="1:19" s="15" customFormat="1" x14ac:dyDescent="0.3">
      <c r="A1042" s="17"/>
      <c r="B1042"/>
      <c r="C1042"/>
      <c r="D1042"/>
      <c r="E1042"/>
      <c r="F1042"/>
      <c r="G1042"/>
      <c r="H1042"/>
      <c r="I1042"/>
      <c r="J1042"/>
      <c r="K1042"/>
      <c r="L1042"/>
      <c r="M1042"/>
      <c r="S1042" s="54"/>
    </row>
    <row r="1043" spans="1:19" s="15" customFormat="1" x14ac:dyDescent="0.3">
      <c r="A1043" s="17"/>
      <c r="B1043"/>
      <c r="C1043"/>
      <c r="D1043"/>
      <c r="E1043"/>
      <c r="F1043"/>
      <c r="G1043"/>
      <c r="H1043"/>
      <c r="I1043"/>
      <c r="J1043"/>
      <c r="K1043"/>
      <c r="L1043"/>
      <c r="M1043"/>
      <c r="S1043" s="54"/>
    </row>
    <row r="1044" spans="1:19" s="15" customFormat="1" x14ac:dyDescent="0.3">
      <c r="A1044" s="17"/>
      <c r="B1044"/>
      <c r="C1044"/>
      <c r="D1044"/>
      <c r="E1044"/>
      <c r="F1044"/>
      <c r="G1044"/>
      <c r="H1044"/>
      <c r="I1044"/>
      <c r="J1044"/>
      <c r="K1044"/>
      <c r="L1044"/>
      <c r="M1044"/>
      <c r="S1044" s="54"/>
    </row>
    <row r="1045" spans="1:19" s="15" customFormat="1" x14ac:dyDescent="0.3">
      <c r="A1045" s="17"/>
      <c r="B1045"/>
      <c r="C1045"/>
      <c r="D1045"/>
      <c r="E1045"/>
      <c r="F1045"/>
      <c r="G1045"/>
      <c r="H1045"/>
      <c r="I1045"/>
      <c r="J1045"/>
      <c r="K1045"/>
      <c r="L1045"/>
      <c r="M1045"/>
      <c r="S1045" s="54"/>
    </row>
    <row r="1046" spans="1:19" s="15" customFormat="1" x14ac:dyDescent="0.3">
      <c r="A1046" s="17"/>
      <c r="B1046"/>
      <c r="C1046"/>
      <c r="D1046"/>
      <c r="E1046"/>
      <c r="F1046"/>
      <c r="G1046"/>
      <c r="H1046"/>
      <c r="I1046"/>
      <c r="J1046"/>
      <c r="K1046"/>
      <c r="L1046"/>
      <c r="M1046"/>
      <c r="S1046" s="54"/>
    </row>
    <row r="1047" spans="1:19" s="15" customFormat="1" x14ac:dyDescent="0.3">
      <c r="A1047" s="17"/>
      <c r="B1047"/>
      <c r="C1047"/>
      <c r="D1047"/>
      <c r="E1047"/>
      <c r="F1047"/>
      <c r="G1047"/>
      <c r="H1047"/>
      <c r="I1047"/>
      <c r="J1047"/>
      <c r="K1047"/>
      <c r="L1047"/>
      <c r="M1047"/>
      <c r="S1047" s="54"/>
    </row>
    <row r="1048" spans="1:19" s="15" customFormat="1" x14ac:dyDescent="0.3">
      <c r="A1048" s="17"/>
      <c r="B1048"/>
      <c r="C1048"/>
      <c r="D1048"/>
      <c r="E1048"/>
      <c r="F1048"/>
      <c r="G1048"/>
      <c r="H1048"/>
      <c r="I1048"/>
      <c r="J1048"/>
      <c r="K1048"/>
      <c r="L1048"/>
      <c r="M1048"/>
      <c r="S1048" s="54"/>
    </row>
    <row r="1049" spans="1:19" s="15" customFormat="1" x14ac:dyDescent="0.3">
      <c r="A1049" s="17"/>
      <c r="B1049"/>
      <c r="C1049"/>
      <c r="D1049"/>
      <c r="E1049"/>
      <c r="F1049"/>
      <c r="G1049"/>
      <c r="H1049"/>
      <c r="I1049"/>
      <c r="J1049"/>
      <c r="K1049"/>
      <c r="L1049"/>
      <c r="M1049"/>
      <c r="S1049" s="54"/>
    </row>
    <row r="1050" spans="1:19" s="15" customFormat="1" x14ac:dyDescent="0.3">
      <c r="A1050" s="17"/>
      <c r="B1050"/>
      <c r="C1050"/>
      <c r="D1050"/>
      <c r="E1050"/>
      <c r="F1050"/>
      <c r="G1050"/>
      <c r="H1050"/>
      <c r="I1050"/>
      <c r="J1050"/>
      <c r="K1050"/>
      <c r="L1050"/>
      <c r="M1050"/>
      <c r="S1050" s="54"/>
    </row>
    <row r="1051" spans="1:19" s="15" customFormat="1" x14ac:dyDescent="0.3">
      <c r="A1051" s="17"/>
      <c r="B1051"/>
      <c r="C1051"/>
      <c r="D1051"/>
      <c r="E1051"/>
      <c r="F1051"/>
      <c r="G1051"/>
      <c r="H1051"/>
      <c r="I1051"/>
      <c r="J1051"/>
      <c r="K1051"/>
      <c r="L1051"/>
      <c r="M1051"/>
      <c r="S1051" s="54"/>
    </row>
    <row r="1052" spans="1:19" s="15" customFormat="1" x14ac:dyDescent="0.3">
      <c r="A1052" s="17"/>
      <c r="B1052"/>
      <c r="C1052"/>
      <c r="D1052"/>
      <c r="E1052"/>
      <c r="F1052"/>
      <c r="G1052"/>
      <c r="H1052"/>
      <c r="I1052"/>
      <c r="J1052"/>
      <c r="K1052"/>
      <c r="L1052"/>
      <c r="M1052"/>
      <c r="S1052" s="54"/>
    </row>
    <row r="1053" spans="1:19" s="15" customFormat="1" x14ac:dyDescent="0.3">
      <c r="A1053" s="17"/>
      <c r="B1053"/>
      <c r="C1053"/>
      <c r="D1053"/>
      <c r="E1053"/>
      <c r="F1053"/>
      <c r="G1053"/>
      <c r="H1053"/>
      <c r="I1053"/>
      <c r="J1053"/>
      <c r="K1053"/>
      <c r="L1053"/>
      <c r="M1053"/>
      <c r="S1053" s="54"/>
    </row>
    <row r="1054" spans="1:19" s="15" customFormat="1" x14ac:dyDescent="0.3">
      <c r="A1054" s="17"/>
      <c r="B1054"/>
      <c r="C1054"/>
      <c r="D1054"/>
      <c r="E1054"/>
      <c r="F1054"/>
      <c r="G1054"/>
      <c r="H1054"/>
      <c r="I1054"/>
      <c r="J1054"/>
      <c r="K1054"/>
      <c r="L1054"/>
      <c r="M1054"/>
      <c r="S1054" s="54"/>
    </row>
    <row r="1055" spans="1:19" s="15" customFormat="1" x14ac:dyDescent="0.3">
      <c r="A1055" s="17"/>
      <c r="B1055"/>
      <c r="C1055"/>
      <c r="D1055"/>
      <c r="E1055"/>
      <c r="F1055"/>
      <c r="G1055"/>
      <c r="H1055"/>
      <c r="I1055"/>
      <c r="J1055"/>
      <c r="K1055"/>
      <c r="L1055"/>
      <c r="M1055"/>
      <c r="S1055" s="54"/>
    </row>
    <row r="1056" spans="1:19" s="15" customFormat="1" x14ac:dyDescent="0.3">
      <c r="A1056" s="17"/>
      <c r="B1056"/>
      <c r="C1056"/>
      <c r="D1056"/>
      <c r="E1056"/>
      <c r="F1056"/>
      <c r="G1056"/>
      <c r="H1056"/>
      <c r="I1056"/>
      <c r="J1056"/>
      <c r="K1056"/>
      <c r="L1056"/>
      <c r="M1056"/>
      <c r="S1056" s="54"/>
    </row>
    <row r="1057" spans="1:19" s="15" customFormat="1" x14ac:dyDescent="0.3">
      <c r="A1057" s="17"/>
      <c r="B1057"/>
      <c r="C1057"/>
      <c r="D1057"/>
      <c r="E1057"/>
      <c r="F1057"/>
      <c r="G1057"/>
      <c r="H1057"/>
      <c r="I1057"/>
      <c r="J1057"/>
      <c r="K1057"/>
      <c r="L1057"/>
      <c r="M1057"/>
      <c r="S1057" s="54"/>
    </row>
    <row r="1058" spans="1:19" s="15" customFormat="1" x14ac:dyDescent="0.3">
      <c r="A1058" s="17"/>
      <c r="B1058"/>
      <c r="C1058"/>
      <c r="D1058"/>
      <c r="E1058"/>
      <c r="F1058"/>
      <c r="G1058"/>
      <c r="H1058"/>
      <c r="I1058"/>
      <c r="J1058"/>
      <c r="K1058"/>
      <c r="L1058"/>
      <c r="M1058"/>
      <c r="S1058" s="54"/>
    </row>
    <row r="1059" spans="1:19" s="15" customFormat="1" x14ac:dyDescent="0.3">
      <c r="A1059" s="17"/>
      <c r="B1059"/>
      <c r="C1059"/>
      <c r="D1059"/>
      <c r="E1059"/>
      <c r="F1059"/>
      <c r="G1059"/>
      <c r="H1059"/>
      <c r="I1059"/>
      <c r="J1059"/>
      <c r="K1059"/>
      <c r="L1059"/>
      <c r="M1059"/>
      <c r="S1059" s="54"/>
    </row>
    <row r="1060" spans="1:19" s="15" customFormat="1" x14ac:dyDescent="0.3">
      <c r="A1060" s="17"/>
      <c r="B1060"/>
      <c r="C1060"/>
      <c r="D1060"/>
      <c r="E1060"/>
      <c r="F1060"/>
      <c r="G1060"/>
      <c r="H1060"/>
      <c r="I1060"/>
      <c r="J1060"/>
      <c r="K1060"/>
      <c r="L1060"/>
      <c r="M1060"/>
      <c r="S1060" s="54"/>
    </row>
    <row r="1061" spans="1:19" s="15" customFormat="1" x14ac:dyDescent="0.3">
      <c r="A1061" s="17"/>
      <c r="B1061"/>
      <c r="C1061"/>
      <c r="D1061"/>
      <c r="E1061"/>
      <c r="F1061"/>
      <c r="G1061"/>
      <c r="H1061"/>
      <c r="I1061"/>
      <c r="J1061"/>
      <c r="K1061"/>
      <c r="L1061"/>
      <c r="M1061"/>
      <c r="S1061" s="54"/>
    </row>
    <row r="1062" spans="1:19" s="15" customFormat="1" x14ac:dyDescent="0.3">
      <c r="A1062" s="17"/>
      <c r="B1062"/>
      <c r="C1062"/>
      <c r="D1062"/>
      <c r="E1062"/>
      <c r="F1062"/>
      <c r="G1062"/>
      <c r="H1062"/>
      <c r="I1062"/>
      <c r="J1062"/>
      <c r="K1062"/>
      <c r="L1062"/>
      <c r="M1062"/>
      <c r="S1062" s="54"/>
    </row>
    <row r="1063" spans="1:19" s="15" customFormat="1" x14ac:dyDescent="0.3">
      <c r="A1063" s="17"/>
      <c r="B1063"/>
      <c r="C1063"/>
      <c r="D1063"/>
      <c r="E1063"/>
      <c r="F1063"/>
      <c r="G1063"/>
      <c r="H1063"/>
      <c r="I1063"/>
      <c r="J1063"/>
      <c r="K1063"/>
      <c r="L1063"/>
      <c r="M1063"/>
      <c r="S1063" s="54"/>
    </row>
    <row r="1064" spans="1:19" s="15" customFormat="1" x14ac:dyDescent="0.3">
      <c r="A1064" s="17"/>
      <c r="B1064"/>
      <c r="C1064"/>
      <c r="D1064"/>
      <c r="E1064"/>
      <c r="F1064"/>
      <c r="G1064"/>
      <c r="H1064"/>
      <c r="I1064"/>
      <c r="J1064"/>
      <c r="K1064"/>
      <c r="L1064"/>
      <c r="M1064"/>
      <c r="S1064" s="54"/>
    </row>
    <row r="1065" spans="1:19" s="15" customFormat="1" x14ac:dyDescent="0.3">
      <c r="A1065" s="17"/>
      <c r="B1065"/>
      <c r="C1065"/>
      <c r="D1065"/>
      <c r="E1065"/>
      <c r="F1065"/>
      <c r="G1065"/>
      <c r="H1065"/>
      <c r="I1065"/>
      <c r="J1065"/>
      <c r="K1065"/>
      <c r="L1065"/>
      <c r="M1065"/>
      <c r="S1065" s="54"/>
    </row>
    <row r="1066" spans="1:19" s="15" customFormat="1" x14ac:dyDescent="0.3">
      <c r="A1066" s="17"/>
      <c r="B1066"/>
      <c r="C1066"/>
      <c r="D1066"/>
      <c r="E1066"/>
      <c r="F1066"/>
      <c r="G1066"/>
      <c r="H1066"/>
      <c r="I1066"/>
      <c r="J1066"/>
      <c r="K1066"/>
      <c r="L1066"/>
      <c r="M1066"/>
      <c r="S1066" s="54"/>
    </row>
    <row r="1067" spans="1:19" s="15" customFormat="1" x14ac:dyDescent="0.3">
      <c r="A1067" s="17"/>
      <c r="B1067"/>
      <c r="C1067"/>
      <c r="D1067"/>
      <c r="E1067"/>
      <c r="F1067"/>
      <c r="G1067"/>
      <c r="H1067"/>
      <c r="I1067"/>
      <c r="J1067"/>
      <c r="K1067"/>
      <c r="L1067"/>
      <c r="M1067"/>
      <c r="S1067" s="54"/>
    </row>
    <row r="1068" spans="1:19" s="15" customFormat="1" x14ac:dyDescent="0.3">
      <c r="A1068" s="17"/>
      <c r="B1068"/>
      <c r="C1068"/>
      <c r="D1068"/>
      <c r="E1068"/>
      <c r="F1068"/>
      <c r="G1068"/>
      <c r="H1068"/>
      <c r="I1068"/>
      <c r="J1068"/>
      <c r="K1068"/>
      <c r="L1068"/>
      <c r="M1068"/>
      <c r="S1068" s="54"/>
    </row>
    <row r="1069" spans="1:19" s="15" customFormat="1" x14ac:dyDescent="0.3">
      <c r="A1069" s="17"/>
      <c r="B1069"/>
      <c r="C1069"/>
      <c r="D1069"/>
      <c r="E1069"/>
      <c r="F1069"/>
      <c r="G1069"/>
      <c r="H1069"/>
      <c r="I1069"/>
      <c r="J1069"/>
      <c r="K1069"/>
      <c r="L1069"/>
      <c r="M1069"/>
      <c r="S1069" s="54"/>
    </row>
    <row r="1070" spans="1:19" s="15" customFormat="1" x14ac:dyDescent="0.3">
      <c r="A1070" s="17"/>
      <c r="B1070"/>
      <c r="C1070"/>
      <c r="D1070"/>
      <c r="E1070"/>
      <c r="F1070"/>
      <c r="G1070"/>
      <c r="H1070"/>
      <c r="I1070"/>
      <c r="J1070"/>
      <c r="K1070"/>
      <c r="L1070"/>
      <c r="M1070"/>
      <c r="S1070" s="54"/>
    </row>
    <row r="1071" spans="1:19" s="15" customFormat="1" x14ac:dyDescent="0.3">
      <c r="A1071" s="17"/>
      <c r="B1071"/>
      <c r="C1071"/>
      <c r="D1071"/>
      <c r="E1071"/>
      <c r="F1071"/>
      <c r="G1071"/>
      <c r="H1071"/>
      <c r="I1071"/>
      <c r="J1071"/>
      <c r="K1071"/>
      <c r="L1071"/>
      <c r="M1071"/>
      <c r="S1071" s="54"/>
    </row>
    <row r="1072" spans="1:19" s="15" customFormat="1" x14ac:dyDescent="0.3">
      <c r="A1072" s="17"/>
      <c r="B1072"/>
      <c r="C1072"/>
      <c r="D1072"/>
      <c r="E1072"/>
      <c r="F1072"/>
      <c r="G1072"/>
      <c r="H1072"/>
      <c r="I1072"/>
      <c r="J1072"/>
      <c r="K1072"/>
      <c r="L1072"/>
      <c r="M1072"/>
      <c r="S1072" s="54"/>
    </row>
    <row r="1073" spans="1:19" s="15" customFormat="1" x14ac:dyDescent="0.3">
      <c r="A1073" s="17"/>
      <c r="B1073"/>
      <c r="C1073"/>
      <c r="D1073"/>
      <c r="E1073"/>
      <c r="F1073"/>
      <c r="G1073"/>
      <c r="H1073"/>
      <c r="I1073"/>
      <c r="J1073"/>
      <c r="K1073"/>
      <c r="L1073"/>
      <c r="M1073"/>
      <c r="S1073" s="54"/>
    </row>
    <row r="1074" spans="1:19" s="15" customFormat="1" x14ac:dyDescent="0.3">
      <c r="A1074" s="17"/>
      <c r="B1074"/>
      <c r="C1074"/>
      <c r="D1074"/>
      <c r="E1074"/>
      <c r="F1074"/>
      <c r="G1074"/>
      <c r="H1074"/>
      <c r="I1074"/>
      <c r="J1074"/>
      <c r="K1074"/>
      <c r="L1074"/>
      <c r="M1074"/>
      <c r="S1074" s="54"/>
    </row>
    <row r="1075" spans="1:19" s="15" customFormat="1" x14ac:dyDescent="0.3">
      <c r="A1075" s="17"/>
      <c r="B1075"/>
      <c r="C1075"/>
      <c r="D1075"/>
      <c r="E1075"/>
      <c r="F1075"/>
      <c r="G1075"/>
      <c r="H1075"/>
      <c r="I1075"/>
      <c r="J1075"/>
      <c r="K1075"/>
      <c r="L1075"/>
      <c r="M1075"/>
      <c r="S1075" s="54"/>
    </row>
    <row r="1076" spans="1:19" s="15" customFormat="1" x14ac:dyDescent="0.3">
      <c r="A1076" s="17"/>
      <c r="B1076"/>
      <c r="C1076"/>
      <c r="D1076"/>
      <c r="E1076"/>
      <c r="F1076"/>
      <c r="G1076"/>
      <c r="H1076"/>
      <c r="I1076"/>
      <c r="J1076"/>
      <c r="K1076"/>
      <c r="L1076"/>
      <c r="M1076"/>
      <c r="S1076" s="54"/>
    </row>
    <row r="1077" spans="1:19" s="15" customFormat="1" x14ac:dyDescent="0.3">
      <c r="A1077" s="17"/>
      <c r="B1077"/>
      <c r="C1077"/>
      <c r="D1077"/>
      <c r="E1077"/>
      <c r="F1077"/>
      <c r="G1077"/>
      <c r="H1077"/>
      <c r="I1077"/>
      <c r="J1077"/>
      <c r="K1077"/>
      <c r="L1077"/>
      <c r="M1077"/>
      <c r="S1077" s="54"/>
    </row>
    <row r="1078" spans="1:19" s="15" customFormat="1" x14ac:dyDescent="0.3">
      <c r="A1078" s="17"/>
      <c r="B1078"/>
      <c r="C1078"/>
      <c r="D1078"/>
      <c r="E1078"/>
      <c r="F1078"/>
      <c r="G1078"/>
      <c r="H1078"/>
      <c r="I1078"/>
      <c r="J1078"/>
      <c r="K1078"/>
      <c r="L1078"/>
      <c r="M1078"/>
      <c r="S1078" s="54"/>
    </row>
    <row r="1079" spans="1:19" s="15" customFormat="1" x14ac:dyDescent="0.3">
      <c r="A1079" s="17"/>
      <c r="B1079"/>
      <c r="C1079"/>
      <c r="D1079"/>
      <c r="E1079"/>
      <c r="F1079"/>
      <c r="G1079"/>
      <c r="H1079"/>
      <c r="I1079"/>
      <c r="J1079"/>
      <c r="K1079"/>
      <c r="L1079"/>
      <c r="M1079"/>
      <c r="S1079" s="54"/>
    </row>
    <row r="1080" spans="1:19" s="15" customFormat="1" x14ac:dyDescent="0.3">
      <c r="A1080" s="17"/>
      <c r="B1080"/>
      <c r="C1080"/>
      <c r="D1080"/>
      <c r="E1080"/>
      <c r="F1080"/>
      <c r="G1080"/>
      <c r="H1080"/>
      <c r="I1080"/>
      <c r="J1080"/>
      <c r="K1080"/>
      <c r="L1080"/>
      <c r="M1080"/>
      <c r="S1080" s="54"/>
    </row>
    <row r="1081" spans="1:19" s="15" customFormat="1" x14ac:dyDescent="0.3">
      <c r="A1081" s="17"/>
      <c r="B1081"/>
      <c r="C1081"/>
      <c r="D1081"/>
      <c r="E1081"/>
      <c r="F1081"/>
      <c r="G1081"/>
      <c r="H1081"/>
      <c r="I1081"/>
      <c r="J1081"/>
      <c r="K1081"/>
      <c r="L1081"/>
      <c r="M1081"/>
      <c r="S1081" s="54"/>
    </row>
    <row r="1082" spans="1:19" s="15" customFormat="1" x14ac:dyDescent="0.3">
      <c r="A1082" s="17"/>
      <c r="B1082"/>
      <c r="C1082"/>
      <c r="D1082"/>
      <c r="E1082"/>
      <c r="F1082"/>
      <c r="G1082"/>
      <c r="H1082"/>
      <c r="I1082"/>
      <c r="J1082"/>
      <c r="K1082"/>
      <c r="L1082"/>
      <c r="M1082"/>
      <c r="S1082" s="54"/>
    </row>
    <row r="1083" spans="1:19" s="15" customFormat="1" x14ac:dyDescent="0.3">
      <c r="A1083" s="17"/>
      <c r="B1083"/>
      <c r="C1083"/>
      <c r="D1083"/>
      <c r="E1083"/>
      <c r="F1083"/>
      <c r="G1083"/>
      <c r="H1083"/>
      <c r="I1083"/>
      <c r="J1083"/>
      <c r="K1083"/>
      <c r="L1083"/>
      <c r="M1083"/>
      <c r="S1083" s="54"/>
    </row>
    <row r="1084" spans="1:19" s="15" customFormat="1" x14ac:dyDescent="0.3">
      <c r="A1084" s="17"/>
      <c r="B1084"/>
      <c r="C1084"/>
      <c r="D1084"/>
      <c r="E1084"/>
      <c r="F1084"/>
      <c r="G1084"/>
      <c r="H1084"/>
      <c r="I1084"/>
      <c r="J1084"/>
      <c r="K1084"/>
      <c r="L1084"/>
      <c r="M1084"/>
      <c r="S1084" s="54"/>
    </row>
    <row r="1085" spans="1:19" s="15" customFormat="1" x14ac:dyDescent="0.3">
      <c r="A1085" s="17"/>
      <c r="B1085"/>
      <c r="C1085"/>
      <c r="D1085"/>
      <c r="E1085"/>
      <c r="F1085"/>
      <c r="G1085"/>
      <c r="H1085"/>
      <c r="I1085"/>
      <c r="J1085"/>
      <c r="K1085"/>
      <c r="L1085"/>
      <c r="M1085"/>
      <c r="S1085" s="54"/>
    </row>
    <row r="1086" spans="1:19" s="15" customFormat="1" x14ac:dyDescent="0.3">
      <c r="A1086" s="17"/>
      <c r="B1086"/>
      <c r="C1086"/>
      <c r="D1086"/>
      <c r="E1086"/>
      <c r="F1086"/>
      <c r="G1086"/>
      <c r="H1086"/>
      <c r="I1086"/>
      <c r="J1086"/>
      <c r="K1086"/>
      <c r="L1086"/>
      <c r="M1086"/>
      <c r="S1086" s="54"/>
    </row>
    <row r="1087" spans="1:19" s="15" customFormat="1" x14ac:dyDescent="0.3">
      <c r="A1087" s="17"/>
      <c r="B1087"/>
      <c r="C1087"/>
      <c r="D1087"/>
      <c r="E1087"/>
      <c r="F1087"/>
      <c r="G1087"/>
      <c r="H1087"/>
      <c r="I1087"/>
      <c r="J1087"/>
      <c r="K1087"/>
      <c r="L1087"/>
      <c r="M1087"/>
      <c r="S1087" s="54"/>
    </row>
    <row r="1088" spans="1:19" s="15" customFormat="1" x14ac:dyDescent="0.3">
      <c r="A1088" s="17"/>
      <c r="B1088"/>
      <c r="C1088"/>
      <c r="D1088"/>
      <c r="E1088"/>
      <c r="F1088"/>
      <c r="G1088"/>
      <c r="H1088"/>
      <c r="I1088"/>
      <c r="J1088"/>
      <c r="K1088"/>
      <c r="L1088"/>
      <c r="M1088"/>
      <c r="S1088" s="54"/>
    </row>
    <row r="1089" spans="1:19" s="15" customFormat="1" x14ac:dyDescent="0.3">
      <c r="A1089" s="17"/>
      <c r="B1089"/>
      <c r="C1089"/>
      <c r="D1089"/>
      <c r="E1089"/>
      <c r="F1089"/>
      <c r="G1089"/>
      <c r="H1089"/>
      <c r="I1089"/>
      <c r="J1089"/>
      <c r="K1089"/>
      <c r="L1089"/>
      <c r="M1089"/>
      <c r="S1089" s="54"/>
    </row>
    <row r="1090" spans="1:19" s="15" customFormat="1" x14ac:dyDescent="0.3">
      <c r="A1090" s="17"/>
      <c r="B1090"/>
      <c r="C1090"/>
      <c r="D1090"/>
      <c r="E1090"/>
      <c r="F1090"/>
      <c r="G1090"/>
      <c r="H1090"/>
      <c r="I1090"/>
      <c r="J1090"/>
      <c r="K1090"/>
      <c r="L1090"/>
      <c r="M1090"/>
      <c r="S1090" s="54"/>
    </row>
    <row r="1091" spans="1:19" s="15" customFormat="1" x14ac:dyDescent="0.3">
      <c r="A1091" s="17"/>
      <c r="B1091"/>
      <c r="C1091"/>
      <c r="D1091"/>
      <c r="E1091"/>
      <c r="F1091"/>
      <c r="G1091"/>
      <c r="H1091"/>
      <c r="I1091"/>
      <c r="J1091"/>
      <c r="K1091"/>
      <c r="L1091"/>
      <c r="M1091"/>
      <c r="S1091" s="54"/>
    </row>
    <row r="1092" spans="1:19" s="15" customFormat="1" x14ac:dyDescent="0.3">
      <c r="A1092" s="17"/>
      <c r="B1092"/>
      <c r="C1092"/>
      <c r="D1092"/>
      <c r="E1092"/>
      <c r="F1092"/>
      <c r="G1092"/>
      <c r="H1092"/>
      <c r="I1092"/>
      <c r="J1092"/>
      <c r="K1092"/>
      <c r="L1092"/>
      <c r="M1092"/>
      <c r="S1092" s="54"/>
    </row>
    <row r="1093" spans="1:19" s="15" customFormat="1" x14ac:dyDescent="0.3">
      <c r="A1093" s="17"/>
      <c r="B1093"/>
      <c r="C1093"/>
      <c r="D1093"/>
      <c r="E1093"/>
      <c r="F1093"/>
      <c r="G1093"/>
      <c r="H1093"/>
      <c r="I1093"/>
      <c r="J1093"/>
      <c r="K1093"/>
      <c r="L1093"/>
      <c r="M1093"/>
      <c r="S1093" s="54"/>
    </row>
    <row r="1094" spans="1:19" s="15" customFormat="1" x14ac:dyDescent="0.3">
      <c r="A1094" s="17"/>
      <c r="B1094"/>
      <c r="C1094"/>
      <c r="D1094"/>
      <c r="E1094"/>
      <c r="F1094"/>
      <c r="G1094"/>
      <c r="H1094"/>
      <c r="I1094"/>
      <c r="J1094"/>
      <c r="K1094"/>
      <c r="L1094"/>
      <c r="M1094"/>
      <c r="S1094" s="54"/>
    </row>
    <row r="1095" spans="1:19" s="15" customFormat="1" x14ac:dyDescent="0.3">
      <c r="A1095" s="17"/>
      <c r="B1095"/>
      <c r="C1095"/>
      <c r="D1095"/>
      <c r="E1095"/>
      <c r="F1095"/>
      <c r="G1095"/>
      <c r="H1095"/>
      <c r="I1095"/>
      <c r="J1095"/>
      <c r="K1095"/>
      <c r="L1095"/>
      <c r="M1095"/>
      <c r="S1095" s="54"/>
    </row>
    <row r="1096" spans="1:19" s="15" customFormat="1" x14ac:dyDescent="0.3">
      <c r="A1096" s="17"/>
      <c r="B1096"/>
      <c r="C1096"/>
      <c r="D1096"/>
      <c r="E1096"/>
      <c r="F1096"/>
      <c r="G1096"/>
      <c r="H1096"/>
      <c r="I1096"/>
      <c r="J1096"/>
      <c r="K1096"/>
      <c r="L1096"/>
      <c r="M1096"/>
      <c r="S1096" s="54"/>
    </row>
    <row r="1097" spans="1:19" s="15" customFormat="1" x14ac:dyDescent="0.3">
      <c r="A1097" s="17"/>
      <c r="B1097"/>
      <c r="C1097"/>
      <c r="D1097"/>
      <c r="E1097"/>
      <c r="F1097"/>
      <c r="G1097"/>
      <c r="H1097"/>
      <c r="I1097"/>
      <c r="J1097"/>
      <c r="K1097"/>
      <c r="L1097"/>
      <c r="M1097"/>
      <c r="S1097" s="54"/>
    </row>
    <row r="1098" spans="1:19" s="15" customFormat="1" x14ac:dyDescent="0.3">
      <c r="A1098" s="17"/>
      <c r="B1098"/>
      <c r="C1098"/>
      <c r="D1098"/>
      <c r="E1098"/>
      <c r="F1098"/>
      <c r="G1098"/>
      <c r="H1098"/>
      <c r="I1098"/>
      <c r="J1098"/>
      <c r="K1098"/>
      <c r="L1098"/>
      <c r="M1098"/>
      <c r="S1098" s="54"/>
    </row>
    <row r="1099" spans="1:19" s="15" customFormat="1" x14ac:dyDescent="0.3">
      <c r="A1099" s="17"/>
      <c r="B1099"/>
      <c r="C1099"/>
      <c r="D1099"/>
      <c r="E1099"/>
      <c r="F1099"/>
      <c r="G1099"/>
      <c r="H1099"/>
      <c r="I1099"/>
      <c r="J1099"/>
      <c r="K1099"/>
      <c r="L1099"/>
      <c r="M1099"/>
      <c r="S1099" s="54"/>
    </row>
    <row r="1100" spans="1:19" s="15" customFormat="1" x14ac:dyDescent="0.3">
      <c r="A1100" s="17"/>
      <c r="B1100"/>
      <c r="C1100"/>
      <c r="D1100"/>
      <c r="E1100"/>
      <c r="F1100"/>
      <c r="G1100"/>
      <c r="H1100"/>
      <c r="I1100"/>
      <c r="J1100"/>
      <c r="K1100"/>
      <c r="L1100"/>
      <c r="M1100"/>
      <c r="S1100" s="54"/>
    </row>
    <row r="1101" spans="1:19" s="15" customFormat="1" x14ac:dyDescent="0.3">
      <c r="A1101" s="17"/>
      <c r="B1101"/>
      <c r="C1101"/>
      <c r="D1101"/>
      <c r="E1101"/>
      <c r="F1101"/>
      <c r="G1101"/>
      <c r="H1101"/>
      <c r="I1101"/>
      <c r="J1101"/>
      <c r="K1101"/>
      <c r="L1101"/>
      <c r="M1101"/>
      <c r="S1101" s="54"/>
    </row>
    <row r="1102" spans="1:19" s="15" customFormat="1" x14ac:dyDescent="0.3">
      <c r="A1102" s="17"/>
      <c r="B1102"/>
      <c r="C1102"/>
      <c r="D1102"/>
      <c r="E1102"/>
      <c r="F1102"/>
      <c r="G1102"/>
      <c r="H1102"/>
      <c r="I1102"/>
      <c r="J1102"/>
      <c r="K1102"/>
      <c r="L1102"/>
      <c r="M1102"/>
      <c r="S1102" s="54"/>
    </row>
    <row r="1103" spans="1:19" s="15" customFormat="1" x14ac:dyDescent="0.3">
      <c r="A1103" s="17"/>
      <c r="B1103"/>
      <c r="C1103"/>
      <c r="D1103"/>
      <c r="E1103"/>
      <c r="F1103"/>
      <c r="G1103"/>
      <c r="H1103"/>
      <c r="I1103"/>
      <c r="J1103"/>
      <c r="K1103"/>
      <c r="L1103"/>
      <c r="M1103"/>
      <c r="S1103" s="54"/>
    </row>
    <row r="1104" spans="1:19" s="15" customFormat="1" x14ac:dyDescent="0.3">
      <c r="A1104" s="17"/>
      <c r="B1104"/>
      <c r="C1104"/>
      <c r="D1104"/>
      <c r="E1104"/>
      <c r="F1104"/>
      <c r="G1104"/>
      <c r="H1104"/>
      <c r="I1104"/>
      <c r="J1104"/>
      <c r="K1104"/>
      <c r="L1104"/>
      <c r="M1104"/>
      <c r="S1104" s="54"/>
    </row>
    <row r="1105" spans="1:19" s="15" customFormat="1" x14ac:dyDescent="0.3">
      <c r="A1105" s="17"/>
      <c r="B1105"/>
      <c r="C1105"/>
      <c r="D1105"/>
      <c r="E1105"/>
      <c r="F1105"/>
      <c r="G1105"/>
      <c r="H1105"/>
      <c r="I1105"/>
      <c r="J1105"/>
      <c r="K1105"/>
      <c r="L1105"/>
      <c r="M1105"/>
      <c r="S1105" s="54"/>
    </row>
    <row r="1106" spans="1:19" s="15" customFormat="1" x14ac:dyDescent="0.3">
      <c r="A1106" s="17"/>
      <c r="B1106"/>
      <c r="C1106"/>
      <c r="D1106"/>
      <c r="E1106"/>
      <c r="F1106"/>
      <c r="G1106"/>
      <c r="H1106"/>
      <c r="I1106"/>
      <c r="J1106"/>
      <c r="K1106"/>
      <c r="L1106"/>
      <c r="M1106"/>
      <c r="S1106" s="54"/>
    </row>
    <row r="1107" spans="1:19" s="15" customFormat="1" x14ac:dyDescent="0.3">
      <c r="A1107" s="17"/>
      <c r="B1107"/>
      <c r="C1107"/>
      <c r="D1107"/>
      <c r="E1107"/>
      <c r="F1107"/>
      <c r="G1107"/>
      <c r="H1107"/>
      <c r="I1107"/>
      <c r="J1107"/>
      <c r="K1107"/>
      <c r="L1107"/>
      <c r="M1107"/>
      <c r="S1107" s="54"/>
    </row>
    <row r="1108" spans="1:19" s="15" customFormat="1" x14ac:dyDescent="0.3">
      <c r="A1108" s="17"/>
      <c r="B1108"/>
      <c r="C1108"/>
      <c r="D1108"/>
      <c r="E1108"/>
      <c r="F1108"/>
      <c r="G1108"/>
      <c r="H1108"/>
      <c r="I1108"/>
      <c r="J1108"/>
      <c r="K1108"/>
      <c r="L1108"/>
      <c r="M1108"/>
      <c r="S1108" s="54"/>
    </row>
    <row r="1109" spans="1:19" s="15" customFormat="1" x14ac:dyDescent="0.3">
      <c r="A1109" s="17"/>
      <c r="B1109"/>
      <c r="C1109"/>
      <c r="D1109"/>
      <c r="E1109"/>
      <c r="F1109"/>
      <c r="G1109"/>
      <c r="H1109"/>
      <c r="I1109"/>
      <c r="J1109"/>
      <c r="K1109"/>
      <c r="L1109"/>
      <c r="M1109"/>
      <c r="S1109" s="54"/>
    </row>
    <row r="1110" spans="1:19" s="15" customFormat="1" x14ac:dyDescent="0.3">
      <c r="A1110" s="17"/>
      <c r="B1110"/>
      <c r="C1110"/>
      <c r="D1110"/>
      <c r="E1110"/>
      <c r="F1110"/>
      <c r="G1110"/>
      <c r="H1110"/>
      <c r="I1110"/>
      <c r="J1110"/>
      <c r="K1110"/>
      <c r="L1110"/>
      <c r="M1110"/>
      <c r="S1110" s="54"/>
    </row>
    <row r="1111" spans="1:19" s="15" customFormat="1" x14ac:dyDescent="0.3">
      <c r="A1111" s="17"/>
      <c r="B1111"/>
      <c r="C1111"/>
      <c r="D1111"/>
      <c r="E1111"/>
      <c r="F1111"/>
      <c r="G1111"/>
      <c r="H1111"/>
      <c r="I1111"/>
      <c r="J1111"/>
      <c r="K1111"/>
      <c r="L1111"/>
      <c r="M1111"/>
      <c r="S1111" s="54"/>
    </row>
    <row r="1112" spans="1:19" s="15" customFormat="1" x14ac:dyDescent="0.3">
      <c r="A1112" s="17"/>
      <c r="B1112"/>
      <c r="C1112"/>
      <c r="D1112"/>
      <c r="E1112"/>
      <c r="F1112"/>
      <c r="G1112"/>
      <c r="H1112"/>
      <c r="I1112"/>
      <c r="J1112"/>
      <c r="K1112"/>
      <c r="L1112"/>
      <c r="M1112"/>
      <c r="S1112" s="54"/>
    </row>
    <row r="1113" spans="1:19" s="15" customFormat="1" x14ac:dyDescent="0.3">
      <c r="A1113" s="17"/>
      <c r="B1113"/>
      <c r="C1113"/>
      <c r="D1113"/>
      <c r="E1113"/>
      <c r="F1113"/>
      <c r="G1113"/>
      <c r="H1113"/>
      <c r="I1113"/>
      <c r="J1113"/>
      <c r="K1113"/>
      <c r="L1113"/>
      <c r="M1113"/>
      <c r="S1113" s="54"/>
    </row>
    <row r="1114" spans="1:19" s="15" customFormat="1" x14ac:dyDescent="0.3">
      <c r="A1114" s="17"/>
      <c r="B1114"/>
      <c r="C1114"/>
      <c r="D1114"/>
      <c r="E1114"/>
      <c r="F1114"/>
      <c r="G1114"/>
      <c r="H1114"/>
      <c r="I1114"/>
      <c r="J1114"/>
      <c r="K1114"/>
      <c r="L1114"/>
      <c r="M1114"/>
      <c r="S1114" s="54"/>
    </row>
    <row r="1115" spans="1:19" s="15" customFormat="1" x14ac:dyDescent="0.3">
      <c r="A1115" s="17"/>
      <c r="B1115"/>
      <c r="C1115"/>
      <c r="D1115"/>
      <c r="E1115"/>
      <c r="F1115"/>
      <c r="G1115"/>
      <c r="H1115"/>
      <c r="I1115"/>
      <c r="J1115"/>
      <c r="K1115"/>
      <c r="L1115"/>
      <c r="M1115"/>
      <c r="S1115" s="54"/>
    </row>
    <row r="1116" spans="1:19" s="15" customFormat="1" x14ac:dyDescent="0.3">
      <c r="A1116" s="17"/>
      <c r="B1116"/>
      <c r="C1116"/>
      <c r="D1116"/>
      <c r="E1116"/>
      <c r="F1116"/>
      <c r="G1116"/>
      <c r="H1116"/>
      <c r="I1116"/>
      <c r="J1116"/>
      <c r="K1116"/>
      <c r="L1116"/>
      <c r="M1116"/>
      <c r="S1116" s="54"/>
    </row>
    <row r="1117" spans="1:19" s="15" customFormat="1" x14ac:dyDescent="0.3">
      <c r="A1117" s="17"/>
      <c r="B1117"/>
      <c r="C1117"/>
      <c r="D1117"/>
      <c r="E1117"/>
      <c r="F1117"/>
      <c r="G1117"/>
      <c r="H1117"/>
      <c r="I1117"/>
      <c r="J1117"/>
      <c r="K1117"/>
      <c r="L1117"/>
      <c r="M1117"/>
      <c r="S1117" s="54"/>
    </row>
    <row r="1118" spans="1:19" s="15" customFormat="1" x14ac:dyDescent="0.3">
      <c r="A1118" s="17"/>
      <c r="B1118"/>
      <c r="C1118"/>
      <c r="D1118"/>
      <c r="E1118"/>
      <c r="F1118"/>
      <c r="G1118"/>
      <c r="H1118"/>
      <c r="I1118"/>
      <c r="J1118"/>
      <c r="K1118"/>
      <c r="L1118"/>
      <c r="M1118"/>
      <c r="S1118" s="54"/>
    </row>
    <row r="1119" spans="1:19" s="15" customFormat="1" x14ac:dyDescent="0.3">
      <c r="A1119" s="17"/>
      <c r="B1119"/>
      <c r="C1119"/>
      <c r="D1119"/>
      <c r="E1119"/>
      <c r="F1119"/>
      <c r="G1119"/>
      <c r="H1119"/>
      <c r="I1119"/>
      <c r="J1119"/>
      <c r="K1119"/>
      <c r="L1119"/>
      <c r="M1119"/>
      <c r="S1119" s="54"/>
    </row>
    <row r="1120" spans="1:19" s="15" customFormat="1" x14ac:dyDescent="0.3">
      <c r="A1120" s="17"/>
      <c r="B1120"/>
      <c r="C1120"/>
      <c r="D1120"/>
      <c r="E1120"/>
      <c r="F1120"/>
      <c r="G1120"/>
      <c r="H1120"/>
      <c r="I1120"/>
      <c r="J1120"/>
      <c r="K1120"/>
      <c r="L1120"/>
      <c r="M1120"/>
      <c r="S1120" s="54"/>
    </row>
    <row r="1121" spans="1:19" s="15" customFormat="1" x14ac:dyDescent="0.3">
      <c r="A1121" s="17"/>
      <c r="B1121"/>
      <c r="C1121"/>
      <c r="D1121"/>
      <c r="E1121"/>
      <c r="F1121"/>
      <c r="G1121"/>
      <c r="H1121"/>
      <c r="I1121"/>
      <c r="J1121"/>
      <c r="K1121"/>
      <c r="L1121"/>
      <c r="M1121"/>
      <c r="S1121" s="54"/>
    </row>
    <row r="1122" spans="1:19" s="15" customFormat="1" x14ac:dyDescent="0.3">
      <c r="A1122" s="17"/>
      <c r="B1122"/>
      <c r="C1122"/>
      <c r="D1122"/>
      <c r="E1122"/>
      <c r="F1122"/>
      <c r="G1122"/>
      <c r="H1122"/>
      <c r="I1122"/>
      <c r="J1122"/>
      <c r="K1122"/>
      <c r="L1122"/>
      <c r="M1122"/>
      <c r="S1122" s="54"/>
    </row>
    <row r="1123" spans="1:19" s="15" customFormat="1" x14ac:dyDescent="0.3">
      <c r="A1123" s="17"/>
      <c r="B1123"/>
      <c r="C1123"/>
      <c r="D1123"/>
      <c r="E1123"/>
      <c r="F1123"/>
      <c r="G1123"/>
      <c r="H1123"/>
      <c r="I1123"/>
      <c r="J1123"/>
      <c r="K1123"/>
      <c r="L1123"/>
      <c r="M1123"/>
      <c r="S1123" s="54"/>
    </row>
    <row r="1124" spans="1:19" s="15" customFormat="1" x14ac:dyDescent="0.3">
      <c r="A1124" s="17"/>
      <c r="B1124"/>
      <c r="C1124"/>
      <c r="D1124"/>
      <c r="E1124"/>
      <c r="F1124"/>
      <c r="G1124"/>
      <c r="H1124"/>
      <c r="I1124"/>
      <c r="J1124"/>
      <c r="K1124"/>
      <c r="L1124"/>
      <c r="M1124"/>
      <c r="S1124" s="54"/>
    </row>
    <row r="1125" spans="1:19" s="15" customFormat="1" x14ac:dyDescent="0.3">
      <c r="A1125" s="17"/>
      <c r="B1125"/>
      <c r="C1125"/>
      <c r="D1125"/>
      <c r="E1125"/>
      <c r="F1125"/>
      <c r="G1125"/>
      <c r="H1125"/>
      <c r="I1125"/>
      <c r="J1125"/>
      <c r="K1125"/>
      <c r="L1125"/>
      <c r="M1125"/>
      <c r="S1125" s="54"/>
    </row>
    <row r="1126" spans="1:19" s="15" customFormat="1" x14ac:dyDescent="0.3">
      <c r="A1126" s="17"/>
      <c r="B1126"/>
      <c r="C1126"/>
      <c r="D1126"/>
      <c r="E1126"/>
      <c r="F1126"/>
      <c r="G1126"/>
      <c r="H1126"/>
      <c r="I1126"/>
      <c r="J1126"/>
      <c r="K1126"/>
      <c r="L1126"/>
      <c r="M1126"/>
      <c r="S1126" s="54"/>
    </row>
    <row r="1127" spans="1:19" s="15" customFormat="1" x14ac:dyDescent="0.3">
      <c r="A1127" s="17"/>
      <c r="B1127"/>
      <c r="C1127"/>
      <c r="D1127"/>
      <c r="E1127"/>
      <c r="F1127"/>
      <c r="G1127"/>
      <c r="H1127"/>
      <c r="I1127"/>
      <c r="J1127"/>
      <c r="K1127"/>
      <c r="L1127"/>
      <c r="M1127"/>
      <c r="S1127" s="54"/>
    </row>
    <row r="1128" spans="1:19" s="15" customFormat="1" x14ac:dyDescent="0.3">
      <c r="A1128" s="17"/>
      <c r="B1128"/>
      <c r="C1128"/>
      <c r="D1128"/>
      <c r="E1128"/>
      <c r="F1128"/>
      <c r="G1128"/>
      <c r="H1128"/>
      <c r="I1128"/>
      <c r="J1128"/>
      <c r="K1128"/>
      <c r="L1128"/>
      <c r="M1128"/>
      <c r="S1128" s="54"/>
    </row>
    <row r="1129" spans="1:19" s="15" customFormat="1" x14ac:dyDescent="0.3">
      <c r="A1129" s="17"/>
      <c r="B1129"/>
      <c r="C1129"/>
      <c r="D1129"/>
      <c r="E1129"/>
      <c r="F1129"/>
      <c r="G1129"/>
      <c r="H1129"/>
      <c r="I1129"/>
      <c r="J1129"/>
      <c r="K1129"/>
      <c r="L1129"/>
      <c r="M1129"/>
      <c r="S1129" s="54"/>
    </row>
    <row r="1130" spans="1:19" s="15" customFormat="1" x14ac:dyDescent="0.3">
      <c r="A1130" s="17"/>
      <c r="B1130"/>
      <c r="C1130"/>
      <c r="D1130"/>
      <c r="E1130"/>
      <c r="F1130"/>
      <c r="G1130"/>
      <c r="H1130"/>
      <c r="I1130"/>
      <c r="J1130"/>
      <c r="K1130"/>
      <c r="L1130"/>
      <c r="M1130"/>
      <c r="S1130" s="54"/>
    </row>
    <row r="1131" spans="1:19" s="15" customFormat="1" x14ac:dyDescent="0.3">
      <c r="A1131" s="17"/>
      <c r="B1131"/>
      <c r="C1131"/>
      <c r="D1131"/>
      <c r="E1131"/>
      <c r="F1131"/>
      <c r="G1131"/>
      <c r="H1131"/>
      <c r="I1131"/>
      <c r="J1131"/>
      <c r="K1131"/>
      <c r="L1131"/>
      <c r="M1131"/>
      <c r="S1131" s="54"/>
    </row>
    <row r="1132" spans="1:19" s="15" customFormat="1" x14ac:dyDescent="0.3">
      <c r="A1132" s="17"/>
      <c r="B1132"/>
      <c r="C1132"/>
      <c r="D1132"/>
      <c r="E1132"/>
      <c r="F1132"/>
      <c r="G1132"/>
      <c r="H1132"/>
      <c r="I1132"/>
      <c r="J1132"/>
      <c r="K1132"/>
      <c r="L1132"/>
      <c r="M1132"/>
      <c r="S1132" s="54"/>
    </row>
    <row r="1133" spans="1:19" s="15" customFormat="1" x14ac:dyDescent="0.3">
      <c r="A1133" s="17"/>
      <c r="B1133"/>
      <c r="C1133"/>
      <c r="D1133"/>
      <c r="E1133"/>
      <c r="F1133"/>
      <c r="G1133"/>
      <c r="H1133"/>
      <c r="I1133"/>
      <c r="J1133"/>
      <c r="K1133"/>
      <c r="L1133"/>
      <c r="M1133"/>
      <c r="S1133" s="54"/>
    </row>
    <row r="1134" spans="1:19" s="15" customFormat="1" x14ac:dyDescent="0.3">
      <c r="A1134" s="17"/>
      <c r="B1134"/>
      <c r="C1134"/>
      <c r="D1134"/>
      <c r="E1134"/>
      <c r="F1134"/>
      <c r="G1134"/>
      <c r="H1134"/>
      <c r="I1134"/>
      <c r="J1134"/>
      <c r="K1134"/>
      <c r="L1134"/>
      <c r="M1134"/>
      <c r="S1134" s="54"/>
    </row>
    <row r="1135" spans="1:19" s="15" customFormat="1" x14ac:dyDescent="0.3">
      <c r="A1135" s="17"/>
      <c r="B1135"/>
      <c r="C1135"/>
      <c r="D1135"/>
      <c r="E1135"/>
      <c r="F1135"/>
      <c r="G1135"/>
      <c r="H1135"/>
      <c r="I1135"/>
      <c r="J1135"/>
      <c r="K1135"/>
      <c r="L1135"/>
      <c r="M1135"/>
      <c r="S1135" s="54"/>
    </row>
    <row r="1136" spans="1:19" s="15" customFormat="1" x14ac:dyDescent="0.3">
      <c r="A1136" s="17"/>
      <c r="B1136"/>
      <c r="C1136"/>
      <c r="D1136"/>
      <c r="E1136"/>
      <c r="F1136"/>
      <c r="G1136"/>
      <c r="H1136"/>
      <c r="I1136"/>
      <c r="J1136"/>
      <c r="K1136"/>
      <c r="L1136"/>
      <c r="M1136"/>
      <c r="S1136" s="54"/>
    </row>
    <row r="1137" spans="1:19" s="15" customFormat="1" x14ac:dyDescent="0.3">
      <c r="A1137" s="17"/>
      <c r="B1137"/>
      <c r="C1137"/>
      <c r="D1137"/>
      <c r="E1137"/>
      <c r="F1137"/>
      <c r="G1137"/>
      <c r="H1137"/>
      <c r="I1137"/>
      <c r="J1137"/>
      <c r="K1137"/>
      <c r="L1137"/>
      <c r="M1137"/>
      <c r="S1137" s="54"/>
    </row>
    <row r="1138" spans="1:19" s="15" customFormat="1" x14ac:dyDescent="0.3">
      <c r="A1138" s="17"/>
      <c r="B1138"/>
      <c r="C1138"/>
      <c r="D1138"/>
      <c r="E1138"/>
      <c r="F1138"/>
      <c r="G1138"/>
      <c r="H1138"/>
      <c r="I1138"/>
      <c r="J1138"/>
      <c r="K1138"/>
      <c r="L1138"/>
      <c r="M1138"/>
      <c r="S1138" s="54"/>
    </row>
    <row r="1139" spans="1:19" s="15" customFormat="1" x14ac:dyDescent="0.3">
      <c r="A1139" s="17"/>
      <c r="B1139"/>
      <c r="C1139"/>
      <c r="D1139"/>
      <c r="E1139"/>
      <c r="F1139"/>
      <c r="G1139"/>
      <c r="H1139"/>
      <c r="I1139"/>
      <c r="J1139"/>
      <c r="K1139"/>
      <c r="L1139"/>
      <c r="M1139"/>
      <c r="S1139" s="54"/>
    </row>
    <row r="1140" spans="1:19" s="15" customFormat="1" x14ac:dyDescent="0.3">
      <c r="A1140" s="17"/>
      <c r="B1140"/>
      <c r="C1140"/>
      <c r="D1140"/>
      <c r="E1140"/>
      <c r="F1140"/>
      <c r="G1140"/>
      <c r="H1140"/>
      <c r="I1140"/>
      <c r="J1140"/>
      <c r="K1140"/>
      <c r="L1140"/>
      <c r="M1140"/>
      <c r="S1140" s="54"/>
    </row>
    <row r="1141" spans="1:19" s="15" customFormat="1" x14ac:dyDescent="0.3">
      <c r="A1141" s="17"/>
      <c r="B1141"/>
      <c r="C1141"/>
      <c r="D1141"/>
      <c r="E1141"/>
      <c r="F1141"/>
      <c r="G1141"/>
      <c r="H1141"/>
      <c r="I1141"/>
      <c r="J1141"/>
      <c r="K1141"/>
      <c r="L1141"/>
      <c r="M1141"/>
      <c r="S1141" s="54"/>
    </row>
    <row r="1142" spans="1:19" s="15" customFormat="1" x14ac:dyDescent="0.3">
      <c r="A1142" s="17"/>
      <c r="B1142"/>
      <c r="C1142"/>
      <c r="D1142"/>
      <c r="E1142"/>
      <c r="F1142"/>
      <c r="G1142"/>
      <c r="H1142"/>
      <c r="I1142"/>
      <c r="J1142"/>
      <c r="K1142"/>
      <c r="L1142"/>
      <c r="M1142"/>
      <c r="S1142" s="54"/>
    </row>
    <row r="1143" spans="1:19" s="15" customFormat="1" x14ac:dyDescent="0.3">
      <c r="A1143" s="17"/>
      <c r="B1143"/>
      <c r="C1143"/>
      <c r="D1143"/>
      <c r="E1143"/>
      <c r="F1143"/>
      <c r="G1143"/>
      <c r="H1143"/>
      <c r="I1143"/>
      <c r="J1143"/>
      <c r="K1143"/>
      <c r="L1143"/>
      <c r="M1143"/>
      <c r="S1143" s="54"/>
    </row>
    <row r="1144" spans="1:19" s="15" customFormat="1" x14ac:dyDescent="0.3">
      <c r="A1144" s="17"/>
      <c r="B1144"/>
      <c r="C1144"/>
      <c r="D1144"/>
      <c r="E1144"/>
      <c r="F1144"/>
      <c r="G1144"/>
      <c r="H1144"/>
      <c r="I1144"/>
      <c r="J1144"/>
      <c r="K1144"/>
      <c r="L1144"/>
      <c r="M1144"/>
      <c r="S1144" s="54"/>
    </row>
    <row r="1145" spans="1:19" s="15" customFormat="1" x14ac:dyDescent="0.3">
      <c r="A1145" s="17"/>
      <c r="B1145"/>
      <c r="C1145"/>
      <c r="D1145"/>
      <c r="E1145"/>
      <c r="F1145"/>
      <c r="G1145"/>
      <c r="H1145"/>
      <c r="I1145"/>
      <c r="J1145"/>
      <c r="K1145"/>
      <c r="L1145"/>
      <c r="M1145"/>
      <c r="S1145" s="54"/>
    </row>
    <row r="1146" spans="1:19" s="15" customFormat="1" x14ac:dyDescent="0.3">
      <c r="A1146" s="17"/>
      <c r="B1146"/>
      <c r="C1146"/>
      <c r="D1146"/>
      <c r="E1146"/>
      <c r="F1146"/>
      <c r="G1146"/>
      <c r="H1146"/>
      <c r="I1146"/>
      <c r="J1146"/>
      <c r="K1146"/>
      <c r="L1146"/>
      <c r="M1146"/>
      <c r="S1146" s="54"/>
    </row>
    <row r="1147" spans="1:19" s="15" customFormat="1" x14ac:dyDescent="0.3">
      <c r="A1147" s="17"/>
      <c r="B1147"/>
      <c r="C1147"/>
      <c r="D1147"/>
      <c r="E1147"/>
      <c r="F1147"/>
      <c r="G1147"/>
      <c r="H1147"/>
      <c r="I1147"/>
      <c r="J1147"/>
      <c r="K1147"/>
      <c r="L1147"/>
      <c r="M1147"/>
      <c r="S1147" s="54"/>
    </row>
    <row r="1148" spans="1:19" s="15" customFormat="1" x14ac:dyDescent="0.3">
      <c r="A1148" s="17"/>
      <c r="B1148"/>
      <c r="C1148"/>
      <c r="D1148"/>
      <c r="E1148"/>
      <c r="F1148"/>
      <c r="G1148"/>
      <c r="H1148"/>
      <c r="I1148"/>
      <c r="J1148"/>
      <c r="K1148"/>
      <c r="L1148"/>
      <c r="M1148"/>
      <c r="S1148" s="54"/>
    </row>
    <row r="1149" spans="1:19" s="15" customFormat="1" x14ac:dyDescent="0.3">
      <c r="A1149" s="17"/>
      <c r="B1149"/>
      <c r="C1149"/>
      <c r="D1149"/>
      <c r="E1149"/>
      <c r="F1149"/>
      <c r="G1149"/>
      <c r="H1149"/>
      <c r="I1149"/>
      <c r="J1149"/>
      <c r="K1149"/>
      <c r="L1149"/>
      <c r="M1149"/>
      <c r="S1149" s="54"/>
    </row>
    <row r="1150" spans="1:19" s="15" customFormat="1" x14ac:dyDescent="0.3">
      <c r="A1150" s="17"/>
      <c r="B1150"/>
      <c r="C1150"/>
      <c r="D1150"/>
      <c r="E1150"/>
      <c r="F1150"/>
      <c r="G1150"/>
      <c r="H1150"/>
      <c r="I1150"/>
      <c r="J1150"/>
      <c r="K1150"/>
      <c r="L1150"/>
      <c r="M1150"/>
      <c r="S1150" s="54"/>
    </row>
    <row r="1151" spans="1:19" s="15" customFormat="1" x14ac:dyDescent="0.3">
      <c r="A1151" s="17"/>
      <c r="B1151"/>
      <c r="C1151"/>
      <c r="D1151"/>
      <c r="E1151"/>
      <c r="F1151"/>
      <c r="G1151"/>
      <c r="H1151"/>
      <c r="I1151"/>
      <c r="J1151"/>
      <c r="K1151"/>
      <c r="L1151"/>
      <c r="M1151"/>
      <c r="S1151" s="54"/>
    </row>
    <row r="1152" spans="1:19" s="15" customFormat="1" x14ac:dyDescent="0.3">
      <c r="A1152" s="17"/>
      <c r="B1152"/>
      <c r="C1152"/>
      <c r="D1152"/>
      <c r="E1152"/>
      <c r="F1152"/>
      <c r="G1152"/>
      <c r="H1152"/>
      <c r="I1152"/>
      <c r="J1152"/>
      <c r="K1152"/>
      <c r="L1152"/>
      <c r="M1152"/>
      <c r="S1152" s="54"/>
    </row>
    <row r="1153" spans="1:19" s="15" customFormat="1" x14ac:dyDescent="0.3">
      <c r="A1153" s="17"/>
      <c r="B1153"/>
      <c r="C1153"/>
      <c r="D1153"/>
      <c r="E1153"/>
      <c r="F1153"/>
      <c r="G1153"/>
      <c r="H1153"/>
      <c r="I1153"/>
      <c r="J1153"/>
      <c r="K1153"/>
      <c r="L1153"/>
      <c r="M1153"/>
      <c r="S1153" s="54"/>
    </row>
    <row r="1154" spans="1:19" s="15" customFormat="1" x14ac:dyDescent="0.3">
      <c r="A1154" s="17"/>
      <c r="B1154"/>
      <c r="C1154"/>
      <c r="D1154"/>
      <c r="E1154"/>
      <c r="F1154"/>
      <c r="G1154"/>
      <c r="H1154"/>
      <c r="I1154"/>
      <c r="J1154"/>
      <c r="K1154"/>
      <c r="L1154"/>
      <c r="M1154"/>
      <c r="S1154" s="54"/>
    </row>
    <row r="1155" spans="1:19" s="15" customFormat="1" x14ac:dyDescent="0.3">
      <c r="A1155" s="17"/>
      <c r="B1155"/>
      <c r="C1155"/>
      <c r="D1155"/>
      <c r="E1155"/>
      <c r="F1155"/>
      <c r="G1155"/>
      <c r="H1155"/>
      <c r="I1155"/>
      <c r="J1155"/>
      <c r="K1155"/>
      <c r="L1155"/>
      <c r="M1155"/>
      <c r="S1155" s="54"/>
    </row>
    <row r="1156" spans="1:19" s="15" customFormat="1" x14ac:dyDescent="0.3">
      <c r="A1156" s="17"/>
      <c r="B1156"/>
      <c r="C1156"/>
      <c r="D1156"/>
      <c r="E1156"/>
      <c r="F1156"/>
      <c r="G1156"/>
      <c r="H1156"/>
      <c r="I1156"/>
      <c r="J1156"/>
      <c r="K1156"/>
      <c r="L1156"/>
      <c r="M1156"/>
      <c r="S1156" s="54"/>
    </row>
    <row r="1157" spans="1:19" s="15" customFormat="1" x14ac:dyDescent="0.3">
      <c r="A1157" s="17"/>
      <c r="B1157"/>
      <c r="C1157"/>
      <c r="D1157"/>
      <c r="E1157"/>
      <c r="F1157"/>
      <c r="G1157"/>
      <c r="H1157"/>
      <c r="I1157"/>
      <c r="J1157"/>
      <c r="K1157"/>
      <c r="L1157"/>
      <c r="M1157"/>
      <c r="S1157" s="54"/>
    </row>
    <row r="1158" spans="1:19" s="15" customFormat="1" x14ac:dyDescent="0.3">
      <c r="A1158" s="17"/>
      <c r="B1158"/>
      <c r="C1158"/>
      <c r="D1158"/>
      <c r="E1158"/>
      <c r="F1158"/>
      <c r="G1158"/>
      <c r="H1158"/>
      <c r="I1158"/>
      <c r="J1158"/>
      <c r="K1158"/>
      <c r="L1158"/>
      <c r="M1158"/>
      <c r="S1158" s="54"/>
    </row>
    <row r="1159" spans="1:19" s="15" customFormat="1" x14ac:dyDescent="0.3">
      <c r="A1159" s="17"/>
      <c r="B1159"/>
      <c r="C1159"/>
      <c r="D1159"/>
      <c r="E1159"/>
      <c r="F1159"/>
      <c r="G1159"/>
      <c r="H1159"/>
      <c r="I1159"/>
      <c r="J1159"/>
      <c r="K1159"/>
      <c r="L1159"/>
      <c r="M1159"/>
      <c r="S1159" s="54"/>
    </row>
    <row r="1160" spans="1:19" s="15" customFormat="1" x14ac:dyDescent="0.3">
      <c r="A1160" s="17"/>
      <c r="B1160"/>
      <c r="C1160"/>
      <c r="D1160"/>
      <c r="E1160"/>
      <c r="F1160"/>
      <c r="G1160"/>
      <c r="H1160"/>
      <c r="I1160"/>
      <c r="J1160"/>
      <c r="K1160"/>
      <c r="L1160"/>
      <c r="M1160"/>
      <c r="S1160" s="54"/>
    </row>
    <row r="1161" spans="1:19" s="15" customFormat="1" x14ac:dyDescent="0.3">
      <c r="A1161" s="17"/>
      <c r="B1161"/>
      <c r="C1161"/>
      <c r="D1161"/>
      <c r="E1161"/>
      <c r="F1161"/>
      <c r="G1161"/>
      <c r="H1161"/>
      <c r="I1161"/>
      <c r="J1161"/>
      <c r="K1161"/>
      <c r="L1161"/>
      <c r="M1161"/>
      <c r="S1161" s="54"/>
    </row>
    <row r="1162" spans="1:19" s="15" customFormat="1" x14ac:dyDescent="0.3">
      <c r="A1162" s="17"/>
      <c r="B1162"/>
      <c r="C1162"/>
      <c r="D1162"/>
      <c r="E1162"/>
      <c r="F1162"/>
      <c r="G1162"/>
      <c r="H1162"/>
      <c r="I1162"/>
      <c r="J1162"/>
      <c r="K1162"/>
      <c r="L1162"/>
      <c r="M1162"/>
      <c r="S1162" s="54"/>
    </row>
    <row r="1163" spans="1:19" s="15" customFormat="1" x14ac:dyDescent="0.3">
      <c r="A1163" s="17"/>
      <c r="B1163"/>
      <c r="C1163"/>
      <c r="D1163"/>
      <c r="E1163"/>
      <c r="F1163"/>
      <c r="G1163"/>
      <c r="H1163"/>
      <c r="I1163"/>
      <c r="J1163"/>
      <c r="K1163"/>
      <c r="L1163"/>
      <c r="M1163"/>
      <c r="S1163" s="54"/>
    </row>
    <row r="1164" spans="1:19" s="15" customFormat="1" x14ac:dyDescent="0.3">
      <c r="A1164" s="17"/>
      <c r="B1164"/>
      <c r="C1164"/>
      <c r="D1164"/>
      <c r="E1164"/>
      <c r="F1164"/>
      <c r="G1164"/>
      <c r="H1164"/>
      <c r="I1164"/>
      <c r="J1164"/>
      <c r="K1164"/>
      <c r="L1164"/>
      <c r="M1164"/>
      <c r="S1164" s="54"/>
    </row>
    <row r="1165" spans="1:19" s="15" customFormat="1" x14ac:dyDescent="0.3">
      <c r="A1165" s="17"/>
      <c r="B1165"/>
      <c r="C1165"/>
      <c r="D1165"/>
      <c r="E1165"/>
      <c r="F1165"/>
      <c r="G1165"/>
      <c r="H1165"/>
      <c r="I1165"/>
      <c r="J1165"/>
      <c r="K1165"/>
      <c r="L1165"/>
      <c r="M1165"/>
      <c r="S1165" s="54"/>
    </row>
    <row r="1166" spans="1:19" s="15" customFormat="1" x14ac:dyDescent="0.3">
      <c r="A1166" s="17"/>
      <c r="B1166"/>
      <c r="C1166"/>
      <c r="D1166"/>
      <c r="E1166"/>
      <c r="F1166"/>
      <c r="G1166"/>
      <c r="H1166"/>
      <c r="I1166"/>
      <c r="J1166"/>
      <c r="K1166"/>
      <c r="L1166"/>
      <c r="M1166"/>
      <c r="S1166" s="54"/>
    </row>
    <row r="1167" spans="1:19" s="15" customFormat="1" x14ac:dyDescent="0.3">
      <c r="A1167" s="17"/>
      <c r="B1167"/>
      <c r="C1167"/>
      <c r="D1167"/>
      <c r="E1167"/>
      <c r="F1167"/>
      <c r="G1167"/>
      <c r="H1167"/>
      <c r="I1167"/>
      <c r="J1167"/>
      <c r="K1167"/>
      <c r="L1167"/>
      <c r="M1167"/>
      <c r="S1167" s="54"/>
    </row>
    <row r="1168" spans="1:19" s="15" customFormat="1" x14ac:dyDescent="0.3">
      <c r="A1168" s="17"/>
      <c r="B1168"/>
      <c r="C1168"/>
      <c r="D1168"/>
      <c r="E1168"/>
      <c r="F1168"/>
      <c r="G1168"/>
      <c r="H1168"/>
      <c r="I1168"/>
      <c r="J1168"/>
      <c r="K1168"/>
      <c r="L1168"/>
      <c r="M1168"/>
      <c r="S1168" s="54"/>
    </row>
    <row r="1169" spans="1:19" s="15" customFormat="1" x14ac:dyDescent="0.3">
      <c r="A1169" s="17"/>
      <c r="B1169"/>
      <c r="C1169"/>
      <c r="D1169"/>
      <c r="E1169"/>
      <c r="F1169"/>
      <c r="G1169"/>
      <c r="H1169"/>
      <c r="I1169"/>
      <c r="J1169"/>
      <c r="K1169"/>
      <c r="L1169"/>
      <c r="M1169"/>
      <c r="S1169" s="54"/>
    </row>
    <row r="1170" spans="1:19" s="15" customFormat="1" x14ac:dyDescent="0.3">
      <c r="A1170" s="17"/>
      <c r="B1170"/>
      <c r="C1170"/>
      <c r="D1170"/>
      <c r="E1170"/>
      <c r="F1170"/>
      <c r="G1170"/>
      <c r="H1170"/>
      <c r="I1170"/>
      <c r="J1170"/>
      <c r="K1170"/>
      <c r="L1170"/>
      <c r="M1170"/>
      <c r="S1170" s="54"/>
    </row>
    <row r="1171" spans="1:19" s="15" customFormat="1" x14ac:dyDescent="0.3">
      <c r="A1171" s="17"/>
      <c r="B1171"/>
      <c r="C1171"/>
      <c r="D1171"/>
      <c r="E1171"/>
      <c r="F1171"/>
      <c r="G1171"/>
      <c r="H1171"/>
      <c r="I1171"/>
      <c r="J1171"/>
      <c r="K1171"/>
      <c r="L1171"/>
      <c r="M1171"/>
      <c r="S1171" s="54"/>
    </row>
    <row r="1172" spans="1:19" s="15" customFormat="1" x14ac:dyDescent="0.3">
      <c r="A1172" s="17"/>
      <c r="B1172"/>
      <c r="C1172"/>
      <c r="D1172"/>
      <c r="E1172"/>
      <c r="F1172"/>
      <c r="G1172"/>
      <c r="H1172"/>
      <c r="I1172"/>
      <c r="J1172"/>
      <c r="K1172"/>
      <c r="L1172"/>
      <c r="M1172"/>
      <c r="S1172" s="54"/>
    </row>
    <row r="1173" spans="1:19" s="15" customFormat="1" x14ac:dyDescent="0.3">
      <c r="A1173" s="17"/>
      <c r="B1173"/>
      <c r="C1173"/>
      <c r="D1173"/>
      <c r="E1173"/>
      <c r="F1173"/>
      <c r="G1173"/>
      <c r="H1173"/>
      <c r="I1173"/>
      <c r="J1173"/>
      <c r="K1173"/>
      <c r="L1173"/>
      <c r="M1173"/>
      <c r="S1173" s="54"/>
    </row>
    <row r="1174" spans="1:19" s="15" customFormat="1" x14ac:dyDescent="0.3">
      <c r="A1174" s="17"/>
      <c r="B1174"/>
      <c r="C1174"/>
      <c r="D1174"/>
      <c r="E1174"/>
      <c r="F1174"/>
      <c r="G1174"/>
      <c r="H1174"/>
      <c r="I1174"/>
      <c r="J1174"/>
      <c r="K1174"/>
      <c r="L1174"/>
      <c r="M1174"/>
      <c r="S1174" s="54"/>
    </row>
    <row r="1175" spans="1:19" s="15" customFormat="1" x14ac:dyDescent="0.3">
      <c r="A1175" s="17"/>
      <c r="B1175"/>
      <c r="C1175"/>
      <c r="D1175"/>
      <c r="E1175"/>
      <c r="F1175"/>
      <c r="G1175"/>
      <c r="H1175"/>
      <c r="I1175"/>
      <c r="J1175"/>
      <c r="K1175"/>
      <c r="L1175"/>
      <c r="M1175"/>
      <c r="S1175" s="54"/>
    </row>
    <row r="1176" spans="1:19" s="15" customFormat="1" x14ac:dyDescent="0.3">
      <c r="A1176" s="17"/>
      <c r="B1176"/>
      <c r="C1176"/>
      <c r="D1176"/>
      <c r="E1176"/>
      <c r="F1176"/>
      <c r="G1176"/>
      <c r="H1176"/>
      <c r="I1176"/>
      <c r="J1176"/>
      <c r="K1176"/>
      <c r="L1176"/>
      <c r="M1176"/>
      <c r="S1176" s="54"/>
    </row>
    <row r="1177" spans="1:19" s="15" customFormat="1" x14ac:dyDescent="0.3">
      <c r="A1177" s="17"/>
      <c r="B1177"/>
      <c r="C1177"/>
      <c r="D1177"/>
      <c r="E1177"/>
      <c r="F1177"/>
      <c r="G1177"/>
      <c r="H1177"/>
      <c r="I1177"/>
      <c r="J1177"/>
      <c r="K1177"/>
      <c r="L1177"/>
      <c r="M1177"/>
      <c r="S1177" s="54"/>
    </row>
    <row r="1178" spans="1:19" s="15" customFormat="1" x14ac:dyDescent="0.3">
      <c r="A1178" s="17"/>
      <c r="B1178"/>
      <c r="C1178"/>
      <c r="D1178"/>
      <c r="E1178"/>
      <c r="F1178"/>
      <c r="G1178"/>
      <c r="H1178"/>
      <c r="I1178"/>
      <c r="J1178"/>
      <c r="K1178"/>
      <c r="L1178"/>
      <c r="M1178"/>
      <c r="S1178" s="54"/>
    </row>
    <row r="1179" spans="1:19" s="15" customFormat="1" x14ac:dyDescent="0.3">
      <c r="A1179" s="17"/>
      <c r="B1179"/>
      <c r="C1179"/>
      <c r="D1179"/>
      <c r="E1179"/>
      <c r="F1179"/>
      <c r="G1179"/>
      <c r="H1179"/>
      <c r="I1179"/>
      <c r="J1179"/>
      <c r="K1179"/>
      <c r="L1179"/>
      <c r="M1179"/>
      <c r="S1179" s="54"/>
    </row>
    <row r="1180" spans="1:19" s="15" customFormat="1" x14ac:dyDescent="0.3">
      <c r="A1180" s="17"/>
      <c r="B1180"/>
      <c r="C1180"/>
      <c r="D1180"/>
      <c r="E1180"/>
      <c r="F1180"/>
      <c r="G1180"/>
      <c r="H1180"/>
      <c r="I1180"/>
      <c r="J1180"/>
      <c r="K1180"/>
      <c r="L1180"/>
      <c r="M1180"/>
      <c r="S1180" s="54"/>
    </row>
    <row r="1181" spans="1:19" s="15" customFormat="1" x14ac:dyDescent="0.3">
      <c r="A1181" s="17"/>
      <c r="B1181"/>
      <c r="C1181"/>
      <c r="D1181"/>
      <c r="E1181"/>
      <c r="F1181"/>
      <c r="G1181"/>
      <c r="H1181"/>
      <c r="I1181"/>
      <c r="J1181"/>
      <c r="K1181"/>
      <c r="L1181"/>
      <c r="M1181"/>
      <c r="S1181" s="54"/>
    </row>
    <row r="1182" spans="1:19" s="15" customFormat="1" x14ac:dyDescent="0.3">
      <c r="A1182" s="17"/>
      <c r="B1182"/>
      <c r="C1182"/>
      <c r="D1182"/>
      <c r="E1182"/>
      <c r="F1182"/>
      <c r="G1182"/>
      <c r="H1182"/>
      <c r="I1182"/>
      <c r="J1182"/>
      <c r="K1182"/>
      <c r="L1182"/>
      <c r="M1182"/>
      <c r="S1182" s="54"/>
    </row>
    <row r="1183" spans="1:19" s="15" customFormat="1" x14ac:dyDescent="0.3">
      <c r="A1183" s="17"/>
      <c r="B1183"/>
      <c r="C1183"/>
      <c r="D1183"/>
      <c r="E1183"/>
      <c r="F1183"/>
      <c r="G1183"/>
      <c r="H1183"/>
      <c r="I1183"/>
      <c r="J1183"/>
      <c r="K1183"/>
      <c r="L1183"/>
      <c r="M1183"/>
      <c r="S1183" s="54"/>
    </row>
    <row r="1184" spans="1:19" s="15" customFormat="1" x14ac:dyDescent="0.3">
      <c r="A1184" s="17"/>
      <c r="B1184"/>
      <c r="C1184"/>
      <c r="D1184"/>
      <c r="E1184"/>
      <c r="F1184"/>
      <c r="G1184"/>
      <c r="H1184"/>
      <c r="I1184"/>
      <c r="J1184"/>
      <c r="K1184"/>
      <c r="L1184"/>
      <c r="M1184"/>
      <c r="S1184" s="54"/>
    </row>
    <row r="1185" spans="1:19" s="15" customFormat="1" x14ac:dyDescent="0.3">
      <c r="A1185" s="17"/>
      <c r="B1185"/>
      <c r="C1185"/>
      <c r="D1185"/>
      <c r="E1185"/>
      <c r="F1185"/>
      <c r="G1185"/>
      <c r="H1185"/>
      <c r="I1185"/>
      <c r="J1185"/>
      <c r="K1185"/>
      <c r="L1185"/>
      <c r="M1185"/>
      <c r="S1185" s="54"/>
    </row>
    <row r="1186" spans="1:19" s="15" customFormat="1" x14ac:dyDescent="0.3">
      <c r="A1186" s="17"/>
      <c r="B1186"/>
      <c r="C1186"/>
      <c r="D1186"/>
      <c r="E1186"/>
      <c r="F1186"/>
      <c r="G1186"/>
      <c r="H1186"/>
      <c r="I1186"/>
      <c r="J1186"/>
      <c r="K1186"/>
      <c r="L1186"/>
      <c r="M1186"/>
      <c r="S1186" s="54"/>
    </row>
    <row r="1187" spans="1:19" s="15" customFormat="1" x14ac:dyDescent="0.3">
      <c r="A1187" s="17"/>
      <c r="B1187"/>
      <c r="C1187"/>
      <c r="D1187"/>
      <c r="E1187"/>
      <c r="F1187"/>
      <c r="G1187"/>
      <c r="H1187"/>
      <c r="I1187"/>
      <c r="J1187"/>
      <c r="K1187"/>
      <c r="L1187"/>
      <c r="M1187"/>
      <c r="S1187" s="54"/>
    </row>
    <row r="1188" spans="1:19" s="15" customFormat="1" x14ac:dyDescent="0.3">
      <c r="A1188" s="17"/>
      <c r="B1188"/>
      <c r="C1188"/>
      <c r="D1188"/>
      <c r="E1188"/>
      <c r="F1188"/>
      <c r="G1188"/>
      <c r="H1188"/>
      <c r="I1188"/>
      <c r="J1188"/>
      <c r="K1188"/>
      <c r="L1188"/>
      <c r="M1188"/>
      <c r="S1188" s="54"/>
    </row>
    <row r="1189" spans="1:19" s="15" customFormat="1" x14ac:dyDescent="0.3">
      <c r="A1189" s="17"/>
      <c r="B1189"/>
      <c r="C1189"/>
      <c r="D1189"/>
      <c r="E1189"/>
      <c r="F1189"/>
      <c r="G1189"/>
      <c r="H1189"/>
      <c r="I1189"/>
      <c r="J1189"/>
      <c r="K1189"/>
      <c r="L1189"/>
      <c r="M1189"/>
      <c r="S1189" s="54"/>
    </row>
    <row r="1190" spans="1:19" s="15" customFormat="1" x14ac:dyDescent="0.3">
      <c r="A1190" s="17"/>
      <c r="B1190"/>
      <c r="C1190"/>
      <c r="D1190"/>
      <c r="E1190"/>
      <c r="F1190"/>
      <c r="G1190"/>
      <c r="H1190"/>
      <c r="I1190"/>
      <c r="J1190"/>
      <c r="K1190"/>
      <c r="L1190"/>
      <c r="M1190"/>
      <c r="S1190" s="54"/>
    </row>
    <row r="1191" spans="1:19" s="15" customFormat="1" x14ac:dyDescent="0.3">
      <c r="A1191" s="17"/>
      <c r="B1191"/>
      <c r="C1191"/>
      <c r="D1191"/>
      <c r="E1191"/>
      <c r="F1191"/>
      <c r="G1191"/>
      <c r="H1191"/>
      <c r="I1191"/>
      <c r="J1191"/>
      <c r="K1191"/>
      <c r="L1191"/>
      <c r="M1191"/>
      <c r="S1191" s="54"/>
    </row>
    <row r="1192" spans="1:19" s="15" customFormat="1" x14ac:dyDescent="0.3">
      <c r="A1192" s="17"/>
      <c r="B1192"/>
      <c r="C1192"/>
      <c r="D1192"/>
      <c r="E1192"/>
      <c r="F1192"/>
      <c r="G1192"/>
      <c r="H1192"/>
      <c r="I1192"/>
      <c r="J1192"/>
      <c r="K1192"/>
      <c r="L1192"/>
      <c r="M1192"/>
      <c r="S1192" s="54"/>
    </row>
    <row r="1193" spans="1:19" s="15" customFormat="1" x14ac:dyDescent="0.3">
      <c r="A1193" s="17"/>
      <c r="B1193"/>
      <c r="C1193"/>
      <c r="D1193"/>
      <c r="E1193"/>
      <c r="F1193"/>
      <c r="G1193"/>
      <c r="H1193"/>
      <c r="I1193"/>
      <c r="J1193"/>
      <c r="K1193"/>
      <c r="L1193"/>
      <c r="M1193"/>
      <c r="S1193" s="54"/>
    </row>
    <row r="1194" spans="1:19" s="15" customFormat="1" x14ac:dyDescent="0.3">
      <c r="A1194" s="17"/>
      <c r="B1194"/>
      <c r="C1194"/>
      <c r="D1194"/>
      <c r="E1194"/>
      <c r="F1194"/>
      <c r="G1194"/>
      <c r="H1194"/>
      <c r="I1194"/>
      <c r="J1194"/>
      <c r="K1194"/>
      <c r="L1194"/>
      <c r="M1194"/>
      <c r="S1194" s="54"/>
    </row>
    <row r="1195" spans="1:19" s="15" customFormat="1" x14ac:dyDescent="0.3">
      <c r="A1195" s="17"/>
      <c r="B1195"/>
      <c r="C1195"/>
      <c r="D1195"/>
      <c r="E1195"/>
      <c r="F1195"/>
      <c r="G1195"/>
      <c r="H1195"/>
      <c r="I1195"/>
      <c r="J1195"/>
      <c r="K1195"/>
      <c r="L1195"/>
      <c r="M1195"/>
      <c r="S1195" s="54"/>
    </row>
    <row r="1196" spans="1:19" s="15" customFormat="1" x14ac:dyDescent="0.3">
      <c r="A1196" s="17"/>
      <c r="B1196"/>
      <c r="C1196"/>
      <c r="D1196"/>
      <c r="E1196"/>
      <c r="F1196"/>
      <c r="G1196"/>
      <c r="H1196"/>
      <c r="I1196"/>
      <c r="J1196"/>
      <c r="K1196"/>
      <c r="L1196"/>
      <c r="M1196"/>
      <c r="S1196" s="54"/>
    </row>
    <row r="1197" spans="1:19" s="15" customFormat="1" x14ac:dyDescent="0.3">
      <c r="A1197" s="17"/>
      <c r="B1197"/>
      <c r="C1197"/>
      <c r="D1197"/>
      <c r="E1197"/>
      <c r="F1197"/>
      <c r="G1197"/>
      <c r="H1197"/>
      <c r="I1197"/>
      <c r="J1197"/>
      <c r="K1197"/>
      <c r="L1197"/>
      <c r="M1197"/>
      <c r="S1197" s="54"/>
    </row>
    <row r="1198" spans="1:19" s="15" customFormat="1" x14ac:dyDescent="0.3">
      <c r="A1198" s="17"/>
      <c r="B1198"/>
      <c r="C1198"/>
      <c r="D1198"/>
      <c r="E1198"/>
      <c r="F1198"/>
      <c r="G1198"/>
      <c r="H1198"/>
      <c r="I1198"/>
      <c r="J1198"/>
      <c r="K1198"/>
      <c r="L1198"/>
      <c r="M1198"/>
      <c r="S1198" s="54"/>
    </row>
    <row r="1199" spans="1:19" s="15" customFormat="1" x14ac:dyDescent="0.3">
      <c r="A1199" s="17"/>
      <c r="B1199"/>
      <c r="C1199"/>
      <c r="D1199"/>
      <c r="E1199"/>
      <c r="F1199"/>
      <c r="G1199"/>
      <c r="H1199"/>
      <c r="I1199"/>
      <c r="J1199"/>
      <c r="K1199"/>
      <c r="L1199"/>
      <c r="M1199"/>
      <c r="S1199" s="54"/>
    </row>
    <row r="1200" spans="1:19" s="15" customFormat="1" x14ac:dyDescent="0.3">
      <c r="A1200" s="17"/>
      <c r="B1200"/>
      <c r="C1200"/>
      <c r="D1200"/>
      <c r="E1200"/>
      <c r="F1200"/>
      <c r="G1200"/>
      <c r="H1200"/>
      <c r="I1200"/>
      <c r="J1200"/>
      <c r="K1200"/>
      <c r="L1200"/>
      <c r="M1200"/>
      <c r="S1200" s="54"/>
    </row>
    <row r="1201" spans="1:19" s="15" customFormat="1" x14ac:dyDescent="0.3">
      <c r="A1201" s="17"/>
      <c r="B1201"/>
      <c r="C1201"/>
      <c r="D1201"/>
      <c r="E1201"/>
      <c r="F1201"/>
      <c r="G1201"/>
      <c r="H1201"/>
      <c r="I1201"/>
      <c r="J1201"/>
      <c r="K1201"/>
      <c r="L1201"/>
      <c r="M1201"/>
      <c r="S1201" s="54"/>
    </row>
    <row r="1202" spans="1:19" s="15" customFormat="1" x14ac:dyDescent="0.3">
      <c r="A1202" s="17"/>
      <c r="B1202"/>
      <c r="C1202"/>
      <c r="D1202"/>
      <c r="E1202"/>
      <c r="F1202"/>
      <c r="G1202"/>
      <c r="H1202"/>
      <c r="I1202"/>
      <c r="J1202"/>
      <c r="K1202"/>
      <c r="L1202"/>
      <c r="M1202"/>
      <c r="S1202" s="54"/>
    </row>
    <row r="1203" spans="1:19" s="15" customFormat="1" x14ac:dyDescent="0.3">
      <c r="A1203" s="17"/>
      <c r="B1203"/>
      <c r="C1203"/>
      <c r="D1203"/>
      <c r="E1203"/>
      <c r="F1203"/>
      <c r="G1203"/>
      <c r="H1203"/>
      <c r="I1203"/>
      <c r="J1203"/>
      <c r="K1203"/>
      <c r="L1203"/>
      <c r="M1203"/>
      <c r="S1203" s="54"/>
    </row>
    <row r="1204" spans="1:19" s="15" customFormat="1" x14ac:dyDescent="0.3">
      <c r="A1204" s="17"/>
      <c r="B1204"/>
      <c r="C1204"/>
      <c r="D1204"/>
      <c r="E1204"/>
      <c r="F1204"/>
      <c r="G1204"/>
      <c r="H1204"/>
      <c r="I1204"/>
      <c r="J1204"/>
      <c r="K1204"/>
      <c r="L1204"/>
      <c r="M1204"/>
      <c r="S1204" s="54"/>
    </row>
    <row r="1205" spans="1:19" s="15" customFormat="1" x14ac:dyDescent="0.3">
      <c r="A1205" s="17"/>
      <c r="B1205"/>
      <c r="C1205"/>
      <c r="D1205"/>
      <c r="E1205"/>
      <c r="F1205"/>
      <c r="G1205"/>
      <c r="H1205"/>
      <c r="I1205"/>
      <c r="J1205"/>
      <c r="K1205"/>
      <c r="L1205"/>
      <c r="M1205"/>
      <c r="S1205" s="54"/>
    </row>
    <row r="1206" spans="1:19" s="15" customFormat="1" x14ac:dyDescent="0.3">
      <c r="A1206" s="17"/>
      <c r="B1206"/>
      <c r="C1206"/>
      <c r="D1206"/>
      <c r="E1206"/>
      <c r="F1206"/>
      <c r="G1206"/>
      <c r="H1206"/>
      <c r="I1206"/>
      <c r="J1206"/>
      <c r="K1206"/>
      <c r="L1206"/>
      <c r="M1206"/>
      <c r="S1206" s="54"/>
    </row>
    <row r="1207" spans="1:19" s="15" customFormat="1" x14ac:dyDescent="0.3">
      <c r="A1207" s="17"/>
      <c r="B1207"/>
      <c r="C1207"/>
      <c r="D1207"/>
      <c r="E1207"/>
      <c r="F1207"/>
      <c r="G1207"/>
      <c r="H1207"/>
      <c r="I1207"/>
      <c r="J1207"/>
      <c r="K1207"/>
      <c r="L1207"/>
      <c r="M1207"/>
      <c r="S1207" s="54"/>
    </row>
    <row r="1208" spans="1:19" s="15" customFormat="1" x14ac:dyDescent="0.3">
      <c r="A1208" s="17"/>
      <c r="B1208"/>
      <c r="C1208"/>
      <c r="D1208"/>
      <c r="E1208"/>
      <c r="F1208"/>
      <c r="G1208"/>
      <c r="H1208"/>
      <c r="I1208"/>
      <c r="J1208"/>
      <c r="K1208"/>
      <c r="L1208"/>
      <c r="M1208"/>
      <c r="S1208" s="54"/>
    </row>
    <row r="1209" spans="1:19" s="15" customFormat="1" x14ac:dyDescent="0.3">
      <c r="A1209" s="17"/>
      <c r="B1209"/>
      <c r="C1209"/>
      <c r="D1209"/>
      <c r="E1209"/>
      <c r="F1209"/>
      <c r="G1209"/>
      <c r="H1209"/>
      <c r="I1209"/>
      <c r="J1209"/>
      <c r="K1209"/>
      <c r="L1209"/>
      <c r="M1209"/>
      <c r="S1209" s="54"/>
    </row>
    <row r="1210" spans="1:19" s="15" customFormat="1" x14ac:dyDescent="0.3">
      <c r="A1210" s="17"/>
      <c r="B1210"/>
      <c r="C1210"/>
      <c r="D1210"/>
      <c r="E1210"/>
      <c r="F1210"/>
      <c r="G1210"/>
      <c r="H1210"/>
      <c r="I1210"/>
      <c r="J1210"/>
      <c r="K1210"/>
      <c r="L1210"/>
      <c r="M1210"/>
      <c r="S1210" s="54"/>
    </row>
    <row r="1211" spans="1:19" s="15" customFormat="1" x14ac:dyDescent="0.3">
      <c r="A1211" s="17"/>
      <c r="B1211"/>
      <c r="C1211"/>
      <c r="D1211"/>
      <c r="E1211"/>
      <c r="F1211"/>
      <c r="G1211"/>
      <c r="H1211"/>
      <c r="I1211"/>
      <c r="J1211"/>
      <c r="K1211"/>
      <c r="L1211"/>
      <c r="M1211"/>
      <c r="S1211" s="54"/>
    </row>
    <row r="1212" spans="1:19" s="15" customFormat="1" x14ac:dyDescent="0.3">
      <c r="A1212" s="17"/>
      <c r="B1212"/>
      <c r="C1212"/>
      <c r="D1212"/>
      <c r="E1212"/>
      <c r="F1212"/>
      <c r="G1212"/>
      <c r="H1212"/>
      <c r="I1212"/>
      <c r="J1212"/>
      <c r="K1212"/>
      <c r="L1212"/>
      <c r="M1212"/>
      <c r="S1212" s="54"/>
    </row>
    <row r="1213" spans="1:19" s="15" customFormat="1" x14ac:dyDescent="0.3">
      <c r="A1213" s="17"/>
      <c r="B1213"/>
      <c r="C1213"/>
      <c r="D1213"/>
      <c r="E1213"/>
      <c r="F1213"/>
      <c r="G1213"/>
      <c r="H1213"/>
      <c r="I1213"/>
      <c r="J1213"/>
      <c r="K1213"/>
      <c r="L1213"/>
      <c r="M1213"/>
      <c r="S1213" s="54"/>
    </row>
    <row r="1214" spans="1:19" s="15" customFormat="1" x14ac:dyDescent="0.3">
      <c r="A1214" s="17"/>
      <c r="B1214"/>
      <c r="C1214"/>
      <c r="D1214"/>
      <c r="E1214"/>
      <c r="F1214"/>
      <c r="G1214"/>
      <c r="H1214"/>
      <c r="I1214"/>
      <c r="J1214"/>
      <c r="K1214"/>
      <c r="L1214"/>
      <c r="M1214"/>
      <c r="S1214" s="54"/>
    </row>
    <row r="1215" spans="1:19" s="15" customFormat="1" x14ac:dyDescent="0.3">
      <c r="A1215" s="17"/>
      <c r="B1215"/>
      <c r="C1215"/>
      <c r="D1215"/>
      <c r="E1215"/>
      <c r="F1215"/>
      <c r="G1215"/>
      <c r="H1215"/>
      <c r="I1215"/>
      <c r="J1215"/>
      <c r="K1215"/>
      <c r="L1215"/>
      <c r="M1215"/>
      <c r="S1215" s="54"/>
    </row>
    <row r="1216" spans="1:19" s="15" customFormat="1" x14ac:dyDescent="0.3">
      <c r="A1216" s="17"/>
      <c r="B1216"/>
      <c r="C1216"/>
      <c r="D1216"/>
      <c r="E1216"/>
      <c r="F1216"/>
      <c r="G1216"/>
      <c r="H1216"/>
      <c r="I1216"/>
      <c r="J1216"/>
      <c r="K1216"/>
      <c r="L1216"/>
      <c r="M1216"/>
      <c r="S1216" s="54"/>
    </row>
    <row r="1217" spans="1:19" s="15" customFormat="1" x14ac:dyDescent="0.3">
      <c r="A1217" s="17"/>
      <c r="B1217"/>
      <c r="C1217"/>
      <c r="D1217"/>
      <c r="E1217"/>
      <c r="F1217"/>
      <c r="G1217"/>
      <c r="H1217"/>
      <c r="I1217"/>
      <c r="J1217"/>
      <c r="K1217"/>
      <c r="L1217"/>
      <c r="M1217"/>
      <c r="S1217" s="54"/>
    </row>
    <row r="1218" spans="1:19" s="15" customFormat="1" x14ac:dyDescent="0.3">
      <c r="A1218" s="17"/>
      <c r="B1218"/>
      <c r="C1218"/>
      <c r="D1218"/>
      <c r="E1218"/>
      <c r="F1218"/>
      <c r="G1218"/>
      <c r="H1218"/>
      <c r="I1218"/>
      <c r="J1218"/>
      <c r="K1218"/>
      <c r="L1218"/>
      <c r="M1218"/>
      <c r="S1218" s="54"/>
    </row>
    <row r="1219" spans="1:19" s="15" customFormat="1" x14ac:dyDescent="0.3">
      <c r="A1219" s="17"/>
      <c r="B1219"/>
      <c r="C1219"/>
      <c r="D1219"/>
      <c r="E1219"/>
      <c r="F1219"/>
      <c r="G1219"/>
      <c r="H1219"/>
      <c r="I1219"/>
      <c r="J1219"/>
      <c r="K1219"/>
      <c r="L1219"/>
      <c r="M1219"/>
      <c r="S1219" s="54"/>
    </row>
    <row r="1220" spans="1:19" s="15" customFormat="1" x14ac:dyDescent="0.3">
      <c r="A1220" s="17"/>
      <c r="B1220"/>
      <c r="C1220"/>
      <c r="D1220"/>
      <c r="E1220"/>
      <c r="F1220"/>
      <c r="G1220"/>
      <c r="H1220"/>
      <c r="I1220"/>
      <c r="J1220"/>
      <c r="K1220"/>
      <c r="L1220"/>
      <c r="M1220"/>
      <c r="S1220" s="54"/>
    </row>
    <row r="1221" spans="1:19" s="15" customFormat="1" x14ac:dyDescent="0.3">
      <c r="A1221" s="17"/>
      <c r="B1221"/>
      <c r="C1221"/>
      <c r="D1221"/>
      <c r="E1221"/>
      <c r="F1221"/>
      <c r="G1221"/>
      <c r="H1221"/>
      <c r="I1221"/>
      <c r="J1221"/>
      <c r="K1221"/>
      <c r="L1221"/>
      <c r="M1221"/>
      <c r="S1221" s="54"/>
    </row>
    <row r="1222" spans="1:19" s="15" customFormat="1" x14ac:dyDescent="0.3">
      <c r="A1222" s="17"/>
      <c r="B1222"/>
      <c r="C1222"/>
      <c r="D1222"/>
      <c r="E1222"/>
      <c r="F1222"/>
      <c r="G1222"/>
      <c r="H1222"/>
      <c r="I1222"/>
      <c r="J1222"/>
      <c r="K1222"/>
      <c r="L1222"/>
      <c r="M1222"/>
      <c r="S1222" s="54"/>
    </row>
    <row r="1223" spans="1:19" s="15" customFormat="1" x14ac:dyDescent="0.3">
      <c r="A1223" s="17"/>
      <c r="B1223"/>
      <c r="C1223"/>
      <c r="D1223"/>
      <c r="E1223"/>
      <c r="F1223"/>
      <c r="G1223"/>
      <c r="H1223"/>
      <c r="I1223"/>
      <c r="J1223"/>
      <c r="K1223"/>
      <c r="L1223"/>
      <c r="M1223"/>
      <c r="S1223" s="54"/>
    </row>
    <row r="1224" spans="1:19" s="15" customFormat="1" x14ac:dyDescent="0.3">
      <c r="A1224" s="17"/>
      <c r="B1224"/>
      <c r="C1224"/>
      <c r="D1224"/>
      <c r="E1224"/>
      <c r="F1224"/>
      <c r="G1224"/>
      <c r="H1224"/>
      <c r="I1224"/>
      <c r="J1224"/>
      <c r="K1224"/>
      <c r="L1224"/>
      <c r="M1224"/>
      <c r="S1224" s="54"/>
    </row>
    <row r="1225" spans="1:19" s="15" customFormat="1" x14ac:dyDescent="0.3">
      <c r="A1225" s="17"/>
      <c r="B1225"/>
      <c r="C1225"/>
      <c r="D1225"/>
      <c r="E1225"/>
      <c r="F1225"/>
      <c r="G1225"/>
      <c r="H1225"/>
      <c r="I1225"/>
      <c r="J1225"/>
      <c r="K1225"/>
      <c r="L1225"/>
      <c r="M1225"/>
      <c r="S1225" s="54"/>
    </row>
    <row r="1226" spans="1:19" s="15" customFormat="1" x14ac:dyDescent="0.3">
      <c r="A1226" s="17"/>
      <c r="B1226"/>
      <c r="C1226"/>
      <c r="D1226"/>
      <c r="E1226"/>
      <c r="F1226"/>
      <c r="G1226"/>
      <c r="H1226"/>
      <c r="I1226"/>
      <c r="J1226"/>
      <c r="K1226"/>
      <c r="L1226"/>
      <c r="M1226"/>
      <c r="S1226" s="54"/>
    </row>
    <row r="1227" spans="1:19" s="15" customFormat="1" x14ac:dyDescent="0.3">
      <c r="A1227" s="17"/>
      <c r="B1227"/>
      <c r="C1227"/>
      <c r="D1227"/>
      <c r="E1227"/>
      <c r="F1227"/>
      <c r="G1227"/>
      <c r="H1227"/>
      <c r="I1227"/>
      <c r="J1227"/>
      <c r="K1227"/>
      <c r="L1227"/>
      <c r="M1227"/>
      <c r="S1227" s="54"/>
    </row>
    <row r="1228" spans="1:19" s="15" customFormat="1" x14ac:dyDescent="0.3">
      <c r="A1228" s="17"/>
      <c r="B1228"/>
      <c r="C1228"/>
      <c r="D1228"/>
      <c r="E1228"/>
      <c r="F1228"/>
      <c r="G1228"/>
      <c r="H1228"/>
      <c r="I1228"/>
      <c r="J1228"/>
      <c r="K1228"/>
      <c r="L1228"/>
      <c r="M1228"/>
      <c r="S1228" s="54"/>
    </row>
    <row r="1229" spans="1:19" s="15" customFormat="1" x14ac:dyDescent="0.3">
      <c r="A1229" s="17"/>
      <c r="B1229"/>
      <c r="C1229"/>
      <c r="D1229"/>
      <c r="E1229"/>
      <c r="F1229"/>
      <c r="G1229"/>
      <c r="H1229"/>
      <c r="I1229"/>
      <c r="J1229"/>
      <c r="K1229"/>
      <c r="L1229"/>
      <c r="M1229"/>
      <c r="S1229" s="54"/>
    </row>
    <row r="1230" spans="1:19" s="15" customFormat="1" x14ac:dyDescent="0.3">
      <c r="A1230" s="17"/>
      <c r="B1230"/>
      <c r="C1230"/>
      <c r="D1230"/>
      <c r="E1230"/>
      <c r="F1230"/>
      <c r="G1230"/>
      <c r="H1230"/>
      <c r="I1230"/>
      <c r="J1230"/>
      <c r="K1230"/>
      <c r="L1230"/>
      <c r="M1230"/>
      <c r="S1230" s="54"/>
    </row>
    <row r="1231" spans="1:19" s="15" customFormat="1" x14ac:dyDescent="0.3">
      <c r="A1231" s="17"/>
      <c r="B1231"/>
      <c r="C1231"/>
      <c r="D1231"/>
      <c r="E1231"/>
      <c r="F1231"/>
      <c r="G1231"/>
      <c r="H1231"/>
      <c r="I1231"/>
      <c r="J1231"/>
      <c r="K1231"/>
      <c r="L1231"/>
      <c r="M1231"/>
      <c r="S1231" s="54"/>
    </row>
    <row r="1232" spans="1:19" s="15" customFormat="1" x14ac:dyDescent="0.3">
      <c r="A1232" s="17"/>
      <c r="B1232"/>
      <c r="C1232"/>
      <c r="D1232"/>
      <c r="E1232"/>
      <c r="F1232"/>
      <c r="G1232"/>
      <c r="H1232"/>
      <c r="I1232"/>
      <c r="J1232"/>
      <c r="K1232"/>
      <c r="L1232"/>
      <c r="M1232"/>
      <c r="S1232" s="54"/>
    </row>
    <row r="1233" spans="1:19" s="15" customFormat="1" x14ac:dyDescent="0.3">
      <c r="A1233" s="17"/>
      <c r="B1233"/>
      <c r="C1233"/>
      <c r="D1233"/>
      <c r="E1233"/>
      <c r="F1233"/>
      <c r="G1233"/>
      <c r="H1233"/>
      <c r="I1233"/>
      <c r="J1233"/>
      <c r="K1233"/>
      <c r="L1233"/>
      <c r="M1233"/>
      <c r="S1233" s="54"/>
    </row>
    <row r="1234" spans="1:19" s="15" customFormat="1" x14ac:dyDescent="0.3">
      <c r="A1234" s="17"/>
      <c r="B1234"/>
      <c r="C1234"/>
      <c r="D1234"/>
      <c r="E1234"/>
      <c r="F1234"/>
      <c r="G1234"/>
      <c r="H1234"/>
      <c r="I1234"/>
      <c r="J1234"/>
      <c r="K1234"/>
      <c r="L1234"/>
      <c r="M1234"/>
      <c r="S1234" s="54"/>
    </row>
    <row r="1235" spans="1:19" s="15" customFormat="1" x14ac:dyDescent="0.3">
      <c r="A1235" s="17"/>
      <c r="B1235"/>
      <c r="C1235"/>
      <c r="D1235"/>
      <c r="E1235"/>
      <c r="F1235"/>
      <c r="G1235"/>
      <c r="H1235"/>
      <c r="I1235"/>
      <c r="J1235"/>
      <c r="K1235"/>
      <c r="L1235"/>
      <c r="M1235"/>
      <c r="S1235" s="54"/>
    </row>
    <row r="1236" spans="1:19" s="15" customFormat="1" x14ac:dyDescent="0.3">
      <c r="A1236" s="17"/>
      <c r="B1236"/>
      <c r="C1236"/>
      <c r="D1236"/>
      <c r="E1236"/>
      <c r="F1236"/>
      <c r="G1236"/>
      <c r="H1236"/>
      <c r="I1236"/>
      <c r="J1236"/>
      <c r="K1236"/>
      <c r="L1236"/>
      <c r="M1236"/>
      <c r="S1236" s="54"/>
    </row>
    <row r="1237" spans="1:19" s="15" customFormat="1" x14ac:dyDescent="0.3">
      <c r="A1237" s="17"/>
      <c r="B1237"/>
      <c r="C1237"/>
      <c r="D1237"/>
      <c r="E1237"/>
      <c r="F1237"/>
      <c r="G1237"/>
      <c r="H1237"/>
      <c r="I1237"/>
      <c r="J1237"/>
      <c r="K1237"/>
      <c r="L1237"/>
      <c r="M1237"/>
      <c r="S1237" s="54"/>
    </row>
    <row r="1238" spans="1:19" s="15" customFormat="1" x14ac:dyDescent="0.3">
      <c r="A1238" s="17"/>
      <c r="B1238"/>
      <c r="C1238"/>
      <c r="D1238"/>
      <c r="E1238"/>
      <c r="F1238"/>
      <c r="G1238"/>
      <c r="H1238"/>
      <c r="I1238"/>
      <c r="J1238"/>
      <c r="K1238"/>
      <c r="L1238"/>
      <c r="M1238"/>
      <c r="S1238" s="54"/>
    </row>
    <row r="1239" spans="1:19" s="15" customFormat="1" x14ac:dyDescent="0.3">
      <c r="A1239" s="17"/>
      <c r="B1239"/>
      <c r="C1239"/>
      <c r="D1239"/>
      <c r="E1239"/>
      <c r="F1239"/>
      <c r="G1239"/>
      <c r="H1239"/>
      <c r="I1239"/>
      <c r="J1239"/>
      <c r="K1239"/>
      <c r="L1239"/>
      <c r="M1239"/>
      <c r="S1239" s="54"/>
    </row>
    <row r="1240" spans="1:19" s="15" customFormat="1" x14ac:dyDescent="0.3">
      <c r="A1240" s="17"/>
      <c r="B1240"/>
      <c r="C1240"/>
      <c r="D1240"/>
      <c r="E1240"/>
      <c r="F1240"/>
      <c r="G1240"/>
      <c r="H1240"/>
      <c r="I1240"/>
      <c r="J1240"/>
      <c r="K1240"/>
      <c r="L1240"/>
      <c r="M1240"/>
      <c r="S1240" s="54"/>
    </row>
    <row r="1241" spans="1:19" s="15" customFormat="1" x14ac:dyDescent="0.3">
      <c r="A1241" s="17"/>
      <c r="B1241"/>
      <c r="C1241"/>
      <c r="D1241"/>
      <c r="E1241"/>
      <c r="F1241"/>
      <c r="G1241"/>
      <c r="H1241"/>
      <c r="I1241"/>
      <c r="J1241"/>
      <c r="K1241"/>
      <c r="L1241"/>
      <c r="M1241"/>
      <c r="S1241" s="54"/>
    </row>
    <row r="1242" spans="1:19" s="15" customFormat="1" x14ac:dyDescent="0.3">
      <c r="A1242" s="17"/>
      <c r="B1242"/>
      <c r="C1242"/>
      <c r="D1242"/>
      <c r="E1242"/>
      <c r="F1242"/>
      <c r="G1242"/>
      <c r="H1242"/>
      <c r="I1242"/>
      <c r="J1242"/>
      <c r="K1242"/>
      <c r="L1242"/>
      <c r="M1242"/>
      <c r="S1242" s="54"/>
    </row>
    <row r="1243" spans="1:19" s="15" customFormat="1" x14ac:dyDescent="0.3">
      <c r="A1243" s="17"/>
      <c r="B1243"/>
      <c r="C1243"/>
      <c r="D1243"/>
      <c r="E1243"/>
      <c r="F1243"/>
      <c r="G1243"/>
      <c r="H1243"/>
      <c r="I1243"/>
      <c r="J1243"/>
      <c r="K1243"/>
      <c r="L1243"/>
      <c r="M1243"/>
      <c r="S1243" s="54"/>
    </row>
    <row r="1244" spans="1:19" s="15" customFormat="1" x14ac:dyDescent="0.3">
      <c r="A1244" s="17"/>
      <c r="B1244"/>
      <c r="C1244"/>
      <c r="D1244"/>
      <c r="E1244"/>
      <c r="F1244"/>
      <c r="G1244"/>
      <c r="H1244"/>
      <c r="I1244"/>
      <c r="J1244"/>
      <c r="K1244"/>
      <c r="L1244"/>
      <c r="M1244"/>
      <c r="S1244" s="54"/>
    </row>
    <row r="1245" spans="1:19" s="15" customFormat="1" x14ac:dyDescent="0.3">
      <c r="A1245" s="17"/>
      <c r="B1245"/>
      <c r="C1245"/>
      <c r="D1245"/>
      <c r="E1245"/>
      <c r="F1245"/>
      <c r="G1245"/>
      <c r="H1245"/>
      <c r="I1245"/>
      <c r="J1245"/>
      <c r="K1245"/>
      <c r="L1245"/>
      <c r="M1245"/>
      <c r="S1245" s="54"/>
    </row>
    <row r="1246" spans="1:19" s="15" customFormat="1" x14ac:dyDescent="0.3">
      <c r="A1246" s="17"/>
      <c r="B1246"/>
      <c r="C1246"/>
      <c r="D1246"/>
      <c r="E1246"/>
      <c r="F1246"/>
      <c r="G1246"/>
      <c r="H1246"/>
      <c r="I1246"/>
      <c r="J1246"/>
      <c r="K1246"/>
      <c r="L1246"/>
      <c r="M1246"/>
      <c r="S1246" s="54"/>
    </row>
    <row r="1247" spans="1:19" s="15" customFormat="1" x14ac:dyDescent="0.3">
      <c r="A1247" s="17"/>
      <c r="B1247"/>
      <c r="C1247"/>
      <c r="D1247"/>
      <c r="E1247"/>
      <c r="F1247"/>
      <c r="G1247"/>
      <c r="H1247"/>
      <c r="I1247"/>
      <c r="J1247"/>
      <c r="K1247"/>
      <c r="L1247"/>
      <c r="M1247"/>
      <c r="S1247" s="54"/>
    </row>
    <row r="1248" spans="1:19" s="15" customFormat="1" x14ac:dyDescent="0.3">
      <c r="A1248" s="17"/>
      <c r="B1248"/>
      <c r="C1248"/>
      <c r="D1248"/>
      <c r="E1248"/>
      <c r="F1248"/>
      <c r="G1248"/>
      <c r="H1248"/>
      <c r="I1248"/>
      <c r="J1248"/>
      <c r="K1248"/>
      <c r="L1248"/>
      <c r="M1248"/>
      <c r="S1248" s="54"/>
    </row>
    <row r="1249" spans="1:19" s="15" customFormat="1" x14ac:dyDescent="0.3">
      <c r="A1249" s="17"/>
      <c r="B1249"/>
      <c r="C1249"/>
      <c r="D1249"/>
      <c r="E1249"/>
      <c r="F1249"/>
      <c r="G1249"/>
      <c r="H1249"/>
      <c r="I1249"/>
      <c r="J1249"/>
      <c r="K1249"/>
      <c r="L1249"/>
      <c r="M1249"/>
      <c r="S1249" s="54"/>
    </row>
    <row r="1250" spans="1:19" s="15" customFormat="1" x14ac:dyDescent="0.3">
      <c r="A1250" s="17"/>
      <c r="B1250"/>
      <c r="C1250"/>
      <c r="D1250"/>
      <c r="E1250"/>
      <c r="F1250"/>
      <c r="G1250"/>
      <c r="H1250"/>
      <c r="I1250"/>
      <c r="J1250"/>
      <c r="K1250"/>
      <c r="L1250"/>
      <c r="M1250"/>
      <c r="S1250" s="54"/>
    </row>
    <row r="1251" spans="1:19" s="15" customFormat="1" x14ac:dyDescent="0.3">
      <c r="A1251" s="17"/>
      <c r="B1251"/>
      <c r="C1251"/>
      <c r="D1251"/>
      <c r="E1251"/>
      <c r="F1251"/>
      <c r="G1251"/>
      <c r="H1251"/>
      <c r="I1251"/>
      <c r="J1251"/>
      <c r="K1251"/>
      <c r="L1251"/>
      <c r="M1251"/>
      <c r="S1251" s="54"/>
    </row>
    <row r="1252" spans="1:19" s="15" customFormat="1" x14ac:dyDescent="0.3">
      <c r="A1252" s="17"/>
      <c r="B1252"/>
      <c r="C1252"/>
      <c r="D1252"/>
      <c r="E1252"/>
      <c r="F1252"/>
      <c r="G1252"/>
      <c r="H1252"/>
      <c r="I1252"/>
      <c r="J1252"/>
      <c r="K1252"/>
      <c r="L1252"/>
      <c r="M1252"/>
      <c r="S1252" s="54"/>
    </row>
    <row r="1253" spans="1:19" s="15" customFormat="1" x14ac:dyDescent="0.3">
      <c r="A1253" s="17"/>
      <c r="B1253"/>
      <c r="C1253"/>
      <c r="D1253"/>
      <c r="E1253"/>
      <c r="F1253"/>
      <c r="G1253"/>
      <c r="H1253"/>
      <c r="I1253"/>
      <c r="J1253"/>
      <c r="K1253"/>
      <c r="L1253"/>
      <c r="M1253"/>
      <c r="S1253" s="54"/>
    </row>
    <row r="1254" spans="1:19" s="15" customFormat="1" x14ac:dyDescent="0.3">
      <c r="A1254" s="17"/>
      <c r="B1254"/>
      <c r="C1254"/>
      <c r="D1254"/>
      <c r="E1254"/>
      <c r="F1254"/>
      <c r="G1254"/>
      <c r="H1254"/>
      <c r="I1254"/>
      <c r="J1254"/>
      <c r="K1254"/>
      <c r="L1254"/>
      <c r="M1254"/>
      <c r="S1254" s="54"/>
    </row>
    <row r="1255" spans="1:19" s="15" customFormat="1" x14ac:dyDescent="0.3">
      <c r="A1255" s="17"/>
      <c r="B1255"/>
      <c r="C1255"/>
      <c r="D1255"/>
      <c r="E1255"/>
      <c r="F1255"/>
      <c r="G1255"/>
      <c r="H1255"/>
      <c r="I1255"/>
      <c r="J1255"/>
      <c r="K1255"/>
      <c r="L1255"/>
      <c r="M1255"/>
      <c r="S1255" s="54"/>
    </row>
    <row r="1256" spans="1:19" s="15" customFormat="1" x14ac:dyDescent="0.3">
      <c r="A1256" s="17"/>
      <c r="B1256"/>
      <c r="C1256"/>
      <c r="D1256"/>
      <c r="E1256"/>
      <c r="F1256"/>
      <c r="G1256"/>
      <c r="H1256"/>
      <c r="I1256"/>
      <c r="J1256"/>
      <c r="K1256"/>
      <c r="L1256"/>
      <c r="M1256"/>
      <c r="S1256" s="54"/>
    </row>
    <row r="1257" spans="1:19" s="15" customFormat="1" x14ac:dyDescent="0.3">
      <c r="A1257" s="17"/>
      <c r="B1257"/>
      <c r="C1257"/>
      <c r="D1257"/>
      <c r="E1257"/>
      <c r="F1257"/>
      <c r="G1257"/>
      <c r="H1257"/>
      <c r="I1257"/>
      <c r="J1257"/>
      <c r="K1257"/>
      <c r="L1257"/>
      <c r="M1257"/>
      <c r="S1257" s="54"/>
    </row>
    <row r="1258" spans="1:19" s="15" customFormat="1" x14ac:dyDescent="0.3">
      <c r="A1258" s="17"/>
      <c r="B1258"/>
      <c r="C1258"/>
      <c r="D1258"/>
      <c r="E1258"/>
      <c r="F1258"/>
      <c r="G1258"/>
      <c r="H1258"/>
      <c r="I1258"/>
      <c r="J1258"/>
      <c r="K1258"/>
      <c r="L1258"/>
      <c r="M1258"/>
      <c r="S1258" s="54"/>
    </row>
    <row r="1259" spans="1:19" s="15" customFormat="1" x14ac:dyDescent="0.3">
      <c r="A1259" s="17"/>
      <c r="B1259"/>
      <c r="C1259"/>
      <c r="D1259"/>
      <c r="E1259"/>
      <c r="F1259"/>
      <c r="G1259"/>
      <c r="H1259"/>
      <c r="I1259"/>
      <c r="J1259"/>
      <c r="K1259"/>
      <c r="L1259"/>
      <c r="M1259"/>
      <c r="S1259" s="54"/>
    </row>
    <row r="1260" spans="1:19" s="15" customFormat="1" x14ac:dyDescent="0.3">
      <c r="A1260" s="17"/>
      <c r="B1260"/>
      <c r="C1260"/>
      <c r="D1260"/>
      <c r="E1260"/>
      <c r="F1260"/>
      <c r="G1260"/>
      <c r="H1260"/>
      <c r="I1260"/>
      <c r="J1260"/>
      <c r="K1260"/>
      <c r="L1260"/>
      <c r="M1260"/>
      <c r="S1260" s="54"/>
    </row>
    <row r="1261" spans="1:19" s="15" customFormat="1" x14ac:dyDescent="0.3">
      <c r="A1261" s="17"/>
      <c r="B1261"/>
      <c r="C1261"/>
      <c r="D1261"/>
      <c r="E1261"/>
      <c r="F1261"/>
      <c r="G1261"/>
      <c r="H1261"/>
      <c r="I1261"/>
      <c r="J1261"/>
      <c r="K1261"/>
      <c r="L1261"/>
      <c r="M1261"/>
      <c r="S1261" s="54"/>
    </row>
    <row r="1262" spans="1:19" s="15" customFormat="1" x14ac:dyDescent="0.3">
      <c r="A1262" s="17"/>
      <c r="B1262"/>
      <c r="C1262"/>
      <c r="D1262"/>
      <c r="E1262"/>
      <c r="F1262"/>
      <c r="G1262"/>
      <c r="H1262"/>
      <c r="I1262"/>
      <c r="J1262"/>
      <c r="K1262"/>
      <c r="L1262"/>
      <c r="M1262"/>
      <c r="S1262" s="54"/>
    </row>
    <row r="1263" spans="1:19" s="15" customFormat="1" x14ac:dyDescent="0.3">
      <c r="A1263" s="17"/>
      <c r="B1263"/>
      <c r="C1263"/>
      <c r="D1263"/>
      <c r="E1263"/>
      <c r="F1263"/>
      <c r="G1263"/>
      <c r="H1263"/>
      <c r="I1263"/>
      <c r="J1263"/>
      <c r="K1263"/>
      <c r="L1263"/>
      <c r="M1263"/>
      <c r="S1263" s="54"/>
    </row>
    <row r="1264" spans="1:19" s="15" customFormat="1" x14ac:dyDescent="0.3">
      <c r="A1264" s="17"/>
      <c r="B1264"/>
      <c r="C1264"/>
      <c r="D1264"/>
      <c r="E1264"/>
      <c r="F1264"/>
      <c r="G1264"/>
      <c r="H1264"/>
      <c r="I1264"/>
      <c r="J1264"/>
      <c r="K1264"/>
      <c r="L1264"/>
      <c r="M1264"/>
      <c r="S1264" s="54"/>
    </row>
    <row r="1265" spans="1:19" s="15" customFormat="1" x14ac:dyDescent="0.3">
      <c r="A1265" s="17"/>
      <c r="B1265"/>
      <c r="C1265"/>
      <c r="D1265"/>
      <c r="E1265"/>
      <c r="F1265"/>
      <c r="G1265"/>
      <c r="H1265"/>
      <c r="I1265"/>
      <c r="J1265"/>
      <c r="K1265"/>
      <c r="L1265"/>
      <c r="M1265"/>
      <c r="S1265" s="54"/>
    </row>
    <row r="1266" spans="1:19" s="15" customFormat="1" x14ac:dyDescent="0.3">
      <c r="A1266" s="17"/>
      <c r="B1266"/>
      <c r="C1266"/>
      <c r="D1266"/>
      <c r="E1266"/>
      <c r="F1266"/>
      <c r="G1266"/>
      <c r="H1266"/>
      <c r="I1266"/>
      <c r="J1266"/>
      <c r="K1266"/>
      <c r="L1266"/>
      <c r="M1266"/>
      <c r="S1266" s="54"/>
    </row>
    <row r="1267" spans="1:19" s="15" customFormat="1" x14ac:dyDescent="0.3">
      <c r="A1267" s="17"/>
      <c r="B1267"/>
      <c r="C1267"/>
      <c r="D1267"/>
      <c r="E1267"/>
      <c r="F1267"/>
      <c r="G1267"/>
      <c r="H1267"/>
      <c r="I1267"/>
      <c r="J1267"/>
      <c r="K1267"/>
      <c r="L1267"/>
      <c r="M1267"/>
      <c r="S1267" s="54"/>
    </row>
    <row r="1268" spans="1:19" s="15" customFormat="1" x14ac:dyDescent="0.3">
      <c r="A1268" s="17"/>
      <c r="B1268"/>
      <c r="C1268"/>
      <c r="D1268"/>
      <c r="E1268"/>
      <c r="F1268"/>
      <c r="G1268"/>
      <c r="H1268"/>
      <c r="I1268"/>
      <c r="J1268"/>
      <c r="K1268"/>
      <c r="L1268"/>
      <c r="M1268"/>
      <c r="S1268" s="54"/>
    </row>
    <row r="1269" spans="1:19" s="15" customFormat="1" x14ac:dyDescent="0.3">
      <c r="A1269" s="17"/>
      <c r="B1269"/>
      <c r="C1269"/>
      <c r="D1269"/>
      <c r="E1269"/>
      <c r="F1269"/>
      <c r="G1269"/>
      <c r="H1269"/>
      <c r="I1269"/>
      <c r="J1269"/>
      <c r="K1269"/>
      <c r="L1269"/>
      <c r="M1269"/>
      <c r="S1269" s="54"/>
    </row>
    <row r="1270" spans="1:19" s="15" customFormat="1" x14ac:dyDescent="0.3">
      <c r="A1270" s="17"/>
      <c r="B1270"/>
      <c r="C1270"/>
      <c r="D1270"/>
      <c r="E1270"/>
      <c r="F1270"/>
      <c r="G1270"/>
      <c r="H1270"/>
      <c r="I1270"/>
      <c r="J1270"/>
      <c r="K1270"/>
      <c r="L1270"/>
      <c r="M1270"/>
      <c r="S1270" s="54"/>
    </row>
    <row r="1271" spans="1:19" s="15" customFormat="1" x14ac:dyDescent="0.3">
      <c r="A1271" s="17"/>
      <c r="B1271"/>
      <c r="C1271"/>
      <c r="D1271"/>
      <c r="E1271"/>
      <c r="F1271"/>
      <c r="G1271"/>
      <c r="H1271"/>
      <c r="I1271"/>
      <c r="J1271"/>
      <c r="K1271"/>
      <c r="L1271"/>
      <c r="M1271"/>
      <c r="S1271" s="54"/>
    </row>
    <row r="1272" spans="1:19" s="15" customFormat="1" x14ac:dyDescent="0.3">
      <c r="A1272" s="17"/>
      <c r="B1272"/>
      <c r="C1272"/>
      <c r="D1272"/>
      <c r="E1272"/>
      <c r="F1272"/>
      <c r="G1272"/>
      <c r="H1272"/>
      <c r="I1272"/>
      <c r="J1272"/>
      <c r="K1272"/>
      <c r="L1272"/>
      <c r="M1272"/>
      <c r="S1272" s="54"/>
    </row>
    <row r="1273" spans="1:19" s="15" customFormat="1" x14ac:dyDescent="0.3">
      <c r="A1273" s="17"/>
      <c r="B1273"/>
      <c r="C1273"/>
      <c r="D1273"/>
      <c r="E1273"/>
      <c r="F1273"/>
      <c r="G1273"/>
      <c r="H1273"/>
      <c r="I1273"/>
      <c r="J1273"/>
      <c r="K1273"/>
      <c r="L1273"/>
      <c r="M1273"/>
      <c r="S1273" s="54"/>
    </row>
    <row r="1274" spans="1:19" s="15" customFormat="1" x14ac:dyDescent="0.3">
      <c r="A1274" s="17"/>
      <c r="B1274"/>
      <c r="C1274"/>
      <c r="D1274"/>
      <c r="E1274"/>
      <c r="F1274"/>
      <c r="G1274"/>
      <c r="H1274"/>
      <c r="I1274"/>
      <c r="J1274"/>
      <c r="K1274"/>
      <c r="L1274"/>
      <c r="M1274"/>
      <c r="S1274" s="54"/>
    </row>
    <row r="1275" spans="1:19" s="15" customFormat="1" x14ac:dyDescent="0.3">
      <c r="A1275" s="17"/>
      <c r="B1275"/>
      <c r="C1275"/>
      <c r="D1275"/>
      <c r="E1275"/>
      <c r="F1275"/>
      <c r="G1275"/>
      <c r="H1275"/>
      <c r="I1275"/>
      <c r="J1275"/>
      <c r="K1275"/>
      <c r="L1275"/>
      <c r="M1275"/>
      <c r="S1275" s="54"/>
    </row>
    <row r="1276" spans="1:19" s="15" customFormat="1" x14ac:dyDescent="0.3">
      <c r="A1276" s="17"/>
      <c r="B1276"/>
      <c r="C1276"/>
      <c r="D1276"/>
      <c r="E1276"/>
      <c r="F1276"/>
      <c r="G1276"/>
      <c r="H1276"/>
      <c r="I1276"/>
      <c r="J1276"/>
      <c r="K1276"/>
      <c r="L1276"/>
      <c r="M1276"/>
      <c r="S1276" s="54"/>
    </row>
    <row r="1277" spans="1:19" s="15" customFormat="1" x14ac:dyDescent="0.3">
      <c r="A1277" s="17"/>
      <c r="B1277"/>
      <c r="C1277"/>
      <c r="D1277"/>
      <c r="E1277"/>
      <c r="F1277"/>
      <c r="G1277"/>
      <c r="H1277"/>
      <c r="I1277"/>
      <c r="J1277"/>
      <c r="K1277"/>
      <c r="L1277"/>
      <c r="M1277"/>
      <c r="S1277" s="54"/>
    </row>
    <row r="1278" spans="1:19" s="15" customFormat="1" x14ac:dyDescent="0.3">
      <c r="A1278" s="17"/>
      <c r="B1278"/>
      <c r="C1278"/>
      <c r="D1278"/>
      <c r="E1278"/>
      <c r="F1278"/>
      <c r="G1278"/>
      <c r="H1278"/>
      <c r="I1278"/>
      <c r="J1278"/>
      <c r="K1278"/>
      <c r="L1278"/>
      <c r="M1278"/>
      <c r="S1278" s="54"/>
    </row>
    <row r="1279" spans="1:19" s="15" customFormat="1" x14ac:dyDescent="0.3">
      <c r="A1279" s="17"/>
      <c r="B1279"/>
      <c r="C1279"/>
      <c r="D1279"/>
      <c r="E1279"/>
      <c r="F1279"/>
      <c r="G1279"/>
      <c r="H1279"/>
      <c r="I1279"/>
      <c r="J1279"/>
      <c r="K1279"/>
      <c r="L1279"/>
      <c r="M1279"/>
      <c r="S1279" s="54"/>
    </row>
    <row r="1280" spans="1:19" s="15" customFormat="1" x14ac:dyDescent="0.3">
      <c r="A1280" s="17"/>
      <c r="B1280"/>
      <c r="C1280"/>
      <c r="D1280"/>
      <c r="E1280"/>
      <c r="F1280"/>
      <c r="G1280"/>
      <c r="H1280"/>
      <c r="I1280"/>
      <c r="J1280"/>
      <c r="K1280"/>
      <c r="L1280"/>
      <c r="M1280"/>
      <c r="S1280" s="54"/>
    </row>
    <row r="1281" spans="1:19" s="15" customFormat="1" x14ac:dyDescent="0.3">
      <c r="A1281" s="17"/>
      <c r="B1281"/>
      <c r="C1281"/>
      <c r="D1281"/>
      <c r="E1281"/>
      <c r="F1281"/>
      <c r="G1281"/>
      <c r="H1281"/>
      <c r="I1281"/>
      <c r="J1281"/>
      <c r="K1281"/>
      <c r="L1281"/>
      <c r="M1281"/>
      <c r="S1281" s="54"/>
    </row>
    <row r="1282" spans="1:19" s="15" customFormat="1" x14ac:dyDescent="0.3">
      <c r="A1282" s="17"/>
      <c r="B1282"/>
      <c r="C1282"/>
      <c r="D1282"/>
      <c r="E1282"/>
      <c r="F1282"/>
      <c r="G1282"/>
      <c r="H1282"/>
      <c r="I1282"/>
      <c r="J1282"/>
      <c r="K1282"/>
      <c r="L1282"/>
      <c r="M1282"/>
      <c r="S1282" s="54"/>
    </row>
    <row r="1283" spans="1:19" s="15" customFormat="1" x14ac:dyDescent="0.3">
      <c r="A1283" s="17"/>
      <c r="B1283"/>
      <c r="C1283"/>
      <c r="D1283"/>
      <c r="E1283"/>
      <c r="F1283"/>
      <c r="G1283"/>
      <c r="H1283"/>
      <c r="I1283"/>
      <c r="J1283"/>
      <c r="K1283"/>
      <c r="L1283"/>
      <c r="M1283"/>
      <c r="S1283" s="54"/>
    </row>
    <row r="1284" spans="1:19" s="15" customFormat="1" x14ac:dyDescent="0.3">
      <c r="A1284" s="17"/>
      <c r="B1284"/>
      <c r="C1284"/>
      <c r="D1284"/>
      <c r="E1284"/>
      <c r="F1284"/>
      <c r="G1284"/>
      <c r="H1284"/>
      <c r="I1284"/>
      <c r="J1284"/>
      <c r="K1284"/>
      <c r="L1284"/>
      <c r="M1284"/>
      <c r="S1284" s="54"/>
    </row>
    <row r="1285" spans="1:19" s="15" customFormat="1" x14ac:dyDescent="0.3">
      <c r="A1285" s="17"/>
      <c r="B1285"/>
      <c r="C1285"/>
      <c r="D1285"/>
      <c r="E1285"/>
      <c r="F1285"/>
      <c r="G1285"/>
      <c r="H1285"/>
      <c r="I1285"/>
      <c r="J1285"/>
      <c r="K1285"/>
      <c r="L1285"/>
      <c r="M1285"/>
      <c r="S1285" s="54"/>
    </row>
    <row r="1286" spans="1:19" s="15" customFormat="1" x14ac:dyDescent="0.3">
      <c r="A1286" s="17"/>
      <c r="B1286"/>
      <c r="C1286"/>
      <c r="D1286"/>
      <c r="E1286"/>
      <c r="F1286"/>
      <c r="G1286"/>
      <c r="H1286"/>
      <c r="I1286"/>
      <c r="J1286"/>
      <c r="K1286"/>
      <c r="L1286"/>
      <c r="M1286"/>
      <c r="S1286" s="54"/>
    </row>
    <row r="1287" spans="1:19" s="15" customFormat="1" x14ac:dyDescent="0.3">
      <c r="A1287" s="17"/>
      <c r="B1287"/>
      <c r="C1287"/>
      <c r="D1287"/>
      <c r="E1287"/>
      <c r="F1287"/>
      <c r="G1287"/>
      <c r="H1287"/>
      <c r="I1287"/>
      <c r="J1287"/>
      <c r="K1287"/>
      <c r="L1287"/>
      <c r="M1287"/>
      <c r="S1287" s="54"/>
    </row>
    <row r="1288" spans="1:19" s="15" customFormat="1" x14ac:dyDescent="0.3">
      <c r="A1288" s="17"/>
      <c r="B1288"/>
      <c r="C1288"/>
      <c r="D1288"/>
      <c r="E1288"/>
      <c r="F1288"/>
      <c r="G1288"/>
      <c r="H1288"/>
      <c r="I1288"/>
      <c r="J1288"/>
      <c r="K1288"/>
      <c r="L1288"/>
      <c r="M1288"/>
      <c r="S1288" s="54"/>
    </row>
    <row r="1289" spans="1:19" s="15" customFormat="1" x14ac:dyDescent="0.3">
      <c r="A1289" s="17"/>
      <c r="B1289"/>
      <c r="C1289"/>
      <c r="D1289"/>
      <c r="E1289"/>
      <c r="F1289"/>
      <c r="G1289"/>
      <c r="H1289"/>
      <c r="I1289"/>
      <c r="J1289"/>
      <c r="K1289"/>
      <c r="L1289"/>
      <c r="M1289"/>
      <c r="S1289" s="54"/>
    </row>
    <row r="1290" spans="1:19" s="15" customFormat="1" x14ac:dyDescent="0.3">
      <c r="A1290" s="17"/>
      <c r="B1290"/>
      <c r="C1290"/>
      <c r="D1290"/>
      <c r="E1290"/>
      <c r="F1290"/>
      <c r="G1290"/>
      <c r="H1290"/>
      <c r="I1290"/>
      <c r="J1290"/>
      <c r="K1290"/>
      <c r="L1290"/>
      <c r="M1290"/>
      <c r="S1290" s="54"/>
    </row>
    <row r="1291" spans="1:19" s="15" customFormat="1" x14ac:dyDescent="0.3">
      <c r="A1291" s="17"/>
      <c r="B1291"/>
      <c r="C1291"/>
      <c r="D1291"/>
      <c r="E1291"/>
      <c r="F1291"/>
      <c r="G1291"/>
      <c r="H1291"/>
      <c r="I1291"/>
      <c r="J1291"/>
      <c r="K1291"/>
      <c r="L1291"/>
      <c r="M1291"/>
      <c r="S1291" s="54"/>
    </row>
    <row r="1292" spans="1:19" s="15" customFormat="1" x14ac:dyDescent="0.3">
      <c r="A1292" s="17"/>
      <c r="B1292"/>
      <c r="C1292"/>
      <c r="D1292"/>
      <c r="E1292"/>
      <c r="F1292"/>
      <c r="G1292"/>
      <c r="H1292"/>
      <c r="I1292"/>
      <c r="J1292"/>
      <c r="K1292"/>
      <c r="L1292"/>
      <c r="M1292"/>
      <c r="S1292" s="54"/>
    </row>
    <row r="1293" spans="1:19" s="15" customFormat="1" x14ac:dyDescent="0.3">
      <c r="A1293" s="17"/>
      <c r="B1293"/>
      <c r="C1293"/>
      <c r="D1293"/>
      <c r="E1293"/>
      <c r="F1293"/>
      <c r="G1293"/>
      <c r="H1293"/>
      <c r="I1293"/>
      <c r="J1293"/>
      <c r="K1293"/>
      <c r="L1293"/>
      <c r="M1293"/>
      <c r="S1293" s="54"/>
    </row>
    <row r="1294" spans="1:19" s="15" customFormat="1" x14ac:dyDescent="0.3">
      <c r="A1294" s="17"/>
      <c r="B1294"/>
      <c r="C1294"/>
      <c r="D1294"/>
      <c r="E1294"/>
      <c r="F1294"/>
      <c r="G1294"/>
      <c r="H1294"/>
      <c r="I1294"/>
      <c r="J1294"/>
      <c r="K1294"/>
      <c r="L1294"/>
      <c r="M1294"/>
      <c r="S1294" s="54"/>
    </row>
    <row r="1295" spans="1:19" s="15" customFormat="1" x14ac:dyDescent="0.3">
      <c r="A1295" s="17"/>
      <c r="B1295"/>
      <c r="C1295"/>
      <c r="D1295"/>
      <c r="E1295"/>
      <c r="F1295"/>
      <c r="G1295"/>
      <c r="H1295"/>
      <c r="I1295"/>
      <c r="J1295"/>
      <c r="K1295"/>
      <c r="L1295"/>
      <c r="M1295"/>
      <c r="S1295" s="54"/>
    </row>
    <row r="1296" spans="1:19" s="15" customFormat="1" x14ac:dyDescent="0.3">
      <c r="A1296" s="17"/>
      <c r="B1296"/>
      <c r="C1296"/>
      <c r="D1296"/>
      <c r="E1296"/>
      <c r="F1296"/>
      <c r="G1296"/>
      <c r="H1296"/>
      <c r="I1296"/>
      <c r="J1296"/>
      <c r="K1296"/>
      <c r="L1296"/>
      <c r="M1296"/>
      <c r="S1296" s="54"/>
    </row>
    <row r="1297" spans="1:19" s="15" customFormat="1" x14ac:dyDescent="0.3">
      <c r="A1297" s="17"/>
      <c r="B1297"/>
      <c r="C1297"/>
      <c r="D1297"/>
      <c r="E1297"/>
      <c r="F1297"/>
      <c r="G1297"/>
      <c r="H1297"/>
      <c r="I1297"/>
      <c r="J1297"/>
      <c r="K1297"/>
      <c r="L1297"/>
      <c r="M1297"/>
      <c r="S1297" s="54"/>
    </row>
    <row r="1298" spans="1:19" s="15" customFormat="1" x14ac:dyDescent="0.3">
      <c r="A1298" s="17"/>
      <c r="B1298"/>
      <c r="C1298"/>
      <c r="D1298"/>
      <c r="E1298"/>
      <c r="F1298"/>
      <c r="G1298"/>
      <c r="H1298"/>
      <c r="I1298"/>
      <c r="J1298"/>
      <c r="K1298"/>
      <c r="L1298"/>
      <c r="M1298"/>
      <c r="S1298" s="54"/>
    </row>
    <row r="1299" spans="1:19" s="15" customFormat="1" x14ac:dyDescent="0.3">
      <c r="A1299" s="17"/>
      <c r="B1299"/>
      <c r="C1299"/>
      <c r="D1299"/>
      <c r="E1299"/>
      <c r="F1299"/>
      <c r="G1299"/>
      <c r="H1299"/>
      <c r="I1299"/>
      <c r="J1299"/>
      <c r="K1299"/>
      <c r="L1299"/>
      <c r="M1299"/>
      <c r="S1299" s="54"/>
    </row>
    <row r="1300" spans="1:19" s="15" customFormat="1" x14ac:dyDescent="0.3">
      <c r="A1300" s="17"/>
      <c r="B1300"/>
      <c r="C1300"/>
      <c r="D1300"/>
      <c r="E1300"/>
      <c r="F1300"/>
      <c r="G1300"/>
      <c r="H1300"/>
      <c r="I1300"/>
      <c r="J1300"/>
      <c r="K1300"/>
      <c r="L1300"/>
      <c r="M1300"/>
      <c r="S1300" s="54"/>
    </row>
    <row r="1301" spans="1:19" s="15" customFormat="1" x14ac:dyDescent="0.3">
      <c r="A1301" s="17"/>
      <c r="B1301"/>
      <c r="C1301"/>
      <c r="D1301"/>
      <c r="E1301"/>
      <c r="F1301"/>
      <c r="G1301"/>
      <c r="H1301"/>
      <c r="I1301"/>
      <c r="J1301"/>
      <c r="K1301"/>
      <c r="L1301"/>
      <c r="M1301"/>
      <c r="S1301" s="54"/>
    </row>
    <row r="1302" spans="1:19" s="15" customFormat="1" x14ac:dyDescent="0.3">
      <c r="A1302" s="17"/>
      <c r="B1302"/>
      <c r="C1302"/>
      <c r="D1302"/>
      <c r="E1302"/>
      <c r="F1302"/>
      <c r="G1302"/>
      <c r="H1302"/>
      <c r="I1302"/>
      <c r="J1302"/>
      <c r="K1302"/>
      <c r="L1302"/>
      <c r="M1302"/>
      <c r="S1302" s="54"/>
    </row>
    <row r="1303" spans="1:19" s="15" customFormat="1" x14ac:dyDescent="0.3">
      <c r="A1303" s="17"/>
      <c r="B1303"/>
      <c r="C1303"/>
      <c r="D1303"/>
      <c r="E1303"/>
      <c r="F1303"/>
      <c r="G1303"/>
      <c r="H1303"/>
      <c r="I1303"/>
      <c r="J1303"/>
      <c r="K1303"/>
      <c r="L1303"/>
      <c r="M1303"/>
      <c r="S1303" s="54"/>
    </row>
    <row r="1304" spans="1:19" s="15" customFormat="1" x14ac:dyDescent="0.3">
      <c r="A1304" s="17"/>
      <c r="B1304"/>
      <c r="C1304"/>
      <c r="D1304"/>
      <c r="E1304"/>
      <c r="F1304"/>
      <c r="G1304"/>
      <c r="H1304"/>
      <c r="I1304"/>
      <c r="J1304"/>
      <c r="K1304"/>
      <c r="L1304"/>
      <c r="M1304"/>
      <c r="S1304" s="54"/>
    </row>
    <row r="1305" spans="1:19" s="15" customFormat="1" x14ac:dyDescent="0.3">
      <c r="A1305" s="17"/>
      <c r="B1305"/>
      <c r="C1305"/>
      <c r="D1305"/>
      <c r="E1305"/>
      <c r="F1305"/>
      <c r="G1305"/>
      <c r="H1305"/>
      <c r="I1305"/>
      <c r="J1305"/>
      <c r="K1305"/>
      <c r="L1305"/>
      <c r="M1305"/>
      <c r="S1305" s="54"/>
    </row>
    <row r="1306" spans="1:19" s="15" customFormat="1" x14ac:dyDescent="0.3">
      <c r="A1306" s="17"/>
      <c r="B1306"/>
      <c r="C1306"/>
      <c r="D1306"/>
      <c r="E1306"/>
      <c r="F1306"/>
      <c r="G1306"/>
      <c r="H1306"/>
      <c r="I1306"/>
      <c r="J1306"/>
      <c r="K1306"/>
      <c r="L1306"/>
      <c r="M1306"/>
      <c r="S1306" s="54"/>
    </row>
    <row r="1307" spans="1:19" s="15" customFormat="1" x14ac:dyDescent="0.3">
      <c r="A1307" s="17"/>
      <c r="B1307"/>
      <c r="C1307"/>
      <c r="D1307"/>
      <c r="E1307"/>
      <c r="F1307"/>
      <c r="G1307"/>
      <c r="H1307"/>
      <c r="I1307"/>
      <c r="J1307"/>
      <c r="K1307"/>
      <c r="L1307"/>
      <c r="M1307"/>
      <c r="S1307" s="54"/>
    </row>
    <row r="1308" spans="1:19" s="15" customFormat="1" x14ac:dyDescent="0.3">
      <c r="A1308" s="17"/>
      <c r="B1308"/>
      <c r="C1308"/>
      <c r="D1308"/>
      <c r="E1308"/>
      <c r="F1308"/>
      <c r="G1308"/>
      <c r="H1308"/>
      <c r="I1308"/>
      <c r="J1308"/>
      <c r="K1308"/>
      <c r="L1308"/>
      <c r="M1308"/>
      <c r="S1308" s="54"/>
    </row>
    <row r="1309" spans="1:19" s="15" customFormat="1" x14ac:dyDescent="0.3">
      <c r="A1309" s="17"/>
      <c r="B1309"/>
      <c r="C1309"/>
      <c r="D1309"/>
      <c r="E1309"/>
      <c r="F1309"/>
      <c r="G1309"/>
      <c r="H1309"/>
      <c r="I1309"/>
      <c r="J1309"/>
      <c r="K1309"/>
      <c r="L1309"/>
      <c r="M1309"/>
      <c r="S1309" s="54"/>
    </row>
    <row r="1310" spans="1:19" s="15" customFormat="1" x14ac:dyDescent="0.3">
      <c r="A1310" s="17"/>
      <c r="B1310"/>
      <c r="C1310"/>
      <c r="D1310"/>
      <c r="E1310"/>
      <c r="F1310"/>
      <c r="G1310"/>
      <c r="H1310"/>
      <c r="I1310"/>
      <c r="J1310"/>
      <c r="K1310"/>
      <c r="L1310"/>
      <c r="M1310"/>
      <c r="S1310" s="54"/>
    </row>
    <row r="1311" spans="1:19" s="15" customFormat="1" x14ac:dyDescent="0.3">
      <c r="A1311" s="17"/>
      <c r="B1311"/>
      <c r="C1311"/>
      <c r="D1311"/>
      <c r="E1311"/>
      <c r="F1311"/>
      <c r="G1311"/>
      <c r="H1311"/>
      <c r="I1311"/>
      <c r="J1311"/>
      <c r="K1311"/>
      <c r="L1311"/>
      <c r="M1311"/>
      <c r="S1311" s="54"/>
    </row>
    <row r="1312" spans="1:19" s="15" customFormat="1" x14ac:dyDescent="0.3">
      <c r="A1312" s="17"/>
      <c r="B1312"/>
      <c r="C1312"/>
      <c r="D1312"/>
      <c r="E1312"/>
      <c r="F1312"/>
      <c r="G1312"/>
      <c r="H1312"/>
      <c r="I1312"/>
      <c r="J1312"/>
      <c r="K1312"/>
      <c r="L1312"/>
      <c r="M1312"/>
      <c r="S1312" s="54"/>
    </row>
    <row r="1313" spans="1:19" s="15" customFormat="1" x14ac:dyDescent="0.3">
      <c r="A1313" s="17"/>
      <c r="B1313"/>
      <c r="C1313"/>
      <c r="D1313"/>
      <c r="E1313"/>
      <c r="F1313"/>
      <c r="G1313"/>
      <c r="H1313"/>
      <c r="I1313"/>
      <c r="J1313"/>
      <c r="K1313"/>
      <c r="L1313"/>
      <c r="M1313"/>
      <c r="S1313" s="54"/>
    </row>
    <row r="1314" spans="1:19" s="15" customFormat="1" x14ac:dyDescent="0.3">
      <c r="A1314" s="17"/>
      <c r="B1314"/>
      <c r="C1314"/>
      <c r="D1314"/>
      <c r="E1314"/>
      <c r="F1314"/>
      <c r="G1314"/>
      <c r="H1314"/>
      <c r="I1314"/>
      <c r="J1314"/>
      <c r="K1314"/>
      <c r="L1314"/>
      <c r="M1314"/>
      <c r="S1314" s="54"/>
    </row>
    <row r="1315" spans="1:19" s="15" customFormat="1" x14ac:dyDescent="0.3">
      <c r="A1315" s="17"/>
      <c r="B1315"/>
      <c r="C1315"/>
      <c r="D1315"/>
      <c r="E1315"/>
      <c r="F1315"/>
      <c r="G1315"/>
      <c r="H1315"/>
      <c r="I1315"/>
      <c r="J1315"/>
      <c r="K1315"/>
      <c r="L1315"/>
      <c r="M1315"/>
      <c r="S1315" s="54"/>
    </row>
    <row r="1316" spans="1:19" s="15" customFormat="1" x14ac:dyDescent="0.3">
      <c r="A1316" s="17"/>
      <c r="B1316"/>
      <c r="C1316"/>
      <c r="D1316"/>
      <c r="E1316"/>
      <c r="F1316"/>
      <c r="G1316"/>
      <c r="H1316"/>
      <c r="I1316"/>
      <c r="J1316"/>
      <c r="K1316"/>
      <c r="L1316"/>
      <c r="M1316"/>
      <c r="S1316" s="54"/>
    </row>
    <row r="1317" spans="1:19" s="15" customFormat="1" x14ac:dyDescent="0.3">
      <c r="A1317" s="17"/>
      <c r="B1317"/>
      <c r="C1317"/>
      <c r="D1317"/>
      <c r="E1317"/>
      <c r="F1317"/>
      <c r="G1317"/>
      <c r="H1317"/>
      <c r="I1317"/>
      <c r="J1317"/>
      <c r="K1317"/>
      <c r="L1317"/>
      <c r="M1317"/>
      <c r="S1317" s="54"/>
    </row>
    <row r="1318" spans="1:19" s="15" customFormat="1" x14ac:dyDescent="0.3">
      <c r="A1318" s="17"/>
      <c r="B1318"/>
      <c r="C1318"/>
      <c r="D1318"/>
      <c r="E1318"/>
      <c r="F1318"/>
      <c r="G1318"/>
      <c r="H1318"/>
      <c r="I1318"/>
      <c r="J1318"/>
      <c r="K1318"/>
      <c r="L1318"/>
      <c r="M1318"/>
      <c r="S1318" s="54"/>
    </row>
    <row r="1319" spans="1:19" s="15" customFormat="1" x14ac:dyDescent="0.3">
      <c r="A1319" s="17"/>
      <c r="B1319"/>
      <c r="C1319"/>
      <c r="D1319"/>
      <c r="E1319"/>
      <c r="F1319"/>
      <c r="G1319"/>
      <c r="H1319"/>
      <c r="I1319"/>
      <c r="J1319"/>
      <c r="K1319"/>
      <c r="L1319"/>
      <c r="M1319"/>
      <c r="S1319" s="54"/>
    </row>
    <row r="1320" spans="1:19" s="15" customFormat="1" x14ac:dyDescent="0.3">
      <c r="A1320" s="17"/>
      <c r="B1320"/>
      <c r="C1320"/>
      <c r="D1320"/>
      <c r="E1320"/>
      <c r="F1320"/>
      <c r="G1320"/>
      <c r="H1320"/>
      <c r="I1320"/>
      <c r="J1320"/>
      <c r="K1320"/>
      <c r="L1320"/>
      <c r="M1320"/>
      <c r="S1320" s="54"/>
    </row>
    <row r="1321" spans="1:19" s="15" customFormat="1" x14ac:dyDescent="0.3">
      <c r="A1321" s="17"/>
      <c r="B1321"/>
      <c r="C1321"/>
      <c r="D1321"/>
      <c r="E1321"/>
      <c r="F1321"/>
      <c r="G1321"/>
      <c r="H1321"/>
      <c r="I1321"/>
      <c r="J1321"/>
      <c r="K1321"/>
      <c r="L1321"/>
      <c r="M1321"/>
      <c r="S1321" s="54"/>
    </row>
    <row r="1322" spans="1:19" s="15" customFormat="1" x14ac:dyDescent="0.3">
      <c r="A1322" s="17"/>
      <c r="B1322"/>
      <c r="C1322"/>
      <c r="D1322"/>
      <c r="E1322"/>
      <c r="F1322"/>
      <c r="G1322"/>
      <c r="H1322"/>
      <c r="I1322"/>
      <c r="J1322"/>
      <c r="K1322"/>
      <c r="L1322"/>
      <c r="M1322"/>
      <c r="S1322" s="54"/>
    </row>
    <row r="1323" spans="1:19" s="15" customFormat="1" x14ac:dyDescent="0.3">
      <c r="A1323" s="17"/>
      <c r="B1323"/>
      <c r="C1323"/>
      <c r="D1323"/>
      <c r="E1323"/>
      <c r="F1323"/>
      <c r="G1323"/>
      <c r="H1323"/>
      <c r="I1323"/>
      <c r="J1323"/>
      <c r="K1323"/>
      <c r="L1323"/>
      <c r="M1323"/>
      <c r="S1323" s="54"/>
    </row>
    <row r="1324" spans="1:19" s="15" customFormat="1" x14ac:dyDescent="0.3">
      <c r="A1324" s="17"/>
      <c r="B1324"/>
      <c r="C1324"/>
      <c r="D1324"/>
      <c r="E1324"/>
      <c r="F1324"/>
      <c r="G1324"/>
      <c r="H1324"/>
      <c r="I1324"/>
      <c r="J1324"/>
      <c r="K1324"/>
      <c r="L1324"/>
      <c r="M1324"/>
      <c r="S1324" s="54"/>
    </row>
    <row r="1325" spans="1:19" s="15" customFormat="1" x14ac:dyDescent="0.3">
      <c r="A1325" s="17"/>
      <c r="B1325"/>
      <c r="C1325"/>
      <c r="D1325"/>
      <c r="E1325"/>
      <c r="F1325"/>
      <c r="G1325"/>
      <c r="H1325"/>
      <c r="I1325"/>
      <c r="J1325"/>
      <c r="K1325"/>
      <c r="L1325"/>
      <c r="M1325"/>
      <c r="S1325" s="54"/>
    </row>
    <row r="1326" spans="1:19" s="15" customFormat="1" x14ac:dyDescent="0.3">
      <c r="A1326" s="17"/>
      <c r="B1326"/>
      <c r="C1326"/>
      <c r="D1326"/>
      <c r="E1326"/>
      <c r="F1326"/>
      <c r="G1326"/>
      <c r="H1326"/>
      <c r="I1326"/>
      <c r="J1326"/>
      <c r="K1326"/>
      <c r="L1326"/>
      <c r="M1326"/>
      <c r="S1326" s="54"/>
    </row>
    <row r="1327" spans="1:19" s="15" customFormat="1" x14ac:dyDescent="0.3">
      <c r="A1327" s="17"/>
      <c r="B1327"/>
      <c r="C1327"/>
      <c r="D1327"/>
      <c r="E1327"/>
      <c r="F1327"/>
      <c r="G1327"/>
      <c r="H1327"/>
      <c r="I1327"/>
      <c r="J1327"/>
      <c r="K1327"/>
      <c r="L1327"/>
      <c r="M1327"/>
      <c r="S1327" s="54"/>
    </row>
    <row r="1328" spans="1:19" s="15" customFormat="1" x14ac:dyDescent="0.3">
      <c r="A1328" s="17"/>
      <c r="B1328"/>
      <c r="C1328"/>
      <c r="D1328"/>
      <c r="E1328"/>
      <c r="F1328"/>
      <c r="G1328"/>
      <c r="H1328"/>
      <c r="I1328"/>
      <c r="J1328"/>
      <c r="K1328"/>
      <c r="L1328"/>
      <c r="M1328"/>
      <c r="S1328" s="54"/>
    </row>
    <row r="1329" spans="1:19" s="15" customFormat="1" x14ac:dyDescent="0.3">
      <c r="A1329" s="17"/>
      <c r="B1329"/>
      <c r="C1329"/>
      <c r="D1329"/>
      <c r="E1329"/>
      <c r="F1329"/>
      <c r="G1329"/>
      <c r="H1329"/>
      <c r="I1329"/>
      <c r="J1329"/>
      <c r="K1329"/>
      <c r="L1329"/>
      <c r="M1329"/>
      <c r="S1329" s="54"/>
    </row>
    <row r="1330" spans="1:19" s="15" customFormat="1" x14ac:dyDescent="0.3">
      <c r="A1330" s="17"/>
      <c r="B1330"/>
      <c r="C1330"/>
      <c r="D1330"/>
      <c r="E1330"/>
      <c r="F1330"/>
      <c r="G1330"/>
      <c r="H1330"/>
      <c r="I1330"/>
      <c r="J1330"/>
      <c r="K1330"/>
      <c r="L1330"/>
      <c r="M1330"/>
      <c r="S1330" s="54"/>
    </row>
    <row r="1331" spans="1:19" s="15" customFormat="1" x14ac:dyDescent="0.3">
      <c r="A1331" s="17"/>
      <c r="B1331"/>
      <c r="C1331"/>
      <c r="D1331"/>
      <c r="E1331"/>
      <c r="F1331"/>
      <c r="G1331"/>
      <c r="H1331"/>
      <c r="I1331"/>
      <c r="J1331"/>
      <c r="K1331"/>
      <c r="L1331"/>
      <c r="M1331"/>
      <c r="S1331" s="54"/>
    </row>
    <row r="1332" spans="1:19" s="15" customFormat="1" x14ac:dyDescent="0.3">
      <c r="A1332" s="17"/>
      <c r="B1332"/>
      <c r="C1332"/>
      <c r="D1332"/>
      <c r="E1332"/>
      <c r="F1332"/>
      <c r="G1332"/>
      <c r="H1332"/>
      <c r="I1332"/>
      <c r="J1332"/>
      <c r="K1332"/>
      <c r="L1332"/>
      <c r="M1332"/>
      <c r="S1332" s="54"/>
    </row>
    <row r="1333" spans="1:19" s="15" customFormat="1" x14ac:dyDescent="0.3">
      <c r="A1333" s="17"/>
      <c r="B1333"/>
      <c r="C1333"/>
      <c r="D1333"/>
      <c r="E1333"/>
      <c r="F1333"/>
      <c r="G1333"/>
      <c r="H1333"/>
      <c r="I1333"/>
      <c r="J1333"/>
      <c r="K1333"/>
      <c r="L1333"/>
      <c r="M1333"/>
      <c r="S1333" s="54"/>
    </row>
    <row r="1334" spans="1:19" s="15" customFormat="1" x14ac:dyDescent="0.3">
      <c r="A1334" s="17"/>
      <c r="B1334"/>
      <c r="C1334"/>
      <c r="D1334"/>
      <c r="E1334"/>
      <c r="F1334"/>
      <c r="G1334"/>
      <c r="H1334"/>
      <c r="I1334"/>
      <c r="J1334"/>
      <c r="K1334"/>
      <c r="L1334"/>
      <c r="M1334"/>
      <c r="S1334" s="54"/>
    </row>
    <row r="1335" spans="1:19" s="15" customFormat="1" x14ac:dyDescent="0.3">
      <c r="A1335" s="17"/>
      <c r="B1335"/>
      <c r="C1335"/>
      <c r="D1335"/>
      <c r="E1335"/>
      <c r="F1335"/>
      <c r="G1335"/>
      <c r="H1335"/>
      <c r="I1335"/>
      <c r="J1335"/>
      <c r="K1335"/>
      <c r="L1335"/>
      <c r="M1335"/>
      <c r="S1335" s="54"/>
    </row>
    <row r="1336" spans="1:19" s="15" customFormat="1" x14ac:dyDescent="0.3">
      <c r="A1336" s="17"/>
      <c r="B1336"/>
      <c r="C1336"/>
      <c r="D1336"/>
      <c r="E1336"/>
      <c r="F1336"/>
      <c r="G1336"/>
      <c r="H1336"/>
      <c r="I1336"/>
      <c r="J1336"/>
      <c r="K1336"/>
      <c r="L1336"/>
      <c r="M1336"/>
      <c r="S1336" s="54"/>
    </row>
    <row r="1337" spans="1:19" s="15" customFormat="1" x14ac:dyDescent="0.3">
      <c r="A1337" s="17"/>
      <c r="B1337"/>
      <c r="C1337"/>
      <c r="D1337"/>
      <c r="E1337"/>
      <c r="F1337"/>
      <c r="G1337"/>
      <c r="H1337"/>
      <c r="I1337"/>
      <c r="J1337"/>
      <c r="K1337"/>
      <c r="L1337"/>
      <c r="M1337"/>
      <c r="S1337" s="54"/>
    </row>
    <row r="1338" spans="1:19" s="15" customFormat="1" x14ac:dyDescent="0.3">
      <c r="A1338" s="17"/>
      <c r="B1338"/>
      <c r="C1338"/>
      <c r="D1338"/>
      <c r="E1338"/>
      <c r="F1338"/>
      <c r="G1338"/>
      <c r="H1338"/>
      <c r="I1338"/>
      <c r="J1338"/>
      <c r="K1338"/>
      <c r="L1338"/>
      <c r="M1338"/>
      <c r="S1338" s="54"/>
    </row>
    <row r="1339" spans="1:19" s="15" customFormat="1" x14ac:dyDescent="0.3">
      <c r="A1339" s="17"/>
      <c r="B1339"/>
      <c r="C1339"/>
      <c r="D1339"/>
      <c r="E1339"/>
      <c r="F1339"/>
      <c r="G1339"/>
      <c r="H1339"/>
      <c r="I1339"/>
      <c r="J1339"/>
      <c r="K1339"/>
      <c r="L1339"/>
      <c r="M1339"/>
      <c r="S1339" s="54"/>
    </row>
    <row r="1340" spans="1:19" s="15" customFormat="1" x14ac:dyDescent="0.3">
      <c r="A1340" s="17"/>
      <c r="B1340"/>
      <c r="C1340"/>
      <c r="D1340"/>
      <c r="E1340"/>
      <c r="F1340"/>
      <c r="G1340"/>
      <c r="H1340"/>
      <c r="I1340"/>
      <c r="J1340"/>
      <c r="K1340"/>
      <c r="L1340"/>
      <c r="M1340"/>
      <c r="S1340" s="54"/>
    </row>
    <row r="1341" spans="1:19" s="15" customFormat="1" x14ac:dyDescent="0.3">
      <c r="A1341" s="17"/>
      <c r="B1341"/>
      <c r="C1341"/>
      <c r="D1341"/>
      <c r="E1341"/>
      <c r="F1341"/>
      <c r="G1341"/>
      <c r="H1341"/>
      <c r="I1341"/>
      <c r="J1341"/>
      <c r="K1341"/>
      <c r="L1341"/>
      <c r="M1341"/>
      <c r="S1341" s="54"/>
    </row>
    <row r="1342" spans="1:19" s="15" customFormat="1" x14ac:dyDescent="0.3">
      <c r="A1342" s="17"/>
      <c r="B1342"/>
      <c r="C1342"/>
      <c r="D1342"/>
      <c r="E1342"/>
      <c r="F1342"/>
      <c r="G1342"/>
      <c r="H1342"/>
      <c r="I1342"/>
      <c r="J1342"/>
      <c r="K1342"/>
      <c r="L1342"/>
      <c r="M1342"/>
      <c r="S1342" s="54"/>
    </row>
    <row r="1343" spans="1:19" s="15" customFormat="1" x14ac:dyDescent="0.3">
      <c r="A1343" s="17"/>
      <c r="B1343"/>
      <c r="C1343"/>
      <c r="D1343"/>
      <c r="E1343"/>
      <c r="F1343"/>
      <c r="G1343"/>
      <c r="H1343"/>
      <c r="I1343"/>
      <c r="J1343"/>
      <c r="K1343"/>
      <c r="L1343"/>
      <c r="M1343"/>
      <c r="S1343" s="54"/>
    </row>
    <row r="1344" spans="1:19" s="15" customFormat="1" x14ac:dyDescent="0.3">
      <c r="A1344" s="17"/>
      <c r="B1344"/>
      <c r="C1344"/>
      <c r="D1344"/>
      <c r="E1344"/>
      <c r="F1344"/>
      <c r="G1344"/>
      <c r="H1344"/>
      <c r="I1344"/>
      <c r="J1344"/>
      <c r="K1344"/>
      <c r="L1344"/>
      <c r="M1344"/>
      <c r="S1344" s="54"/>
    </row>
    <row r="1345" spans="1:19" s="15" customFormat="1" x14ac:dyDescent="0.3">
      <c r="A1345" s="17"/>
      <c r="B1345"/>
      <c r="C1345"/>
      <c r="D1345"/>
      <c r="E1345"/>
      <c r="F1345"/>
      <c r="G1345"/>
      <c r="H1345"/>
      <c r="I1345"/>
      <c r="J1345"/>
      <c r="K1345"/>
      <c r="L1345"/>
      <c r="M1345"/>
      <c r="S1345" s="54"/>
    </row>
    <row r="1346" spans="1:19" s="15" customFormat="1" x14ac:dyDescent="0.3">
      <c r="A1346" s="17"/>
      <c r="B1346"/>
      <c r="C1346"/>
      <c r="D1346"/>
      <c r="E1346"/>
      <c r="F1346"/>
      <c r="G1346"/>
      <c r="H1346"/>
      <c r="I1346"/>
      <c r="J1346"/>
      <c r="K1346"/>
      <c r="L1346"/>
      <c r="M1346"/>
      <c r="S1346" s="54"/>
    </row>
    <row r="1347" spans="1:19" s="15" customFormat="1" x14ac:dyDescent="0.3">
      <c r="A1347" s="17"/>
      <c r="B1347"/>
      <c r="C1347"/>
      <c r="D1347"/>
      <c r="E1347"/>
      <c r="F1347"/>
      <c r="G1347"/>
      <c r="H1347"/>
      <c r="I1347"/>
      <c r="J1347"/>
      <c r="K1347"/>
      <c r="L1347"/>
      <c r="M1347"/>
      <c r="S1347" s="54"/>
    </row>
    <row r="1348" spans="1:19" s="15" customFormat="1" x14ac:dyDescent="0.3">
      <c r="A1348" s="17"/>
      <c r="B1348"/>
      <c r="C1348"/>
      <c r="D1348"/>
      <c r="E1348"/>
      <c r="F1348"/>
      <c r="G1348"/>
      <c r="H1348"/>
      <c r="I1348"/>
      <c r="J1348"/>
      <c r="K1348"/>
      <c r="L1348"/>
      <c r="M1348"/>
      <c r="S1348" s="54"/>
    </row>
    <row r="1349" spans="1:19" s="15" customFormat="1" x14ac:dyDescent="0.3">
      <c r="A1349" s="17"/>
      <c r="B1349"/>
      <c r="C1349"/>
      <c r="D1349"/>
      <c r="E1349"/>
      <c r="F1349"/>
      <c r="G1349"/>
      <c r="H1349"/>
      <c r="I1349"/>
      <c r="J1349"/>
      <c r="K1349"/>
      <c r="L1349"/>
      <c r="M1349"/>
      <c r="S1349" s="54"/>
    </row>
    <row r="1350" spans="1:19" s="15" customFormat="1" x14ac:dyDescent="0.3">
      <c r="A1350" s="17"/>
      <c r="B1350"/>
      <c r="C1350"/>
      <c r="D1350"/>
      <c r="E1350"/>
      <c r="F1350"/>
      <c r="G1350"/>
      <c r="H1350"/>
      <c r="I1350"/>
      <c r="J1350"/>
      <c r="K1350"/>
      <c r="L1350"/>
      <c r="M1350"/>
      <c r="S1350" s="54"/>
    </row>
    <row r="1351" spans="1:19" s="15" customFormat="1" x14ac:dyDescent="0.3">
      <c r="A1351" s="17"/>
      <c r="B1351"/>
      <c r="C1351"/>
      <c r="D1351"/>
      <c r="E1351"/>
      <c r="F1351"/>
      <c r="G1351"/>
      <c r="H1351"/>
      <c r="I1351"/>
      <c r="J1351"/>
      <c r="K1351"/>
      <c r="L1351"/>
      <c r="M1351"/>
      <c r="S1351" s="54"/>
    </row>
    <row r="1352" spans="1:19" s="15" customFormat="1" x14ac:dyDescent="0.3">
      <c r="A1352" s="17"/>
      <c r="B1352"/>
      <c r="C1352"/>
      <c r="D1352"/>
      <c r="E1352"/>
      <c r="F1352"/>
      <c r="G1352"/>
      <c r="H1352"/>
      <c r="I1352"/>
      <c r="J1352"/>
      <c r="K1352"/>
      <c r="L1352"/>
      <c r="M1352"/>
      <c r="S1352" s="54"/>
    </row>
    <row r="1353" spans="1:19" s="15" customFormat="1" x14ac:dyDescent="0.3">
      <c r="A1353" s="17"/>
      <c r="B1353"/>
      <c r="C1353"/>
      <c r="D1353"/>
      <c r="E1353"/>
      <c r="F1353"/>
      <c r="G1353"/>
      <c r="H1353"/>
      <c r="I1353"/>
      <c r="J1353"/>
      <c r="K1353"/>
      <c r="L1353"/>
      <c r="M1353"/>
      <c r="S1353" s="54"/>
    </row>
    <row r="1354" spans="1:19" s="15" customFormat="1" x14ac:dyDescent="0.3">
      <c r="A1354" s="17"/>
      <c r="B1354"/>
      <c r="C1354"/>
      <c r="D1354"/>
      <c r="E1354"/>
      <c r="F1354"/>
      <c r="G1354"/>
      <c r="H1354"/>
      <c r="I1354"/>
      <c r="J1354"/>
      <c r="K1354"/>
      <c r="L1354"/>
      <c r="M1354"/>
      <c r="S1354" s="54"/>
    </row>
    <row r="1355" spans="1:19" s="15" customFormat="1" x14ac:dyDescent="0.3">
      <c r="A1355" s="17"/>
      <c r="B1355"/>
      <c r="C1355"/>
      <c r="D1355"/>
      <c r="E1355"/>
      <c r="F1355"/>
      <c r="G1355"/>
      <c r="H1355"/>
      <c r="I1355"/>
      <c r="J1355"/>
      <c r="K1355"/>
      <c r="L1355"/>
      <c r="M1355"/>
      <c r="S1355" s="54"/>
    </row>
    <row r="1356" spans="1:19" s="15" customFormat="1" x14ac:dyDescent="0.3">
      <c r="A1356" s="17"/>
      <c r="B1356"/>
      <c r="C1356"/>
      <c r="D1356"/>
      <c r="E1356"/>
      <c r="F1356"/>
      <c r="G1356"/>
      <c r="H1356"/>
      <c r="I1356"/>
      <c r="J1356"/>
      <c r="K1356"/>
      <c r="L1356"/>
      <c r="M1356"/>
      <c r="S1356" s="54"/>
    </row>
    <row r="1357" spans="1:19" s="15" customFormat="1" x14ac:dyDescent="0.3">
      <c r="A1357" s="17"/>
      <c r="B1357"/>
      <c r="C1357"/>
      <c r="D1357"/>
      <c r="E1357"/>
      <c r="F1357"/>
      <c r="G1357"/>
      <c r="H1357"/>
      <c r="I1357"/>
      <c r="J1357"/>
      <c r="K1357"/>
      <c r="L1357"/>
      <c r="M1357"/>
      <c r="S1357" s="54"/>
    </row>
    <row r="1358" spans="1:19" s="15" customFormat="1" x14ac:dyDescent="0.3">
      <c r="A1358" s="17"/>
      <c r="B1358"/>
      <c r="C1358"/>
      <c r="D1358"/>
      <c r="E1358"/>
      <c r="F1358"/>
      <c r="G1358"/>
      <c r="H1358"/>
      <c r="I1358"/>
      <c r="J1358"/>
      <c r="K1358"/>
      <c r="L1358"/>
      <c r="M1358"/>
      <c r="S1358" s="54"/>
    </row>
    <row r="1359" spans="1:19" s="15" customFormat="1" x14ac:dyDescent="0.3">
      <c r="A1359" s="17"/>
      <c r="B1359"/>
      <c r="C1359"/>
      <c r="D1359"/>
      <c r="E1359"/>
      <c r="F1359"/>
      <c r="G1359"/>
      <c r="H1359"/>
      <c r="I1359"/>
      <c r="J1359"/>
      <c r="K1359"/>
      <c r="L1359"/>
      <c r="M1359"/>
      <c r="S1359" s="54"/>
    </row>
    <row r="1360" spans="1:19" s="15" customFormat="1" x14ac:dyDescent="0.3">
      <c r="A1360" s="17"/>
      <c r="B1360"/>
      <c r="C1360"/>
      <c r="D1360"/>
      <c r="E1360"/>
      <c r="F1360"/>
      <c r="G1360"/>
      <c r="H1360"/>
      <c r="I1360"/>
      <c r="J1360"/>
      <c r="K1360"/>
      <c r="L1360"/>
      <c r="M1360"/>
      <c r="S1360" s="54"/>
    </row>
    <row r="1361" spans="1:19" s="15" customFormat="1" x14ac:dyDescent="0.3">
      <c r="A1361" s="17"/>
      <c r="B1361"/>
      <c r="C1361"/>
      <c r="D1361"/>
      <c r="E1361"/>
      <c r="F1361"/>
      <c r="G1361"/>
      <c r="H1361"/>
      <c r="I1361"/>
      <c r="J1361"/>
      <c r="K1361"/>
      <c r="L1361"/>
      <c r="M1361"/>
      <c r="S1361" s="54"/>
    </row>
    <row r="1362" spans="1:19" s="15" customFormat="1" x14ac:dyDescent="0.3">
      <c r="A1362" s="17"/>
      <c r="B1362"/>
      <c r="C1362"/>
      <c r="D1362"/>
      <c r="E1362"/>
      <c r="F1362"/>
      <c r="G1362"/>
      <c r="H1362"/>
      <c r="I1362"/>
      <c r="J1362"/>
      <c r="K1362"/>
      <c r="L1362"/>
      <c r="M1362"/>
      <c r="S1362" s="54"/>
    </row>
    <row r="1363" spans="1:19" s="15" customFormat="1" x14ac:dyDescent="0.3">
      <c r="A1363" s="17"/>
      <c r="B1363"/>
      <c r="C1363"/>
      <c r="D1363"/>
      <c r="E1363"/>
      <c r="F1363"/>
      <c r="G1363"/>
      <c r="H1363"/>
      <c r="I1363"/>
      <c r="J1363"/>
      <c r="K1363"/>
      <c r="L1363"/>
      <c r="M1363"/>
      <c r="S1363" s="54"/>
    </row>
    <row r="1364" spans="1:19" s="15" customFormat="1" x14ac:dyDescent="0.3">
      <c r="A1364" s="17"/>
      <c r="B1364"/>
      <c r="C1364"/>
      <c r="D1364"/>
      <c r="E1364"/>
      <c r="F1364"/>
      <c r="G1364"/>
      <c r="H1364"/>
      <c r="I1364"/>
      <c r="J1364"/>
      <c r="K1364"/>
      <c r="L1364"/>
      <c r="M1364"/>
      <c r="S1364" s="54"/>
    </row>
    <row r="1365" spans="1:19" s="15" customFormat="1" x14ac:dyDescent="0.3">
      <c r="A1365" s="17"/>
      <c r="B1365"/>
      <c r="C1365"/>
      <c r="D1365"/>
      <c r="E1365"/>
      <c r="F1365"/>
      <c r="G1365"/>
      <c r="H1365"/>
      <c r="I1365"/>
      <c r="J1365"/>
      <c r="K1365"/>
      <c r="L1365"/>
      <c r="M1365"/>
      <c r="S1365" s="54"/>
    </row>
    <row r="1366" spans="1:19" s="15" customFormat="1" x14ac:dyDescent="0.3">
      <c r="A1366" s="17"/>
      <c r="B1366"/>
      <c r="C1366"/>
      <c r="D1366"/>
      <c r="E1366"/>
      <c r="F1366"/>
      <c r="G1366"/>
      <c r="H1366"/>
      <c r="I1366"/>
      <c r="J1366"/>
      <c r="K1366"/>
      <c r="L1366"/>
      <c r="M1366"/>
      <c r="S1366" s="54"/>
    </row>
    <row r="1367" spans="1:19" s="15" customFormat="1" x14ac:dyDescent="0.3">
      <c r="A1367" s="17"/>
      <c r="B1367"/>
      <c r="C1367"/>
      <c r="D1367"/>
      <c r="E1367"/>
      <c r="F1367"/>
      <c r="G1367"/>
      <c r="H1367"/>
      <c r="I1367"/>
      <c r="J1367"/>
      <c r="K1367"/>
      <c r="L1367"/>
      <c r="M1367"/>
      <c r="S1367" s="54"/>
    </row>
    <row r="1368" spans="1:19" s="15" customFormat="1" x14ac:dyDescent="0.3">
      <c r="A1368" s="17"/>
      <c r="B1368"/>
      <c r="C1368"/>
      <c r="D1368"/>
      <c r="E1368"/>
      <c r="F1368"/>
      <c r="G1368"/>
      <c r="H1368"/>
      <c r="I1368"/>
      <c r="J1368"/>
      <c r="K1368"/>
      <c r="L1368"/>
      <c r="M1368"/>
      <c r="S1368" s="54"/>
    </row>
    <row r="1369" spans="1:19" s="15" customFormat="1" x14ac:dyDescent="0.3">
      <c r="A1369" s="17"/>
      <c r="B1369"/>
      <c r="C1369"/>
      <c r="D1369"/>
      <c r="E1369"/>
      <c r="F1369"/>
      <c r="G1369"/>
      <c r="H1369"/>
      <c r="I1369"/>
      <c r="J1369"/>
      <c r="K1369"/>
      <c r="L1369"/>
      <c r="M1369"/>
      <c r="S1369" s="54"/>
    </row>
    <row r="1370" spans="1:19" s="15" customFormat="1" x14ac:dyDescent="0.3">
      <c r="A1370" s="17"/>
      <c r="B1370"/>
      <c r="C1370"/>
      <c r="D1370"/>
      <c r="E1370"/>
      <c r="F1370"/>
      <c r="G1370"/>
      <c r="H1370"/>
      <c r="I1370"/>
      <c r="J1370"/>
      <c r="K1370"/>
      <c r="L1370"/>
      <c r="M1370"/>
      <c r="S1370" s="54"/>
    </row>
    <row r="1371" spans="1:19" s="15" customFormat="1" x14ac:dyDescent="0.3">
      <c r="A1371" s="17"/>
      <c r="B1371"/>
      <c r="C1371"/>
      <c r="D1371"/>
      <c r="E1371"/>
      <c r="F1371"/>
      <c r="G1371"/>
      <c r="H1371"/>
      <c r="I1371"/>
      <c r="J1371"/>
      <c r="K1371"/>
      <c r="L1371"/>
      <c r="M1371"/>
      <c r="S1371" s="54"/>
    </row>
    <row r="1372" spans="1:19" s="15" customFormat="1" x14ac:dyDescent="0.3">
      <c r="A1372" s="17"/>
      <c r="B1372"/>
      <c r="C1372"/>
      <c r="D1372"/>
      <c r="E1372"/>
      <c r="F1372"/>
      <c r="G1372"/>
      <c r="H1372"/>
      <c r="I1372"/>
      <c r="J1372"/>
      <c r="K1372"/>
      <c r="L1372"/>
      <c r="M1372"/>
      <c r="S1372" s="54"/>
    </row>
    <row r="1373" spans="1:19" s="15" customFormat="1" x14ac:dyDescent="0.3">
      <c r="A1373" s="17"/>
      <c r="B1373"/>
      <c r="C1373"/>
      <c r="D1373"/>
      <c r="E1373"/>
      <c r="F1373"/>
      <c r="G1373"/>
      <c r="H1373"/>
      <c r="I1373"/>
      <c r="J1373"/>
      <c r="K1373"/>
      <c r="L1373"/>
      <c r="M1373"/>
      <c r="S1373" s="54"/>
    </row>
    <row r="1374" spans="1:19" s="15" customFormat="1" x14ac:dyDescent="0.3">
      <c r="A1374" s="17"/>
      <c r="B1374"/>
      <c r="C1374"/>
      <c r="D1374"/>
      <c r="E1374"/>
      <c r="F1374"/>
      <c r="G1374"/>
      <c r="H1374"/>
      <c r="I1374"/>
      <c r="J1374"/>
      <c r="K1374"/>
      <c r="L1374"/>
      <c r="M1374"/>
      <c r="S1374" s="54"/>
    </row>
    <row r="1375" spans="1:19" s="15" customFormat="1" x14ac:dyDescent="0.3">
      <c r="A1375" s="17"/>
      <c r="B1375"/>
      <c r="C1375"/>
      <c r="D1375"/>
      <c r="E1375"/>
      <c r="F1375"/>
      <c r="G1375"/>
      <c r="H1375"/>
      <c r="I1375"/>
      <c r="J1375"/>
      <c r="K1375"/>
      <c r="L1375"/>
      <c r="M1375"/>
      <c r="S1375" s="54"/>
    </row>
    <row r="1376" spans="1:19" s="15" customFormat="1" x14ac:dyDescent="0.3">
      <c r="A1376" s="17"/>
      <c r="B1376"/>
      <c r="C1376"/>
      <c r="D1376"/>
      <c r="E1376"/>
      <c r="F1376"/>
      <c r="G1376"/>
      <c r="H1376"/>
      <c r="I1376"/>
      <c r="J1376"/>
      <c r="K1376"/>
      <c r="L1376"/>
      <c r="M1376"/>
      <c r="S1376" s="54"/>
    </row>
    <row r="1377" spans="1:19" s="15" customFormat="1" x14ac:dyDescent="0.3">
      <c r="A1377" s="17"/>
      <c r="B1377"/>
      <c r="C1377"/>
      <c r="D1377"/>
      <c r="E1377"/>
      <c r="F1377"/>
      <c r="G1377"/>
      <c r="H1377"/>
      <c r="I1377"/>
      <c r="J1377"/>
      <c r="K1377"/>
      <c r="L1377"/>
      <c r="M1377"/>
      <c r="S1377" s="54"/>
    </row>
    <row r="1378" spans="1:19" s="15" customFormat="1" x14ac:dyDescent="0.3">
      <c r="A1378" s="17"/>
      <c r="B1378"/>
      <c r="C1378"/>
      <c r="D1378"/>
      <c r="E1378"/>
      <c r="F1378"/>
      <c r="G1378"/>
      <c r="H1378"/>
      <c r="I1378"/>
      <c r="J1378"/>
      <c r="K1378"/>
      <c r="L1378"/>
      <c r="M1378"/>
      <c r="S1378" s="54"/>
    </row>
    <row r="1379" spans="1:19" s="15" customFormat="1" x14ac:dyDescent="0.3">
      <c r="A1379" s="17"/>
      <c r="B1379"/>
      <c r="C1379"/>
      <c r="D1379"/>
      <c r="E1379"/>
      <c r="F1379"/>
      <c r="G1379"/>
      <c r="H1379"/>
      <c r="I1379"/>
      <c r="J1379"/>
      <c r="K1379"/>
      <c r="L1379"/>
      <c r="M1379"/>
      <c r="S1379" s="54"/>
    </row>
    <row r="1380" spans="1:19" s="15" customFormat="1" x14ac:dyDescent="0.3">
      <c r="A1380" s="17"/>
      <c r="B1380"/>
      <c r="C1380"/>
      <c r="D1380"/>
      <c r="E1380"/>
      <c r="F1380"/>
      <c r="G1380"/>
      <c r="H1380"/>
      <c r="I1380"/>
      <c r="J1380"/>
      <c r="K1380"/>
      <c r="L1380"/>
      <c r="M1380"/>
      <c r="S1380" s="54"/>
    </row>
    <row r="1381" spans="1:19" s="15" customFormat="1" x14ac:dyDescent="0.3">
      <c r="A1381" s="17"/>
      <c r="B1381"/>
      <c r="C1381"/>
      <c r="D1381"/>
      <c r="E1381"/>
      <c r="F1381"/>
      <c r="G1381"/>
      <c r="H1381"/>
      <c r="I1381"/>
      <c r="J1381"/>
      <c r="K1381"/>
      <c r="L1381"/>
      <c r="M1381"/>
      <c r="S1381" s="54"/>
    </row>
    <row r="1382" spans="1:19" s="15" customFormat="1" x14ac:dyDescent="0.3">
      <c r="A1382" s="17"/>
      <c r="B1382"/>
      <c r="C1382"/>
      <c r="D1382"/>
      <c r="E1382"/>
      <c r="F1382"/>
      <c r="G1382"/>
      <c r="H1382"/>
      <c r="I1382"/>
      <c r="J1382"/>
      <c r="K1382"/>
      <c r="L1382"/>
      <c r="M1382"/>
      <c r="S1382" s="54"/>
    </row>
    <row r="1383" spans="1:19" s="15" customFormat="1" x14ac:dyDescent="0.3">
      <c r="A1383" s="17"/>
      <c r="B1383"/>
      <c r="C1383"/>
      <c r="D1383"/>
      <c r="E1383"/>
      <c r="F1383"/>
      <c r="G1383"/>
      <c r="H1383"/>
      <c r="I1383"/>
      <c r="J1383"/>
      <c r="K1383"/>
      <c r="L1383"/>
      <c r="M1383"/>
      <c r="S1383" s="54"/>
    </row>
    <row r="1384" spans="1:19" s="15" customFormat="1" x14ac:dyDescent="0.3">
      <c r="A1384" s="17"/>
      <c r="B1384"/>
      <c r="C1384"/>
      <c r="D1384"/>
      <c r="E1384"/>
      <c r="F1384"/>
      <c r="G1384"/>
      <c r="H1384"/>
      <c r="I1384"/>
      <c r="J1384"/>
      <c r="K1384"/>
      <c r="L1384"/>
      <c r="M1384"/>
      <c r="S1384" s="54"/>
    </row>
    <row r="1385" spans="1:19" s="15" customFormat="1" x14ac:dyDescent="0.3">
      <c r="A1385" s="17"/>
      <c r="B1385"/>
      <c r="C1385"/>
      <c r="D1385"/>
      <c r="E1385"/>
      <c r="F1385"/>
      <c r="G1385"/>
      <c r="H1385"/>
      <c r="I1385"/>
      <c r="J1385"/>
      <c r="K1385"/>
      <c r="L1385"/>
      <c r="M1385"/>
      <c r="S1385" s="54"/>
    </row>
    <row r="1386" spans="1:19" s="15" customFormat="1" x14ac:dyDescent="0.3">
      <c r="A1386" s="17"/>
      <c r="B1386"/>
      <c r="C1386"/>
      <c r="D1386"/>
      <c r="E1386"/>
      <c r="F1386"/>
      <c r="G1386"/>
      <c r="H1386"/>
      <c r="I1386"/>
      <c r="J1386"/>
      <c r="K1386"/>
      <c r="L1386"/>
      <c r="M1386"/>
      <c r="S1386" s="54"/>
    </row>
    <row r="1387" spans="1:19" s="15" customFormat="1" x14ac:dyDescent="0.3">
      <c r="A1387" s="17"/>
      <c r="B1387"/>
      <c r="C1387"/>
      <c r="D1387"/>
      <c r="E1387"/>
      <c r="F1387"/>
      <c r="G1387"/>
      <c r="H1387"/>
      <c r="I1387"/>
      <c r="J1387"/>
      <c r="K1387"/>
      <c r="L1387"/>
      <c r="M1387"/>
      <c r="S1387" s="54"/>
    </row>
    <row r="1388" spans="1:19" s="15" customFormat="1" x14ac:dyDescent="0.3">
      <c r="A1388" s="17"/>
      <c r="B1388"/>
      <c r="C1388"/>
      <c r="D1388"/>
      <c r="E1388"/>
      <c r="F1388"/>
      <c r="G1388"/>
      <c r="H1388"/>
      <c r="I1388"/>
      <c r="J1388"/>
      <c r="K1388"/>
      <c r="L1388"/>
      <c r="M1388"/>
      <c r="S1388" s="54"/>
    </row>
    <row r="1389" spans="1:19" s="15" customFormat="1" x14ac:dyDescent="0.3">
      <c r="A1389" s="17"/>
      <c r="B1389"/>
      <c r="C1389"/>
      <c r="D1389"/>
      <c r="E1389"/>
      <c r="F1389"/>
      <c r="G1389"/>
      <c r="H1389"/>
      <c r="I1389"/>
      <c r="J1389"/>
      <c r="K1389"/>
      <c r="L1389"/>
      <c r="M1389"/>
      <c r="S1389" s="54"/>
    </row>
    <row r="1390" spans="1:19" s="15" customFormat="1" x14ac:dyDescent="0.3">
      <c r="A1390" s="17"/>
      <c r="B1390"/>
      <c r="C1390"/>
      <c r="D1390"/>
      <c r="E1390"/>
      <c r="F1390"/>
      <c r="G1390"/>
      <c r="H1390"/>
      <c r="I1390"/>
      <c r="J1390"/>
      <c r="K1390"/>
      <c r="L1390"/>
      <c r="M1390"/>
      <c r="S1390" s="54"/>
    </row>
    <row r="1391" spans="1:19" s="15" customFormat="1" x14ac:dyDescent="0.3">
      <c r="A1391" s="17"/>
      <c r="B1391"/>
      <c r="C1391"/>
      <c r="D1391"/>
      <c r="E1391"/>
      <c r="F1391"/>
      <c r="G1391"/>
      <c r="H1391"/>
      <c r="I1391"/>
      <c r="J1391"/>
      <c r="K1391"/>
      <c r="L1391"/>
      <c r="M1391"/>
      <c r="S1391" s="54"/>
    </row>
    <row r="1392" spans="1:19" s="15" customFormat="1" x14ac:dyDescent="0.3">
      <c r="A1392" s="17"/>
      <c r="B1392"/>
      <c r="C1392"/>
      <c r="D1392"/>
      <c r="E1392"/>
      <c r="F1392"/>
      <c r="G1392"/>
      <c r="H1392"/>
      <c r="I1392"/>
      <c r="J1392"/>
      <c r="K1392"/>
      <c r="L1392"/>
      <c r="M1392"/>
      <c r="S1392" s="54"/>
    </row>
    <row r="1393" spans="1:19" s="15" customFormat="1" x14ac:dyDescent="0.3">
      <c r="A1393" s="17"/>
      <c r="B1393"/>
      <c r="C1393"/>
      <c r="D1393"/>
      <c r="E1393"/>
      <c r="F1393"/>
      <c r="G1393"/>
      <c r="H1393"/>
      <c r="I1393"/>
      <c r="J1393"/>
      <c r="K1393"/>
      <c r="L1393"/>
      <c r="M1393"/>
      <c r="S1393" s="54"/>
    </row>
    <row r="1394" spans="1:19" s="15" customFormat="1" x14ac:dyDescent="0.3">
      <c r="A1394" s="17"/>
      <c r="B1394"/>
      <c r="C1394"/>
      <c r="D1394"/>
      <c r="E1394"/>
      <c r="F1394"/>
      <c r="G1394"/>
      <c r="H1394"/>
      <c r="I1394"/>
      <c r="J1394"/>
      <c r="K1394"/>
      <c r="L1394"/>
      <c r="M1394"/>
      <c r="S1394" s="54"/>
    </row>
    <row r="1395" spans="1:19" s="15" customFormat="1" x14ac:dyDescent="0.3">
      <c r="A1395" s="17"/>
      <c r="B1395"/>
      <c r="C1395"/>
      <c r="D1395"/>
      <c r="E1395"/>
      <c r="F1395"/>
      <c r="G1395"/>
      <c r="H1395"/>
      <c r="I1395"/>
      <c r="J1395"/>
      <c r="K1395"/>
      <c r="L1395"/>
      <c r="M1395"/>
      <c r="S1395" s="54"/>
    </row>
    <row r="1396" spans="1:19" s="15" customFormat="1" x14ac:dyDescent="0.3">
      <c r="A1396" s="17"/>
      <c r="B1396"/>
      <c r="C1396"/>
      <c r="D1396"/>
      <c r="E1396"/>
      <c r="F1396"/>
      <c r="G1396"/>
      <c r="H1396"/>
      <c r="I1396"/>
      <c r="J1396"/>
      <c r="K1396"/>
      <c r="L1396"/>
      <c r="M1396"/>
      <c r="S1396" s="54"/>
    </row>
    <row r="1397" spans="1:19" s="15" customFormat="1" x14ac:dyDescent="0.3">
      <c r="A1397" s="17"/>
      <c r="B1397"/>
      <c r="C1397"/>
      <c r="D1397"/>
      <c r="E1397"/>
      <c r="F1397"/>
      <c r="G1397"/>
      <c r="H1397"/>
      <c r="I1397"/>
      <c r="J1397"/>
      <c r="K1397"/>
      <c r="L1397"/>
      <c r="M1397"/>
      <c r="S1397" s="54"/>
    </row>
    <row r="1398" spans="1:19" s="15" customFormat="1" x14ac:dyDescent="0.3">
      <c r="A1398" s="17"/>
      <c r="B1398"/>
      <c r="C1398"/>
      <c r="D1398"/>
      <c r="E1398"/>
      <c r="F1398"/>
      <c r="G1398"/>
      <c r="H1398"/>
      <c r="I1398"/>
      <c r="J1398"/>
      <c r="K1398"/>
      <c r="L1398"/>
      <c r="M1398"/>
      <c r="S1398" s="54"/>
    </row>
    <row r="1399" spans="1:19" s="15" customFormat="1" x14ac:dyDescent="0.3">
      <c r="A1399" s="17"/>
      <c r="B1399"/>
      <c r="C1399"/>
      <c r="D1399"/>
      <c r="E1399"/>
      <c r="F1399"/>
      <c r="G1399"/>
      <c r="H1399"/>
      <c r="I1399"/>
      <c r="J1399"/>
      <c r="K1399"/>
      <c r="L1399"/>
      <c r="M1399"/>
      <c r="S1399" s="54"/>
    </row>
    <row r="1400" spans="1:19" s="15" customFormat="1" x14ac:dyDescent="0.3">
      <c r="A1400" s="17"/>
      <c r="B1400"/>
      <c r="C1400"/>
      <c r="D1400"/>
      <c r="E1400"/>
      <c r="F1400"/>
      <c r="G1400"/>
      <c r="H1400"/>
      <c r="I1400"/>
      <c r="J1400"/>
      <c r="K1400"/>
      <c r="L1400"/>
      <c r="M1400"/>
      <c r="S1400" s="54"/>
    </row>
    <row r="1401" spans="1:19" s="15" customFormat="1" x14ac:dyDescent="0.3">
      <c r="A1401" s="17"/>
      <c r="B1401"/>
      <c r="C1401"/>
      <c r="D1401"/>
      <c r="E1401"/>
      <c r="F1401"/>
      <c r="G1401"/>
      <c r="H1401"/>
      <c r="I1401"/>
      <c r="J1401"/>
      <c r="K1401"/>
      <c r="L1401"/>
      <c r="M1401"/>
      <c r="S1401" s="54"/>
    </row>
    <row r="1402" spans="1:19" s="15" customFormat="1" x14ac:dyDescent="0.3">
      <c r="A1402" s="17"/>
      <c r="B1402"/>
      <c r="C1402"/>
      <c r="D1402"/>
      <c r="E1402"/>
      <c r="F1402"/>
      <c r="G1402"/>
      <c r="H1402"/>
      <c r="I1402"/>
      <c r="J1402"/>
      <c r="K1402"/>
      <c r="L1402"/>
      <c r="M1402"/>
      <c r="S1402" s="54"/>
    </row>
    <row r="1403" spans="1:19" s="15" customFormat="1" x14ac:dyDescent="0.3">
      <c r="A1403" s="17"/>
      <c r="B1403"/>
      <c r="C1403"/>
      <c r="D1403"/>
      <c r="E1403"/>
      <c r="F1403"/>
      <c r="G1403"/>
      <c r="H1403"/>
      <c r="I1403"/>
      <c r="J1403"/>
      <c r="K1403"/>
      <c r="L1403"/>
      <c r="M1403"/>
      <c r="S1403" s="54"/>
    </row>
    <row r="1404" spans="1:19" s="15" customFormat="1" x14ac:dyDescent="0.3">
      <c r="A1404" s="17"/>
      <c r="B1404"/>
      <c r="C1404"/>
      <c r="D1404"/>
      <c r="E1404"/>
      <c r="F1404"/>
      <c r="G1404"/>
      <c r="H1404"/>
      <c r="I1404"/>
      <c r="J1404"/>
      <c r="K1404"/>
      <c r="L1404"/>
      <c r="M1404"/>
      <c r="S1404" s="54"/>
    </row>
    <row r="1405" spans="1:19" s="15" customFormat="1" x14ac:dyDescent="0.3">
      <c r="A1405" s="17"/>
      <c r="B1405"/>
      <c r="C1405"/>
      <c r="D1405"/>
      <c r="E1405"/>
      <c r="F1405"/>
      <c r="G1405"/>
      <c r="H1405"/>
      <c r="I1405"/>
      <c r="J1405"/>
      <c r="K1405"/>
      <c r="L1405"/>
      <c r="M1405"/>
      <c r="S1405" s="54"/>
    </row>
    <row r="1406" spans="1:19" s="15" customFormat="1" x14ac:dyDescent="0.3">
      <c r="A1406" s="17"/>
      <c r="B1406"/>
      <c r="C1406"/>
      <c r="D1406"/>
      <c r="E1406"/>
      <c r="F1406"/>
      <c r="G1406"/>
      <c r="H1406"/>
      <c r="I1406"/>
      <c r="J1406"/>
      <c r="K1406"/>
      <c r="L1406"/>
      <c r="M1406"/>
      <c r="S1406" s="54"/>
    </row>
    <row r="1407" spans="1:19" s="15" customFormat="1" x14ac:dyDescent="0.3">
      <c r="A1407" s="17"/>
      <c r="B1407"/>
      <c r="C1407"/>
      <c r="D1407"/>
      <c r="E1407"/>
      <c r="F1407"/>
      <c r="G1407"/>
      <c r="H1407"/>
      <c r="I1407"/>
      <c r="J1407"/>
      <c r="K1407"/>
      <c r="L1407"/>
      <c r="M1407"/>
      <c r="S1407" s="54"/>
    </row>
    <row r="1408" spans="1:19" s="15" customFormat="1" x14ac:dyDescent="0.3">
      <c r="A1408" s="17"/>
      <c r="B1408"/>
      <c r="C1408"/>
      <c r="D1408"/>
      <c r="E1408"/>
      <c r="F1408"/>
      <c r="G1408"/>
      <c r="H1408"/>
      <c r="I1408"/>
      <c r="J1408"/>
      <c r="K1408"/>
      <c r="L1408"/>
      <c r="M1408"/>
      <c r="S1408" s="54"/>
    </row>
    <row r="1409" spans="1:19" s="15" customFormat="1" x14ac:dyDescent="0.3">
      <c r="A1409" s="17"/>
      <c r="B1409"/>
      <c r="C1409"/>
      <c r="D1409"/>
      <c r="E1409"/>
      <c r="F1409"/>
      <c r="G1409"/>
      <c r="H1409"/>
      <c r="I1409"/>
      <c r="J1409"/>
      <c r="K1409"/>
      <c r="L1409"/>
      <c r="M1409"/>
      <c r="S1409" s="54"/>
    </row>
    <row r="1410" spans="1:19" s="15" customFormat="1" x14ac:dyDescent="0.3">
      <c r="A1410" s="17"/>
      <c r="B1410"/>
      <c r="C1410"/>
      <c r="D1410"/>
      <c r="E1410"/>
      <c r="F1410"/>
      <c r="G1410"/>
      <c r="H1410"/>
      <c r="I1410"/>
      <c r="J1410"/>
      <c r="K1410"/>
      <c r="L1410"/>
      <c r="M1410"/>
      <c r="S1410" s="54"/>
    </row>
    <row r="1411" spans="1:19" s="15" customFormat="1" x14ac:dyDescent="0.3">
      <c r="A1411" s="17"/>
      <c r="B1411"/>
      <c r="C1411"/>
      <c r="D1411"/>
      <c r="E1411"/>
      <c r="F1411"/>
      <c r="G1411"/>
      <c r="H1411"/>
      <c r="I1411"/>
      <c r="J1411"/>
      <c r="K1411"/>
      <c r="L1411"/>
      <c r="M1411"/>
      <c r="S1411" s="54"/>
    </row>
    <row r="1412" spans="1:19" s="15" customFormat="1" x14ac:dyDescent="0.3">
      <c r="A1412" s="17"/>
      <c r="B1412"/>
      <c r="C1412"/>
      <c r="D1412"/>
      <c r="E1412"/>
      <c r="F1412"/>
      <c r="G1412"/>
      <c r="H1412"/>
      <c r="I1412"/>
      <c r="J1412"/>
      <c r="K1412"/>
      <c r="L1412"/>
      <c r="M1412"/>
      <c r="S1412" s="54"/>
    </row>
    <row r="1413" spans="1:19" s="15" customFormat="1" x14ac:dyDescent="0.3">
      <c r="A1413" s="17"/>
      <c r="B1413"/>
      <c r="C1413"/>
      <c r="D1413"/>
      <c r="E1413"/>
      <c r="F1413"/>
      <c r="G1413"/>
      <c r="H1413"/>
      <c r="I1413"/>
      <c r="J1413"/>
      <c r="K1413"/>
      <c r="L1413"/>
      <c r="M1413"/>
      <c r="S1413" s="54"/>
    </row>
    <row r="1414" spans="1:19" s="15" customFormat="1" x14ac:dyDescent="0.3">
      <c r="A1414" s="17"/>
      <c r="B1414"/>
      <c r="C1414"/>
      <c r="D1414"/>
      <c r="E1414"/>
      <c r="F1414"/>
      <c r="G1414"/>
      <c r="H1414"/>
      <c r="I1414"/>
      <c r="J1414"/>
      <c r="K1414"/>
      <c r="L1414"/>
      <c r="M1414"/>
      <c r="S1414" s="54"/>
    </row>
    <row r="1415" spans="1:19" s="15" customFormat="1" x14ac:dyDescent="0.3">
      <c r="A1415" s="17"/>
      <c r="B1415"/>
      <c r="C1415"/>
      <c r="D1415"/>
      <c r="E1415"/>
      <c r="F1415"/>
      <c r="G1415"/>
      <c r="H1415"/>
      <c r="I1415"/>
      <c r="J1415"/>
      <c r="K1415"/>
      <c r="L1415"/>
      <c r="M1415"/>
      <c r="S1415" s="54"/>
    </row>
    <row r="1416" spans="1:19" s="15" customFormat="1" x14ac:dyDescent="0.3">
      <c r="A1416" s="17"/>
      <c r="B1416"/>
      <c r="C1416"/>
      <c r="D1416"/>
      <c r="E1416"/>
      <c r="F1416"/>
      <c r="G1416"/>
      <c r="H1416"/>
      <c r="I1416"/>
      <c r="J1416"/>
      <c r="K1416"/>
      <c r="L1416"/>
      <c r="M1416"/>
      <c r="S1416" s="54"/>
    </row>
    <row r="1417" spans="1:19" s="15" customFormat="1" x14ac:dyDescent="0.3">
      <c r="A1417" s="17"/>
      <c r="B1417"/>
      <c r="C1417"/>
      <c r="D1417"/>
      <c r="E1417"/>
      <c r="F1417"/>
      <c r="G1417"/>
      <c r="H1417"/>
      <c r="I1417"/>
      <c r="J1417"/>
      <c r="K1417"/>
      <c r="L1417"/>
      <c r="M1417"/>
      <c r="S1417" s="54"/>
    </row>
    <row r="1418" spans="1:19" s="15" customFormat="1" x14ac:dyDescent="0.3">
      <c r="A1418" s="17"/>
      <c r="B1418"/>
      <c r="C1418"/>
      <c r="D1418"/>
      <c r="E1418"/>
      <c r="F1418"/>
      <c r="G1418"/>
      <c r="H1418"/>
      <c r="I1418"/>
      <c r="J1418"/>
      <c r="K1418"/>
      <c r="L1418"/>
      <c r="M1418"/>
      <c r="S1418" s="54"/>
    </row>
    <row r="1419" spans="1:19" s="15" customFormat="1" x14ac:dyDescent="0.3">
      <c r="A1419" s="17"/>
      <c r="B1419"/>
      <c r="C1419"/>
      <c r="D1419"/>
      <c r="E1419"/>
      <c r="F1419"/>
      <c r="G1419"/>
      <c r="H1419"/>
      <c r="I1419"/>
      <c r="J1419"/>
      <c r="K1419"/>
      <c r="L1419"/>
      <c r="M1419"/>
      <c r="S1419" s="54"/>
    </row>
    <row r="1420" spans="1:19" s="15" customFormat="1" x14ac:dyDescent="0.3">
      <c r="A1420" s="17"/>
      <c r="B1420"/>
      <c r="C1420"/>
      <c r="D1420"/>
      <c r="E1420"/>
      <c r="F1420"/>
      <c r="G1420"/>
      <c r="H1420"/>
      <c r="I1420"/>
      <c r="J1420"/>
      <c r="K1420"/>
      <c r="L1420"/>
      <c r="M1420"/>
      <c r="S1420" s="54"/>
    </row>
    <row r="1421" spans="1:19" s="15" customFormat="1" x14ac:dyDescent="0.3">
      <c r="A1421" s="17"/>
      <c r="B1421"/>
      <c r="C1421"/>
      <c r="D1421"/>
      <c r="E1421"/>
      <c r="F1421"/>
      <c r="G1421"/>
      <c r="H1421"/>
      <c r="I1421"/>
      <c r="J1421"/>
      <c r="K1421"/>
      <c r="L1421"/>
      <c r="M1421"/>
      <c r="S1421" s="54"/>
    </row>
    <row r="1422" spans="1:19" s="15" customFormat="1" x14ac:dyDescent="0.3">
      <c r="A1422" s="17"/>
      <c r="B1422"/>
      <c r="C1422"/>
      <c r="D1422"/>
      <c r="E1422"/>
      <c r="F1422"/>
      <c r="G1422"/>
      <c r="H1422"/>
      <c r="I1422"/>
      <c r="J1422"/>
      <c r="K1422"/>
      <c r="L1422"/>
      <c r="M1422"/>
      <c r="S1422" s="54"/>
    </row>
    <row r="1423" spans="1:19" s="15" customFormat="1" x14ac:dyDescent="0.3">
      <c r="A1423" s="17"/>
      <c r="B1423"/>
      <c r="C1423"/>
      <c r="D1423"/>
      <c r="E1423"/>
      <c r="F1423"/>
      <c r="G1423"/>
      <c r="H1423"/>
      <c r="I1423"/>
      <c r="J1423"/>
      <c r="K1423"/>
      <c r="L1423"/>
      <c r="M1423"/>
      <c r="S1423" s="54"/>
    </row>
    <row r="1424" spans="1:19" s="15" customFormat="1" x14ac:dyDescent="0.3">
      <c r="A1424" s="17"/>
      <c r="B1424"/>
      <c r="C1424"/>
      <c r="D1424"/>
      <c r="E1424"/>
      <c r="F1424"/>
      <c r="G1424"/>
      <c r="H1424"/>
      <c r="I1424"/>
      <c r="J1424"/>
      <c r="K1424"/>
      <c r="L1424"/>
      <c r="M1424"/>
      <c r="S1424" s="54"/>
    </row>
    <row r="1425" spans="1:19" s="15" customFormat="1" x14ac:dyDescent="0.3">
      <c r="A1425" s="17"/>
      <c r="B1425"/>
      <c r="C1425"/>
      <c r="D1425"/>
      <c r="E1425"/>
      <c r="F1425"/>
      <c r="G1425"/>
      <c r="H1425"/>
      <c r="I1425"/>
      <c r="J1425"/>
      <c r="K1425"/>
      <c r="L1425"/>
      <c r="M1425"/>
      <c r="S1425" s="54"/>
    </row>
    <row r="1426" spans="1:19" s="15" customFormat="1" x14ac:dyDescent="0.3">
      <c r="A1426" s="17"/>
      <c r="B1426"/>
      <c r="C1426"/>
      <c r="D1426"/>
      <c r="E1426"/>
      <c r="F1426"/>
      <c r="G1426"/>
      <c r="H1426"/>
      <c r="I1426"/>
      <c r="J1426"/>
      <c r="K1426"/>
      <c r="L1426"/>
      <c r="M1426"/>
      <c r="S1426" s="54"/>
    </row>
    <row r="1427" spans="1:19" s="15" customFormat="1" x14ac:dyDescent="0.3">
      <c r="A1427" s="17"/>
      <c r="B1427"/>
      <c r="C1427"/>
      <c r="D1427"/>
      <c r="E1427"/>
      <c r="F1427"/>
      <c r="G1427"/>
      <c r="H1427"/>
      <c r="I1427"/>
      <c r="J1427"/>
      <c r="K1427"/>
      <c r="L1427"/>
      <c r="M1427"/>
      <c r="S1427" s="54"/>
    </row>
    <row r="1428" spans="1:19" s="15" customFormat="1" x14ac:dyDescent="0.3">
      <c r="A1428" s="17"/>
      <c r="B1428"/>
      <c r="C1428"/>
      <c r="D1428"/>
      <c r="E1428"/>
      <c r="F1428"/>
      <c r="G1428"/>
      <c r="H1428"/>
      <c r="I1428"/>
      <c r="J1428"/>
      <c r="K1428"/>
      <c r="L1428"/>
      <c r="M1428"/>
      <c r="S1428" s="54"/>
    </row>
    <row r="1429" spans="1:19" s="15" customFormat="1" x14ac:dyDescent="0.3">
      <c r="A1429" s="17"/>
      <c r="B1429"/>
      <c r="C1429"/>
      <c r="D1429"/>
      <c r="E1429"/>
      <c r="F1429"/>
      <c r="G1429"/>
      <c r="H1429"/>
      <c r="I1429"/>
      <c r="J1429"/>
      <c r="K1429"/>
      <c r="L1429"/>
      <c r="M1429"/>
      <c r="S1429" s="54"/>
    </row>
    <row r="1430" spans="1:19" s="15" customFormat="1" x14ac:dyDescent="0.3">
      <c r="A1430" s="17"/>
      <c r="B1430"/>
      <c r="C1430"/>
      <c r="D1430"/>
      <c r="E1430"/>
      <c r="F1430"/>
      <c r="G1430"/>
      <c r="H1430"/>
      <c r="I1430"/>
      <c r="J1430"/>
      <c r="K1430"/>
      <c r="L1430"/>
      <c r="M1430"/>
      <c r="S1430" s="54"/>
    </row>
    <row r="1431" spans="1:19" s="15" customFormat="1" x14ac:dyDescent="0.3">
      <c r="A1431" s="17"/>
      <c r="B1431"/>
      <c r="C1431"/>
      <c r="D1431"/>
      <c r="E1431"/>
      <c r="F1431"/>
      <c r="G1431"/>
      <c r="H1431"/>
      <c r="I1431"/>
      <c r="J1431"/>
      <c r="K1431"/>
      <c r="L1431"/>
      <c r="M1431"/>
      <c r="S1431" s="54"/>
    </row>
    <row r="1432" spans="1:19" s="15" customFormat="1" x14ac:dyDescent="0.3">
      <c r="A1432" s="17"/>
      <c r="B1432"/>
      <c r="C1432"/>
      <c r="D1432"/>
      <c r="E1432"/>
      <c r="F1432"/>
      <c r="G1432"/>
      <c r="H1432"/>
      <c r="I1432"/>
      <c r="J1432"/>
      <c r="K1432"/>
      <c r="L1432"/>
      <c r="M1432"/>
      <c r="S1432" s="54"/>
    </row>
    <row r="1433" spans="1:19" s="15" customFormat="1" x14ac:dyDescent="0.3">
      <c r="A1433" s="17"/>
      <c r="B1433"/>
      <c r="C1433"/>
      <c r="D1433"/>
      <c r="E1433"/>
      <c r="F1433"/>
      <c r="G1433"/>
      <c r="H1433"/>
      <c r="I1433"/>
      <c r="J1433"/>
      <c r="K1433"/>
      <c r="L1433"/>
      <c r="M1433"/>
      <c r="S1433" s="54"/>
    </row>
    <row r="1434" spans="1:19" s="15" customFormat="1" x14ac:dyDescent="0.3">
      <c r="A1434" s="17"/>
      <c r="B1434"/>
      <c r="C1434"/>
      <c r="D1434"/>
      <c r="E1434"/>
      <c r="F1434"/>
      <c r="G1434"/>
      <c r="H1434"/>
      <c r="I1434"/>
      <c r="J1434"/>
      <c r="K1434"/>
      <c r="L1434"/>
      <c r="M1434"/>
      <c r="S1434" s="54"/>
    </row>
    <row r="1435" spans="1:19" s="15" customFormat="1" x14ac:dyDescent="0.3">
      <c r="A1435" s="17"/>
      <c r="B1435"/>
      <c r="C1435"/>
      <c r="D1435"/>
      <c r="E1435"/>
      <c r="F1435"/>
      <c r="G1435"/>
      <c r="H1435"/>
      <c r="I1435"/>
      <c r="J1435"/>
      <c r="K1435"/>
      <c r="L1435"/>
      <c r="M1435"/>
      <c r="S1435" s="54"/>
    </row>
    <row r="1436" spans="1:19" s="15" customFormat="1" x14ac:dyDescent="0.3">
      <c r="A1436" s="17"/>
      <c r="B1436"/>
      <c r="C1436"/>
      <c r="D1436"/>
      <c r="E1436"/>
      <c r="F1436"/>
      <c r="G1436"/>
      <c r="H1436"/>
      <c r="I1436"/>
      <c r="J1436"/>
      <c r="K1436"/>
      <c r="L1436"/>
      <c r="M1436"/>
      <c r="S1436" s="54"/>
    </row>
    <row r="1437" spans="1:19" s="15" customFormat="1" x14ac:dyDescent="0.3">
      <c r="A1437" s="17"/>
      <c r="B1437"/>
      <c r="C1437"/>
      <c r="D1437"/>
      <c r="E1437"/>
      <c r="F1437"/>
      <c r="G1437"/>
      <c r="H1437"/>
      <c r="I1437"/>
      <c r="J1437"/>
      <c r="K1437"/>
      <c r="L1437"/>
      <c r="M1437"/>
      <c r="S1437" s="54"/>
    </row>
    <row r="1438" spans="1:19" s="15" customFormat="1" x14ac:dyDescent="0.3">
      <c r="A1438" s="17"/>
      <c r="B1438"/>
      <c r="C1438"/>
      <c r="D1438"/>
      <c r="E1438"/>
      <c r="F1438"/>
      <c r="G1438"/>
      <c r="H1438"/>
      <c r="I1438"/>
      <c r="J1438"/>
      <c r="K1438"/>
      <c r="L1438"/>
      <c r="M1438"/>
      <c r="S1438" s="54"/>
    </row>
    <row r="1439" spans="1:19" s="15" customFormat="1" x14ac:dyDescent="0.3">
      <c r="A1439" s="17"/>
      <c r="B1439"/>
      <c r="C1439"/>
      <c r="D1439"/>
      <c r="E1439"/>
      <c r="F1439"/>
      <c r="G1439"/>
      <c r="H1439"/>
      <c r="I1439"/>
      <c r="J1439"/>
      <c r="K1439"/>
      <c r="L1439"/>
      <c r="M1439"/>
      <c r="S1439" s="54"/>
    </row>
    <row r="1440" spans="1:19" s="15" customFormat="1" x14ac:dyDescent="0.3">
      <c r="A1440" s="17"/>
      <c r="B1440"/>
      <c r="C1440"/>
      <c r="D1440"/>
      <c r="E1440"/>
      <c r="F1440"/>
      <c r="G1440"/>
      <c r="H1440"/>
      <c r="I1440"/>
      <c r="J1440"/>
      <c r="K1440"/>
      <c r="L1440"/>
      <c r="M1440"/>
      <c r="S1440" s="54"/>
    </row>
    <row r="1441" spans="1:19" s="15" customFormat="1" x14ac:dyDescent="0.3">
      <c r="A1441" s="17"/>
      <c r="B1441"/>
      <c r="C1441"/>
      <c r="D1441"/>
      <c r="E1441"/>
      <c r="F1441"/>
      <c r="G1441"/>
      <c r="H1441"/>
      <c r="I1441"/>
      <c r="J1441"/>
      <c r="K1441"/>
      <c r="L1441"/>
      <c r="M1441"/>
      <c r="S1441" s="54"/>
    </row>
    <row r="1442" spans="1:19" s="15" customFormat="1" x14ac:dyDescent="0.3">
      <c r="A1442" s="17"/>
      <c r="B1442"/>
      <c r="C1442"/>
      <c r="D1442"/>
      <c r="E1442"/>
      <c r="F1442"/>
      <c r="G1442"/>
      <c r="H1442"/>
      <c r="I1442"/>
      <c r="J1442"/>
      <c r="K1442"/>
      <c r="L1442"/>
      <c r="M1442"/>
      <c r="S1442" s="54"/>
    </row>
    <row r="1443" spans="1:19" s="15" customFormat="1" x14ac:dyDescent="0.3">
      <c r="A1443" s="17"/>
      <c r="B1443"/>
      <c r="C1443"/>
      <c r="D1443"/>
      <c r="E1443"/>
      <c r="F1443"/>
      <c r="G1443"/>
      <c r="H1443"/>
      <c r="I1443"/>
      <c r="J1443"/>
      <c r="K1443"/>
      <c r="L1443"/>
      <c r="M1443"/>
      <c r="S1443" s="54"/>
    </row>
    <row r="1444" spans="1:19" s="15" customFormat="1" x14ac:dyDescent="0.3">
      <c r="A1444" s="17"/>
      <c r="B1444"/>
      <c r="C1444"/>
      <c r="D1444"/>
      <c r="E1444"/>
      <c r="F1444"/>
      <c r="G1444"/>
      <c r="H1444"/>
      <c r="I1444"/>
      <c r="J1444"/>
      <c r="K1444"/>
      <c r="L1444"/>
      <c r="M1444"/>
      <c r="S1444" s="54"/>
    </row>
    <row r="1445" spans="1:19" s="15" customFormat="1" x14ac:dyDescent="0.3">
      <c r="A1445" s="17"/>
      <c r="B1445"/>
      <c r="C1445"/>
      <c r="D1445"/>
      <c r="E1445"/>
      <c r="F1445"/>
      <c r="G1445"/>
      <c r="H1445"/>
      <c r="I1445"/>
      <c r="J1445"/>
      <c r="K1445"/>
      <c r="L1445"/>
      <c r="M1445"/>
      <c r="S1445" s="54"/>
    </row>
    <row r="1446" spans="1:19" s="15" customFormat="1" x14ac:dyDescent="0.3">
      <c r="A1446" s="17"/>
      <c r="B1446"/>
      <c r="C1446"/>
      <c r="D1446"/>
      <c r="E1446"/>
      <c r="F1446"/>
      <c r="G1446"/>
      <c r="H1446"/>
      <c r="I1446"/>
      <c r="J1446"/>
      <c r="K1446"/>
      <c r="L1446"/>
      <c r="M1446"/>
      <c r="S1446" s="54"/>
    </row>
    <row r="1447" spans="1:19" s="15" customFormat="1" x14ac:dyDescent="0.3">
      <c r="A1447" s="17"/>
      <c r="B1447"/>
      <c r="C1447"/>
      <c r="D1447"/>
      <c r="E1447"/>
      <c r="F1447"/>
      <c r="G1447"/>
      <c r="H1447"/>
      <c r="I1447"/>
      <c r="J1447"/>
      <c r="K1447"/>
      <c r="L1447"/>
      <c r="M1447"/>
      <c r="S1447" s="54"/>
    </row>
    <row r="1448" spans="1:19" s="15" customFormat="1" x14ac:dyDescent="0.3">
      <c r="A1448" s="17"/>
      <c r="B1448"/>
      <c r="C1448"/>
      <c r="D1448"/>
      <c r="E1448"/>
      <c r="F1448"/>
      <c r="G1448"/>
      <c r="H1448"/>
      <c r="I1448"/>
      <c r="J1448"/>
      <c r="K1448"/>
      <c r="L1448"/>
      <c r="M1448"/>
      <c r="S1448" s="54"/>
    </row>
    <row r="1449" spans="1:19" s="15" customFormat="1" x14ac:dyDescent="0.3">
      <c r="A1449" s="17"/>
      <c r="B1449"/>
      <c r="C1449"/>
      <c r="D1449"/>
      <c r="E1449"/>
      <c r="F1449"/>
      <c r="G1449"/>
      <c r="H1449"/>
      <c r="I1449"/>
      <c r="J1449"/>
      <c r="K1449"/>
      <c r="L1449"/>
      <c r="M1449"/>
      <c r="S1449" s="54"/>
    </row>
    <row r="1450" spans="1:19" s="15" customFormat="1" x14ac:dyDescent="0.3">
      <c r="A1450" s="17"/>
      <c r="B1450"/>
      <c r="C1450"/>
      <c r="D1450"/>
      <c r="E1450"/>
      <c r="F1450"/>
      <c r="G1450"/>
      <c r="H1450"/>
      <c r="I1450"/>
      <c r="J1450"/>
      <c r="K1450"/>
      <c r="L1450"/>
      <c r="M1450"/>
      <c r="S1450" s="54"/>
    </row>
    <row r="1451" spans="1:19" s="15" customFormat="1" x14ac:dyDescent="0.3">
      <c r="A1451" s="17"/>
      <c r="B1451"/>
      <c r="C1451"/>
      <c r="D1451"/>
      <c r="E1451"/>
      <c r="F1451"/>
      <c r="G1451"/>
      <c r="H1451"/>
      <c r="I1451"/>
      <c r="J1451"/>
      <c r="K1451"/>
      <c r="L1451"/>
      <c r="M1451"/>
      <c r="S1451" s="54"/>
    </row>
    <row r="1452" spans="1:19" s="15" customFormat="1" x14ac:dyDescent="0.3">
      <c r="A1452" s="17"/>
      <c r="B1452"/>
      <c r="C1452"/>
      <c r="D1452"/>
      <c r="E1452"/>
      <c r="F1452"/>
      <c r="G1452"/>
      <c r="H1452"/>
      <c r="I1452"/>
      <c r="J1452"/>
      <c r="K1452"/>
      <c r="L1452"/>
      <c r="M1452"/>
      <c r="S1452" s="54"/>
    </row>
    <row r="1453" spans="1:19" s="15" customFormat="1" x14ac:dyDescent="0.3">
      <c r="A1453" s="17"/>
      <c r="B1453"/>
      <c r="C1453"/>
      <c r="D1453"/>
      <c r="E1453"/>
      <c r="F1453"/>
      <c r="G1453"/>
      <c r="H1453"/>
      <c r="I1453"/>
      <c r="J1453"/>
      <c r="K1453"/>
      <c r="L1453"/>
      <c r="M1453"/>
      <c r="S1453" s="54"/>
    </row>
    <row r="1454" spans="1:19" s="15" customFormat="1" x14ac:dyDescent="0.3">
      <c r="A1454" s="17"/>
      <c r="B1454"/>
      <c r="C1454"/>
      <c r="D1454"/>
      <c r="E1454"/>
      <c r="F1454"/>
      <c r="G1454"/>
      <c r="H1454"/>
      <c r="I1454"/>
      <c r="J1454"/>
      <c r="K1454"/>
      <c r="L1454"/>
      <c r="M1454"/>
      <c r="S1454" s="54"/>
    </row>
    <row r="1455" spans="1:19" s="15" customFormat="1" x14ac:dyDescent="0.3">
      <c r="A1455" s="17"/>
      <c r="B1455"/>
      <c r="C1455"/>
      <c r="D1455"/>
      <c r="E1455"/>
      <c r="F1455"/>
      <c r="G1455"/>
      <c r="H1455"/>
      <c r="I1455"/>
      <c r="J1455"/>
      <c r="K1455"/>
      <c r="L1455"/>
      <c r="M1455"/>
      <c r="S1455" s="54"/>
    </row>
    <row r="1456" spans="1:19" s="15" customFormat="1" x14ac:dyDescent="0.3">
      <c r="A1456" s="17"/>
      <c r="B1456"/>
      <c r="C1456"/>
      <c r="D1456"/>
      <c r="E1456"/>
      <c r="F1456"/>
      <c r="G1456"/>
      <c r="H1456"/>
      <c r="I1456"/>
      <c r="J1456"/>
      <c r="K1456"/>
      <c r="L1456"/>
      <c r="M1456"/>
      <c r="S1456" s="54"/>
    </row>
    <row r="1457" spans="1:19" s="15" customFormat="1" x14ac:dyDescent="0.3">
      <c r="A1457" s="17"/>
      <c r="B1457"/>
      <c r="C1457"/>
      <c r="D1457"/>
      <c r="E1457"/>
      <c r="F1457"/>
      <c r="G1457"/>
      <c r="H1457"/>
      <c r="I1457"/>
      <c r="J1457"/>
      <c r="K1457"/>
      <c r="L1457"/>
      <c r="M1457"/>
      <c r="S1457" s="54"/>
    </row>
    <row r="1458" spans="1:19" s="15" customFormat="1" x14ac:dyDescent="0.3">
      <c r="A1458" s="17"/>
      <c r="B1458"/>
      <c r="C1458"/>
      <c r="D1458"/>
      <c r="E1458"/>
      <c r="F1458"/>
      <c r="G1458"/>
      <c r="H1458"/>
      <c r="I1458"/>
      <c r="J1458"/>
      <c r="K1458"/>
      <c r="L1458"/>
      <c r="M1458"/>
      <c r="S1458" s="54"/>
    </row>
    <row r="1459" spans="1:19" s="15" customFormat="1" x14ac:dyDescent="0.3">
      <c r="A1459" s="17"/>
      <c r="B1459"/>
      <c r="C1459"/>
      <c r="D1459"/>
      <c r="E1459"/>
      <c r="F1459"/>
      <c r="G1459"/>
      <c r="H1459"/>
      <c r="I1459"/>
      <c r="J1459"/>
      <c r="K1459"/>
      <c r="L1459"/>
      <c r="M1459"/>
      <c r="S1459" s="54"/>
    </row>
    <row r="1460" spans="1:19" s="15" customFormat="1" x14ac:dyDescent="0.3">
      <c r="A1460" s="17"/>
      <c r="B1460"/>
      <c r="C1460"/>
      <c r="D1460"/>
      <c r="E1460"/>
      <c r="F1460"/>
      <c r="G1460"/>
      <c r="H1460"/>
      <c r="I1460"/>
      <c r="J1460"/>
      <c r="K1460"/>
      <c r="L1460"/>
      <c r="M1460"/>
      <c r="S1460" s="54"/>
    </row>
    <row r="1461" spans="1:19" s="15" customFormat="1" x14ac:dyDescent="0.3">
      <c r="A1461" s="17"/>
      <c r="B1461"/>
      <c r="C1461"/>
      <c r="D1461"/>
      <c r="E1461"/>
      <c r="F1461"/>
      <c r="G1461"/>
      <c r="H1461"/>
      <c r="I1461"/>
      <c r="J1461"/>
      <c r="K1461"/>
      <c r="L1461"/>
      <c r="M1461"/>
      <c r="S1461" s="54"/>
    </row>
    <row r="1462" spans="1:19" s="15" customFormat="1" x14ac:dyDescent="0.3">
      <c r="A1462" s="17"/>
      <c r="B1462"/>
      <c r="C1462"/>
      <c r="D1462"/>
      <c r="E1462"/>
      <c r="F1462"/>
      <c r="G1462"/>
      <c r="H1462"/>
      <c r="I1462"/>
      <c r="J1462"/>
      <c r="K1462"/>
      <c r="L1462"/>
      <c r="M1462"/>
      <c r="S1462" s="54"/>
    </row>
    <row r="1463" spans="1:19" s="15" customFormat="1" x14ac:dyDescent="0.3">
      <c r="A1463" s="17"/>
      <c r="B1463"/>
      <c r="C1463"/>
      <c r="D1463"/>
      <c r="E1463"/>
      <c r="F1463"/>
      <c r="G1463"/>
      <c r="H1463"/>
      <c r="I1463"/>
      <c r="J1463"/>
      <c r="K1463"/>
      <c r="L1463"/>
      <c r="M1463"/>
      <c r="S1463" s="54"/>
    </row>
    <row r="1464" spans="1:19" s="15" customFormat="1" x14ac:dyDescent="0.3">
      <c r="A1464" s="17"/>
      <c r="B1464"/>
      <c r="C1464"/>
      <c r="D1464"/>
      <c r="E1464"/>
      <c r="F1464"/>
      <c r="G1464"/>
      <c r="H1464"/>
      <c r="I1464"/>
      <c r="J1464"/>
      <c r="K1464"/>
      <c r="L1464"/>
      <c r="M1464"/>
      <c r="S1464" s="54"/>
    </row>
    <row r="1465" spans="1:19" s="15" customFormat="1" x14ac:dyDescent="0.3">
      <c r="A1465" s="17"/>
      <c r="B1465"/>
      <c r="C1465"/>
      <c r="D1465"/>
      <c r="E1465"/>
      <c r="F1465"/>
      <c r="G1465"/>
      <c r="H1465"/>
      <c r="I1465"/>
      <c r="J1465"/>
      <c r="K1465"/>
      <c r="L1465"/>
      <c r="M1465"/>
      <c r="S1465" s="54"/>
    </row>
    <row r="1466" spans="1:19" s="15" customFormat="1" x14ac:dyDescent="0.3">
      <c r="A1466" s="17"/>
      <c r="B1466"/>
      <c r="C1466"/>
      <c r="D1466"/>
      <c r="E1466"/>
      <c r="F1466"/>
      <c r="G1466"/>
      <c r="H1466"/>
      <c r="I1466"/>
      <c r="J1466"/>
      <c r="K1466"/>
      <c r="L1466"/>
      <c r="M1466"/>
      <c r="S1466" s="54"/>
    </row>
    <row r="1467" spans="1:19" s="15" customFormat="1" x14ac:dyDescent="0.3">
      <c r="A1467" s="17"/>
      <c r="B1467"/>
      <c r="C1467"/>
      <c r="D1467"/>
      <c r="E1467"/>
      <c r="F1467"/>
      <c r="G1467"/>
      <c r="H1467"/>
      <c r="I1467"/>
      <c r="J1467"/>
      <c r="K1467"/>
      <c r="L1467"/>
      <c r="M1467"/>
      <c r="S1467" s="54"/>
    </row>
    <row r="1468" spans="1:19" s="15" customFormat="1" x14ac:dyDescent="0.3">
      <c r="A1468" s="17"/>
      <c r="B1468"/>
      <c r="C1468"/>
      <c r="D1468"/>
      <c r="E1468"/>
      <c r="F1468"/>
      <c r="G1468"/>
      <c r="H1468"/>
      <c r="I1468"/>
      <c r="J1468"/>
      <c r="K1468"/>
      <c r="L1468"/>
      <c r="M1468"/>
      <c r="S1468" s="54"/>
    </row>
    <row r="1469" spans="1:19" s="15" customFormat="1" x14ac:dyDescent="0.3">
      <c r="A1469" s="17"/>
      <c r="B1469"/>
      <c r="C1469"/>
      <c r="D1469"/>
      <c r="E1469"/>
      <c r="F1469"/>
      <c r="G1469"/>
      <c r="H1469"/>
      <c r="I1469"/>
      <c r="J1469"/>
      <c r="K1469"/>
      <c r="L1469"/>
      <c r="M1469"/>
      <c r="S1469" s="54"/>
    </row>
    <row r="1470" spans="1:19" s="15" customFormat="1" x14ac:dyDescent="0.3">
      <c r="A1470" s="17"/>
      <c r="B1470"/>
      <c r="C1470"/>
      <c r="D1470"/>
      <c r="E1470"/>
      <c r="F1470"/>
      <c r="G1470"/>
      <c r="H1470"/>
      <c r="I1470"/>
      <c r="J1470"/>
      <c r="K1470"/>
      <c r="L1470"/>
      <c r="M1470"/>
      <c r="S1470" s="54"/>
    </row>
    <row r="1471" spans="1:19" s="15" customFormat="1" x14ac:dyDescent="0.3">
      <c r="A1471" s="17"/>
      <c r="B1471"/>
      <c r="C1471"/>
      <c r="D1471"/>
      <c r="E1471"/>
      <c r="F1471"/>
      <c r="G1471"/>
      <c r="H1471"/>
      <c r="I1471"/>
      <c r="J1471"/>
      <c r="K1471"/>
      <c r="L1471"/>
      <c r="M1471"/>
      <c r="S1471" s="54"/>
    </row>
    <row r="1472" spans="1:19" s="15" customFormat="1" x14ac:dyDescent="0.3">
      <c r="A1472" s="17"/>
      <c r="B1472"/>
      <c r="C1472"/>
      <c r="D1472"/>
      <c r="E1472"/>
      <c r="F1472"/>
      <c r="G1472"/>
      <c r="H1472"/>
      <c r="I1472"/>
      <c r="J1472"/>
      <c r="K1472"/>
      <c r="L1472"/>
      <c r="M1472"/>
      <c r="S1472" s="54"/>
    </row>
    <row r="1473" spans="1:19" s="15" customFormat="1" x14ac:dyDescent="0.3">
      <c r="A1473" s="17"/>
      <c r="B1473"/>
      <c r="C1473"/>
      <c r="D1473"/>
      <c r="E1473"/>
      <c r="F1473"/>
      <c r="G1473"/>
      <c r="H1473"/>
      <c r="I1473"/>
      <c r="J1473"/>
      <c r="K1473"/>
      <c r="L1473"/>
      <c r="M1473"/>
      <c r="S1473" s="54"/>
    </row>
    <row r="1474" spans="1:19" s="15" customFormat="1" x14ac:dyDescent="0.3">
      <c r="A1474" s="17"/>
      <c r="B1474"/>
      <c r="C1474"/>
      <c r="D1474"/>
      <c r="E1474"/>
      <c r="F1474"/>
      <c r="G1474"/>
      <c r="H1474"/>
      <c r="I1474"/>
      <c r="J1474"/>
      <c r="K1474"/>
      <c r="L1474"/>
      <c r="M1474"/>
      <c r="S1474" s="54"/>
    </row>
    <row r="1475" spans="1:19" s="15" customFormat="1" x14ac:dyDescent="0.3">
      <c r="A1475" s="17"/>
      <c r="B1475"/>
      <c r="C1475"/>
      <c r="D1475"/>
      <c r="E1475"/>
      <c r="F1475"/>
      <c r="G1475"/>
      <c r="H1475"/>
      <c r="I1475"/>
      <c r="J1475"/>
      <c r="K1475"/>
      <c r="L1475"/>
      <c r="M1475"/>
      <c r="S1475" s="54"/>
    </row>
    <row r="1476" spans="1:19" s="15" customFormat="1" x14ac:dyDescent="0.3">
      <c r="A1476" s="17"/>
      <c r="B1476"/>
      <c r="C1476"/>
      <c r="D1476"/>
      <c r="E1476"/>
      <c r="F1476"/>
      <c r="G1476"/>
      <c r="H1476"/>
      <c r="I1476"/>
      <c r="J1476"/>
      <c r="K1476"/>
      <c r="L1476"/>
      <c r="M1476"/>
      <c r="S1476" s="54"/>
    </row>
    <row r="1477" spans="1:19" s="15" customFormat="1" x14ac:dyDescent="0.3">
      <c r="A1477" s="17"/>
      <c r="B1477"/>
      <c r="C1477"/>
      <c r="D1477"/>
      <c r="E1477"/>
      <c r="F1477"/>
      <c r="G1477"/>
      <c r="H1477"/>
      <c r="I1477"/>
      <c r="J1477"/>
      <c r="K1477"/>
      <c r="L1477"/>
      <c r="M1477"/>
      <c r="S1477" s="54"/>
    </row>
    <row r="1478" spans="1:19" s="15" customFormat="1" x14ac:dyDescent="0.3">
      <c r="A1478" s="17"/>
      <c r="B1478"/>
      <c r="C1478"/>
      <c r="D1478"/>
      <c r="E1478"/>
      <c r="F1478"/>
      <c r="G1478"/>
      <c r="H1478"/>
      <c r="I1478"/>
      <c r="J1478"/>
      <c r="K1478"/>
      <c r="L1478"/>
      <c r="M1478"/>
      <c r="S1478" s="54"/>
    </row>
    <row r="1479" spans="1:19" s="15" customFormat="1" x14ac:dyDescent="0.3">
      <c r="A1479" s="17"/>
      <c r="B1479"/>
      <c r="C1479"/>
      <c r="D1479"/>
      <c r="E1479"/>
      <c r="F1479"/>
      <c r="G1479"/>
      <c r="H1479"/>
      <c r="I1479"/>
      <c r="J1479"/>
      <c r="K1479"/>
      <c r="L1479"/>
      <c r="M1479"/>
      <c r="S1479" s="54"/>
    </row>
    <row r="1480" spans="1:19" s="15" customFormat="1" x14ac:dyDescent="0.3">
      <c r="A1480" s="17"/>
      <c r="B1480"/>
      <c r="C1480"/>
      <c r="D1480"/>
      <c r="E1480"/>
      <c r="F1480"/>
      <c r="G1480"/>
      <c r="H1480"/>
      <c r="I1480"/>
      <c r="J1480"/>
      <c r="K1480"/>
      <c r="L1480"/>
      <c r="M1480"/>
      <c r="S1480" s="54"/>
    </row>
    <row r="1481" spans="1:19" s="15" customFormat="1" x14ac:dyDescent="0.3">
      <c r="A1481" s="17"/>
      <c r="B1481"/>
      <c r="C1481"/>
      <c r="D1481"/>
      <c r="E1481"/>
      <c r="F1481"/>
      <c r="G1481"/>
      <c r="H1481"/>
      <c r="I1481"/>
      <c r="J1481"/>
      <c r="K1481"/>
      <c r="L1481"/>
      <c r="M1481"/>
      <c r="S1481" s="54"/>
    </row>
    <row r="1482" spans="1:19" s="15" customFormat="1" x14ac:dyDescent="0.3">
      <c r="A1482" s="17"/>
      <c r="B1482"/>
      <c r="C1482"/>
      <c r="D1482"/>
      <c r="E1482"/>
      <c r="F1482"/>
      <c r="G1482"/>
      <c r="H1482"/>
      <c r="I1482"/>
      <c r="J1482"/>
      <c r="K1482"/>
      <c r="L1482"/>
      <c r="M1482"/>
      <c r="S1482" s="54"/>
    </row>
    <row r="1483" spans="1:19" s="15" customFormat="1" x14ac:dyDescent="0.3">
      <c r="A1483" s="17"/>
      <c r="B1483"/>
      <c r="C1483"/>
      <c r="D1483"/>
      <c r="E1483"/>
      <c r="F1483"/>
      <c r="G1483"/>
      <c r="H1483"/>
      <c r="I1483"/>
      <c r="J1483"/>
      <c r="K1483"/>
      <c r="L1483"/>
      <c r="M1483"/>
      <c r="S1483" s="54"/>
    </row>
    <row r="1484" spans="1:19" s="15" customFormat="1" x14ac:dyDescent="0.3">
      <c r="A1484" s="17"/>
      <c r="B1484"/>
      <c r="C1484"/>
      <c r="D1484"/>
      <c r="E1484"/>
      <c r="F1484"/>
      <c r="G1484"/>
      <c r="H1484"/>
      <c r="I1484"/>
      <c r="J1484"/>
      <c r="K1484"/>
      <c r="L1484"/>
      <c r="M1484"/>
      <c r="S1484" s="54"/>
    </row>
    <row r="1485" spans="1:19" s="15" customFormat="1" x14ac:dyDescent="0.3">
      <c r="A1485" s="17"/>
      <c r="B1485"/>
      <c r="C1485"/>
      <c r="D1485"/>
      <c r="E1485"/>
      <c r="F1485"/>
      <c r="G1485"/>
      <c r="H1485"/>
      <c r="I1485"/>
      <c r="J1485"/>
      <c r="K1485"/>
      <c r="L1485"/>
      <c r="M1485"/>
      <c r="S1485" s="54"/>
    </row>
    <row r="1486" spans="1:19" s="15" customFormat="1" x14ac:dyDescent="0.3">
      <c r="A1486" s="17"/>
      <c r="B1486"/>
      <c r="C1486"/>
      <c r="D1486"/>
      <c r="E1486"/>
      <c r="F1486"/>
      <c r="G1486"/>
      <c r="H1486"/>
      <c r="I1486"/>
      <c r="J1486"/>
      <c r="K1486"/>
      <c r="L1486"/>
      <c r="M1486"/>
      <c r="S1486" s="54"/>
    </row>
    <row r="1487" spans="1:19" s="15" customFormat="1" x14ac:dyDescent="0.3">
      <c r="A1487" s="17"/>
      <c r="B1487"/>
      <c r="C1487"/>
      <c r="D1487"/>
      <c r="E1487"/>
      <c r="F1487"/>
      <c r="G1487"/>
      <c r="H1487"/>
      <c r="I1487"/>
      <c r="J1487"/>
      <c r="K1487"/>
      <c r="L1487"/>
      <c r="M1487"/>
      <c r="S1487" s="54"/>
    </row>
    <row r="1488" spans="1:19" s="15" customFormat="1" x14ac:dyDescent="0.3">
      <c r="A1488" s="17"/>
      <c r="B1488"/>
      <c r="C1488"/>
      <c r="D1488"/>
      <c r="E1488"/>
      <c r="F1488"/>
      <c r="G1488"/>
      <c r="H1488"/>
      <c r="I1488"/>
      <c r="J1488"/>
      <c r="K1488"/>
      <c r="L1488"/>
      <c r="M1488"/>
      <c r="S1488" s="54"/>
    </row>
    <row r="1489" spans="1:19" s="15" customFormat="1" x14ac:dyDescent="0.3">
      <c r="A1489" s="17"/>
      <c r="B1489"/>
      <c r="C1489"/>
      <c r="D1489"/>
      <c r="E1489"/>
      <c r="F1489"/>
      <c r="G1489"/>
      <c r="H1489"/>
      <c r="I1489"/>
      <c r="J1489"/>
      <c r="K1489"/>
      <c r="L1489"/>
      <c r="M1489"/>
      <c r="S1489" s="54"/>
    </row>
    <row r="1490" spans="1:19" s="15" customFormat="1" x14ac:dyDescent="0.3">
      <c r="A1490" s="17"/>
      <c r="B1490"/>
      <c r="C1490"/>
      <c r="D1490"/>
      <c r="E1490"/>
      <c r="F1490"/>
      <c r="G1490"/>
      <c r="H1490"/>
      <c r="I1490"/>
      <c r="J1490"/>
      <c r="K1490"/>
      <c r="L1490"/>
      <c r="M1490"/>
      <c r="S1490" s="54"/>
    </row>
    <row r="1491" spans="1:19" s="15" customFormat="1" x14ac:dyDescent="0.3">
      <c r="A1491" s="17"/>
      <c r="B1491"/>
      <c r="C1491"/>
      <c r="D1491"/>
      <c r="E1491"/>
      <c r="F1491"/>
      <c r="G1491"/>
      <c r="H1491"/>
      <c r="I1491"/>
      <c r="J1491"/>
      <c r="K1491"/>
      <c r="L1491"/>
      <c r="M1491"/>
      <c r="S1491" s="54"/>
    </row>
    <row r="1492" spans="1:19" s="15" customFormat="1" x14ac:dyDescent="0.3">
      <c r="A1492" s="17"/>
      <c r="B1492"/>
      <c r="C1492"/>
      <c r="D1492"/>
      <c r="E1492"/>
      <c r="F1492"/>
      <c r="G1492"/>
      <c r="H1492"/>
      <c r="I1492"/>
      <c r="J1492"/>
      <c r="K1492"/>
      <c r="L1492"/>
      <c r="M1492"/>
      <c r="S1492" s="54"/>
    </row>
    <row r="1493" spans="1:19" s="15" customFormat="1" x14ac:dyDescent="0.3">
      <c r="A1493" s="17"/>
      <c r="B1493"/>
      <c r="C1493"/>
      <c r="D1493"/>
      <c r="E1493"/>
      <c r="F1493"/>
      <c r="G1493"/>
      <c r="H1493"/>
      <c r="I1493"/>
      <c r="J1493"/>
      <c r="K1493"/>
      <c r="L1493"/>
      <c r="M1493"/>
      <c r="S1493" s="54"/>
    </row>
    <row r="1494" spans="1:19" s="15" customFormat="1" x14ac:dyDescent="0.3">
      <c r="A1494" s="17"/>
      <c r="B1494"/>
      <c r="C1494"/>
      <c r="D1494"/>
      <c r="E1494"/>
      <c r="F1494"/>
      <c r="G1494"/>
      <c r="H1494"/>
      <c r="I1494"/>
      <c r="J1494"/>
      <c r="K1494"/>
      <c r="L1494"/>
      <c r="M1494"/>
      <c r="S1494" s="54"/>
    </row>
    <row r="1495" spans="1:19" s="15" customFormat="1" x14ac:dyDescent="0.3">
      <c r="A1495" s="17"/>
      <c r="B1495"/>
      <c r="C1495"/>
      <c r="D1495"/>
      <c r="E1495"/>
      <c r="F1495"/>
      <c r="G1495"/>
      <c r="H1495"/>
      <c r="I1495"/>
      <c r="J1495"/>
      <c r="K1495"/>
      <c r="L1495"/>
      <c r="M1495"/>
      <c r="S1495" s="54"/>
    </row>
    <row r="1496" spans="1:19" s="15" customFormat="1" x14ac:dyDescent="0.3">
      <c r="A1496" s="17"/>
      <c r="B1496"/>
      <c r="C1496"/>
      <c r="D1496"/>
      <c r="E1496"/>
      <c r="F1496"/>
      <c r="G1496"/>
      <c r="H1496"/>
      <c r="I1496"/>
      <c r="J1496"/>
      <c r="K1496"/>
      <c r="L1496"/>
      <c r="M1496"/>
      <c r="S1496" s="54"/>
    </row>
    <row r="1497" spans="1:19" s="15" customFormat="1" x14ac:dyDescent="0.3">
      <c r="A1497" s="17"/>
      <c r="B1497"/>
      <c r="C1497"/>
      <c r="D1497"/>
      <c r="E1497"/>
      <c r="F1497"/>
      <c r="G1497"/>
      <c r="H1497"/>
      <c r="I1497"/>
      <c r="J1497"/>
      <c r="K1497"/>
      <c r="L1497"/>
      <c r="M1497"/>
      <c r="S1497" s="54"/>
    </row>
    <row r="1498" spans="1:19" s="15" customFormat="1" x14ac:dyDescent="0.3">
      <c r="A1498" s="17"/>
      <c r="B1498"/>
      <c r="C1498"/>
      <c r="D1498"/>
      <c r="E1498"/>
      <c r="F1498"/>
      <c r="G1498"/>
      <c r="H1498"/>
      <c r="I1498"/>
      <c r="J1498"/>
      <c r="K1498"/>
      <c r="L1498"/>
      <c r="M1498"/>
      <c r="S1498" s="54"/>
    </row>
    <row r="1499" spans="1:19" s="15" customFormat="1" x14ac:dyDescent="0.3">
      <c r="A1499" s="17"/>
      <c r="B1499"/>
      <c r="C1499"/>
      <c r="D1499"/>
      <c r="E1499"/>
      <c r="F1499"/>
      <c r="G1499"/>
      <c r="H1499"/>
      <c r="I1499"/>
      <c r="J1499"/>
      <c r="K1499"/>
      <c r="L1499"/>
      <c r="M1499"/>
      <c r="S1499" s="54"/>
    </row>
    <row r="1500" spans="1:19" s="15" customFormat="1" x14ac:dyDescent="0.3">
      <c r="A1500" s="17"/>
      <c r="B1500"/>
      <c r="C1500"/>
      <c r="D1500"/>
      <c r="E1500"/>
      <c r="F1500"/>
      <c r="G1500"/>
      <c r="H1500"/>
      <c r="I1500"/>
      <c r="J1500"/>
      <c r="K1500"/>
      <c r="L1500"/>
      <c r="M1500"/>
      <c r="S1500" s="54"/>
    </row>
    <row r="1501" spans="1:19" s="15" customFormat="1" x14ac:dyDescent="0.3">
      <c r="A1501" s="17"/>
      <c r="B1501"/>
      <c r="C1501"/>
      <c r="D1501"/>
      <c r="E1501"/>
      <c r="F1501"/>
      <c r="G1501"/>
      <c r="H1501"/>
      <c r="I1501"/>
      <c r="J1501"/>
      <c r="K1501"/>
      <c r="L1501"/>
      <c r="M1501"/>
      <c r="S1501" s="54"/>
    </row>
    <row r="1502" spans="1:19" s="15" customFormat="1" x14ac:dyDescent="0.3">
      <c r="A1502" s="17"/>
      <c r="B1502"/>
      <c r="C1502"/>
      <c r="D1502"/>
      <c r="E1502"/>
      <c r="F1502"/>
      <c r="G1502"/>
      <c r="H1502"/>
      <c r="I1502"/>
      <c r="J1502"/>
      <c r="K1502"/>
      <c r="L1502"/>
      <c r="M1502"/>
      <c r="S1502" s="54"/>
    </row>
    <row r="1503" spans="1:19" s="15" customFormat="1" x14ac:dyDescent="0.3">
      <c r="A1503" s="17"/>
      <c r="B1503"/>
      <c r="C1503"/>
      <c r="D1503"/>
      <c r="E1503"/>
      <c r="F1503"/>
      <c r="G1503"/>
      <c r="H1503"/>
      <c r="I1503"/>
      <c r="J1503"/>
      <c r="K1503"/>
      <c r="L1503"/>
      <c r="M1503"/>
      <c r="S1503" s="54"/>
    </row>
    <row r="1504" spans="1:19" s="15" customFormat="1" x14ac:dyDescent="0.3">
      <c r="A1504" s="17"/>
      <c r="B1504"/>
      <c r="C1504"/>
      <c r="D1504"/>
      <c r="E1504"/>
      <c r="F1504"/>
      <c r="G1504"/>
      <c r="H1504"/>
      <c r="I1504"/>
      <c r="J1504"/>
      <c r="K1504"/>
      <c r="L1504"/>
      <c r="M1504"/>
      <c r="S1504" s="54"/>
    </row>
    <row r="1505" spans="1:19" s="15" customFormat="1" x14ac:dyDescent="0.3">
      <c r="A1505" s="17"/>
      <c r="B1505"/>
      <c r="C1505"/>
      <c r="D1505"/>
      <c r="E1505"/>
      <c r="F1505"/>
      <c r="G1505"/>
      <c r="H1505"/>
      <c r="I1505"/>
      <c r="J1505"/>
      <c r="K1505"/>
      <c r="L1505"/>
      <c r="M1505"/>
      <c r="S1505" s="54"/>
    </row>
    <row r="1506" spans="1:19" s="15" customFormat="1" x14ac:dyDescent="0.3">
      <c r="A1506" s="17"/>
      <c r="B1506"/>
      <c r="C1506"/>
      <c r="D1506"/>
      <c r="E1506"/>
      <c r="F1506"/>
      <c r="G1506"/>
      <c r="H1506"/>
      <c r="I1506"/>
      <c r="J1506"/>
      <c r="K1506"/>
      <c r="L1506"/>
      <c r="M1506"/>
      <c r="S1506" s="54"/>
    </row>
    <row r="1507" spans="1:19" s="15" customFormat="1" x14ac:dyDescent="0.3">
      <c r="A1507" s="17"/>
      <c r="B1507"/>
      <c r="C1507"/>
      <c r="D1507"/>
      <c r="E1507"/>
      <c r="F1507"/>
      <c r="G1507"/>
      <c r="H1507"/>
      <c r="I1507"/>
      <c r="J1507"/>
      <c r="K1507"/>
      <c r="L1507"/>
      <c r="M1507"/>
      <c r="S1507" s="54"/>
    </row>
    <row r="1508" spans="1:19" s="15" customFormat="1" x14ac:dyDescent="0.3">
      <c r="A1508" s="17"/>
      <c r="B1508"/>
      <c r="C1508"/>
      <c r="D1508"/>
      <c r="E1508"/>
      <c r="F1508"/>
      <c r="G1508"/>
      <c r="H1508"/>
      <c r="I1508"/>
      <c r="J1508"/>
      <c r="K1508"/>
      <c r="L1508"/>
      <c r="M1508"/>
      <c r="S1508" s="54"/>
    </row>
    <row r="1509" spans="1:19" s="15" customFormat="1" x14ac:dyDescent="0.3">
      <c r="A1509" s="17"/>
      <c r="B1509"/>
      <c r="C1509"/>
      <c r="D1509"/>
      <c r="E1509"/>
      <c r="F1509"/>
      <c r="G1509"/>
      <c r="H1509"/>
      <c r="I1509"/>
      <c r="J1509"/>
      <c r="K1509"/>
      <c r="L1509"/>
      <c r="M1509"/>
      <c r="S1509" s="54"/>
    </row>
    <row r="1510" spans="1:19" s="15" customFormat="1" x14ac:dyDescent="0.3">
      <c r="A1510" s="17"/>
      <c r="B1510"/>
      <c r="C1510"/>
      <c r="D1510"/>
      <c r="E1510"/>
      <c r="F1510"/>
      <c r="G1510"/>
      <c r="H1510"/>
      <c r="I1510"/>
      <c r="J1510"/>
      <c r="K1510"/>
      <c r="L1510"/>
      <c r="M1510"/>
      <c r="S1510" s="54"/>
    </row>
    <row r="1511" spans="1:19" s="15" customFormat="1" x14ac:dyDescent="0.3">
      <c r="A1511" s="17"/>
      <c r="B1511"/>
      <c r="C1511"/>
      <c r="D1511"/>
      <c r="E1511"/>
      <c r="F1511"/>
      <c r="G1511"/>
      <c r="H1511"/>
      <c r="I1511"/>
      <c r="J1511"/>
      <c r="K1511"/>
      <c r="L1511"/>
      <c r="M1511"/>
      <c r="S1511" s="54"/>
    </row>
    <row r="1512" spans="1:19" s="15" customFormat="1" x14ac:dyDescent="0.3">
      <c r="A1512" s="17"/>
      <c r="B1512"/>
      <c r="C1512"/>
      <c r="D1512"/>
      <c r="E1512"/>
      <c r="F1512"/>
      <c r="G1512"/>
      <c r="H1512"/>
      <c r="I1512"/>
      <c r="J1512"/>
      <c r="K1512"/>
      <c r="L1512"/>
      <c r="M1512"/>
      <c r="S1512" s="54"/>
    </row>
    <row r="1513" spans="1:19" s="15" customFormat="1" x14ac:dyDescent="0.3">
      <c r="A1513" s="17"/>
      <c r="B1513"/>
      <c r="C1513"/>
      <c r="D1513"/>
      <c r="E1513"/>
      <c r="F1513"/>
      <c r="G1513"/>
      <c r="H1513"/>
      <c r="I1513"/>
      <c r="J1513"/>
      <c r="K1513"/>
      <c r="L1513"/>
      <c r="M1513"/>
      <c r="S1513" s="54"/>
    </row>
    <row r="1514" spans="1:19" s="15" customFormat="1" x14ac:dyDescent="0.3">
      <c r="A1514" s="17"/>
      <c r="B1514"/>
      <c r="C1514"/>
      <c r="D1514"/>
      <c r="E1514"/>
      <c r="F1514"/>
      <c r="G1514"/>
      <c r="H1514"/>
      <c r="I1514"/>
      <c r="J1514"/>
      <c r="K1514"/>
      <c r="L1514"/>
      <c r="M1514"/>
      <c r="S1514" s="54"/>
    </row>
    <row r="1515" spans="1:19" s="15" customFormat="1" x14ac:dyDescent="0.3">
      <c r="A1515" s="17"/>
      <c r="B1515"/>
      <c r="C1515"/>
      <c r="D1515"/>
      <c r="E1515"/>
      <c r="F1515"/>
      <c r="G1515"/>
      <c r="H1515"/>
      <c r="I1515"/>
      <c r="J1515"/>
      <c r="K1515"/>
      <c r="L1515"/>
      <c r="M1515"/>
      <c r="S1515" s="54"/>
    </row>
    <row r="1516" spans="1:19" s="15" customFormat="1" x14ac:dyDescent="0.3">
      <c r="A1516" s="17"/>
      <c r="B1516"/>
      <c r="C1516"/>
      <c r="D1516"/>
      <c r="E1516"/>
      <c r="F1516"/>
      <c r="G1516"/>
      <c r="H1516"/>
      <c r="I1516"/>
      <c r="J1516"/>
      <c r="K1516"/>
      <c r="L1516"/>
      <c r="M1516"/>
      <c r="S1516" s="54"/>
    </row>
    <row r="1517" spans="1:19" s="15" customFormat="1" x14ac:dyDescent="0.3">
      <c r="A1517" s="17"/>
      <c r="B1517"/>
      <c r="C1517"/>
      <c r="D1517"/>
      <c r="E1517"/>
      <c r="F1517"/>
      <c r="G1517"/>
      <c r="H1517"/>
      <c r="I1517"/>
      <c r="J1517"/>
      <c r="K1517"/>
      <c r="L1517"/>
      <c r="M1517"/>
      <c r="S1517" s="54"/>
    </row>
    <row r="1518" spans="1:19" s="15" customFormat="1" x14ac:dyDescent="0.3">
      <c r="A1518" s="17"/>
      <c r="B1518"/>
      <c r="C1518"/>
      <c r="D1518"/>
      <c r="E1518"/>
      <c r="F1518"/>
      <c r="G1518"/>
      <c r="H1518"/>
      <c r="I1518"/>
      <c r="J1518"/>
      <c r="K1518"/>
      <c r="L1518"/>
      <c r="M1518"/>
      <c r="S1518" s="54"/>
    </row>
    <row r="1519" spans="1:19" s="15" customFormat="1" x14ac:dyDescent="0.3">
      <c r="A1519" s="17"/>
      <c r="B1519"/>
      <c r="C1519"/>
      <c r="D1519"/>
      <c r="E1519"/>
      <c r="F1519"/>
      <c r="G1519"/>
      <c r="H1519"/>
      <c r="I1519"/>
      <c r="J1519"/>
      <c r="K1519"/>
      <c r="L1519"/>
      <c r="M1519"/>
      <c r="S1519" s="54"/>
    </row>
    <row r="1520" spans="1:19" s="15" customFormat="1" x14ac:dyDescent="0.3">
      <c r="A1520" s="17"/>
      <c r="B1520"/>
      <c r="C1520"/>
      <c r="D1520"/>
      <c r="E1520"/>
      <c r="F1520"/>
      <c r="G1520"/>
      <c r="H1520"/>
      <c r="I1520"/>
      <c r="J1520"/>
      <c r="K1520"/>
      <c r="L1520"/>
      <c r="M1520"/>
      <c r="S1520" s="54"/>
    </row>
    <row r="1521" spans="1:19" s="15" customFormat="1" x14ac:dyDescent="0.3">
      <c r="A1521" s="17"/>
      <c r="B1521"/>
      <c r="C1521"/>
      <c r="D1521"/>
      <c r="E1521"/>
      <c r="F1521"/>
      <c r="G1521"/>
      <c r="H1521"/>
      <c r="I1521"/>
      <c r="J1521"/>
      <c r="K1521"/>
      <c r="L1521"/>
      <c r="M1521"/>
      <c r="S1521" s="54"/>
    </row>
    <row r="1522" spans="1:19" s="15" customFormat="1" x14ac:dyDescent="0.3">
      <c r="A1522" s="17"/>
      <c r="B1522"/>
      <c r="C1522"/>
      <c r="D1522"/>
      <c r="E1522"/>
      <c r="F1522"/>
      <c r="G1522"/>
      <c r="H1522"/>
      <c r="I1522"/>
      <c r="J1522"/>
      <c r="K1522"/>
      <c r="L1522"/>
      <c r="M1522"/>
      <c r="S1522" s="54"/>
    </row>
    <row r="1523" spans="1:19" s="15" customFormat="1" x14ac:dyDescent="0.3">
      <c r="A1523" s="17"/>
      <c r="B1523"/>
      <c r="C1523"/>
      <c r="D1523"/>
      <c r="E1523"/>
      <c r="F1523"/>
      <c r="G1523"/>
      <c r="H1523"/>
      <c r="I1523"/>
      <c r="J1523"/>
      <c r="K1523"/>
      <c r="L1523"/>
      <c r="M1523"/>
      <c r="S1523" s="54"/>
    </row>
    <row r="1524" spans="1:19" s="15" customFormat="1" x14ac:dyDescent="0.3">
      <c r="A1524" s="17"/>
      <c r="B1524"/>
      <c r="C1524"/>
      <c r="D1524"/>
      <c r="E1524"/>
      <c r="F1524"/>
      <c r="G1524"/>
      <c r="H1524"/>
      <c r="I1524"/>
      <c r="J1524"/>
      <c r="K1524"/>
      <c r="L1524"/>
      <c r="M1524"/>
      <c r="S1524" s="54"/>
    </row>
    <row r="1525" spans="1:19" s="15" customFormat="1" x14ac:dyDescent="0.3">
      <c r="A1525" s="17"/>
      <c r="B1525"/>
      <c r="C1525"/>
      <c r="D1525"/>
      <c r="E1525"/>
      <c r="F1525"/>
      <c r="G1525"/>
      <c r="H1525"/>
      <c r="I1525"/>
      <c r="J1525"/>
      <c r="K1525"/>
      <c r="L1525"/>
      <c r="M1525"/>
      <c r="S1525" s="54"/>
    </row>
    <row r="1526" spans="1:19" s="15" customFormat="1" x14ac:dyDescent="0.3">
      <c r="A1526" s="17"/>
      <c r="B1526"/>
      <c r="C1526"/>
      <c r="D1526"/>
      <c r="E1526"/>
      <c r="F1526"/>
      <c r="G1526"/>
      <c r="H1526"/>
      <c r="I1526"/>
      <c r="J1526"/>
      <c r="K1526"/>
      <c r="L1526"/>
      <c r="M1526"/>
      <c r="S1526" s="54"/>
    </row>
    <row r="1527" spans="1:19" s="15" customFormat="1" x14ac:dyDescent="0.3">
      <c r="A1527" s="17"/>
      <c r="B1527"/>
      <c r="C1527"/>
      <c r="D1527"/>
      <c r="E1527"/>
      <c r="F1527"/>
      <c r="G1527"/>
      <c r="H1527"/>
      <c r="I1527"/>
      <c r="J1527"/>
      <c r="K1527"/>
      <c r="L1527"/>
      <c r="M1527"/>
      <c r="S1527" s="54"/>
    </row>
    <row r="1528" spans="1:19" s="15" customFormat="1" x14ac:dyDescent="0.3">
      <c r="A1528" s="17"/>
      <c r="B1528"/>
      <c r="C1528"/>
      <c r="D1528"/>
      <c r="E1528"/>
      <c r="F1528"/>
      <c r="G1528"/>
      <c r="H1528"/>
      <c r="I1528"/>
      <c r="J1528"/>
      <c r="K1528"/>
      <c r="L1528"/>
      <c r="M1528"/>
      <c r="S1528" s="54"/>
    </row>
    <row r="1529" spans="1:19" s="15" customFormat="1" x14ac:dyDescent="0.3">
      <c r="A1529" s="17"/>
      <c r="B1529"/>
      <c r="C1529"/>
      <c r="D1529"/>
      <c r="E1529"/>
      <c r="F1529"/>
      <c r="G1529"/>
      <c r="H1529"/>
      <c r="I1529"/>
      <c r="J1529"/>
      <c r="K1529"/>
      <c r="L1529"/>
      <c r="M1529"/>
      <c r="S1529" s="54"/>
    </row>
    <row r="1530" spans="1:19" s="15" customFormat="1" x14ac:dyDescent="0.3">
      <c r="A1530" s="17"/>
      <c r="B1530"/>
      <c r="C1530"/>
      <c r="D1530"/>
      <c r="E1530"/>
      <c r="F1530"/>
      <c r="G1530"/>
      <c r="H1530"/>
      <c r="I1530"/>
      <c r="J1530"/>
      <c r="K1530"/>
      <c r="L1530"/>
      <c r="M1530"/>
      <c r="S1530" s="54"/>
    </row>
    <row r="1531" spans="1:19" s="15" customFormat="1" x14ac:dyDescent="0.3">
      <c r="A1531" s="17"/>
      <c r="B1531"/>
      <c r="C1531"/>
      <c r="D1531"/>
      <c r="E1531"/>
      <c r="F1531"/>
      <c r="G1531"/>
      <c r="H1531"/>
      <c r="I1531"/>
      <c r="J1531"/>
      <c r="K1531"/>
      <c r="L1531"/>
      <c r="M1531"/>
      <c r="S1531" s="54"/>
    </row>
    <row r="1532" spans="1:19" s="15" customFormat="1" x14ac:dyDescent="0.3">
      <c r="A1532" s="17"/>
      <c r="B1532"/>
      <c r="C1532"/>
      <c r="D1532"/>
      <c r="E1532"/>
      <c r="F1532"/>
      <c r="G1532"/>
      <c r="H1532"/>
      <c r="I1532"/>
      <c r="J1532"/>
      <c r="K1532"/>
      <c r="L1532"/>
      <c r="M1532"/>
      <c r="S1532" s="54"/>
    </row>
    <row r="1533" spans="1:19" s="15" customFormat="1" x14ac:dyDescent="0.3">
      <c r="A1533" s="17"/>
      <c r="B1533"/>
      <c r="C1533"/>
      <c r="D1533"/>
      <c r="E1533"/>
      <c r="F1533"/>
      <c r="G1533"/>
      <c r="H1533"/>
      <c r="I1533"/>
      <c r="J1533"/>
      <c r="K1533"/>
      <c r="L1533"/>
      <c r="M1533"/>
      <c r="S1533" s="54"/>
    </row>
    <row r="1534" spans="1:19" s="15" customFormat="1" x14ac:dyDescent="0.3">
      <c r="A1534" s="17"/>
      <c r="B1534"/>
      <c r="C1534"/>
      <c r="D1534"/>
      <c r="E1534"/>
      <c r="F1534"/>
      <c r="G1534"/>
      <c r="H1534"/>
      <c r="I1534"/>
      <c r="J1534"/>
      <c r="K1534"/>
      <c r="L1534"/>
      <c r="M1534"/>
      <c r="S1534" s="54"/>
    </row>
    <row r="1535" spans="1:19" s="15" customFormat="1" x14ac:dyDescent="0.3">
      <c r="A1535" s="17"/>
      <c r="B1535"/>
      <c r="C1535"/>
      <c r="D1535"/>
      <c r="E1535"/>
      <c r="F1535"/>
      <c r="G1535"/>
      <c r="H1535"/>
      <c r="I1535"/>
      <c r="J1535"/>
      <c r="K1535"/>
      <c r="L1535"/>
      <c r="M1535"/>
      <c r="S1535" s="54"/>
    </row>
    <row r="1536" spans="1:19" s="15" customFormat="1" x14ac:dyDescent="0.3">
      <c r="A1536" s="17"/>
      <c r="B1536"/>
      <c r="C1536"/>
      <c r="D1536"/>
      <c r="E1536"/>
      <c r="F1536"/>
      <c r="G1536"/>
      <c r="H1536"/>
      <c r="I1536"/>
      <c r="J1536"/>
      <c r="K1536"/>
      <c r="L1536"/>
      <c r="M1536"/>
      <c r="S1536" s="54"/>
    </row>
    <row r="1537" spans="1:19" s="15" customFormat="1" x14ac:dyDescent="0.3">
      <c r="A1537" s="17"/>
      <c r="B1537"/>
      <c r="C1537"/>
      <c r="D1537"/>
      <c r="E1537"/>
      <c r="F1537"/>
      <c r="G1537"/>
      <c r="H1537"/>
      <c r="I1537"/>
      <c r="J1537"/>
      <c r="K1537"/>
      <c r="L1537"/>
      <c r="M1537"/>
      <c r="S1537" s="54"/>
    </row>
    <row r="1538" spans="1:19" s="15" customFormat="1" x14ac:dyDescent="0.3">
      <c r="A1538" s="17"/>
      <c r="B1538"/>
      <c r="C1538"/>
      <c r="D1538"/>
      <c r="E1538"/>
      <c r="F1538"/>
      <c r="G1538"/>
      <c r="H1538"/>
      <c r="I1538"/>
      <c r="J1538"/>
      <c r="K1538"/>
      <c r="L1538"/>
      <c r="M1538"/>
      <c r="S1538" s="54"/>
    </row>
    <row r="1539" spans="1:19" s="15" customFormat="1" x14ac:dyDescent="0.3">
      <c r="A1539" s="17"/>
      <c r="B1539"/>
      <c r="C1539"/>
      <c r="D1539"/>
      <c r="E1539"/>
      <c r="F1539"/>
      <c r="G1539"/>
      <c r="H1539"/>
      <c r="I1539"/>
      <c r="J1539"/>
      <c r="K1539"/>
      <c r="L1539"/>
      <c r="M1539"/>
      <c r="S1539" s="54"/>
    </row>
    <row r="1540" spans="1:19" s="15" customFormat="1" x14ac:dyDescent="0.3">
      <c r="A1540" s="17"/>
      <c r="B1540"/>
      <c r="C1540"/>
      <c r="D1540"/>
      <c r="E1540"/>
      <c r="F1540"/>
      <c r="G1540"/>
      <c r="H1540"/>
      <c r="I1540"/>
      <c r="J1540"/>
      <c r="K1540"/>
      <c r="L1540"/>
      <c r="M1540"/>
      <c r="S1540" s="54"/>
    </row>
    <row r="1541" spans="1:19" s="15" customFormat="1" x14ac:dyDescent="0.3">
      <c r="A1541" s="17"/>
      <c r="B1541"/>
      <c r="C1541"/>
      <c r="D1541"/>
      <c r="E1541"/>
      <c r="F1541"/>
      <c r="G1541"/>
      <c r="H1541"/>
      <c r="I1541"/>
      <c r="J1541"/>
      <c r="K1541"/>
      <c r="L1541"/>
      <c r="M1541"/>
      <c r="S1541" s="54"/>
    </row>
    <row r="1542" spans="1:19" s="15" customFormat="1" x14ac:dyDescent="0.3">
      <c r="A1542" s="17"/>
      <c r="B1542"/>
      <c r="C1542"/>
      <c r="D1542"/>
      <c r="E1542"/>
      <c r="F1542"/>
      <c r="G1542"/>
      <c r="H1542"/>
      <c r="I1542"/>
      <c r="J1542"/>
      <c r="K1542"/>
      <c r="L1542"/>
      <c r="M1542"/>
      <c r="S1542" s="54"/>
    </row>
    <row r="1543" spans="1:19" s="15" customFormat="1" x14ac:dyDescent="0.3">
      <c r="A1543" s="17"/>
      <c r="B1543"/>
      <c r="C1543"/>
      <c r="D1543"/>
      <c r="E1543"/>
      <c r="F1543"/>
      <c r="G1543"/>
      <c r="H1543"/>
      <c r="I1543"/>
      <c r="J1543"/>
      <c r="K1543"/>
      <c r="L1543"/>
      <c r="M1543"/>
      <c r="S1543" s="54"/>
    </row>
    <row r="1544" spans="1:19" s="15" customFormat="1" x14ac:dyDescent="0.3">
      <c r="A1544" s="17"/>
      <c r="B1544"/>
      <c r="C1544"/>
      <c r="D1544"/>
      <c r="E1544"/>
      <c r="F1544"/>
      <c r="G1544"/>
      <c r="H1544"/>
      <c r="I1544"/>
      <c r="J1544"/>
      <c r="K1544"/>
      <c r="L1544"/>
      <c r="M1544"/>
      <c r="S1544" s="54"/>
    </row>
    <row r="1545" spans="1:19" s="15" customFormat="1" x14ac:dyDescent="0.3">
      <c r="A1545" s="17"/>
      <c r="B1545"/>
      <c r="C1545"/>
      <c r="D1545"/>
      <c r="E1545"/>
      <c r="F1545"/>
      <c r="G1545"/>
      <c r="H1545"/>
      <c r="I1545"/>
      <c r="J1545"/>
      <c r="K1545"/>
      <c r="L1545"/>
      <c r="M1545"/>
      <c r="S1545" s="54"/>
    </row>
    <row r="1546" spans="1:19" s="15" customFormat="1" x14ac:dyDescent="0.3">
      <c r="A1546" s="17"/>
      <c r="B1546"/>
      <c r="C1546"/>
      <c r="D1546"/>
      <c r="E1546"/>
      <c r="F1546"/>
      <c r="G1546"/>
      <c r="H1546"/>
      <c r="I1546"/>
      <c r="J1546"/>
      <c r="K1546"/>
      <c r="L1546"/>
      <c r="M1546"/>
      <c r="S1546" s="54"/>
    </row>
    <row r="1547" spans="1:19" s="15" customFormat="1" x14ac:dyDescent="0.3">
      <c r="A1547" s="17"/>
      <c r="B1547"/>
      <c r="C1547"/>
      <c r="D1547"/>
      <c r="E1547"/>
      <c r="F1547"/>
      <c r="G1547"/>
      <c r="H1547"/>
      <c r="I1547"/>
      <c r="J1547"/>
      <c r="K1547"/>
      <c r="L1547"/>
      <c r="M1547"/>
      <c r="S1547" s="54"/>
    </row>
    <row r="1548" spans="1:19" s="15" customFormat="1" x14ac:dyDescent="0.3">
      <c r="A1548" s="17"/>
      <c r="B1548"/>
      <c r="C1548"/>
      <c r="D1548"/>
      <c r="E1548"/>
      <c r="F1548"/>
      <c r="G1548"/>
      <c r="H1548"/>
      <c r="I1548"/>
      <c r="J1548"/>
      <c r="K1548"/>
      <c r="L1548"/>
      <c r="M1548"/>
      <c r="S1548" s="54"/>
    </row>
    <row r="1549" spans="1:19" s="15" customFormat="1" x14ac:dyDescent="0.3">
      <c r="A1549" s="17"/>
      <c r="B1549"/>
      <c r="C1549"/>
      <c r="D1549"/>
      <c r="E1549"/>
      <c r="F1549"/>
      <c r="G1549"/>
      <c r="H1549"/>
      <c r="I1549"/>
      <c r="J1549"/>
      <c r="K1549"/>
      <c r="L1549"/>
      <c r="M1549"/>
      <c r="S1549" s="54"/>
    </row>
    <row r="1550" spans="1:19" s="15" customFormat="1" x14ac:dyDescent="0.3">
      <c r="A1550" s="17"/>
      <c r="B1550"/>
      <c r="C1550"/>
      <c r="D1550"/>
      <c r="E1550"/>
      <c r="F1550"/>
      <c r="G1550"/>
      <c r="H1550"/>
      <c r="I1550"/>
      <c r="J1550"/>
      <c r="K1550"/>
      <c r="L1550"/>
      <c r="M1550"/>
      <c r="S1550" s="54"/>
    </row>
    <row r="1551" spans="1:19" s="15" customFormat="1" x14ac:dyDescent="0.3">
      <c r="A1551" s="17"/>
      <c r="B1551"/>
      <c r="C1551"/>
      <c r="D1551"/>
      <c r="E1551"/>
      <c r="F1551"/>
      <c r="G1551"/>
      <c r="H1551"/>
      <c r="I1551"/>
      <c r="J1551"/>
      <c r="K1551"/>
      <c r="L1551"/>
      <c r="M1551"/>
      <c r="S1551" s="54"/>
    </row>
    <row r="1552" spans="1:19" s="15" customFormat="1" x14ac:dyDescent="0.3">
      <c r="A1552" s="17"/>
      <c r="B1552"/>
      <c r="C1552"/>
      <c r="D1552"/>
      <c r="E1552"/>
      <c r="F1552"/>
      <c r="G1552"/>
      <c r="H1552"/>
      <c r="I1552"/>
      <c r="J1552"/>
      <c r="K1552"/>
      <c r="L1552"/>
      <c r="M1552"/>
      <c r="S1552" s="54"/>
    </row>
    <row r="1553" spans="1:19" s="15" customFormat="1" x14ac:dyDescent="0.3">
      <c r="A1553" s="17"/>
      <c r="B1553"/>
      <c r="C1553"/>
      <c r="D1553"/>
      <c r="E1553"/>
      <c r="F1553"/>
      <c r="G1553"/>
      <c r="H1553"/>
      <c r="I1553"/>
      <c r="J1553"/>
      <c r="K1553"/>
      <c r="L1553"/>
      <c r="M1553"/>
      <c r="S1553" s="54"/>
    </row>
    <row r="1554" spans="1:19" s="15" customFormat="1" x14ac:dyDescent="0.3">
      <c r="A1554" s="17"/>
      <c r="B1554"/>
      <c r="C1554"/>
      <c r="D1554"/>
      <c r="E1554"/>
      <c r="F1554"/>
      <c r="G1554"/>
      <c r="H1554"/>
      <c r="I1554"/>
      <c r="J1554"/>
      <c r="K1554"/>
      <c r="L1554"/>
      <c r="M1554"/>
      <c r="S1554" s="54"/>
    </row>
    <row r="1555" spans="1:19" s="15" customFormat="1" x14ac:dyDescent="0.3">
      <c r="A1555" s="17"/>
      <c r="B1555"/>
      <c r="C1555"/>
      <c r="D1555"/>
      <c r="E1555"/>
      <c r="F1555"/>
      <c r="G1555"/>
      <c r="H1555"/>
      <c r="I1555"/>
      <c r="J1555"/>
      <c r="K1555"/>
      <c r="L1555"/>
      <c r="M1555"/>
      <c r="S1555" s="54"/>
    </row>
    <row r="1556" spans="1:19" s="15" customFormat="1" x14ac:dyDescent="0.3">
      <c r="A1556" s="17"/>
      <c r="B1556"/>
      <c r="C1556"/>
      <c r="D1556"/>
      <c r="E1556"/>
      <c r="F1556"/>
      <c r="G1556"/>
      <c r="H1556"/>
      <c r="I1556"/>
      <c r="J1556"/>
      <c r="K1556"/>
      <c r="L1556"/>
      <c r="M1556"/>
      <c r="S1556" s="54"/>
    </row>
    <row r="1557" spans="1:19" s="15" customFormat="1" x14ac:dyDescent="0.3">
      <c r="A1557" s="17"/>
      <c r="B1557"/>
      <c r="C1557"/>
      <c r="D1557"/>
      <c r="E1557"/>
      <c r="F1557"/>
      <c r="G1557"/>
      <c r="H1557"/>
      <c r="I1557"/>
      <c r="J1557"/>
      <c r="K1557"/>
      <c r="L1557"/>
      <c r="M1557"/>
      <c r="S1557" s="54"/>
    </row>
    <row r="1558" spans="1:19" s="15" customFormat="1" x14ac:dyDescent="0.3">
      <c r="A1558" s="17"/>
      <c r="B1558"/>
      <c r="C1558"/>
      <c r="D1558"/>
      <c r="E1558"/>
      <c r="F1558"/>
      <c r="G1558"/>
      <c r="H1558"/>
      <c r="I1558"/>
      <c r="J1558"/>
      <c r="K1558"/>
      <c r="L1558"/>
      <c r="M1558"/>
      <c r="S1558" s="54"/>
    </row>
    <row r="1559" spans="1:19" s="15" customFormat="1" x14ac:dyDescent="0.3">
      <c r="A1559" s="17"/>
      <c r="B1559"/>
      <c r="C1559"/>
      <c r="D1559"/>
      <c r="E1559"/>
      <c r="F1559"/>
      <c r="G1559"/>
      <c r="H1559"/>
      <c r="I1559"/>
      <c r="J1559"/>
      <c r="K1559"/>
      <c r="L1559"/>
      <c r="M1559"/>
      <c r="S1559" s="54"/>
    </row>
    <row r="1560" spans="1:19" s="15" customFormat="1" x14ac:dyDescent="0.3">
      <c r="A1560" s="17"/>
      <c r="B1560"/>
      <c r="C1560"/>
      <c r="D1560"/>
      <c r="E1560"/>
      <c r="F1560"/>
      <c r="G1560"/>
      <c r="H1560"/>
      <c r="I1560"/>
      <c r="J1560"/>
      <c r="K1560"/>
      <c r="L1560"/>
      <c r="M1560"/>
      <c r="S1560" s="54"/>
    </row>
    <row r="1561" spans="1:19" s="15" customFormat="1" x14ac:dyDescent="0.3">
      <c r="A1561" s="17"/>
      <c r="B1561"/>
      <c r="C1561"/>
      <c r="D1561"/>
      <c r="E1561"/>
      <c r="F1561"/>
      <c r="G1561"/>
      <c r="H1561"/>
      <c r="I1561"/>
      <c r="J1561"/>
      <c r="K1561"/>
      <c r="L1561"/>
      <c r="M1561"/>
      <c r="S1561" s="54"/>
    </row>
    <row r="1562" spans="1:19" s="15" customFormat="1" x14ac:dyDescent="0.3">
      <c r="A1562" s="17"/>
      <c r="B1562"/>
      <c r="C1562"/>
      <c r="D1562"/>
      <c r="E1562"/>
      <c r="F1562"/>
      <c r="G1562"/>
      <c r="H1562"/>
      <c r="I1562"/>
      <c r="J1562"/>
      <c r="K1562"/>
      <c r="L1562"/>
      <c r="M1562"/>
      <c r="S1562" s="54"/>
    </row>
    <row r="1563" spans="1:19" s="15" customFormat="1" x14ac:dyDescent="0.3">
      <c r="A1563" s="17"/>
      <c r="B1563"/>
      <c r="C1563"/>
      <c r="D1563"/>
      <c r="E1563"/>
      <c r="F1563"/>
      <c r="G1563"/>
      <c r="H1563"/>
      <c r="I1563"/>
      <c r="J1563"/>
      <c r="K1563"/>
      <c r="L1563"/>
      <c r="M1563"/>
      <c r="S1563" s="54"/>
    </row>
    <row r="1564" spans="1:19" s="15" customFormat="1" x14ac:dyDescent="0.3">
      <c r="A1564" s="17"/>
      <c r="B1564"/>
      <c r="C1564"/>
      <c r="D1564"/>
      <c r="E1564"/>
      <c r="F1564"/>
      <c r="G1564"/>
      <c r="H1564"/>
      <c r="I1564"/>
      <c r="J1564"/>
      <c r="K1564"/>
      <c r="L1564"/>
      <c r="M1564"/>
      <c r="S1564" s="54"/>
    </row>
    <row r="1565" spans="1:19" s="15" customFormat="1" x14ac:dyDescent="0.3">
      <c r="A1565" s="17"/>
      <c r="B1565"/>
      <c r="C1565"/>
      <c r="D1565"/>
      <c r="E1565"/>
      <c r="F1565"/>
      <c r="G1565"/>
      <c r="H1565"/>
      <c r="I1565"/>
      <c r="J1565"/>
      <c r="K1565"/>
      <c r="L1565"/>
      <c r="M1565"/>
      <c r="S1565" s="54"/>
    </row>
    <row r="1566" spans="1:19" s="15" customFormat="1" x14ac:dyDescent="0.3">
      <c r="A1566" s="17"/>
      <c r="B1566"/>
      <c r="C1566"/>
      <c r="D1566"/>
      <c r="E1566"/>
      <c r="F1566"/>
      <c r="G1566"/>
      <c r="H1566"/>
      <c r="I1566"/>
      <c r="J1566"/>
      <c r="K1566"/>
      <c r="L1566"/>
      <c r="M1566"/>
      <c r="S1566" s="54"/>
    </row>
    <row r="1567" spans="1:19" s="15" customFormat="1" x14ac:dyDescent="0.3">
      <c r="A1567" s="17"/>
      <c r="B1567"/>
      <c r="C1567"/>
      <c r="D1567"/>
      <c r="E1567"/>
      <c r="F1567"/>
      <c r="G1567"/>
      <c r="H1567"/>
      <c r="I1567"/>
      <c r="J1567"/>
      <c r="K1567"/>
      <c r="L1567"/>
      <c r="M1567"/>
      <c r="S1567" s="54"/>
    </row>
    <row r="1568" spans="1:19" s="15" customFormat="1" x14ac:dyDescent="0.3">
      <c r="A1568" s="17"/>
      <c r="B1568"/>
      <c r="C1568"/>
      <c r="D1568"/>
      <c r="E1568"/>
      <c r="F1568"/>
      <c r="G1568"/>
      <c r="H1568"/>
      <c r="I1568"/>
      <c r="J1568"/>
      <c r="K1568"/>
      <c r="L1568"/>
      <c r="M1568"/>
      <c r="S1568" s="54"/>
    </row>
    <row r="1569" spans="1:19" s="15" customFormat="1" x14ac:dyDescent="0.3">
      <c r="A1569" s="17"/>
      <c r="B1569"/>
      <c r="C1569"/>
      <c r="D1569"/>
      <c r="E1569"/>
      <c r="F1569"/>
      <c r="G1569"/>
      <c r="H1569"/>
      <c r="I1569"/>
      <c r="J1569"/>
      <c r="K1569"/>
      <c r="L1569"/>
      <c r="M1569"/>
      <c r="S1569" s="54"/>
    </row>
    <row r="1570" spans="1:19" s="15" customFormat="1" x14ac:dyDescent="0.3">
      <c r="A1570" s="17"/>
      <c r="B1570"/>
      <c r="C1570"/>
      <c r="D1570"/>
      <c r="E1570"/>
      <c r="F1570"/>
      <c r="G1570"/>
      <c r="H1570"/>
      <c r="I1570"/>
      <c r="J1570"/>
      <c r="K1570"/>
      <c r="L1570"/>
      <c r="M1570"/>
      <c r="S1570" s="54"/>
    </row>
    <row r="1571" spans="1:19" s="15" customFormat="1" x14ac:dyDescent="0.3">
      <c r="A1571" s="17"/>
      <c r="B1571"/>
      <c r="C1571"/>
      <c r="D1571"/>
      <c r="E1571"/>
      <c r="F1571"/>
      <c r="G1571"/>
      <c r="H1571"/>
      <c r="I1571"/>
      <c r="J1571"/>
      <c r="K1571"/>
      <c r="L1571"/>
      <c r="M1571"/>
      <c r="S1571" s="54"/>
    </row>
    <row r="1572" spans="1:19" s="15" customFormat="1" x14ac:dyDescent="0.3">
      <c r="A1572" s="17"/>
      <c r="B1572"/>
      <c r="C1572"/>
      <c r="D1572"/>
      <c r="E1572"/>
      <c r="F1572"/>
      <c r="G1572"/>
      <c r="H1572"/>
      <c r="I1572"/>
      <c r="J1572"/>
      <c r="K1572"/>
      <c r="L1572"/>
      <c r="M1572"/>
      <c r="S1572" s="54"/>
    </row>
    <row r="1573" spans="1:19" s="15" customFormat="1" x14ac:dyDescent="0.3">
      <c r="A1573" s="17"/>
      <c r="B1573"/>
      <c r="C1573"/>
      <c r="D1573"/>
      <c r="E1573"/>
      <c r="F1573"/>
      <c r="G1573"/>
      <c r="H1573"/>
      <c r="I1573"/>
      <c r="J1573"/>
      <c r="K1573"/>
      <c r="L1573"/>
      <c r="M1573"/>
      <c r="S1573" s="54"/>
    </row>
    <row r="1574" spans="1:19" s="15" customFormat="1" x14ac:dyDescent="0.3">
      <c r="A1574" s="17"/>
      <c r="B1574"/>
      <c r="C1574"/>
      <c r="D1574"/>
      <c r="E1574"/>
      <c r="F1574"/>
      <c r="G1574"/>
      <c r="H1574"/>
      <c r="I1574"/>
      <c r="J1574"/>
      <c r="K1574"/>
      <c r="L1574"/>
      <c r="M1574"/>
      <c r="S1574" s="54"/>
    </row>
    <row r="1575" spans="1:19" s="15" customFormat="1" x14ac:dyDescent="0.3">
      <c r="A1575" s="17"/>
      <c r="B1575"/>
      <c r="C1575"/>
      <c r="D1575"/>
      <c r="E1575"/>
      <c r="F1575"/>
      <c r="G1575"/>
      <c r="H1575"/>
      <c r="I1575"/>
      <c r="J1575"/>
      <c r="K1575"/>
      <c r="L1575"/>
      <c r="M1575"/>
      <c r="S1575" s="54"/>
    </row>
    <row r="1576" spans="1:19" s="15" customFormat="1" x14ac:dyDescent="0.3">
      <c r="A1576" s="17"/>
      <c r="B1576"/>
      <c r="C1576"/>
      <c r="D1576"/>
      <c r="E1576"/>
      <c r="F1576"/>
      <c r="G1576"/>
      <c r="H1576"/>
      <c r="I1576"/>
      <c r="J1576"/>
      <c r="K1576"/>
      <c r="L1576"/>
      <c r="M1576"/>
      <c r="S1576" s="54"/>
    </row>
    <row r="1577" spans="1:19" s="15" customFormat="1" x14ac:dyDescent="0.3">
      <c r="A1577" s="17"/>
      <c r="B1577"/>
      <c r="C1577"/>
      <c r="D1577"/>
      <c r="E1577"/>
      <c r="F1577"/>
      <c r="G1577"/>
      <c r="H1577"/>
      <c r="I1577"/>
      <c r="J1577"/>
      <c r="K1577"/>
      <c r="L1577"/>
      <c r="M1577"/>
      <c r="S1577" s="54"/>
    </row>
    <row r="1578" spans="1:19" s="15" customFormat="1" x14ac:dyDescent="0.3">
      <c r="A1578" s="17"/>
      <c r="B1578"/>
      <c r="C1578"/>
      <c r="D1578"/>
      <c r="E1578"/>
      <c r="F1578"/>
      <c r="G1578"/>
      <c r="H1578"/>
      <c r="I1578"/>
      <c r="J1578"/>
      <c r="K1578"/>
      <c r="L1578"/>
      <c r="M1578"/>
      <c r="S1578" s="54"/>
    </row>
    <row r="1579" spans="1:19" s="15" customFormat="1" x14ac:dyDescent="0.3">
      <c r="A1579" s="17"/>
      <c r="B1579"/>
      <c r="C1579"/>
      <c r="D1579"/>
      <c r="E1579"/>
      <c r="F1579"/>
      <c r="G1579"/>
      <c r="H1579"/>
      <c r="I1579"/>
      <c r="J1579"/>
      <c r="K1579"/>
      <c r="L1579"/>
      <c r="M1579"/>
      <c r="S1579" s="54"/>
    </row>
    <row r="1580" spans="1:19" s="15" customFormat="1" x14ac:dyDescent="0.3">
      <c r="A1580" s="17"/>
      <c r="B1580"/>
      <c r="C1580"/>
      <c r="D1580"/>
      <c r="E1580"/>
      <c r="F1580"/>
      <c r="G1580"/>
      <c r="H1580"/>
      <c r="I1580"/>
      <c r="J1580"/>
      <c r="K1580"/>
      <c r="L1580"/>
      <c r="M1580"/>
      <c r="S1580" s="54"/>
    </row>
    <row r="1581" spans="1:19" s="15" customFormat="1" x14ac:dyDescent="0.3">
      <c r="A1581" s="17"/>
      <c r="B1581"/>
      <c r="C1581"/>
      <c r="D1581"/>
      <c r="E1581"/>
      <c r="F1581"/>
      <c r="G1581"/>
      <c r="H1581"/>
      <c r="I1581"/>
      <c r="J1581"/>
      <c r="K1581"/>
      <c r="L1581"/>
      <c r="M1581"/>
      <c r="S1581" s="54"/>
    </row>
    <row r="1582" spans="1:19" s="15" customFormat="1" x14ac:dyDescent="0.3">
      <c r="A1582" s="17"/>
      <c r="B1582"/>
      <c r="C1582"/>
      <c r="D1582"/>
      <c r="E1582"/>
      <c r="F1582"/>
      <c r="G1582"/>
      <c r="H1582"/>
      <c r="I1582"/>
      <c r="J1582"/>
      <c r="K1582"/>
      <c r="L1582"/>
      <c r="M1582"/>
      <c r="S1582" s="54"/>
    </row>
    <row r="1583" spans="1:19" s="15" customFormat="1" x14ac:dyDescent="0.3">
      <c r="A1583" s="17"/>
      <c r="B1583"/>
      <c r="C1583"/>
      <c r="D1583"/>
      <c r="E1583"/>
      <c r="F1583"/>
      <c r="G1583"/>
      <c r="H1583"/>
      <c r="I1583"/>
      <c r="J1583"/>
      <c r="K1583"/>
      <c r="L1583"/>
      <c r="M1583"/>
      <c r="S1583" s="54"/>
    </row>
    <row r="1584" spans="1:19" s="15" customFormat="1" x14ac:dyDescent="0.3">
      <c r="A1584" s="17"/>
      <c r="B1584"/>
      <c r="C1584"/>
      <c r="D1584"/>
      <c r="E1584"/>
      <c r="F1584"/>
      <c r="G1584"/>
      <c r="H1584"/>
      <c r="I1584"/>
      <c r="J1584"/>
      <c r="K1584"/>
      <c r="L1584"/>
      <c r="M1584"/>
      <c r="S1584" s="54"/>
    </row>
    <row r="1585" spans="1:19" s="15" customFormat="1" x14ac:dyDescent="0.3">
      <c r="A1585" s="17"/>
      <c r="B1585"/>
      <c r="C1585"/>
      <c r="D1585"/>
      <c r="E1585"/>
      <c r="F1585"/>
      <c r="G1585"/>
      <c r="H1585"/>
      <c r="I1585"/>
      <c r="J1585"/>
      <c r="K1585"/>
      <c r="L1585"/>
      <c r="M1585"/>
      <c r="S1585" s="54"/>
    </row>
    <row r="1586" spans="1:19" s="15" customFormat="1" x14ac:dyDescent="0.3">
      <c r="A1586" s="17"/>
      <c r="B1586"/>
      <c r="C1586"/>
      <c r="D1586"/>
      <c r="E1586"/>
      <c r="F1586"/>
      <c r="G1586"/>
      <c r="H1586"/>
      <c r="I1586"/>
      <c r="J1586"/>
      <c r="K1586"/>
      <c r="L1586"/>
      <c r="M1586"/>
      <c r="S1586" s="54"/>
    </row>
    <row r="1587" spans="1:19" s="15" customFormat="1" x14ac:dyDescent="0.3">
      <c r="A1587" s="17"/>
      <c r="B1587"/>
      <c r="C1587"/>
      <c r="D1587"/>
      <c r="E1587"/>
      <c r="F1587"/>
      <c r="G1587"/>
      <c r="H1587"/>
      <c r="I1587"/>
      <c r="J1587"/>
      <c r="K1587"/>
      <c r="L1587"/>
      <c r="M1587"/>
      <c r="S1587" s="54"/>
    </row>
    <row r="1588" spans="1:19" s="15" customFormat="1" x14ac:dyDescent="0.3">
      <c r="A1588" s="17"/>
      <c r="B1588"/>
      <c r="C1588"/>
      <c r="D1588"/>
      <c r="E1588"/>
      <c r="F1588"/>
      <c r="G1588"/>
      <c r="H1588"/>
      <c r="I1588"/>
      <c r="J1588"/>
      <c r="K1588"/>
      <c r="L1588"/>
      <c r="M1588"/>
      <c r="S1588" s="54"/>
    </row>
    <row r="1589" spans="1:19" s="15" customFormat="1" x14ac:dyDescent="0.3">
      <c r="A1589" s="17"/>
      <c r="B1589"/>
      <c r="C1589"/>
      <c r="D1589"/>
      <c r="E1589"/>
      <c r="F1589"/>
      <c r="G1589"/>
      <c r="H1589"/>
      <c r="I1589"/>
      <c r="J1589"/>
      <c r="K1589"/>
      <c r="L1589"/>
      <c r="M1589"/>
      <c r="S1589" s="54"/>
    </row>
    <row r="1590" spans="1:19" s="15" customFormat="1" x14ac:dyDescent="0.3">
      <c r="A1590" s="17"/>
      <c r="B1590"/>
      <c r="C1590"/>
      <c r="D1590"/>
      <c r="E1590"/>
      <c r="F1590"/>
      <c r="G1590"/>
      <c r="H1590"/>
      <c r="I1590"/>
      <c r="J1590"/>
      <c r="K1590"/>
      <c r="L1590"/>
      <c r="M1590"/>
      <c r="S1590" s="54"/>
    </row>
    <row r="1591" spans="1:19" s="15" customFormat="1" x14ac:dyDescent="0.3">
      <c r="A1591" s="17"/>
      <c r="B1591"/>
      <c r="C1591"/>
      <c r="D1591"/>
      <c r="E1591"/>
      <c r="F1591"/>
      <c r="G1591"/>
      <c r="H1591"/>
      <c r="I1591"/>
      <c r="J1591"/>
      <c r="K1591"/>
      <c r="L1591"/>
      <c r="M1591"/>
      <c r="S1591" s="54"/>
    </row>
    <row r="1592" spans="1:19" s="15" customFormat="1" x14ac:dyDescent="0.3">
      <c r="A1592" s="17"/>
      <c r="B1592"/>
      <c r="C1592"/>
      <c r="D1592"/>
      <c r="E1592"/>
      <c r="F1592"/>
      <c r="G1592"/>
      <c r="H1592"/>
      <c r="I1592"/>
      <c r="J1592"/>
      <c r="K1592"/>
      <c r="L1592"/>
      <c r="M1592"/>
      <c r="S1592" s="54"/>
    </row>
    <row r="1593" spans="1:19" s="15" customFormat="1" x14ac:dyDescent="0.3">
      <c r="A1593" s="17"/>
      <c r="B1593"/>
      <c r="C1593"/>
      <c r="D1593"/>
      <c r="E1593"/>
      <c r="F1593"/>
      <c r="G1593"/>
      <c r="H1593"/>
      <c r="I1593"/>
      <c r="J1593"/>
      <c r="K1593"/>
      <c r="L1593"/>
      <c r="M1593"/>
      <c r="S1593" s="54"/>
    </row>
    <row r="1594" spans="1:19" s="15" customFormat="1" x14ac:dyDescent="0.3">
      <c r="A1594" s="17"/>
      <c r="B1594"/>
      <c r="C1594"/>
      <c r="D1594"/>
      <c r="E1594"/>
      <c r="F1594"/>
      <c r="G1594"/>
      <c r="H1594"/>
      <c r="I1594"/>
      <c r="J1594"/>
      <c r="K1594"/>
      <c r="L1594"/>
      <c r="M1594"/>
      <c r="S1594" s="54"/>
    </row>
    <row r="1595" spans="1:19" s="15" customFormat="1" x14ac:dyDescent="0.3">
      <c r="A1595" s="17"/>
      <c r="B1595"/>
      <c r="C1595"/>
      <c r="D1595"/>
      <c r="E1595"/>
      <c r="F1595"/>
      <c r="G1595"/>
      <c r="H1595"/>
      <c r="I1595"/>
      <c r="J1595"/>
      <c r="K1595"/>
      <c r="L1595"/>
      <c r="M1595"/>
      <c r="S1595" s="54"/>
    </row>
    <row r="1596" spans="1:19" s="15" customFormat="1" x14ac:dyDescent="0.3">
      <c r="A1596" s="17"/>
      <c r="B1596"/>
      <c r="C1596"/>
      <c r="D1596"/>
      <c r="E1596"/>
      <c r="F1596"/>
      <c r="G1596"/>
      <c r="H1596"/>
      <c r="I1596"/>
      <c r="J1596"/>
      <c r="K1596"/>
      <c r="L1596"/>
      <c r="M1596"/>
      <c r="S1596" s="54"/>
    </row>
    <row r="1597" spans="1:19" s="15" customFormat="1" x14ac:dyDescent="0.3">
      <c r="A1597" s="17"/>
      <c r="B1597"/>
      <c r="C1597"/>
      <c r="D1597"/>
      <c r="E1597"/>
      <c r="F1597"/>
      <c r="G1597"/>
      <c r="H1597"/>
      <c r="I1597"/>
      <c r="J1597"/>
      <c r="K1597"/>
      <c r="L1597"/>
      <c r="M1597"/>
      <c r="S1597" s="54"/>
    </row>
    <row r="1598" spans="1:19" s="15" customFormat="1" x14ac:dyDescent="0.3">
      <c r="A1598" s="17"/>
      <c r="B1598"/>
      <c r="C1598"/>
      <c r="D1598"/>
      <c r="E1598"/>
      <c r="F1598"/>
      <c r="G1598"/>
      <c r="H1598"/>
      <c r="I1598"/>
      <c r="J1598"/>
      <c r="K1598"/>
      <c r="L1598"/>
      <c r="M1598"/>
      <c r="S1598" s="54"/>
    </row>
    <row r="1599" spans="1:19" s="15" customFormat="1" x14ac:dyDescent="0.3">
      <c r="A1599" s="17"/>
      <c r="B1599"/>
      <c r="C1599"/>
      <c r="D1599"/>
      <c r="E1599"/>
      <c r="F1599"/>
      <c r="G1599"/>
      <c r="H1599"/>
      <c r="I1599"/>
      <c r="J1599"/>
      <c r="K1599"/>
      <c r="L1599"/>
      <c r="M1599"/>
      <c r="S1599" s="54"/>
    </row>
    <row r="1600" spans="1:19" s="15" customFormat="1" x14ac:dyDescent="0.3">
      <c r="A1600" s="17"/>
      <c r="B1600"/>
      <c r="C1600"/>
      <c r="D1600"/>
      <c r="E1600"/>
      <c r="F1600"/>
      <c r="G1600"/>
      <c r="H1600"/>
      <c r="I1600"/>
      <c r="J1600"/>
      <c r="K1600"/>
      <c r="L1600"/>
      <c r="M1600"/>
      <c r="S1600" s="54"/>
    </row>
    <row r="1601" spans="1:19" s="15" customFormat="1" x14ac:dyDescent="0.3">
      <c r="A1601" s="17"/>
      <c r="B1601"/>
      <c r="C1601"/>
      <c r="D1601"/>
      <c r="E1601"/>
      <c r="F1601"/>
      <c r="G1601"/>
      <c r="H1601"/>
      <c r="I1601"/>
      <c r="J1601"/>
      <c r="K1601"/>
      <c r="L1601"/>
      <c r="M1601"/>
      <c r="S1601" s="54"/>
    </row>
    <row r="1602" spans="1:19" s="15" customFormat="1" x14ac:dyDescent="0.3">
      <c r="A1602" s="17"/>
      <c r="B1602"/>
      <c r="C1602"/>
      <c r="D1602"/>
      <c r="E1602"/>
      <c r="F1602"/>
      <c r="G1602"/>
      <c r="H1602"/>
      <c r="I1602"/>
      <c r="J1602"/>
      <c r="K1602"/>
      <c r="L1602"/>
      <c r="M1602"/>
      <c r="S1602" s="54"/>
    </row>
    <row r="1603" spans="1:19" s="15" customFormat="1" x14ac:dyDescent="0.3">
      <c r="A1603" s="17"/>
      <c r="B1603"/>
      <c r="C1603"/>
      <c r="D1603"/>
      <c r="E1603"/>
      <c r="F1603"/>
      <c r="G1603"/>
      <c r="H1603"/>
      <c r="I1603"/>
      <c r="J1603"/>
      <c r="K1603"/>
      <c r="L1603"/>
      <c r="M1603"/>
      <c r="S1603" s="54"/>
    </row>
    <row r="1604" spans="1:19" s="15" customFormat="1" x14ac:dyDescent="0.3">
      <c r="A1604" s="17"/>
      <c r="B1604"/>
      <c r="C1604"/>
      <c r="D1604"/>
      <c r="E1604"/>
      <c r="F1604"/>
      <c r="G1604"/>
      <c r="H1604"/>
      <c r="I1604"/>
      <c r="J1604"/>
      <c r="K1604"/>
      <c r="L1604"/>
      <c r="M1604"/>
      <c r="S1604" s="54"/>
    </row>
    <row r="1605" spans="1:19" s="15" customFormat="1" x14ac:dyDescent="0.3">
      <c r="A1605" s="17"/>
      <c r="B1605"/>
      <c r="C1605"/>
      <c r="D1605"/>
      <c r="E1605"/>
      <c r="F1605"/>
      <c r="G1605"/>
      <c r="H1605"/>
      <c r="I1605"/>
      <c r="J1605"/>
      <c r="K1605"/>
      <c r="L1605"/>
      <c r="M1605"/>
      <c r="S1605" s="54"/>
    </row>
    <row r="1606" spans="1:19" s="15" customFormat="1" x14ac:dyDescent="0.3">
      <c r="A1606" s="17"/>
      <c r="B1606"/>
      <c r="C1606"/>
      <c r="D1606"/>
      <c r="E1606"/>
      <c r="F1606"/>
      <c r="G1606"/>
      <c r="H1606"/>
      <c r="I1606"/>
      <c r="J1606"/>
      <c r="K1606"/>
      <c r="L1606"/>
      <c r="M1606"/>
      <c r="S1606" s="54"/>
    </row>
    <row r="1607" spans="1:19" s="15" customFormat="1" x14ac:dyDescent="0.3">
      <c r="A1607" s="17"/>
      <c r="B1607"/>
      <c r="C1607"/>
      <c r="D1607"/>
      <c r="E1607"/>
      <c r="F1607"/>
      <c r="G1607"/>
      <c r="H1607"/>
      <c r="I1607"/>
      <c r="J1607"/>
      <c r="K1607"/>
      <c r="L1607"/>
      <c r="M1607"/>
      <c r="S1607" s="54"/>
    </row>
    <row r="1608" spans="1:19" s="15" customFormat="1" x14ac:dyDescent="0.3">
      <c r="A1608" s="17"/>
      <c r="B1608"/>
      <c r="C1608"/>
      <c r="D1608"/>
      <c r="E1608"/>
      <c r="F1608"/>
      <c r="G1608"/>
      <c r="H1608"/>
      <c r="I1608"/>
      <c r="J1608"/>
      <c r="K1608"/>
      <c r="L1608"/>
      <c r="M1608"/>
      <c r="S1608" s="54"/>
    </row>
    <row r="1609" spans="1:19" s="15" customFormat="1" x14ac:dyDescent="0.3">
      <c r="A1609" s="17"/>
      <c r="B1609"/>
      <c r="C1609"/>
      <c r="D1609"/>
      <c r="E1609"/>
      <c r="F1609"/>
      <c r="G1609"/>
      <c r="H1609"/>
      <c r="I1609"/>
      <c r="J1609"/>
      <c r="K1609"/>
      <c r="L1609"/>
      <c r="M1609"/>
      <c r="S1609" s="54"/>
    </row>
    <row r="1610" spans="1:19" s="15" customFormat="1" x14ac:dyDescent="0.3">
      <c r="A1610" s="17"/>
      <c r="B1610"/>
      <c r="C1610"/>
      <c r="D1610"/>
      <c r="E1610"/>
      <c r="F1610"/>
      <c r="G1610"/>
      <c r="H1610"/>
      <c r="I1610"/>
      <c r="J1610"/>
      <c r="K1610"/>
      <c r="L1610"/>
      <c r="M1610"/>
      <c r="S1610" s="54"/>
    </row>
    <row r="1611" spans="1:19" s="15" customFormat="1" x14ac:dyDescent="0.3">
      <c r="A1611" s="17"/>
      <c r="B1611"/>
      <c r="C1611"/>
      <c r="D1611"/>
      <c r="E1611"/>
      <c r="F1611"/>
      <c r="G1611"/>
      <c r="H1611"/>
      <c r="I1611"/>
      <c r="J1611"/>
      <c r="K1611"/>
      <c r="L1611"/>
      <c r="M1611"/>
      <c r="S1611" s="54"/>
    </row>
    <row r="1612" spans="1:19" s="15" customFormat="1" x14ac:dyDescent="0.3">
      <c r="A1612" s="17"/>
      <c r="B1612"/>
      <c r="C1612"/>
      <c r="D1612"/>
      <c r="E1612"/>
      <c r="F1612"/>
      <c r="G1612"/>
      <c r="H1612"/>
      <c r="I1612"/>
      <c r="J1612"/>
      <c r="K1612"/>
      <c r="L1612"/>
      <c r="M1612"/>
      <c r="S1612" s="54"/>
    </row>
    <row r="1613" spans="1:19" s="15" customFormat="1" x14ac:dyDescent="0.3">
      <c r="A1613" s="17"/>
      <c r="B1613"/>
      <c r="C1613"/>
      <c r="D1613"/>
      <c r="E1613"/>
      <c r="F1613"/>
      <c r="G1613"/>
      <c r="H1613"/>
      <c r="I1613"/>
      <c r="J1613"/>
      <c r="K1613"/>
      <c r="L1613"/>
      <c r="M1613"/>
      <c r="S1613" s="54"/>
    </row>
    <row r="1614" spans="1:19" s="15" customFormat="1" x14ac:dyDescent="0.3">
      <c r="A1614" s="17"/>
      <c r="B1614"/>
      <c r="C1614"/>
      <c r="D1614"/>
      <c r="E1614"/>
      <c r="F1614"/>
      <c r="G1614"/>
      <c r="H1614"/>
      <c r="I1614"/>
      <c r="J1614"/>
      <c r="K1614"/>
      <c r="L1614"/>
      <c r="M1614"/>
      <c r="S1614" s="54"/>
    </row>
    <row r="1615" spans="1:19" s="15" customFormat="1" x14ac:dyDescent="0.3">
      <c r="A1615" s="17"/>
      <c r="B1615"/>
      <c r="C1615"/>
      <c r="D1615"/>
      <c r="E1615"/>
      <c r="F1615"/>
      <c r="G1615"/>
      <c r="H1615"/>
      <c r="I1615"/>
      <c r="J1615"/>
      <c r="K1615"/>
      <c r="L1615"/>
      <c r="M1615"/>
      <c r="S1615" s="54"/>
    </row>
    <row r="1616" spans="1:19" s="15" customFormat="1" x14ac:dyDescent="0.3">
      <c r="A1616" s="17"/>
      <c r="B1616"/>
      <c r="C1616"/>
      <c r="D1616"/>
      <c r="E1616"/>
      <c r="F1616"/>
      <c r="G1616"/>
      <c r="H1616"/>
      <c r="I1616"/>
      <c r="J1616"/>
      <c r="K1616"/>
      <c r="L1616"/>
      <c r="M1616"/>
      <c r="S1616" s="54"/>
    </row>
    <row r="1617" spans="1:19" s="15" customFormat="1" x14ac:dyDescent="0.3">
      <c r="A1617" s="17"/>
      <c r="B1617"/>
      <c r="C1617"/>
      <c r="D1617"/>
      <c r="E1617"/>
      <c r="F1617"/>
      <c r="G1617"/>
      <c r="H1617"/>
      <c r="I1617"/>
      <c r="J1617"/>
      <c r="K1617"/>
      <c r="L1617"/>
      <c r="M1617"/>
      <c r="S1617" s="54"/>
    </row>
    <row r="1618" spans="1:19" s="15" customFormat="1" x14ac:dyDescent="0.3">
      <c r="A1618" s="17"/>
      <c r="B1618"/>
      <c r="C1618"/>
      <c r="D1618"/>
      <c r="E1618"/>
      <c r="F1618"/>
      <c r="G1618"/>
      <c r="H1618"/>
      <c r="I1618"/>
      <c r="J1618"/>
      <c r="K1618"/>
      <c r="L1618"/>
      <c r="M1618"/>
      <c r="S1618" s="54"/>
    </row>
    <row r="1619" spans="1:19" s="15" customFormat="1" x14ac:dyDescent="0.3">
      <c r="A1619" s="17"/>
      <c r="B1619"/>
      <c r="C1619"/>
      <c r="D1619"/>
      <c r="E1619"/>
      <c r="F1619"/>
      <c r="G1619"/>
      <c r="H1619"/>
      <c r="I1619"/>
      <c r="J1619"/>
      <c r="K1619"/>
      <c r="L1619"/>
      <c r="M1619"/>
      <c r="S1619" s="54"/>
    </row>
    <row r="1620" spans="1:19" s="15" customFormat="1" x14ac:dyDescent="0.3">
      <c r="A1620" s="17"/>
      <c r="B1620"/>
      <c r="C1620"/>
      <c r="D1620"/>
      <c r="E1620"/>
      <c r="F1620"/>
      <c r="G1620"/>
      <c r="H1620"/>
      <c r="I1620"/>
      <c r="J1620"/>
      <c r="K1620"/>
      <c r="L1620"/>
      <c r="M1620"/>
      <c r="S1620" s="54"/>
    </row>
    <row r="1621" spans="1:19" s="15" customFormat="1" x14ac:dyDescent="0.3">
      <c r="A1621" s="17"/>
      <c r="B1621"/>
      <c r="C1621"/>
      <c r="D1621"/>
      <c r="E1621"/>
      <c r="F1621"/>
      <c r="G1621"/>
      <c r="H1621"/>
      <c r="I1621"/>
      <c r="J1621"/>
      <c r="K1621"/>
      <c r="L1621"/>
      <c r="M1621"/>
      <c r="S1621" s="54"/>
    </row>
    <row r="1622" spans="1:19" s="15" customFormat="1" x14ac:dyDescent="0.3">
      <c r="A1622" s="17"/>
      <c r="B1622"/>
      <c r="C1622"/>
      <c r="D1622"/>
      <c r="E1622"/>
      <c r="F1622"/>
      <c r="G1622"/>
      <c r="H1622"/>
      <c r="I1622"/>
      <c r="J1622"/>
      <c r="K1622"/>
      <c r="L1622"/>
      <c r="M1622"/>
      <c r="S1622" s="54"/>
    </row>
    <row r="1623" spans="1:19" s="15" customFormat="1" x14ac:dyDescent="0.3">
      <c r="A1623" s="17"/>
      <c r="B1623"/>
      <c r="C1623"/>
      <c r="D1623"/>
      <c r="E1623"/>
      <c r="F1623"/>
      <c r="G1623"/>
      <c r="H1623"/>
      <c r="I1623"/>
      <c r="J1623"/>
      <c r="K1623"/>
      <c r="L1623"/>
      <c r="M1623"/>
      <c r="S1623" s="54"/>
    </row>
    <row r="1624" spans="1:19" s="15" customFormat="1" x14ac:dyDescent="0.3">
      <c r="A1624" s="17"/>
      <c r="B1624"/>
      <c r="C1624"/>
      <c r="D1624"/>
      <c r="E1624"/>
      <c r="F1624"/>
      <c r="G1624"/>
      <c r="H1624"/>
      <c r="I1624"/>
      <c r="J1624"/>
      <c r="K1624"/>
      <c r="L1624"/>
      <c r="M1624"/>
      <c r="S1624" s="54"/>
    </row>
    <row r="1625" spans="1:19" s="15" customFormat="1" x14ac:dyDescent="0.3">
      <c r="A1625" s="17"/>
      <c r="B1625"/>
      <c r="C1625"/>
      <c r="D1625"/>
      <c r="E1625"/>
      <c r="F1625"/>
      <c r="G1625"/>
      <c r="H1625"/>
      <c r="I1625"/>
      <c r="J1625"/>
      <c r="K1625"/>
      <c r="L1625"/>
      <c r="M1625"/>
      <c r="S1625" s="54"/>
    </row>
    <row r="1626" spans="1:19" s="15" customFormat="1" x14ac:dyDescent="0.3">
      <c r="A1626" s="17"/>
      <c r="B1626"/>
      <c r="C1626"/>
      <c r="D1626"/>
      <c r="E1626"/>
      <c r="F1626"/>
      <c r="G1626"/>
      <c r="H1626"/>
      <c r="I1626"/>
      <c r="J1626"/>
      <c r="K1626"/>
      <c r="L1626"/>
      <c r="M1626"/>
      <c r="S1626" s="54"/>
    </row>
    <row r="1627" spans="1:19" s="15" customFormat="1" x14ac:dyDescent="0.3">
      <c r="A1627" s="17"/>
      <c r="B1627"/>
      <c r="C1627"/>
      <c r="D1627"/>
      <c r="E1627"/>
      <c r="F1627"/>
      <c r="G1627"/>
      <c r="H1627"/>
      <c r="I1627"/>
      <c r="J1627"/>
      <c r="K1627"/>
      <c r="L1627"/>
      <c r="M1627"/>
      <c r="S1627" s="54"/>
    </row>
    <row r="1628" spans="1:19" s="15" customFormat="1" x14ac:dyDescent="0.3">
      <c r="A1628" s="17"/>
      <c r="B1628"/>
      <c r="C1628"/>
      <c r="D1628"/>
      <c r="E1628"/>
      <c r="F1628"/>
      <c r="G1628"/>
      <c r="H1628"/>
      <c r="I1628"/>
      <c r="J1628"/>
      <c r="K1628"/>
      <c r="L1628"/>
      <c r="M1628"/>
      <c r="S1628" s="54"/>
    </row>
    <row r="1629" spans="1:19" s="15" customFormat="1" x14ac:dyDescent="0.3">
      <c r="A1629" s="17"/>
      <c r="B1629"/>
      <c r="C1629"/>
      <c r="D1629"/>
      <c r="E1629"/>
      <c r="F1629"/>
      <c r="G1629"/>
      <c r="H1629"/>
      <c r="I1629"/>
      <c r="J1629"/>
      <c r="K1629"/>
      <c r="L1629"/>
      <c r="M1629"/>
      <c r="S1629" s="54"/>
    </row>
    <row r="1630" spans="1:19" s="15" customFormat="1" x14ac:dyDescent="0.3">
      <c r="A1630" s="17"/>
      <c r="B1630"/>
      <c r="C1630"/>
      <c r="D1630"/>
      <c r="E1630"/>
      <c r="F1630"/>
      <c r="G1630"/>
      <c r="H1630"/>
      <c r="I1630"/>
      <c r="J1630"/>
      <c r="K1630"/>
      <c r="L1630"/>
      <c r="M1630"/>
      <c r="S1630" s="54"/>
    </row>
    <row r="1631" spans="1:19" s="15" customFormat="1" x14ac:dyDescent="0.3">
      <c r="A1631" s="17"/>
      <c r="B1631"/>
      <c r="C1631"/>
      <c r="D1631"/>
      <c r="E1631"/>
      <c r="F1631"/>
      <c r="G1631"/>
      <c r="H1631"/>
      <c r="I1631"/>
      <c r="J1631"/>
      <c r="K1631"/>
      <c r="L1631"/>
      <c r="M1631"/>
      <c r="S1631" s="54"/>
    </row>
    <row r="1632" spans="1:19" s="15" customFormat="1" x14ac:dyDescent="0.3">
      <c r="A1632" s="17"/>
      <c r="B1632"/>
      <c r="C1632"/>
      <c r="D1632"/>
      <c r="E1632"/>
      <c r="F1632"/>
      <c r="G1632"/>
      <c r="H1632"/>
      <c r="I1632"/>
      <c r="J1632"/>
      <c r="K1632"/>
      <c r="L1632"/>
      <c r="M1632"/>
      <c r="S1632" s="54"/>
    </row>
    <row r="1633" spans="1:19" s="15" customFormat="1" x14ac:dyDescent="0.3">
      <c r="A1633" s="17"/>
      <c r="B1633"/>
      <c r="C1633"/>
      <c r="D1633"/>
      <c r="E1633"/>
      <c r="F1633"/>
      <c r="G1633"/>
      <c r="H1633"/>
      <c r="I1633"/>
      <c r="J1633"/>
      <c r="K1633"/>
      <c r="L1633"/>
      <c r="M1633"/>
      <c r="S1633" s="54"/>
    </row>
    <row r="1634" spans="1:19" s="15" customFormat="1" x14ac:dyDescent="0.3">
      <c r="A1634" s="17"/>
      <c r="B1634"/>
      <c r="C1634"/>
      <c r="D1634"/>
      <c r="E1634"/>
      <c r="F1634"/>
      <c r="G1634"/>
      <c r="H1634"/>
      <c r="I1634"/>
      <c r="J1634"/>
      <c r="K1634"/>
      <c r="L1634"/>
      <c r="M1634"/>
      <c r="S1634" s="54"/>
    </row>
    <row r="1635" spans="1:19" s="15" customFormat="1" x14ac:dyDescent="0.3">
      <c r="A1635" s="17"/>
      <c r="B1635"/>
      <c r="C1635"/>
      <c r="D1635"/>
      <c r="E1635"/>
      <c r="F1635"/>
      <c r="G1635"/>
      <c r="H1635"/>
      <c r="I1635"/>
      <c r="J1635"/>
      <c r="K1635"/>
      <c r="L1635"/>
      <c r="M1635"/>
      <c r="S1635" s="54"/>
    </row>
    <row r="1636" spans="1:19" s="15" customFormat="1" x14ac:dyDescent="0.3">
      <c r="A1636" s="17"/>
      <c r="B1636"/>
      <c r="C1636"/>
      <c r="D1636"/>
      <c r="E1636"/>
      <c r="F1636"/>
      <c r="G1636"/>
      <c r="H1636"/>
      <c r="I1636"/>
      <c r="J1636"/>
      <c r="K1636"/>
      <c r="L1636"/>
      <c r="M1636"/>
      <c r="S1636" s="54"/>
    </row>
    <row r="1637" spans="1:19" s="15" customFormat="1" x14ac:dyDescent="0.3">
      <c r="A1637" s="17"/>
      <c r="B1637"/>
      <c r="C1637"/>
      <c r="D1637"/>
      <c r="E1637"/>
      <c r="F1637"/>
      <c r="G1637"/>
      <c r="H1637"/>
      <c r="I1637"/>
      <c r="J1637"/>
      <c r="K1637"/>
      <c r="L1637"/>
      <c r="M1637"/>
      <c r="S1637" s="54"/>
    </row>
    <row r="1638" spans="1:19" s="15" customFormat="1" x14ac:dyDescent="0.3">
      <c r="A1638" s="17"/>
      <c r="B1638"/>
      <c r="C1638"/>
      <c r="D1638"/>
      <c r="E1638"/>
      <c r="F1638"/>
      <c r="G1638"/>
      <c r="H1638"/>
      <c r="I1638"/>
      <c r="J1638"/>
      <c r="K1638"/>
      <c r="L1638"/>
      <c r="M1638"/>
      <c r="S1638" s="54"/>
    </row>
    <row r="1639" spans="1:19" s="15" customFormat="1" x14ac:dyDescent="0.3">
      <c r="A1639" s="17"/>
      <c r="B1639"/>
      <c r="C1639"/>
      <c r="D1639"/>
      <c r="E1639"/>
      <c r="F1639"/>
      <c r="G1639"/>
      <c r="H1639"/>
      <c r="I1639"/>
      <c r="J1639"/>
      <c r="K1639"/>
      <c r="L1639"/>
      <c r="M1639"/>
      <c r="S1639" s="54"/>
    </row>
    <row r="1640" spans="1:19" s="15" customFormat="1" x14ac:dyDescent="0.3">
      <c r="A1640" s="17"/>
      <c r="B1640"/>
      <c r="C1640"/>
      <c r="D1640"/>
      <c r="E1640"/>
      <c r="F1640"/>
      <c r="G1640"/>
      <c r="H1640"/>
      <c r="I1640"/>
      <c r="J1640"/>
      <c r="K1640"/>
      <c r="L1640"/>
      <c r="M1640"/>
      <c r="S1640" s="54"/>
    </row>
    <row r="1641" spans="1:19" s="15" customFormat="1" x14ac:dyDescent="0.3">
      <c r="A1641" s="17"/>
      <c r="B1641"/>
      <c r="C1641"/>
      <c r="D1641"/>
      <c r="E1641"/>
      <c r="F1641"/>
      <c r="G1641"/>
      <c r="H1641"/>
      <c r="I1641"/>
      <c r="J1641"/>
      <c r="K1641"/>
      <c r="L1641"/>
      <c r="M1641"/>
      <c r="S1641" s="54"/>
    </row>
    <row r="1642" spans="1:19" s="15" customFormat="1" x14ac:dyDescent="0.3">
      <c r="A1642" s="17"/>
      <c r="B1642"/>
      <c r="C1642"/>
      <c r="D1642"/>
      <c r="E1642"/>
      <c r="F1642"/>
      <c r="G1642"/>
      <c r="H1642"/>
      <c r="I1642"/>
      <c r="J1642"/>
      <c r="K1642"/>
      <c r="L1642"/>
      <c r="M1642"/>
      <c r="S1642" s="54"/>
    </row>
    <row r="1643" spans="1:19" s="15" customFormat="1" x14ac:dyDescent="0.3">
      <c r="A1643" s="17"/>
      <c r="B1643"/>
      <c r="C1643"/>
      <c r="D1643"/>
      <c r="E1643"/>
      <c r="F1643"/>
      <c r="G1643"/>
      <c r="H1643"/>
      <c r="I1643"/>
      <c r="J1643"/>
      <c r="K1643"/>
      <c r="L1643"/>
      <c r="M1643"/>
      <c r="S1643" s="54"/>
    </row>
    <row r="1644" spans="1:19" s="15" customFormat="1" x14ac:dyDescent="0.3">
      <c r="A1644" s="17"/>
      <c r="B1644"/>
      <c r="C1644"/>
      <c r="D1644"/>
      <c r="E1644"/>
      <c r="F1644"/>
      <c r="G1644"/>
      <c r="H1644"/>
      <c r="I1644"/>
      <c r="J1644"/>
      <c r="K1644"/>
      <c r="L1644"/>
      <c r="M1644"/>
      <c r="S1644" s="54"/>
    </row>
    <row r="1645" spans="1:19" s="15" customFormat="1" x14ac:dyDescent="0.3">
      <c r="A1645" s="17"/>
      <c r="B1645"/>
      <c r="C1645"/>
      <c r="D1645"/>
      <c r="E1645"/>
      <c r="F1645"/>
      <c r="G1645"/>
      <c r="H1645"/>
      <c r="I1645"/>
      <c r="J1645"/>
      <c r="K1645"/>
      <c r="L1645"/>
      <c r="M1645"/>
      <c r="S1645" s="54"/>
    </row>
    <row r="1646" spans="1:19" s="15" customFormat="1" x14ac:dyDescent="0.3">
      <c r="A1646" s="17"/>
      <c r="B1646"/>
      <c r="C1646"/>
      <c r="D1646"/>
      <c r="E1646"/>
      <c r="F1646"/>
      <c r="G1646"/>
      <c r="H1646"/>
      <c r="I1646"/>
      <c r="J1646"/>
      <c r="K1646"/>
      <c r="L1646"/>
      <c r="M1646"/>
      <c r="S1646" s="54"/>
    </row>
    <row r="1647" spans="1:19" s="15" customFormat="1" x14ac:dyDescent="0.3">
      <c r="A1647" s="17"/>
      <c r="B1647"/>
      <c r="C1647"/>
      <c r="D1647"/>
      <c r="E1647"/>
      <c r="F1647"/>
      <c r="G1647"/>
      <c r="H1647"/>
      <c r="I1647"/>
      <c r="J1647"/>
      <c r="K1647"/>
      <c r="L1647"/>
      <c r="M1647"/>
      <c r="S1647" s="54"/>
    </row>
    <row r="1648" spans="1:19" s="15" customFormat="1" x14ac:dyDescent="0.3">
      <c r="A1648" s="17"/>
      <c r="B1648"/>
      <c r="C1648"/>
      <c r="D1648"/>
      <c r="E1648"/>
      <c r="F1648"/>
      <c r="G1648"/>
      <c r="H1648"/>
      <c r="I1648"/>
      <c r="J1648"/>
      <c r="K1648"/>
      <c r="L1648"/>
      <c r="M1648"/>
      <c r="S1648" s="54"/>
    </row>
    <row r="1649" spans="1:19" s="15" customFormat="1" x14ac:dyDescent="0.3">
      <c r="A1649" s="17"/>
      <c r="B1649"/>
      <c r="C1649"/>
      <c r="D1649"/>
      <c r="E1649"/>
      <c r="F1649"/>
      <c r="G1649"/>
      <c r="H1649"/>
      <c r="I1649"/>
      <c r="J1649"/>
      <c r="K1649"/>
      <c r="L1649"/>
      <c r="M1649"/>
      <c r="S1649" s="54"/>
    </row>
    <row r="1650" spans="1:19" s="15" customFormat="1" x14ac:dyDescent="0.3">
      <c r="A1650" s="17"/>
      <c r="B1650"/>
      <c r="C1650"/>
      <c r="D1650"/>
      <c r="E1650"/>
      <c r="F1650"/>
      <c r="G1650"/>
      <c r="H1650"/>
      <c r="I1650"/>
      <c r="J1650"/>
      <c r="K1650"/>
      <c r="L1650"/>
      <c r="M1650"/>
      <c r="S1650" s="54"/>
    </row>
    <row r="1651" spans="1:19" s="15" customFormat="1" x14ac:dyDescent="0.3">
      <c r="A1651" s="17"/>
      <c r="B1651"/>
      <c r="C1651"/>
      <c r="D1651"/>
      <c r="E1651"/>
      <c r="F1651"/>
      <c r="G1651"/>
      <c r="H1651"/>
      <c r="I1651"/>
      <c r="J1651"/>
      <c r="K1651"/>
      <c r="L1651"/>
      <c r="M1651"/>
      <c r="S1651" s="54"/>
    </row>
    <row r="1652" spans="1:19" s="15" customFormat="1" x14ac:dyDescent="0.3">
      <c r="A1652" s="17"/>
      <c r="B1652"/>
      <c r="C1652"/>
      <c r="D1652"/>
      <c r="E1652"/>
      <c r="F1652"/>
      <c r="G1652"/>
      <c r="H1652"/>
      <c r="I1652"/>
      <c r="J1652"/>
      <c r="K1652"/>
      <c r="L1652"/>
      <c r="M1652"/>
      <c r="S1652" s="54"/>
    </row>
    <row r="1653" spans="1:19" s="15" customFormat="1" x14ac:dyDescent="0.3">
      <c r="A1653" s="17"/>
      <c r="B1653"/>
      <c r="C1653"/>
      <c r="D1653"/>
      <c r="E1653"/>
      <c r="F1653"/>
      <c r="G1653"/>
      <c r="H1653"/>
      <c r="I1653"/>
      <c r="J1653"/>
      <c r="K1653"/>
      <c r="L1653"/>
      <c r="M1653"/>
      <c r="S1653" s="54"/>
    </row>
    <row r="1654" spans="1:19" s="15" customFormat="1" x14ac:dyDescent="0.3">
      <c r="A1654" s="17"/>
      <c r="B1654"/>
      <c r="C1654"/>
      <c r="D1654"/>
      <c r="E1654"/>
      <c r="F1654"/>
      <c r="G1654"/>
      <c r="H1654"/>
      <c r="I1654"/>
      <c r="J1654"/>
      <c r="K1654"/>
      <c r="L1654"/>
      <c r="M1654"/>
      <c r="S1654" s="54"/>
    </row>
    <row r="1655" spans="1:19" s="15" customFormat="1" x14ac:dyDescent="0.3">
      <c r="A1655" s="17"/>
      <c r="B1655"/>
      <c r="C1655"/>
      <c r="D1655"/>
      <c r="E1655"/>
      <c r="F1655"/>
      <c r="G1655"/>
      <c r="H1655"/>
      <c r="I1655"/>
      <c r="J1655"/>
      <c r="K1655"/>
      <c r="L1655"/>
      <c r="M1655"/>
      <c r="S1655" s="54"/>
    </row>
    <row r="1656" spans="1:19" s="15" customFormat="1" x14ac:dyDescent="0.3">
      <c r="A1656" s="17"/>
      <c r="B1656"/>
      <c r="C1656"/>
      <c r="D1656"/>
      <c r="E1656"/>
      <c r="F1656"/>
      <c r="G1656"/>
      <c r="H1656"/>
      <c r="I1656"/>
      <c r="J1656"/>
      <c r="K1656"/>
      <c r="L1656"/>
      <c r="M1656"/>
      <c r="S1656" s="54"/>
    </row>
    <row r="1657" spans="1:19" s="15" customFormat="1" x14ac:dyDescent="0.3">
      <c r="A1657" s="17"/>
      <c r="B1657"/>
      <c r="C1657"/>
      <c r="D1657"/>
      <c r="E1657"/>
      <c r="F1657"/>
      <c r="G1657"/>
      <c r="H1657"/>
      <c r="I1657"/>
      <c r="J1657"/>
      <c r="K1657"/>
      <c r="L1657"/>
      <c r="M1657"/>
      <c r="S1657" s="54"/>
    </row>
    <row r="1658" spans="1:19" s="15" customFormat="1" x14ac:dyDescent="0.3">
      <c r="A1658" s="17"/>
      <c r="B1658"/>
      <c r="C1658"/>
      <c r="D1658"/>
      <c r="E1658"/>
      <c r="F1658"/>
      <c r="G1658"/>
      <c r="H1658"/>
      <c r="I1658"/>
      <c r="J1658"/>
      <c r="K1658"/>
      <c r="L1658"/>
      <c r="M1658"/>
      <c r="S1658" s="54"/>
    </row>
    <row r="1659" spans="1:19" s="15" customFormat="1" x14ac:dyDescent="0.3">
      <c r="A1659" s="17"/>
      <c r="B1659"/>
      <c r="C1659"/>
      <c r="D1659"/>
      <c r="E1659"/>
      <c r="F1659"/>
      <c r="G1659"/>
      <c r="H1659"/>
      <c r="I1659"/>
      <c r="J1659"/>
      <c r="K1659"/>
      <c r="L1659"/>
      <c r="M1659"/>
      <c r="S1659" s="54"/>
    </row>
    <row r="1660" spans="1:19" s="15" customFormat="1" x14ac:dyDescent="0.3">
      <c r="A1660" s="17"/>
      <c r="B1660"/>
      <c r="C1660"/>
      <c r="D1660"/>
      <c r="E1660"/>
      <c r="F1660"/>
      <c r="G1660"/>
      <c r="H1660"/>
      <c r="I1660"/>
      <c r="J1660"/>
      <c r="K1660"/>
      <c r="L1660"/>
      <c r="M1660"/>
      <c r="S1660" s="54"/>
    </row>
    <row r="1661" spans="1:19" s="15" customFormat="1" x14ac:dyDescent="0.3">
      <c r="A1661" s="17"/>
      <c r="B1661"/>
      <c r="C1661"/>
      <c r="D1661"/>
      <c r="E1661"/>
      <c r="F1661"/>
      <c r="G1661"/>
      <c r="H1661"/>
      <c r="I1661"/>
      <c r="J1661"/>
      <c r="K1661"/>
      <c r="L1661"/>
      <c r="M1661"/>
      <c r="S1661" s="54"/>
    </row>
    <row r="1662" spans="1:19" s="15" customFormat="1" x14ac:dyDescent="0.3">
      <c r="A1662" s="17"/>
      <c r="B1662"/>
      <c r="C1662"/>
      <c r="D1662"/>
      <c r="E1662"/>
      <c r="F1662"/>
      <c r="G1662"/>
      <c r="H1662"/>
      <c r="I1662"/>
      <c r="J1662"/>
      <c r="K1662"/>
      <c r="L1662"/>
      <c r="M1662"/>
      <c r="S1662" s="54"/>
    </row>
    <row r="1663" spans="1:19" s="15" customFormat="1" x14ac:dyDescent="0.3">
      <c r="A1663" s="17"/>
      <c r="B1663"/>
      <c r="C1663"/>
      <c r="D1663"/>
      <c r="E1663"/>
      <c r="F1663"/>
      <c r="G1663"/>
      <c r="H1663"/>
      <c r="I1663"/>
      <c r="J1663"/>
      <c r="K1663"/>
      <c r="L1663"/>
      <c r="M1663"/>
      <c r="S1663" s="54"/>
    </row>
    <row r="1664" spans="1:19" s="15" customFormat="1" x14ac:dyDescent="0.3">
      <c r="A1664" s="17"/>
      <c r="B1664"/>
      <c r="C1664"/>
      <c r="D1664"/>
      <c r="E1664"/>
      <c r="F1664"/>
      <c r="G1664"/>
      <c r="H1664"/>
      <c r="I1664"/>
      <c r="J1664"/>
      <c r="K1664"/>
      <c r="L1664"/>
      <c r="M1664"/>
      <c r="S1664" s="54"/>
    </row>
    <row r="1665" spans="1:19" s="15" customFormat="1" x14ac:dyDescent="0.3">
      <c r="A1665" s="17"/>
      <c r="B1665"/>
      <c r="C1665"/>
      <c r="D1665"/>
      <c r="E1665"/>
      <c r="F1665"/>
      <c r="G1665"/>
      <c r="H1665"/>
      <c r="I1665"/>
      <c r="J1665"/>
      <c r="K1665"/>
      <c r="L1665"/>
      <c r="M1665"/>
      <c r="S1665" s="54"/>
    </row>
    <row r="1666" spans="1:19" s="15" customFormat="1" x14ac:dyDescent="0.3">
      <c r="A1666" s="17"/>
      <c r="B1666"/>
      <c r="C1666"/>
      <c r="D1666"/>
      <c r="E1666"/>
      <c r="F1666"/>
      <c r="G1666"/>
      <c r="H1666"/>
      <c r="I1666"/>
      <c r="J1666"/>
      <c r="K1666"/>
      <c r="L1666"/>
      <c r="M1666"/>
      <c r="S1666" s="54"/>
    </row>
    <row r="1667" spans="1:19" s="15" customFormat="1" x14ac:dyDescent="0.3">
      <c r="A1667" s="17"/>
      <c r="B1667"/>
      <c r="C1667"/>
      <c r="D1667"/>
      <c r="E1667"/>
      <c r="F1667"/>
      <c r="G1667"/>
      <c r="H1667"/>
      <c r="I1667"/>
      <c r="J1667"/>
      <c r="K1667"/>
      <c r="L1667"/>
      <c r="M1667"/>
      <c r="S1667" s="54"/>
    </row>
    <row r="1668" spans="1:19" s="15" customFormat="1" x14ac:dyDescent="0.3">
      <c r="A1668" s="17"/>
      <c r="B1668"/>
      <c r="C1668"/>
      <c r="D1668"/>
      <c r="E1668"/>
      <c r="F1668"/>
      <c r="G1668"/>
      <c r="H1668"/>
      <c r="I1668"/>
      <c r="J1668"/>
      <c r="K1668"/>
      <c r="L1668"/>
      <c r="M1668"/>
      <c r="S1668" s="54"/>
    </row>
    <row r="1669" spans="1:19" s="15" customFormat="1" x14ac:dyDescent="0.3">
      <c r="A1669" s="17"/>
      <c r="B1669"/>
      <c r="C1669"/>
      <c r="D1669"/>
      <c r="E1669"/>
      <c r="F1669"/>
      <c r="G1669"/>
      <c r="H1669"/>
      <c r="I1669"/>
      <c r="J1669"/>
      <c r="K1669"/>
      <c r="L1669"/>
      <c r="M1669"/>
      <c r="S1669" s="54"/>
    </row>
    <row r="1670" spans="1:19" s="15" customFormat="1" x14ac:dyDescent="0.3">
      <c r="A1670" s="17"/>
      <c r="B1670"/>
      <c r="C1670"/>
      <c r="D1670"/>
      <c r="E1670"/>
      <c r="F1670"/>
      <c r="G1670"/>
      <c r="H1670"/>
      <c r="I1670"/>
      <c r="J1670"/>
      <c r="K1670"/>
      <c r="L1670"/>
      <c r="M1670"/>
      <c r="S1670" s="54"/>
    </row>
    <row r="1671" spans="1:19" s="15" customFormat="1" x14ac:dyDescent="0.3">
      <c r="A1671" s="17"/>
      <c r="B1671"/>
      <c r="C1671"/>
      <c r="D1671"/>
      <c r="E1671"/>
      <c r="F1671"/>
      <c r="G1671"/>
      <c r="H1671"/>
      <c r="I1671"/>
      <c r="J1671"/>
      <c r="K1671"/>
      <c r="L1671"/>
      <c r="M1671"/>
      <c r="S1671" s="54"/>
    </row>
    <row r="1672" spans="1:19" s="15" customFormat="1" x14ac:dyDescent="0.3">
      <c r="A1672" s="17"/>
      <c r="B1672"/>
      <c r="C1672"/>
      <c r="D1672"/>
      <c r="E1672"/>
      <c r="F1672"/>
      <c r="G1672"/>
      <c r="H1672"/>
      <c r="I1672"/>
      <c r="J1672"/>
      <c r="K1672"/>
      <c r="L1672"/>
      <c r="M1672"/>
      <c r="S1672" s="54"/>
    </row>
    <row r="1673" spans="1:19" s="15" customFormat="1" x14ac:dyDescent="0.3">
      <c r="A1673" s="17"/>
      <c r="B1673"/>
      <c r="C1673"/>
      <c r="D1673"/>
      <c r="E1673"/>
      <c r="F1673"/>
      <c r="G1673"/>
      <c r="H1673"/>
      <c r="I1673"/>
      <c r="J1673"/>
      <c r="K1673"/>
      <c r="L1673"/>
      <c r="M1673"/>
      <c r="S1673" s="54"/>
    </row>
    <row r="1674" spans="1:19" s="15" customFormat="1" x14ac:dyDescent="0.3">
      <c r="A1674" s="17"/>
      <c r="B1674"/>
      <c r="C1674"/>
      <c r="D1674"/>
      <c r="E1674"/>
      <c r="F1674"/>
      <c r="G1674"/>
      <c r="H1674"/>
      <c r="I1674"/>
      <c r="J1674"/>
      <c r="K1674"/>
      <c r="L1674"/>
      <c r="M1674"/>
      <c r="S1674" s="54"/>
    </row>
    <row r="1675" spans="1:19" s="15" customFormat="1" x14ac:dyDescent="0.3">
      <c r="A1675" s="17"/>
      <c r="B1675"/>
      <c r="C1675"/>
      <c r="D1675"/>
      <c r="E1675"/>
      <c r="F1675"/>
      <c r="G1675"/>
      <c r="H1675"/>
      <c r="I1675"/>
      <c r="J1675"/>
      <c r="K1675"/>
      <c r="L1675"/>
      <c r="M1675"/>
      <c r="S1675" s="54"/>
    </row>
    <row r="1676" spans="1:19" s="15" customFormat="1" x14ac:dyDescent="0.3">
      <c r="A1676" s="17"/>
      <c r="B1676"/>
      <c r="C1676"/>
      <c r="D1676"/>
      <c r="E1676"/>
      <c r="F1676"/>
      <c r="G1676"/>
      <c r="H1676"/>
      <c r="I1676"/>
      <c r="J1676"/>
      <c r="K1676"/>
      <c r="L1676"/>
      <c r="M1676"/>
      <c r="S1676" s="54"/>
    </row>
    <row r="1677" spans="1:19" s="15" customFormat="1" x14ac:dyDescent="0.3">
      <c r="A1677" s="17"/>
      <c r="B1677"/>
      <c r="C1677"/>
      <c r="D1677"/>
      <c r="E1677"/>
      <c r="F1677"/>
      <c r="G1677"/>
      <c r="H1677"/>
      <c r="I1677"/>
      <c r="J1677"/>
      <c r="K1677"/>
      <c r="L1677"/>
      <c r="M1677"/>
      <c r="S1677" s="54"/>
    </row>
    <row r="1678" spans="1:19" s="15" customFormat="1" x14ac:dyDescent="0.3">
      <c r="A1678" s="17"/>
      <c r="B1678"/>
      <c r="C1678"/>
      <c r="D1678"/>
      <c r="E1678"/>
      <c r="F1678"/>
      <c r="G1678"/>
      <c r="H1678"/>
      <c r="I1678"/>
      <c r="J1678"/>
      <c r="K1678"/>
      <c r="L1678"/>
      <c r="M1678"/>
      <c r="S1678" s="54"/>
    </row>
    <row r="1679" spans="1:19" s="15" customFormat="1" x14ac:dyDescent="0.3">
      <c r="A1679" s="17"/>
      <c r="B1679"/>
      <c r="C1679"/>
      <c r="D1679"/>
      <c r="E1679"/>
      <c r="F1679"/>
      <c r="G1679"/>
      <c r="H1679"/>
      <c r="I1679"/>
      <c r="J1679"/>
      <c r="K1679"/>
      <c r="L1679"/>
      <c r="M1679"/>
      <c r="S1679" s="54"/>
    </row>
    <row r="1680" spans="1:19" s="15" customFormat="1" x14ac:dyDescent="0.3">
      <c r="A1680" s="17"/>
      <c r="B1680"/>
      <c r="C1680"/>
      <c r="D1680"/>
      <c r="E1680"/>
      <c r="F1680"/>
      <c r="G1680"/>
      <c r="H1680"/>
      <c r="I1680"/>
      <c r="J1680"/>
      <c r="K1680"/>
      <c r="L1680"/>
      <c r="M1680"/>
      <c r="S1680" s="54"/>
    </row>
    <row r="1681" spans="1:19" s="15" customFormat="1" x14ac:dyDescent="0.3">
      <c r="A1681" s="17"/>
      <c r="B1681"/>
      <c r="C1681"/>
      <c r="D1681"/>
      <c r="E1681"/>
      <c r="F1681"/>
      <c r="G1681"/>
      <c r="H1681"/>
      <c r="I1681"/>
      <c r="J1681"/>
      <c r="K1681"/>
      <c r="L1681"/>
      <c r="M1681"/>
      <c r="S1681" s="54"/>
    </row>
    <row r="1682" spans="1:19" s="15" customFormat="1" x14ac:dyDescent="0.3">
      <c r="A1682" s="17"/>
      <c r="B1682"/>
      <c r="C1682"/>
      <c r="D1682"/>
      <c r="E1682"/>
      <c r="F1682"/>
      <c r="G1682"/>
      <c r="H1682"/>
      <c r="I1682"/>
      <c r="J1682"/>
      <c r="K1682"/>
      <c r="L1682"/>
      <c r="M1682"/>
      <c r="S1682" s="54"/>
    </row>
    <row r="1683" spans="1:19" s="15" customFormat="1" x14ac:dyDescent="0.3">
      <c r="A1683" s="17"/>
      <c r="B1683"/>
      <c r="C1683"/>
      <c r="D1683"/>
      <c r="E1683"/>
      <c r="F1683"/>
      <c r="G1683"/>
      <c r="H1683"/>
      <c r="I1683"/>
      <c r="J1683"/>
      <c r="K1683"/>
      <c r="L1683"/>
      <c r="M1683"/>
      <c r="S1683" s="54"/>
    </row>
    <row r="1684" spans="1:19" s="15" customFormat="1" x14ac:dyDescent="0.3">
      <c r="A1684" s="17"/>
      <c r="B1684"/>
      <c r="C1684"/>
      <c r="D1684"/>
      <c r="E1684"/>
      <c r="F1684"/>
      <c r="G1684"/>
      <c r="H1684"/>
      <c r="I1684"/>
      <c r="J1684"/>
      <c r="K1684"/>
      <c r="L1684"/>
      <c r="M1684"/>
      <c r="S1684" s="54"/>
    </row>
    <row r="1685" spans="1:19" s="15" customFormat="1" x14ac:dyDescent="0.3">
      <c r="A1685" s="17"/>
      <c r="B1685"/>
      <c r="C1685"/>
      <c r="D1685"/>
      <c r="E1685"/>
      <c r="F1685"/>
      <c r="G1685"/>
      <c r="H1685"/>
      <c r="I1685"/>
      <c r="J1685"/>
      <c r="K1685"/>
      <c r="L1685"/>
      <c r="M1685"/>
      <c r="S1685" s="54"/>
    </row>
    <row r="1686" spans="1:19" s="15" customFormat="1" x14ac:dyDescent="0.3">
      <c r="A1686" s="17"/>
      <c r="B1686"/>
      <c r="C1686"/>
      <c r="D1686"/>
      <c r="E1686"/>
      <c r="F1686"/>
      <c r="G1686"/>
      <c r="H1686"/>
      <c r="I1686"/>
      <c r="J1686"/>
      <c r="K1686"/>
      <c r="L1686"/>
      <c r="M1686"/>
      <c r="S1686" s="54"/>
    </row>
    <row r="1687" spans="1:19" s="15" customFormat="1" x14ac:dyDescent="0.3">
      <c r="A1687" s="17"/>
      <c r="B1687"/>
      <c r="C1687"/>
      <c r="D1687"/>
      <c r="E1687"/>
      <c r="F1687"/>
      <c r="G1687"/>
      <c r="H1687"/>
      <c r="I1687"/>
      <c r="J1687"/>
      <c r="K1687"/>
      <c r="L1687"/>
      <c r="M1687"/>
      <c r="S1687" s="54"/>
    </row>
    <row r="1688" spans="1:19" s="15" customFormat="1" x14ac:dyDescent="0.3">
      <c r="A1688" s="17"/>
      <c r="B1688"/>
      <c r="C1688"/>
      <c r="D1688"/>
      <c r="E1688"/>
      <c r="F1688"/>
      <c r="G1688"/>
      <c r="H1688"/>
      <c r="I1688"/>
      <c r="J1688"/>
      <c r="K1688"/>
      <c r="L1688"/>
      <c r="M1688"/>
      <c r="S1688" s="54"/>
    </row>
    <row r="1689" spans="1:19" s="15" customFormat="1" x14ac:dyDescent="0.3">
      <c r="A1689" s="17"/>
      <c r="B1689"/>
      <c r="C1689"/>
      <c r="D1689"/>
      <c r="E1689"/>
      <c r="F1689"/>
      <c r="G1689"/>
      <c r="H1689"/>
      <c r="I1689"/>
      <c r="J1689"/>
      <c r="K1689"/>
      <c r="L1689"/>
      <c r="M1689"/>
      <c r="S1689" s="54"/>
    </row>
    <row r="1690" spans="1:19" s="15" customFormat="1" x14ac:dyDescent="0.3">
      <c r="A1690" s="17"/>
      <c r="B1690"/>
      <c r="C1690"/>
      <c r="D1690"/>
      <c r="E1690"/>
      <c r="F1690"/>
      <c r="G1690"/>
      <c r="H1690"/>
      <c r="I1690"/>
      <c r="J1690"/>
      <c r="K1690"/>
      <c r="L1690"/>
      <c r="M1690"/>
      <c r="S1690" s="54"/>
    </row>
    <row r="1691" spans="1:19" s="15" customFormat="1" x14ac:dyDescent="0.3">
      <c r="A1691" s="17"/>
      <c r="B1691"/>
      <c r="C1691"/>
      <c r="D1691"/>
      <c r="E1691"/>
      <c r="F1691"/>
      <c r="G1691"/>
      <c r="H1691"/>
      <c r="I1691"/>
      <c r="J1691"/>
      <c r="K1691"/>
      <c r="L1691"/>
      <c r="M1691"/>
      <c r="S1691" s="54"/>
    </row>
    <row r="1692" spans="1:19" s="15" customFormat="1" x14ac:dyDescent="0.3">
      <c r="A1692" s="17"/>
      <c r="B1692"/>
      <c r="C1692"/>
      <c r="D1692"/>
      <c r="E1692"/>
      <c r="F1692"/>
      <c r="G1692"/>
      <c r="H1692"/>
      <c r="I1692"/>
      <c r="J1692"/>
      <c r="K1692"/>
      <c r="L1692"/>
      <c r="M1692"/>
      <c r="S1692" s="54"/>
    </row>
    <row r="1693" spans="1:19" s="15" customFormat="1" x14ac:dyDescent="0.3">
      <c r="A1693" s="17"/>
      <c r="B1693"/>
      <c r="C1693"/>
      <c r="D1693"/>
      <c r="E1693"/>
      <c r="F1693"/>
      <c r="G1693"/>
      <c r="H1693"/>
      <c r="I1693"/>
      <c r="J1693"/>
      <c r="K1693"/>
      <c r="L1693"/>
      <c r="M1693"/>
      <c r="S1693" s="54"/>
    </row>
    <row r="1694" spans="1:19" s="15" customFormat="1" x14ac:dyDescent="0.3">
      <c r="A1694" s="17"/>
      <c r="B1694"/>
      <c r="C1694"/>
      <c r="D1694"/>
      <c r="E1694"/>
      <c r="F1694"/>
      <c r="G1694"/>
      <c r="H1694"/>
      <c r="I1694"/>
      <c r="J1694"/>
      <c r="K1694"/>
      <c r="L1694"/>
      <c r="M1694"/>
      <c r="S1694" s="54"/>
    </row>
    <row r="1695" spans="1:19" s="15" customFormat="1" x14ac:dyDescent="0.3">
      <c r="A1695" s="17"/>
      <c r="B1695"/>
      <c r="C1695"/>
      <c r="D1695"/>
      <c r="E1695"/>
      <c r="F1695"/>
      <c r="G1695"/>
      <c r="H1695"/>
      <c r="I1695"/>
      <c r="J1695"/>
      <c r="K1695"/>
      <c r="L1695"/>
      <c r="M1695"/>
      <c r="S1695" s="54"/>
    </row>
    <row r="1696" spans="1:19" s="15" customFormat="1" x14ac:dyDescent="0.3">
      <c r="A1696" s="17"/>
      <c r="B1696"/>
      <c r="C1696"/>
      <c r="D1696"/>
      <c r="E1696"/>
      <c r="F1696"/>
      <c r="G1696"/>
      <c r="H1696"/>
      <c r="I1696"/>
      <c r="J1696"/>
      <c r="K1696"/>
      <c r="L1696"/>
      <c r="M1696"/>
      <c r="S1696" s="54"/>
    </row>
    <row r="1697" spans="1:19" s="15" customFormat="1" x14ac:dyDescent="0.3">
      <c r="A1697" s="17"/>
      <c r="B1697"/>
      <c r="C1697"/>
      <c r="D1697"/>
      <c r="E1697"/>
      <c r="F1697"/>
      <c r="G1697"/>
      <c r="H1697"/>
      <c r="I1697"/>
      <c r="J1697"/>
      <c r="K1697"/>
      <c r="L1697"/>
      <c r="M1697"/>
      <c r="S1697" s="54"/>
    </row>
    <row r="1698" spans="1:19" s="15" customFormat="1" x14ac:dyDescent="0.3">
      <c r="A1698" s="17"/>
      <c r="B1698"/>
      <c r="C1698"/>
      <c r="D1698"/>
      <c r="E1698"/>
      <c r="F1698"/>
      <c r="G1698"/>
      <c r="H1698"/>
      <c r="I1698"/>
      <c r="J1698"/>
      <c r="K1698"/>
      <c r="L1698"/>
      <c r="M1698"/>
      <c r="S1698" s="54"/>
    </row>
    <row r="1699" spans="1:19" s="15" customFormat="1" x14ac:dyDescent="0.3">
      <c r="A1699" s="17"/>
      <c r="B1699"/>
      <c r="C1699"/>
      <c r="D1699"/>
      <c r="E1699"/>
      <c r="F1699"/>
      <c r="G1699"/>
      <c r="H1699"/>
      <c r="I1699"/>
      <c r="J1699"/>
      <c r="K1699"/>
      <c r="L1699"/>
      <c r="M1699"/>
      <c r="S1699" s="54"/>
    </row>
    <row r="1700" spans="1:19" s="15" customFormat="1" x14ac:dyDescent="0.3">
      <c r="A1700" s="17"/>
      <c r="B1700"/>
      <c r="C1700"/>
      <c r="D1700"/>
      <c r="E1700"/>
      <c r="F1700"/>
      <c r="G1700"/>
      <c r="H1700"/>
      <c r="I1700"/>
      <c r="J1700"/>
      <c r="K1700"/>
      <c r="L1700"/>
      <c r="M1700"/>
      <c r="S1700" s="54"/>
    </row>
    <row r="1701" spans="1:19" s="15" customFormat="1" x14ac:dyDescent="0.3">
      <c r="A1701" s="17"/>
      <c r="B1701"/>
      <c r="C1701"/>
      <c r="D1701"/>
      <c r="E1701"/>
      <c r="F1701"/>
      <c r="G1701"/>
      <c r="H1701"/>
      <c r="I1701"/>
      <c r="J1701"/>
      <c r="K1701"/>
      <c r="L1701"/>
      <c r="M1701"/>
      <c r="S1701" s="54"/>
    </row>
    <row r="1702" spans="1:19" s="15" customFormat="1" x14ac:dyDescent="0.3">
      <c r="A1702" s="17"/>
      <c r="B1702"/>
      <c r="C1702"/>
      <c r="D1702"/>
      <c r="E1702"/>
      <c r="F1702"/>
      <c r="G1702"/>
      <c r="H1702"/>
      <c r="I1702"/>
      <c r="J1702"/>
      <c r="K1702"/>
      <c r="L1702"/>
      <c r="M1702"/>
      <c r="S1702" s="54"/>
    </row>
    <row r="1703" spans="1:19" s="15" customFormat="1" x14ac:dyDescent="0.3">
      <c r="A1703" s="17"/>
      <c r="B1703"/>
      <c r="C1703"/>
      <c r="D1703"/>
      <c r="E1703"/>
      <c r="F1703"/>
      <c r="G1703"/>
      <c r="H1703"/>
      <c r="I1703"/>
      <c r="J1703"/>
      <c r="K1703"/>
      <c r="L1703"/>
      <c r="M1703"/>
      <c r="S1703" s="54"/>
    </row>
    <row r="1704" spans="1:19" s="15" customFormat="1" x14ac:dyDescent="0.3">
      <c r="A1704" s="17"/>
      <c r="B1704"/>
      <c r="C1704"/>
      <c r="D1704"/>
      <c r="E1704"/>
      <c r="F1704"/>
      <c r="G1704"/>
      <c r="H1704"/>
      <c r="I1704"/>
      <c r="J1704"/>
      <c r="K1704"/>
      <c r="L1704"/>
      <c r="M1704"/>
      <c r="S1704" s="54"/>
    </row>
    <row r="1705" spans="1:19" s="15" customFormat="1" x14ac:dyDescent="0.3">
      <c r="A1705" s="17"/>
      <c r="B1705"/>
      <c r="C1705"/>
      <c r="D1705"/>
      <c r="E1705"/>
      <c r="F1705"/>
      <c r="G1705"/>
      <c r="H1705"/>
      <c r="I1705"/>
      <c r="J1705"/>
      <c r="K1705"/>
      <c r="L1705"/>
      <c r="M1705"/>
      <c r="S1705" s="54"/>
    </row>
    <row r="1706" spans="1:19" s="15" customFormat="1" x14ac:dyDescent="0.3">
      <c r="A1706" s="17"/>
      <c r="B1706"/>
      <c r="C1706"/>
      <c r="D1706"/>
      <c r="E1706"/>
      <c r="F1706"/>
      <c r="G1706"/>
      <c r="H1706"/>
      <c r="I1706"/>
      <c r="J1706"/>
      <c r="K1706"/>
      <c r="L1706"/>
      <c r="M1706"/>
      <c r="S1706" s="54"/>
    </row>
    <row r="1707" spans="1:19" s="15" customFormat="1" x14ac:dyDescent="0.3">
      <c r="A1707" s="17"/>
      <c r="B1707"/>
      <c r="C1707"/>
      <c r="D1707"/>
      <c r="E1707"/>
      <c r="F1707"/>
      <c r="G1707"/>
      <c r="H1707"/>
      <c r="I1707"/>
      <c r="J1707"/>
      <c r="K1707"/>
      <c r="L1707"/>
      <c r="M1707"/>
      <c r="S1707" s="54"/>
    </row>
    <row r="1708" spans="1:19" s="15" customFormat="1" x14ac:dyDescent="0.3">
      <c r="A1708" s="17"/>
      <c r="B1708"/>
      <c r="C1708"/>
      <c r="D1708"/>
      <c r="E1708"/>
      <c r="F1708"/>
      <c r="G1708"/>
      <c r="H1708"/>
      <c r="I1708"/>
      <c r="J1708"/>
      <c r="K1708"/>
      <c r="L1708"/>
      <c r="M1708"/>
      <c r="S1708" s="54"/>
    </row>
    <row r="1709" spans="1:19" s="15" customFormat="1" x14ac:dyDescent="0.3">
      <c r="A1709" s="17"/>
      <c r="B1709"/>
      <c r="C1709"/>
      <c r="D1709"/>
      <c r="E1709"/>
      <c r="F1709"/>
      <c r="G1709"/>
      <c r="H1709"/>
      <c r="I1709"/>
      <c r="J1709"/>
      <c r="K1709"/>
      <c r="L1709"/>
      <c r="M1709"/>
      <c r="S1709" s="54"/>
    </row>
    <row r="1710" spans="1:19" s="15" customFormat="1" x14ac:dyDescent="0.3">
      <c r="A1710" s="17"/>
      <c r="B1710"/>
      <c r="C1710"/>
      <c r="D1710"/>
      <c r="E1710"/>
      <c r="F1710"/>
      <c r="G1710"/>
      <c r="H1710"/>
      <c r="I1710"/>
      <c r="J1710"/>
      <c r="K1710"/>
      <c r="L1710"/>
      <c r="M1710"/>
      <c r="S1710" s="54"/>
    </row>
    <row r="1711" spans="1:19" s="15" customFormat="1" x14ac:dyDescent="0.3">
      <c r="A1711" s="17"/>
      <c r="B1711"/>
      <c r="C1711"/>
      <c r="D1711"/>
      <c r="E1711"/>
      <c r="F1711"/>
      <c r="G1711"/>
      <c r="H1711"/>
      <c r="I1711"/>
      <c r="J1711"/>
      <c r="K1711"/>
      <c r="L1711"/>
      <c r="M1711"/>
      <c r="S1711" s="54"/>
    </row>
    <row r="1712" spans="1:19" s="15" customFormat="1" x14ac:dyDescent="0.3">
      <c r="A1712" s="17"/>
      <c r="B1712"/>
      <c r="C1712"/>
      <c r="D1712"/>
      <c r="E1712"/>
      <c r="F1712"/>
      <c r="G1712"/>
      <c r="H1712"/>
      <c r="I1712"/>
      <c r="J1712"/>
      <c r="K1712"/>
      <c r="L1712"/>
      <c r="M1712"/>
      <c r="S1712" s="54"/>
    </row>
    <row r="1713" spans="1:19" s="15" customFormat="1" x14ac:dyDescent="0.3">
      <c r="A1713" s="17"/>
      <c r="B1713"/>
      <c r="C1713"/>
      <c r="D1713"/>
      <c r="E1713"/>
      <c r="F1713"/>
      <c r="G1713"/>
      <c r="H1713"/>
      <c r="I1713"/>
      <c r="J1713"/>
      <c r="K1713"/>
      <c r="L1713"/>
      <c r="M1713"/>
      <c r="S1713" s="54"/>
    </row>
    <row r="1714" spans="1:19" s="15" customFormat="1" x14ac:dyDescent="0.3">
      <c r="A1714" s="17"/>
      <c r="B1714"/>
      <c r="C1714"/>
      <c r="D1714"/>
      <c r="E1714"/>
      <c r="F1714"/>
      <c r="G1714"/>
      <c r="H1714"/>
      <c r="I1714"/>
      <c r="J1714"/>
      <c r="K1714"/>
      <c r="L1714"/>
      <c r="M1714"/>
      <c r="S1714" s="54"/>
    </row>
    <row r="1715" spans="1:19" s="15" customFormat="1" x14ac:dyDescent="0.3">
      <c r="A1715" s="17"/>
      <c r="B1715"/>
      <c r="C1715"/>
      <c r="D1715"/>
      <c r="E1715"/>
      <c r="F1715"/>
      <c r="G1715"/>
      <c r="H1715"/>
      <c r="I1715"/>
      <c r="J1715"/>
      <c r="K1715"/>
      <c r="L1715"/>
      <c r="M1715"/>
      <c r="S1715" s="54"/>
    </row>
    <row r="1716" spans="1:19" s="15" customFormat="1" x14ac:dyDescent="0.3">
      <c r="A1716" s="17"/>
      <c r="B1716"/>
      <c r="C1716"/>
      <c r="D1716"/>
      <c r="E1716"/>
      <c r="F1716"/>
      <c r="G1716"/>
      <c r="H1716"/>
      <c r="I1716"/>
      <c r="J1716"/>
      <c r="K1716"/>
      <c r="L1716"/>
      <c r="M1716"/>
      <c r="S1716" s="54"/>
    </row>
    <row r="1717" spans="1:19" s="15" customFormat="1" x14ac:dyDescent="0.3">
      <c r="A1717" s="17"/>
      <c r="B1717"/>
      <c r="C1717"/>
      <c r="D1717"/>
      <c r="E1717"/>
      <c r="F1717"/>
      <c r="G1717"/>
      <c r="H1717"/>
      <c r="I1717"/>
      <c r="J1717"/>
      <c r="K1717"/>
      <c r="L1717"/>
      <c r="M1717"/>
      <c r="S1717" s="54"/>
    </row>
    <row r="1718" spans="1:19" s="15" customFormat="1" x14ac:dyDescent="0.3">
      <c r="A1718" s="17"/>
      <c r="B1718"/>
      <c r="C1718"/>
      <c r="D1718"/>
      <c r="E1718"/>
      <c r="F1718"/>
      <c r="G1718"/>
      <c r="H1718"/>
      <c r="I1718"/>
      <c r="J1718"/>
      <c r="K1718"/>
      <c r="L1718"/>
      <c r="M1718"/>
      <c r="S1718" s="54"/>
    </row>
    <row r="1719" spans="1:19" s="15" customFormat="1" x14ac:dyDescent="0.3">
      <c r="A1719" s="17"/>
      <c r="B1719"/>
      <c r="C1719"/>
      <c r="D1719"/>
      <c r="E1719"/>
      <c r="F1719"/>
      <c r="G1719"/>
      <c r="H1719"/>
      <c r="I1719"/>
      <c r="J1719"/>
      <c r="K1719"/>
      <c r="L1719"/>
      <c r="M1719"/>
      <c r="S1719" s="54"/>
    </row>
    <row r="1720" spans="1:19" s="15" customFormat="1" x14ac:dyDescent="0.3">
      <c r="A1720" s="17"/>
      <c r="B1720"/>
      <c r="C1720"/>
      <c r="D1720"/>
      <c r="E1720"/>
      <c r="F1720"/>
      <c r="G1720"/>
      <c r="H1720"/>
      <c r="I1720"/>
      <c r="J1720"/>
      <c r="K1720"/>
      <c r="L1720"/>
      <c r="M1720"/>
      <c r="S1720" s="54"/>
    </row>
    <row r="1721" spans="1:19" s="15" customFormat="1" x14ac:dyDescent="0.3">
      <c r="A1721" s="17"/>
      <c r="B1721"/>
      <c r="C1721"/>
      <c r="D1721"/>
      <c r="E1721"/>
      <c r="F1721"/>
      <c r="G1721"/>
      <c r="H1721"/>
      <c r="I1721"/>
      <c r="J1721"/>
      <c r="K1721"/>
      <c r="L1721"/>
      <c r="M1721"/>
      <c r="S1721" s="54"/>
    </row>
    <row r="1722" spans="1:19" s="15" customFormat="1" x14ac:dyDescent="0.3">
      <c r="A1722" s="17"/>
      <c r="B1722"/>
      <c r="C1722"/>
      <c r="D1722"/>
      <c r="E1722"/>
      <c r="F1722"/>
      <c r="G1722"/>
      <c r="H1722"/>
      <c r="I1722"/>
      <c r="J1722"/>
      <c r="K1722"/>
      <c r="L1722"/>
      <c r="M1722"/>
      <c r="S1722" s="54"/>
    </row>
    <row r="1723" spans="1:19" s="15" customFormat="1" x14ac:dyDescent="0.3">
      <c r="A1723" s="17"/>
      <c r="B1723"/>
      <c r="C1723"/>
      <c r="D1723"/>
      <c r="E1723"/>
      <c r="F1723"/>
      <c r="G1723"/>
      <c r="H1723"/>
      <c r="I1723"/>
      <c r="J1723"/>
      <c r="K1723"/>
      <c r="L1723"/>
      <c r="M1723"/>
      <c r="S1723" s="54"/>
    </row>
    <row r="1724" spans="1:19" s="15" customFormat="1" x14ac:dyDescent="0.3">
      <c r="A1724" s="17"/>
      <c r="B1724"/>
      <c r="C1724"/>
      <c r="D1724"/>
      <c r="E1724"/>
      <c r="F1724"/>
      <c r="G1724"/>
      <c r="H1724"/>
      <c r="I1724"/>
      <c r="J1724"/>
      <c r="K1724"/>
      <c r="L1724"/>
      <c r="M1724"/>
      <c r="S1724" s="54"/>
    </row>
    <row r="1725" spans="1:19" s="15" customFormat="1" x14ac:dyDescent="0.3">
      <c r="A1725" s="17"/>
      <c r="B1725"/>
      <c r="C1725"/>
      <c r="D1725"/>
      <c r="E1725"/>
      <c r="F1725"/>
      <c r="G1725"/>
      <c r="H1725"/>
      <c r="I1725"/>
      <c r="J1725"/>
      <c r="K1725"/>
      <c r="L1725"/>
      <c r="M1725"/>
      <c r="S1725" s="54"/>
    </row>
    <row r="1726" spans="1:19" s="15" customFormat="1" x14ac:dyDescent="0.3">
      <c r="A1726" s="17"/>
      <c r="B1726"/>
      <c r="C1726"/>
      <c r="D1726"/>
      <c r="E1726"/>
      <c r="F1726"/>
      <c r="G1726"/>
      <c r="H1726"/>
      <c r="I1726"/>
      <c r="J1726"/>
      <c r="K1726"/>
      <c r="L1726"/>
      <c r="M1726"/>
      <c r="S1726" s="54"/>
    </row>
    <row r="1727" spans="1:19" s="15" customFormat="1" x14ac:dyDescent="0.3">
      <c r="A1727" s="17"/>
      <c r="B1727"/>
      <c r="C1727"/>
      <c r="D1727"/>
      <c r="E1727"/>
      <c r="F1727"/>
      <c r="G1727"/>
      <c r="H1727"/>
      <c r="I1727"/>
      <c r="J1727"/>
      <c r="K1727"/>
      <c r="L1727"/>
      <c r="M1727"/>
      <c r="S1727" s="54"/>
    </row>
    <row r="1728" spans="1:19" s="15" customFormat="1" x14ac:dyDescent="0.3">
      <c r="A1728" s="17"/>
      <c r="B1728"/>
      <c r="C1728"/>
      <c r="D1728"/>
      <c r="E1728"/>
      <c r="F1728"/>
      <c r="G1728"/>
      <c r="H1728"/>
      <c r="I1728"/>
      <c r="J1728"/>
      <c r="K1728"/>
      <c r="L1728"/>
      <c r="M1728"/>
      <c r="S1728" s="54"/>
    </row>
    <row r="1729" spans="1:19" s="15" customFormat="1" x14ac:dyDescent="0.3">
      <c r="A1729" s="17"/>
      <c r="B1729"/>
      <c r="C1729"/>
      <c r="D1729"/>
      <c r="E1729"/>
      <c r="F1729"/>
      <c r="G1729"/>
      <c r="H1729"/>
      <c r="I1729"/>
      <c r="J1729"/>
      <c r="K1729"/>
      <c r="L1729"/>
      <c r="M1729"/>
      <c r="S1729" s="54"/>
    </row>
    <row r="1730" spans="1:19" s="15" customFormat="1" x14ac:dyDescent="0.3">
      <c r="A1730" s="17"/>
      <c r="B1730"/>
      <c r="C1730"/>
      <c r="D1730"/>
      <c r="E1730"/>
      <c r="F1730"/>
      <c r="G1730"/>
      <c r="H1730"/>
      <c r="I1730"/>
      <c r="J1730"/>
      <c r="K1730"/>
      <c r="L1730"/>
      <c r="M1730"/>
      <c r="S1730" s="54"/>
    </row>
    <row r="1731" spans="1:19" s="15" customFormat="1" x14ac:dyDescent="0.3">
      <c r="A1731" s="17"/>
      <c r="B1731"/>
      <c r="C1731"/>
      <c r="D1731"/>
      <c r="E1731"/>
      <c r="F1731"/>
      <c r="G1731"/>
      <c r="H1731"/>
      <c r="I1731"/>
      <c r="J1731"/>
      <c r="K1731"/>
      <c r="L1731"/>
      <c r="M1731"/>
      <c r="S1731" s="54"/>
    </row>
    <row r="1732" spans="1:19" s="15" customFormat="1" x14ac:dyDescent="0.3">
      <c r="A1732" s="17"/>
      <c r="B1732"/>
      <c r="C1732"/>
      <c r="D1732"/>
      <c r="E1732"/>
      <c r="F1732"/>
      <c r="G1732"/>
      <c r="H1732"/>
      <c r="I1732"/>
      <c r="J1732"/>
      <c r="K1732"/>
      <c r="L1732"/>
      <c r="M1732"/>
      <c r="S1732" s="54"/>
    </row>
    <row r="1733" spans="1:19" s="15" customFormat="1" x14ac:dyDescent="0.3">
      <c r="A1733" s="17"/>
      <c r="B1733"/>
      <c r="C1733"/>
      <c r="D1733"/>
      <c r="E1733"/>
      <c r="F1733"/>
      <c r="G1733"/>
      <c r="H1733"/>
      <c r="I1733"/>
      <c r="J1733"/>
      <c r="K1733"/>
      <c r="L1733"/>
      <c r="M1733"/>
      <c r="S1733" s="54"/>
    </row>
    <row r="1734" spans="1:19" s="15" customFormat="1" x14ac:dyDescent="0.3">
      <c r="A1734" s="17"/>
      <c r="B1734"/>
      <c r="C1734"/>
      <c r="D1734"/>
      <c r="E1734"/>
      <c r="F1734"/>
      <c r="G1734"/>
      <c r="H1734"/>
      <c r="I1734"/>
      <c r="J1734"/>
      <c r="K1734"/>
      <c r="L1734"/>
      <c r="M1734"/>
      <c r="S1734" s="54"/>
    </row>
    <row r="1735" spans="1:19" s="15" customFormat="1" x14ac:dyDescent="0.3">
      <c r="A1735" s="17"/>
      <c r="B1735"/>
      <c r="C1735"/>
      <c r="D1735"/>
      <c r="E1735"/>
      <c r="F1735"/>
      <c r="G1735"/>
      <c r="H1735"/>
      <c r="I1735"/>
      <c r="J1735"/>
      <c r="K1735"/>
      <c r="L1735"/>
      <c r="M1735"/>
      <c r="S1735" s="54"/>
    </row>
    <row r="1736" spans="1:19" s="15" customFormat="1" x14ac:dyDescent="0.3">
      <c r="A1736" s="17"/>
      <c r="B1736"/>
      <c r="C1736"/>
      <c r="D1736"/>
      <c r="E1736"/>
      <c r="F1736"/>
      <c r="G1736"/>
      <c r="H1736"/>
      <c r="I1736"/>
      <c r="J1736"/>
      <c r="K1736"/>
      <c r="L1736"/>
      <c r="M1736"/>
      <c r="S1736" s="54"/>
    </row>
    <row r="1737" spans="1:19" s="15" customFormat="1" x14ac:dyDescent="0.3">
      <c r="A1737" s="17"/>
      <c r="B1737"/>
      <c r="C1737"/>
      <c r="D1737"/>
      <c r="E1737"/>
      <c r="F1737"/>
      <c r="G1737"/>
      <c r="H1737"/>
      <c r="I1737"/>
      <c r="J1737"/>
      <c r="K1737"/>
      <c r="L1737"/>
      <c r="M1737"/>
      <c r="S1737" s="54"/>
    </row>
    <row r="1738" spans="1:19" s="15" customFormat="1" x14ac:dyDescent="0.3">
      <c r="A1738" s="17"/>
      <c r="B1738"/>
      <c r="C1738"/>
      <c r="D1738"/>
      <c r="E1738"/>
      <c r="F1738"/>
      <c r="G1738"/>
      <c r="H1738"/>
      <c r="I1738"/>
      <c r="J1738"/>
      <c r="K1738"/>
      <c r="L1738"/>
      <c r="M1738"/>
      <c r="S1738" s="54"/>
    </row>
    <row r="1739" spans="1:19" s="15" customFormat="1" x14ac:dyDescent="0.3">
      <c r="A1739" s="17"/>
      <c r="B1739"/>
      <c r="C1739"/>
      <c r="D1739"/>
      <c r="E1739"/>
      <c r="F1739"/>
      <c r="G1739"/>
      <c r="H1739"/>
      <c r="I1739"/>
      <c r="J1739"/>
      <c r="K1739"/>
      <c r="L1739"/>
      <c r="M1739"/>
      <c r="S1739" s="54"/>
    </row>
    <row r="1740" spans="1:19" s="15" customFormat="1" x14ac:dyDescent="0.3">
      <c r="A1740" s="17"/>
      <c r="B1740"/>
      <c r="C1740"/>
      <c r="D1740"/>
      <c r="E1740"/>
      <c r="F1740"/>
      <c r="G1740"/>
      <c r="H1740"/>
      <c r="I1740"/>
      <c r="J1740"/>
      <c r="K1740"/>
      <c r="L1740"/>
      <c r="M1740"/>
      <c r="S1740" s="54"/>
    </row>
    <row r="1741" spans="1:19" s="15" customFormat="1" x14ac:dyDescent="0.3">
      <c r="A1741" s="17"/>
      <c r="B1741"/>
      <c r="C1741"/>
      <c r="D1741"/>
      <c r="E1741"/>
      <c r="F1741"/>
      <c r="G1741"/>
      <c r="H1741"/>
      <c r="I1741"/>
      <c r="J1741"/>
      <c r="K1741"/>
      <c r="L1741"/>
      <c r="M1741"/>
      <c r="S1741" s="54"/>
    </row>
    <row r="1742" spans="1:19" s="15" customFormat="1" x14ac:dyDescent="0.3">
      <c r="A1742" s="17"/>
      <c r="B1742"/>
      <c r="C1742"/>
      <c r="D1742"/>
      <c r="E1742"/>
      <c r="F1742"/>
      <c r="G1742"/>
      <c r="H1742"/>
      <c r="I1742"/>
      <c r="J1742"/>
      <c r="K1742"/>
      <c r="L1742"/>
      <c r="M1742"/>
      <c r="S1742" s="54"/>
    </row>
    <row r="1743" spans="1:19" s="15" customFormat="1" x14ac:dyDescent="0.3">
      <c r="A1743" s="17"/>
      <c r="B1743"/>
      <c r="C1743"/>
      <c r="D1743"/>
      <c r="E1743"/>
      <c r="F1743"/>
      <c r="G1743"/>
      <c r="H1743"/>
      <c r="I1743"/>
      <c r="J1743"/>
      <c r="K1743"/>
      <c r="L1743"/>
      <c r="M1743"/>
      <c r="S1743" s="54"/>
    </row>
    <row r="1744" spans="1:19" s="15" customFormat="1" x14ac:dyDescent="0.3">
      <c r="A1744" s="17"/>
      <c r="B1744"/>
      <c r="C1744"/>
      <c r="D1744"/>
      <c r="E1744"/>
      <c r="F1744"/>
      <c r="G1744"/>
      <c r="H1744"/>
      <c r="I1744"/>
      <c r="J1744"/>
      <c r="K1744"/>
      <c r="L1744"/>
      <c r="M1744"/>
      <c r="S1744" s="54"/>
    </row>
    <row r="1745" spans="1:19" s="15" customFormat="1" x14ac:dyDescent="0.3">
      <c r="A1745" s="17"/>
      <c r="B1745"/>
      <c r="C1745"/>
      <c r="D1745"/>
      <c r="E1745"/>
      <c r="F1745"/>
      <c r="G1745"/>
      <c r="H1745"/>
      <c r="I1745"/>
      <c r="J1745"/>
      <c r="K1745"/>
      <c r="L1745"/>
      <c r="M1745"/>
      <c r="S1745" s="54"/>
    </row>
    <row r="1746" spans="1:19" s="15" customFormat="1" x14ac:dyDescent="0.3">
      <c r="A1746" s="17"/>
      <c r="B1746"/>
      <c r="C1746"/>
      <c r="D1746"/>
      <c r="E1746"/>
      <c r="F1746"/>
      <c r="G1746"/>
      <c r="H1746"/>
      <c r="I1746"/>
      <c r="J1746"/>
      <c r="K1746"/>
      <c r="L1746"/>
      <c r="M1746"/>
      <c r="S1746" s="54"/>
    </row>
    <row r="1747" spans="1:19" s="15" customFormat="1" x14ac:dyDescent="0.3">
      <c r="A1747" s="17"/>
      <c r="B1747"/>
      <c r="C1747"/>
      <c r="D1747"/>
      <c r="E1747"/>
      <c r="F1747"/>
      <c r="G1747"/>
      <c r="H1747"/>
      <c r="I1747"/>
      <c r="J1747"/>
      <c r="K1747"/>
      <c r="L1747"/>
      <c r="M1747"/>
      <c r="S1747" s="54"/>
    </row>
    <row r="1748" spans="1:19" s="15" customFormat="1" x14ac:dyDescent="0.3">
      <c r="A1748" s="17"/>
      <c r="B1748"/>
      <c r="C1748"/>
      <c r="D1748"/>
      <c r="E1748"/>
      <c r="F1748"/>
      <c r="G1748"/>
      <c r="H1748"/>
      <c r="I1748"/>
      <c r="J1748"/>
      <c r="K1748"/>
      <c r="L1748"/>
      <c r="M1748"/>
      <c r="S1748" s="54"/>
    </row>
    <row r="1749" spans="1:19" s="15" customFormat="1" x14ac:dyDescent="0.3">
      <c r="A1749" s="17"/>
      <c r="B1749"/>
      <c r="C1749"/>
      <c r="D1749"/>
      <c r="E1749"/>
      <c r="F1749"/>
      <c r="G1749"/>
      <c r="H1749"/>
      <c r="I1749"/>
      <c r="J1749"/>
      <c r="K1749"/>
      <c r="L1749"/>
      <c r="M1749"/>
      <c r="S1749" s="54"/>
    </row>
    <row r="1750" spans="1:19" s="15" customFormat="1" x14ac:dyDescent="0.3">
      <c r="A1750" s="17"/>
      <c r="B1750"/>
      <c r="C1750"/>
      <c r="D1750"/>
      <c r="E1750"/>
      <c r="F1750"/>
      <c r="G1750"/>
      <c r="H1750"/>
      <c r="I1750"/>
      <c r="J1750"/>
      <c r="K1750"/>
      <c r="L1750"/>
      <c r="M1750"/>
      <c r="S1750" s="54"/>
    </row>
    <row r="1751" spans="1:19" s="15" customFormat="1" x14ac:dyDescent="0.3">
      <c r="A1751" s="17"/>
      <c r="B1751"/>
      <c r="C1751"/>
      <c r="D1751"/>
      <c r="E1751"/>
      <c r="F1751"/>
      <c r="G1751"/>
      <c r="H1751"/>
      <c r="I1751"/>
      <c r="J1751"/>
      <c r="K1751"/>
      <c r="L1751"/>
      <c r="M1751"/>
      <c r="S1751" s="54"/>
    </row>
    <row r="1752" spans="1:19" s="15" customFormat="1" x14ac:dyDescent="0.3">
      <c r="A1752" s="17"/>
      <c r="B1752"/>
      <c r="C1752"/>
      <c r="D1752"/>
      <c r="E1752"/>
      <c r="F1752"/>
      <c r="G1752"/>
      <c r="H1752"/>
      <c r="I1752"/>
      <c r="J1752"/>
      <c r="K1752"/>
      <c r="L1752"/>
      <c r="M1752"/>
      <c r="S1752" s="54"/>
    </row>
    <row r="1753" spans="1:19" s="15" customFormat="1" x14ac:dyDescent="0.3">
      <c r="A1753" s="17"/>
      <c r="B1753"/>
      <c r="C1753"/>
      <c r="D1753"/>
      <c r="E1753"/>
      <c r="F1753"/>
      <c r="G1753"/>
      <c r="H1753"/>
      <c r="I1753"/>
      <c r="J1753"/>
      <c r="K1753"/>
      <c r="L1753"/>
      <c r="M1753"/>
      <c r="S1753" s="54"/>
    </row>
    <row r="1754" spans="1:19" s="15" customFormat="1" x14ac:dyDescent="0.3">
      <c r="A1754" s="17"/>
      <c r="B1754"/>
      <c r="C1754"/>
      <c r="D1754"/>
      <c r="E1754"/>
      <c r="F1754"/>
      <c r="G1754"/>
      <c r="H1754"/>
      <c r="I1754"/>
      <c r="J1754"/>
      <c r="K1754"/>
      <c r="L1754"/>
      <c r="M1754"/>
      <c r="S1754" s="54"/>
    </row>
    <row r="1755" spans="1:19" s="15" customFormat="1" x14ac:dyDescent="0.3">
      <c r="A1755" s="17"/>
      <c r="B1755"/>
      <c r="C1755"/>
      <c r="D1755"/>
      <c r="E1755"/>
      <c r="F1755"/>
      <c r="G1755"/>
      <c r="H1755"/>
      <c r="I1755"/>
      <c r="J1755"/>
      <c r="K1755"/>
      <c r="L1755"/>
      <c r="M1755"/>
      <c r="S1755" s="54"/>
    </row>
    <row r="1756" spans="1:19" s="15" customFormat="1" x14ac:dyDescent="0.3">
      <c r="A1756" s="17"/>
      <c r="B1756"/>
      <c r="C1756"/>
      <c r="D1756"/>
      <c r="E1756"/>
      <c r="F1756"/>
      <c r="G1756"/>
      <c r="H1756"/>
      <c r="I1756"/>
      <c r="J1756"/>
      <c r="K1756"/>
      <c r="L1756"/>
      <c r="M1756"/>
      <c r="S1756" s="54"/>
    </row>
    <row r="1757" spans="1:19" s="15" customFormat="1" x14ac:dyDescent="0.3">
      <c r="A1757" s="17"/>
      <c r="B1757"/>
      <c r="C1757"/>
      <c r="D1757"/>
      <c r="E1757"/>
      <c r="F1757"/>
      <c r="G1757"/>
      <c r="H1757"/>
      <c r="I1757"/>
      <c r="J1757"/>
      <c r="K1757"/>
      <c r="L1757"/>
      <c r="M1757"/>
      <c r="S1757" s="54"/>
    </row>
    <row r="1758" spans="1:19" s="15" customFormat="1" x14ac:dyDescent="0.3">
      <c r="A1758" s="17"/>
      <c r="B1758"/>
      <c r="C1758"/>
      <c r="D1758"/>
      <c r="E1758"/>
      <c r="F1758"/>
      <c r="G1758"/>
      <c r="H1758"/>
      <c r="I1758"/>
      <c r="J1758"/>
      <c r="K1758"/>
      <c r="L1758"/>
      <c r="M1758"/>
      <c r="S1758" s="54"/>
    </row>
    <row r="1759" spans="1:19" s="15" customFormat="1" x14ac:dyDescent="0.3">
      <c r="A1759" s="17"/>
      <c r="B1759"/>
      <c r="C1759"/>
      <c r="D1759"/>
      <c r="E1759"/>
      <c r="F1759"/>
      <c r="G1759"/>
      <c r="H1759"/>
      <c r="I1759"/>
      <c r="J1759"/>
      <c r="K1759"/>
      <c r="L1759"/>
      <c r="M1759"/>
      <c r="S1759" s="54"/>
    </row>
    <row r="1760" spans="1:19" s="15" customFormat="1" x14ac:dyDescent="0.3">
      <c r="A1760" s="17"/>
      <c r="B1760"/>
      <c r="C1760"/>
      <c r="D1760"/>
      <c r="E1760"/>
      <c r="F1760"/>
      <c r="G1760"/>
      <c r="H1760"/>
      <c r="I1760"/>
      <c r="J1760"/>
      <c r="K1760"/>
      <c r="L1760"/>
      <c r="M1760"/>
      <c r="S1760" s="54"/>
    </row>
    <row r="1761" spans="1:19" s="15" customFormat="1" x14ac:dyDescent="0.3">
      <c r="A1761" s="17"/>
      <c r="B1761"/>
      <c r="C1761"/>
      <c r="D1761"/>
      <c r="E1761"/>
      <c r="F1761"/>
      <c r="G1761"/>
      <c r="H1761"/>
      <c r="I1761"/>
      <c r="J1761"/>
      <c r="K1761"/>
      <c r="L1761"/>
      <c r="M1761"/>
      <c r="S1761" s="54"/>
    </row>
    <row r="1762" spans="1:19" s="15" customFormat="1" x14ac:dyDescent="0.3">
      <c r="A1762" s="17"/>
      <c r="B1762"/>
      <c r="C1762"/>
      <c r="D1762"/>
      <c r="E1762"/>
      <c r="F1762"/>
      <c r="G1762"/>
      <c r="H1762"/>
      <c r="I1762"/>
      <c r="J1762"/>
      <c r="K1762"/>
      <c r="L1762"/>
      <c r="M1762"/>
      <c r="S1762" s="54"/>
    </row>
    <row r="1763" spans="1:19" s="15" customFormat="1" x14ac:dyDescent="0.3">
      <c r="A1763" s="17"/>
      <c r="B1763"/>
      <c r="C1763"/>
      <c r="D1763"/>
      <c r="E1763"/>
      <c r="F1763"/>
      <c r="G1763"/>
      <c r="H1763"/>
      <c r="I1763"/>
      <c r="J1763"/>
      <c r="K1763"/>
      <c r="L1763"/>
      <c r="M1763"/>
      <c r="S1763" s="54"/>
    </row>
    <row r="1764" spans="1:19" s="15" customFormat="1" x14ac:dyDescent="0.3">
      <c r="A1764" s="17"/>
      <c r="B1764"/>
      <c r="C1764"/>
      <c r="D1764"/>
      <c r="E1764"/>
      <c r="F1764"/>
      <c r="G1764"/>
      <c r="H1764"/>
      <c r="I1764"/>
      <c r="J1764"/>
      <c r="K1764"/>
      <c r="L1764"/>
      <c r="M1764"/>
      <c r="S1764" s="54"/>
    </row>
    <row r="1765" spans="1:19" s="15" customFormat="1" x14ac:dyDescent="0.3">
      <c r="A1765" s="17"/>
      <c r="B1765"/>
      <c r="C1765"/>
      <c r="D1765"/>
      <c r="E1765"/>
      <c r="F1765"/>
      <c r="G1765"/>
      <c r="H1765"/>
      <c r="I1765"/>
      <c r="J1765"/>
      <c r="K1765"/>
      <c r="L1765"/>
      <c r="M1765"/>
      <c r="S1765" s="54"/>
    </row>
    <row r="1766" spans="1:19" s="15" customFormat="1" x14ac:dyDescent="0.3">
      <c r="A1766" s="17"/>
      <c r="B1766"/>
      <c r="C1766"/>
      <c r="D1766"/>
      <c r="E1766"/>
      <c r="F1766"/>
      <c r="G1766"/>
      <c r="H1766"/>
      <c r="I1766"/>
      <c r="J1766"/>
      <c r="K1766"/>
      <c r="L1766"/>
      <c r="M1766"/>
      <c r="S1766" s="54"/>
    </row>
    <row r="1767" spans="1:19" s="15" customFormat="1" x14ac:dyDescent="0.3">
      <c r="A1767" s="17"/>
      <c r="B1767"/>
      <c r="C1767"/>
      <c r="D1767"/>
      <c r="E1767"/>
      <c r="F1767"/>
      <c r="G1767"/>
      <c r="H1767"/>
      <c r="I1767"/>
      <c r="J1767"/>
      <c r="K1767"/>
      <c r="L1767"/>
      <c r="M1767"/>
      <c r="S1767" s="54"/>
    </row>
    <row r="1768" spans="1:19" s="15" customFormat="1" x14ac:dyDescent="0.3">
      <c r="A1768" s="17"/>
      <c r="B1768"/>
      <c r="C1768"/>
      <c r="D1768"/>
      <c r="E1768"/>
      <c r="F1768"/>
      <c r="G1768"/>
      <c r="H1768"/>
      <c r="I1768"/>
      <c r="J1768"/>
      <c r="K1768"/>
      <c r="L1768"/>
      <c r="M1768"/>
      <c r="S1768" s="54"/>
    </row>
    <row r="1769" spans="1:19" s="15" customFormat="1" x14ac:dyDescent="0.3">
      <c r="A1769" s="17"/>
      <c r="B1769"/>
      <c r="C1769"/>
      <c r="D1769"/>
      <c r="E1769"/>
      <c r="F1769"/>
      <c r="G1769"/>
      <c r="H1769"/>
      <c r="I1769"/>
      <c r="J1769"/>
      <c r="K1769"/>
      <c r="L1769"/>
      <c r="M1769"/>
      <c r="S1769" s="54"/>
    </row>
    <row r="1770" spans="1:19" s="15" customFormat="1" x14ac:dyDescent="0.3">
      <c r="A1770" s="17"/>
      <c r="B1770"/>
      <c r="C1770"/>
      <c r="D1770"/>
      <c r="E1770"/>
      <c r="F1770"/>
      <c r="G1770"/>
      <c r="H1770"/>
      <c r="I1770"/>
      <c r="J1770"/>
      <c r="K1770"/>
      <c r="L1770"/>
      <c r="M1770"/>
      <c r="S1770" s="54"/>
    </row>
    <row r="1771" spans="1:19" s="15" customFormat="1" x14ac:dyDescent="0.3">
      <c r="A1771" s="17"/>
      <c r="B1771"/>
      <c r="C1771"/>
      <c r="D1771"/>
      <c r="E1771"/>
      <c r="F1771"/>
      <c r="G1771"/>
      <c r="H1771"/>
      <c r="I1771"/>
      <c r="J1771"/>
      <c r="K1771"/>
      <c r="L1771"/>
      <c r="M1771"/>
      <c r="S1771" s="54"/>
    </row>
    <row r="1772" spans="1:19" s="15" customFormat="1" x14ac:dyDescent="0.3">
      <c r="A1772" s="17"/>
      <c r="B1772"/>
      <c r="C1772"/>
      <c r="D1772"/>
      <c r="E1772"/>
      <c r="F1772"/>
      <c r="G1772"/>
      <c r="H1772"/>
      <c r="I1772"/>
      <c r="J1772"/>
      <c r="K1772"/>
      <c r="L1772"/>
      <c r="M1772"/>
      <c r="S1772" s="54"/>
    </row>
    <row r="1773" spans="1:19" s="15" customFormat="1" x14ac:dyDescent="0.3">
      <c r="A1773" s="17"/>
      <c r="B1773"/>
      <c r="C1773"/>
      <c r="D1773"/>
      <c r="E1773"/>
      <c r="F1773"/>
      <c r="G1773"/>
      <c r="H1773"/>
      <c r="I1773"/>
      <c r="J1773"/>
      <c r="K1773"/>
      <c r="L1773"/>
      <c r="M1773"/>
      <c r="S1773" s="54"/>
    </row>
    <row r="1774" spans="1:19" s="15" customFormat="1" x14ac:dyDescent="0.3">
      <c r="A1774" s="17"/>
      <c r="B1774"/>
      <c r="C1774"/>
      <c r="D1774"/>
      <c r="E1774"/>
      <c r="F1774"/>
      <c r="G1774"/>
      <c r="H1774"/>
      <c r="I1774"/>
      <c r="J1774"/>
      <c r="K1774"/>
      <c r="L1774"/>
      <c r="M1774"/>
      <c r="S1774" s="54"/>
    </row>
    <row r="1775" spans="1:19" s="15" customFormat="1" x14ac:dyDescent="0.3">
      <c r="A1775" s="17"/>
      <c r="B1775"/>
      <c r="C1775"/>
      <c r="D1775"/>
      <c r="E1775"/>
      <c r="F1775"/>
      <c r="G1775"/>
      <c r="H1775"/>
      <c r="I1775"/>
      <c r="J1775"/>
      <c r="K1775"/>
      <c r="L1775"/>
      <c r="M1775"/>
      <c r="S1775" s="54"/>
    </row>
    <row r="1776" spans="1:19" s="15" customFormat="1" x14ac:dyDescent="0.3">
      <c r="A1776" s="17"/>
      <c r="B1776"/>
      <c r="C1776"/>
      <c r="D1776"/>
      <c r="E1776"/>
      <c r="F1776"/>
      <c r="G1776"/>
      <c r="H1776"/>
      <c r="I1776"/>
      <c r="J1776"/>
      <c r="K1776"/>
      <c r="L1776"/>
      <c r="M1776"/>
      <c r="S1776" s="54"/>
    </row>
    <row r="1777" spans="1:19" s="15" customFormat="1" x14ac:dyDescent="0.3">
      <c r="A1777" s="17"/>
      <c r="B1777"/>
      <c r="C1777"/>
      <c r="D1777"/>
      <c r="E1777"/>
      <c r="F1777"/>
      <c r="G1777"/>
      <c r="H1777"/>
      <c r="I1777"/>
      <c r="J1777"/>
      <c r="K1777"/>
      <c r="L1777"/>
      <c r="M1777"/>
      <c r="S1777" s="54"/>
    </row>
    <row r="1778" spans="1:19" s="15" customFormat="1" x14ac:dyDescent="0.3">
      <c r="A1778" s="17"/>
      <c r="B1778"/>
      <c r="C1778"/>
      <c r="D1778"/>
      <c r="E1778"/>
      <c r="F1778"/>
      <c r="G1778"/>
      <c r="H1778"/>
      <c r="I1778"/>
      <c r="J1778"/>
      <c r="K1778"/>
      <c r="L1778"/>
      <c r="M1778"/>
      <c r="S1778" s="54"/>
    </row>
    <row r="1779" spans="1:19" s="15" customFormat="1" x14ac:dyDescent="0.3">
      <c r="A1779" s="17"/>
      <c r="B1779"/>
      <c r="C1779"/>
      <c r="D1779"/>
      <c r="E1779"/>
      <c r="F1779"/>
      <c r="G1779"/>
      <c r="H1779"/>
      <c r="I1779"/>
      <c r="J1779"/>
      <c r="K1779"/>
      <c r="L1779"/>
      <c r="M1779"/>
      <c r="S1779" s="54"/>
    </row>
    <row r="1780" spans="1:19" s="15" customFormat="1" x14ac:dyDescent="0.3">
      <c r="A1780" s="17"/>
      <c r="B1780"/>
      <c r="C1780"/>
      <c r="D1780"/>
      <c r="E1780"/>
      <c r="F1780"/>
      <c r="G1780"/>
      <c r="H1780"/>
      <c r="I1780"/>
      <c r="J1780"/>
      <c r="K1780"/>
      <c r="L1780"/>
      <c r="M1780"/>
      <c r="S1780" s="54"/>
    </row>
    <row r="1781" spans="1:19" s="15" customFormat="1" x14ac:dyDescent="0.3">
      <c r="A1781" s="17"/>
      <c r="B1781"/>
      <c r="C1781"/>
      <c r="D1781"/>
      <c r="E1781"/>
      <c r="F1781"/>
      <c r="G1781"/>
      <c r="H1781"/>
      <c r="I1781"/>
      <c r="J1781"/>
      <c r="K1781"/>
      <c r="L1781"/>
      <c r="M1781"/>
      <c r="S1781" s="54"/>
    </row>
    <row r="1782" spans="1:19" s="15" customFormat="1" x14ac:dyDescent="0.3">
      <c r="A1782" s="17"/>
      <c r="B1782"/>
      <c r="C1782"/>
      <c r="D1782"/>
      <c r="E1782"/>
      <c r="F1782"/>
      <c r="G1782"/>
      <c r="H1782"/>
      <c r="I1782"/>
      <c r="J1782"/>
      <c r="K1782"/>
      <c r="L1782"/>
      <c r="M1782"/>
      <c r="S1782" s="54"/>
    </row>
    <row r="1783" spans="1:19" s="15" customFormat="1" x14ac:dyDescent="0.3">
      <c r="A1783" s="17"/>
      <c r="B1783"/>
      <c r="C1783"/>
      <c r="D1783"/>
      <c r="E1783"/>
      <c r="F1783"/>
      <c r="G1783"/>
      <c r="H1783"/>
      <c r="I1783"/>
      <c r="J1783"/>
      <c r="K1783"/>
      <c r="L1783"/>
      <c r="M1783"/>
      <c r="S1783" s="54"/>
    </row>
    <row r="1784" spans="1:19" s="15" customFormat="1" x14ac:dyDescent="0.3">
      <c r="A1784" s="17"/>
      <c r="B1784"/>
      <c r="C1784"/>
      <c r="D1784"/>
      <c r="E1784"/>
      <c r="F1784"/>
      <c r="G1784"/>
      <c r="H1784"/>
      <c r="I1784"/>
      <c r="J1784"/>
      <c r="K1784"/>
      <c r="L1784"/>
      <c r="M1784"/>
      <c r="S1784" s="54"/>
    </row>
    <row r="1785" spans="1:19" s="15" customFormat="1" x14ac:dyDescent="0.3">
      <c r="A1785" s="17"/>
      <c r="B1785"/>
      <c r="C1785"/>
      <c r="D1785"/>
      <c r="E1785"/>
      <c r="F1785"/>
      <c r="G1785"/>
      <c r="H1785"/>
      <c r="I1785"/>
      <c r="J1785"/>
      <c r="K1785"/>
      <c r="L1785"/>
      <c r="M1785"/>
      <c r="S1785" s="54"/>
    </row>
    <row r="1786" spans="1:19" s="15" customFormat="1" x14ac:dyDescent="0.3">
      <c r="A1786" s="17"/>
      <c r="B1786"/>
      <c r="C1786"/>
      <c r="D1786"/>
      <c r="E1786"/>
      <c r="F1786"/>
      <c r="G1786"/>
      <c r="H1786"/>
      <c r="I1786"/>
      <c r="J1786"/>
      <c r="K1786"/>
      <c r="L1786"/>
      <c r="M1786"/>
      <c r="S1786" s="54"/>
    </row>
    <row r="1787" spans="1:19" s="15" customFormat="1" x14ac:dyDescent="0.3">
      <c r="A1787" s="17"/>
      <c r="B1787"/>
      <c r="C1787"/>
      <c r="D1787"/>
      <c r="E1787"/>
      <c r="F1787"/>
      <c r="G1787"/>
      <c r="H1787"/>
      <c r="I1787"/>
      <c r="J1787"/>
      <c r="K1787"/>
      <c r="L1787"/>
      <c r="M1787"/>
      <c r="S1787" s="54"/>
    </row>
    <row r="1788" spans="1:19" s="15" customFormat="1" x14ac:dyDescent="0.3">
      <c r="A1788" s="17"/>
      <c r="B1788"/>
      <c r="C1788"/>
      <c r="D1788"/>
      <c r="E1788"/>
      <c r="F1788"/>
      <c r="G1788"/>
      <c r="H1788"/>
      <c r="I1788"/>
      <c r="J1788"/>
      <c r="K1788"/>
      <c r="L1788"/>
      <c r="M1788"/>
      <c r="S1788" s="54"/>
    </row>
    <row r="1789" spans="1:19" s="15" customFormat="1" x14ac:dyDescent="0.3">
      <c r="A1789" s="17"/>
      <c r="B1789"/>
      <c r="C1789"/>
      <c r="D1789"/>
      <c r="E1789"/>
      <c r="F1789"/>
      <c r="G1789"/>
      <c r="H1789"/>
      <c r="I1789"/>
      <c r="J1789"/>
      <c r="K1789"/>
      <c r="L1789"/>
      <c r="M1789"/>
      <c r="S1789" s="54"/>
    </row>
    <row r="1790" spans="1:19" s="15" customFormat="1" x14ac:dyDescent="0.3">
      <c r="A1790" s="17"/>
      <c r="B1790"/>
      <c r="C1790"/>
      <c r="D1790"/>
      <c r="E1790"/>
      <c r="F1790"/>
      <c r="G1790"/>
      <c r="H1790"/>
      <c r="I1790"/>
      <c r="J1790"/>
      <c r="K1790"/>
      <c r="L1790"/>
      <c r="M1790"/>
      <c r="S1790" s="54"/>
    </row>
    <row r="1791" spans="1:19" s="15" customFormat="1" x14ac:dyDescent="0.3">
      <c r="A1791" s="17"/>
      <c r="B1791"/>
      <c r="C1791"/>
      <c r="D1791"/>
      <c r="E1791"/>
      <c r="F1791"/>
      <c r="G1791"/>
      <c r="H1791"/>
      <c r="I1791"/>
      <c r="J1791"/>
      <c r="K1791"/>
      <c r="L1791"/>
      <c r="M1791"/>
      <c r="S1791" s="54"/>
    </row>
    <row r="1792" spans="1:19" s="15" customFormat="1" x14ac:dyDescent="0.3">
      <c r="A1792" s="17"/>
      <c r="B1792"/>
      <c r="C1792"/>
      <c r="D1792"/>
      <c r="E1792"/>
      <c r="F1792"/>
      <c r="G1792"/>
      <c r="H1792"/>
      <c r="I1792"/>
      <c r="J1792"/>
      <c r="K1792"/>
      <c r="L1792"/>
      <c r="M1792"/>
      <c r="S1792" s="54"/>
    </row>
    <row r="1793" spans="1:19" s="15" customFormat="1" x14ac:dyDescent="0.3">
      <c r="A1793" s="17"/>
      <c r="B1793"/>
      <c r="C1793"/>
      <c r="D1793"/>
      <c r="E1793"/>
      <c r="F1793"/>
      <c r="G1793"/>
      <c r="H1793"/>
      <c r="I1793"/>
      <c r="J1793"/>
      <c r="K1793"/>
      <c r="L1793"/>
      <c r="M1793"/>
      <c r="S1793" s="54"/>
    </row>
    <row r="1794" spans="1:19" s="15" customFormat="1" x14ac:dyDescent="0.3">
      <c r="A1794" s="17"/>
      <c r="B1794"/>
      <c r="C1794"/>
      <c r="D1794"/>
      <c r="E1794"/>
      <c r="F1794"/>
      <c r="G1794"/>
      <c r="H1794"/>
      <c r="I1794"/>
      <c r="J1794"/>
      <c r="K1794"/>
      <c r="L1794"/>
      <c r="M1794"/>
      <c r="S1794" s="54"/>
    </row>
    <row r="1795" spans="1:19" s="15" customFormat="1" x14ac:dyDescent="0.3">
      <c r="A1795" s="17"/>
      <c r="B1795"/>
      <c r="C1795"/>
      <c r="D1795"/>
      <c r="E1795"/>
      <c r="F1795"/>
      <c r="G1795"/>
      <c r="H1795"/>
      <c r="I1795"/>
      <c r="J1795"/>
      <c r="K1795"/>
      <c r="L1795"/>
      <c r="M1795"/>
      <c r="S1795" s="54"/>
    </row>
    <row r="1796" spans="1:19" s="15" customFormat="1" x14ac:dyDescent="0.3">
      <c r="A1796" s="17"/>
      <c r="B1796"/>
      <c r="C1796"/>
      <c r="D1796"/>
      <c r="E1796"/>
      <c r="F1796"/>
      <c r="G1796"/>
      <c r="H1796"/>
      <c r="I1796"/>
      <c r="J1796"/>
      <c r="K1796"/>
      <c r="L1796"/>
      <c r="M1796"/>
      <c r="S1796" s="54"/>
    </row>
    <row r="1797" spans="1:19" s="15" customFormat="1" x14ac:dyDescent="0.3">
      <c r="A1797" s="17"/>
      <c r="B1797"/>
      <c r="C1797"/>
      <c r="D1797"/>
      <c r="E1797"/>
      <c r="F1797"/>
      <c r="G1797"/>
      <c r="H1797"/>
      <c r="I1797"/>
      <c r="J1797"/>
      <c r="K1797"/>
      <c r="L1797"/>
      <c r="M1797"/>
      <c r="S1797" s="54"/>
    </row>
    <row r="1798" spans="1:19" s="15" customFormat="1" x14ac:dyDescent="0.3">
      <c r="A1798" s="17"/>
      <c r="B1798"/>
      <c r="C1798"/>
      <c r="D1798"/>
      <c r="E1798"/>
      <c r="F1798"/>
      <c r="G1798"/>
      <c r="H1798"/>
      <c r="I1798"/>
      <c r="J1798"/>
      <c r="K1798"/>
      <c r="L1798"/>
      <c r="M1798"/>
      <c r="S1798" s="54"/>
    </row>
    <row r="1799" spans="1:19" s="15" customFormat="1" x14ac:dyDescent="0.3">
      <c r="A1799" s="17"/>
      <c r="B1799"/>
      <c r="C1799"/>
      <c r="D1799"/>
      <c r="E1799"/>
      <c r="F1799"/>
      <c r="G1799"/>
      <c r="H1799"/>
      <c r="I1799"/>
      <c r="J1799"/>
      <c r="K1799"/>
      <c r="L1799"/>
      <c r="M1799"/>
      <c r="S1799" s="54"/>
    </row>
    <row r="1800" spans="1:19" s="15" customFormat="1" x14ac:dyDescent="0.3">
      <c r="A1800" s="17"/>
      <c r="B1800"/>
      <c r="C1800"/>
      <c r="D1800"/>
      <c r="E1800"/>
      <c r="F1800"/>
      <c r="G1800"/>
      <c r="H1800"/>
      <c r="I1800"/>
      <c r="J1800"/>
      <c r="K1800"/>
      <c r="L1800"/>
      <c r="M1800"/>
      <c r="S1800" s="54"/>
    </row>
    <row r="1801" spans="1:19" s="15" customFormat="1" x14ac:dyDescent="0.3">
      <c r="A1801" s="17"/>
      <c r="B1801"/>
      <c r="C1801"/>
      <c r="D1801"/>
      <c r="E1801"/>
      <c r="F1801"/>
      <c r="G1801"/>
      <c r="H1801"/>
      <c r="I1801"/>
      <c r="J1801"/>
      <c r="K1801"/>
      <c r="L1801"/>
      <c r="M1801"/>
      <c r="S1801" s="54"/>
    </row>
    <row r="1802" spans="1:19" s="15" customFormat="1" x14ac:dyDescent="0.3">
      <c r="A1802" s="17"/>
      <c r="B1802"/>
      <c r="C1802"/>
      <c r="D1802"/>
      <c r="E1802"/>
      <c r="F1802"/>
      <c r="G1802"/>
      <c r="H1802"/>
      <c r="I1802"/>
      <c r="J1802"/>
      <c r="K1802"/>
      <c r="L1802"/>
      <c r="M1802"/>
      <c r="S1802" s="54"/>
    </row>
    <row r="1803" spans="1:19" s="15" customFormat="1" x14ac:dyDescent="0.3">
      <c r="A1803" s="17"/>
      <c r="B1803"/>
      <c r="C1803"/>
      <c r="D1803"/>
      <c r="E1803"/>
      <c r="F1803"/>
      <c r="G1803"/>
      <c r="H1803"/>
      <c r="I1803"/>
      <c r="J1803"/>
      <c r="K1803"/>
      <c r="L1803"/>
      <c r="M1803"/>
      <c r="S1803" s="54"/>
    </row>
    <row r="1804" spans="1:19" s="15" customFormat="1" x14ac:dyDescent="0.3">
      <c r="A1804" s="17"/>
      <c r="B1804"/>
      <c r="C1804"/>
      <c r="D1804"/>
      <c r="E1804"/>
      <c r="F1804"/>
      <c r="G1804"/>
      <c r="H1804"/>
      <c r="I1804"/>
      <c r="J1804"/>
      <c r="K1804"/>
      <c r="L1804"/>
      <c r="M1804"/>
      <c r="S1804" s="54"/>
    </row>
    <row r="1805" spans="1:19" s="15" customFormat="1" x14ac:dyDescent="0.3">
      <c r="A1805" s="17"/>
      <c r="B1805"/>
      <c r="C1805"/>
      <c r="D1805"/>
      <c r="E1805"/>
      <c r="F1805"/>
      <c r="G1805"/>
      <c r="H1805"/>
      <c r="I1805"/>
      <c r="J1805"/>
      <c r="K1805"/>
      <c r="L1805"/>
      <c r="M1805"/>
      <c r="S1805" s="54"/>
    </row>
    <row r="1806" spans="1:19" s="15" customFormat="1" x14ac:dyDescent="0.3">
      <c r="A1806" s="17"/>
      <c r="B1806"/>
      <c r="C1806"/>
      <c r="D1806"/>
      <c r="E1806"/>
      <c r="F1806"/>
      <c r="G1806"/>
      <c r="H1806"/>
      <c r="I1806"/>
      <c r="J1806"/>
      <c r="K1806"/>
      <c r="L1806"/>
      <c r="M1806"/>
      <c r="S1806" s="54"/>
    </row>
    <row r="1807" spans="1:19" s="15" customFormat="1" x14ac:dyDescent="0.3">
      <c r="A1807" s="17"/>
      <c r="B1807"/>
      <c r="C1807"/>
      <c r="D1807"/>
      <c r="E1807"/>
      <c r="F1807"/>
      <c r="G1807"/>
      <c r="H1807"/>
      <c r="I1807"/>
      <c r="J1807"/>
      <c r="K1807"/>
      <c r="L1807"/>
      <c r="M1807"/>
      <c r="S1807" s="54"/>
    </row>
    <row r="1808" spans="1:19" s="15" customFormat="1" x14ac:dyDescent="0.3">
      <c r="A1808" s="17"/>
      <c r="B1808"/>
      <c r="C1808"/>
      <c r="D1808"/>
      <c r="E1808"/>
      <c r="F1808"/>
      <c r="G1808"/>
      <c r="H1808"/>
      <c r="I1808"/>
      <c r="J1808"/>
      <c r="K1808"/>
      <c r="L1808"/>
      <c r="M1808"/>
      <c r="S1808" s="54"/>
    </row>
    <row r="1809" spans="1:19" s="15" customFormat="1" x14ac:dyDescent="0.3">
      <c r="A1809" s="17"/>
      <c r="B1809"/>
      <c r="C1809"/>
      <c r="D1809"/>
      <c r="E1809"/>
      <c r="F1809"/>
      <c r="G1809"/>
      <c r="H1809"/>
      <c r="I1809"/>
      <c r="J1809"/>
      <c r="K1809"/>
      <c r="L1809"/>
      <c r="M1809"/>
      <c r="S1809" s="54"/>
    </row>
    <row r="1810" spans="1:19" s="15" customFormat="1" x14ac:dyDescent="0.3">
      <c r="A1810" s="17"/>
      <c r="B1810"/>
      <c r="C1810"/>
      <c r="D1810"/>
      <c r="E1810"/>
      <c r="F1810"/>
      <c r="G1810"/>
      <c r="H1810"/>
      <c r="I1810"/>
      <c r="J1810"/>
      <c r="K1810"/>
      <c r="L1810"/>
      <c r="M1810"/>
      <c r="S1810" s="54"/>
    </row>
    <row r="1811" spans="1:19" s="15" customFormat="1" x14ac:dyDescent="0.3">
      <c r="A1811" s="17"/>
      <c r="B1811"/>
      <c r="C1811"/>
      <c r="D1811"/>
      <c r="E1811"/>
      <c r="F1811"/>
      <c r="G1811"/>
      <c r="H1811"/>
      <c r="I1811"/>
      <c r="J1811"/>
      <c r="K1811"/>
      <c r="L1811"/>
      <c r="M1811"/>
      <c r="S1811" s="54"/>
    </row>
    <row r="1812" spans="1:19" s="15" customFormat="1" x14ac:dyDescent="0.3">
      <c r="A1812" s="17"/>
      <c r="B1812"/>
      <c r="C1812"/>
      <c r="D1812"/>
      <c r="E1812"/>
      <c r="F1812"/>
      <c r="G1812"/>
      <c r="H1812"/>
      <c r="I1812"/>
      <c r="J1812"/>
      <c r="K1812"/>
      <c r="L1812"/>
      <c r="M1812"/>
      <c r="S1812" s="54"/>
    </row>
    <row r="1813" spans="1:19" s="15" customFormat="1" x14ac:dyDescent="0.3">
      <c r="A1813" s="17"/>
      <c r="B1813"/>
      <c r="C1813"/>
      <c r="D1813"/>
      <c r="E1813"/>
      <c r="F1813"/>
      <c r="G1813"/>
      <c r="H1813"/>
      <c r="I1813"/>
      <c r="J1813"/>
      <c r="K1813"/>
      <c r="L1813"/>
      <c r="M1813"/>
      <c r="S1813" s="54"/>
    </row>
    <row r="1814" spans="1:19" s="15" customFormat="1" x14ac:dyDescent="0.3">
      <c r="A1814" s="17"/>
      <c r="B1814"/>
      <c r="C1814"/>
      <c r="D1814"/>
      <c r="E1814"/>
      <c r="F1814"/>
      <c r="G1814"/>
      <c r="H1814"/>
      <c r="I1814"/>
      <c r="J1814"/>
      <c r="K1814"/>
      <c r="L1814"/>
      <c r="M1814"/>
      <c r="S1814" s="54"/>
    </row>
    <row r="1815" spans="1:19" s="15" customFormat="1" x14ac:dyDescent="0.3">
      <c r="A1815" s="17"/>
      <c r="B1815"/>
      <c r="C1815"/>
      <c r="D1815"/>
      <c r="E1815"/>
      <c r="F1815"/>
      <c r="G1815"/>
      <c r="H1815"/>
      <c r="I1815"/>
      <c r="J1815"/>
      <c r="K1815"/>
      <c r="L1815"/>
      <c r="M1815"/>
      <c r="S1815" s="54"/>
    </row>
    <row r="1816" spans="1:19" s="15" customFormat="1" x14ac:dyDescent="0.3">
      <c r="A1816" s="17"/>
      <c r="B1816"/>
      <c r="C1816"/>
      <c r="D1816"/>
      <c r="E1816"/>
      <c r="F1816"/>
      <c r="G1816"/>
      <c r="H1816"/>
      <c r="I1816"/>
      <c r="J1816"/>
      <c r="K1816"/>
      <c r="L1816"/>
      <c r="M1816"/>
      <c r="S1816" s="54"/>
    </row>
    <row r="1817" spans="1:19" s="15" customFormat="1" x14ac:dyDescent="0.3">
      <c r="A1817" s="17"/>
      <c r="B1817"/>
      <c r="C1817"/>
      <c r="D1817"/>
      <c r="E1817"/>
      <c r="F1817"/>
      <c r="G1817"/>
      <c r="H1817"/>
      <c r="I1817"/>
      <c r="J1817"/>
      <c r="K1817"/>
      <c r="L1817"/>
      <c r="M1817"/>
      <c r="S1817" s="54"/>
    </row>
    <row r="1818" spans="1:19" s="15" customFormat="1" x14ac:dyDescent="0.3">
      <c r="A1818" s="17"/>
      <c r="B1818"/>
      <c r="C1818"/>
      <c r="D1818"/>
      <c r="E1818"/>
      <c r="F1818"/>
      <c r="G1818"/>
      <c r="H1818"/>
      <c r="I1818"/>
      <c r="J1818"/>
      <c r="K1818"/>
      <c r="L1818"/>
      <c r="M1818"/>
      <c r="S1818" s="54"/>
    </row>
    <row r="1819" spans="1:19" s="15" customFormat="1" x14ac:dyDescent="0.3">
      <c r="A1819" s="17"/>
      <c r="B1819"/>
      <c r="C1819"/>
      <c r="D1819"/>
      <c r="E1819"/>
      <c r="F1819"/>
      <c r="G1819"/>
      <c r="H1819"/>
      <c r="I1819"/>
      <c r="J1819"/>
      <c r="K1819"/>
      <c r="L1819"/>
      <c r="M1819"/>
      <c r="S1819" s="54"/>
    </row>
    <row r="1820" spans="1:19" s="15" customFormat="1" x14ac:dyDescent="0.3">
      <c r="A1820" s="17"/>
      <c r="B1820"/>
      <c r="C1820"/>
      <c r="D1820"/>
      <c r="E1820"/>
      <c r="F1820"/>
      <c r="G1820"/>
      <c r="H1820"/>
      <c r="I1820"/>
      <c r="J1820"/>
      <c r="K1820"/>
      <c r="L1820"/>
      <c r="M1820"/>
      <c r="S1820" s="54"/>
    </row>
    <row r="1821" spans="1:19" s="15" customFormat="1" x14ac:dyDescent="0.3">
      <c r="A1821" s="17"/>
      <c r="B1821"/>
      <c r="C1821"/>
      <c r="D1821"/>
      <c r="E1821"/>
      <c r="F1821"/>
      <c r="G1821"/>
      <c r="H1821"/>
      <c r="I1821"/>
      <c r="J1821"/>
      <c r="K1821"/>
      <c r="L1821"/>
      <c r="M1821"/>
      <c r="S1821" s="54"/>
    </row>
    <row r="1822" spans="1:19" s="15" customFormat="1" x14ac:dyDescent="0.3">
      <c r="A1822" s="17"/>
      <c r="B1822"/>
      <c r="C1822"/>
      <c r="D1822"/>
      <c r="E1822"/>
      <c r="F1822"/>
      <c r="G1822"/>
      <c r="H1822"/>
      <c r="I1822"/>
      <c r="J1822"/>
      <c r="K1822"/>
      <c r="L1822"/>
      <c r="M1822"/>
      <c r="S1822" s="54"/>
    </row>
    <row r="1823" spans="1:19" s="15" customFormat="1" x14ac:dyDescent="0.3">
      <c r="A1823" s="17"/>
      <c r="B1823"/>
      <c r="C1823"/>
      <c r="D1823"/>
      <c r="E1823"/>
      <c r="F1823"/>
      <c r="G1823"/>
      <c r="H1823"/>
      <c r="I1823"/>
      <c r="J1823"/>
      <c r="K1823"/>
      <c r="L1823"/>
      <c r="M1823"/>
      <c r="S1823" s="54"/>
    </row>
    <row r="1824" spans="1:19" s="15" customFormat="1" x14ac:dyDescent="0.3">
      <c r="A1824" s="17"/>
      <c r="B1824"/>
      <c r="C1824"/>
      <c r="D1824"/>
      <c r="E1824"/>
      <c r="F1824"/>
      <c r="G1824"/>
      <c r="H1824"/>
      <c r="I1824"/>
      <c r="J1824"/>
      <c r="K1824"/>
      <c r="L1824"/>
      <c r="M1824"/>
      <c r="S1824" s="54"/>
    </row>
    <row r="1825" spans="1:19" s="15" customFormat="1" x14ac:dyDescent="0.3">
      <c r="A1825" s="17"/>
      <c r="B1825"/>
      <c r="C1825"/>
      <c r="D1825"/>
      <c r="E1825"/>
      <c r="F1825"/>
      <c r="G1825"/>
      <c r="H1825"/>
      <c r="I1825"/>
      <c r="J1825"/>
      <c r="K1825"/>
      <c r="L1825"/>
      <c r="M1825"/>
      <c r="S1825" s="54"/>
    </row>
    <row r="1826" spans="1:19" s="15" customFormat="1" x14ac:dyDescent="0.3">
      <c r="A1826" s="17"/>
      <c r="B1826"/>
      <c r="C1826"/>
      <c r="D1826"/>
      <c r="E1826"/>
      <c r="F1826"/>
      <c r="G1826"/>
      <c r="H1826"/>
      <c r="I1826"/>
      <c r="J1826"/>
      <c r="K1826"/>
      <c r="L1826"/>
      <c r="M1826"/>
      <c r="S1826" s="54"/>
    </row>
    <row r="1827" spans="1:19" s="15" customFormat="1" x14ac:dyDescent="0.3">
      <c r="A1827" s="17"/>
      <c r="B1827"/>
      <c r="C1827"/>
      <c r="D1827"/>
      <c r="E1827"/>
      <c r="F1827"/>
      <c r="G1827"/>
      <c r="H1827"/>
      <c r="I1827"/>
      <c r="J1827"/>
      <c r="K1827"/>
      <c r="L1827"/>
      <c r="M1827"/>
      <c r="S1827" s="54"/>
    </row>
    <row r="1828" spans="1:19" s="15" customFormat="1" x14ac:dyDescent="0.3">
      <c r="A1828" s="17"/>
      <c r="B1828"/>
      <c r="C1828"/>
      <c r="D1828"/>
      <c r="E1828"/>
      <c r="F1828"/>
      <c r="G1828"/>
      <c r="H1828"/>
      <c r="I1828"/>
      <c r="J1828"/>
      <c r="K1828"/>
      <c r="L1828"/>
      <c r="M1828"/>
      <c r="S1828" s="54"/>
    </row>
    <row r="1829" spans="1:19" s="15" customFormat="1" x14ac:dyDescent="0.3">
      <c r="A1829" s="17"/>
      <c r="B1829"/>
      <c r="C1829"/>
      <c r="D1829"/>
      <c r="E1829"/>
      <c r="F1829"/>
      <c r="G1829"/>
      <c r="H1829"/>
      <c r="I1829"/>
      <c r="J1829"/>
      <c r="K1829"/>
      <c r="L1829"/>
      <c r="M1829"/>
      <c r="S1829" s="54"/>
    </row>
    <row r="1830" spans="1:19" s="15" customFormat="1" x14ac:dyDescent="0.3">
      <c r="A1830" s="17"/>
      <c r="B1830"/>
      <c r="C1830"/>
      <c r="D1830"/>
      <c r="E1830"/>
      <c r="F1830"/>
      <c r="G1830"/>
      <c r="H1830"/>
      <c r="I1830"/>
      <c r="J1830"/>
      <c r="K1830"/>
      <c r="L1830"/>
      <c r="M1830"/>
      <c r="S1830" s="54"/>
    </row>
    <row r="1831" spans="1:19" s="15" customFormat="1" x14ac:dyDescent="0.3">
      <c r="A1831" s="17"/>
      <c r="B1831"/>
      <c r="C1831"/>
      <c r="D1831"/>
      <c r="E1831"/>
      <c r="F1831"/>
      <c r="G1831"/>
      <c r="H1831"/>
      <c r="I1831"/>
      <c r="J1831"/>
      <c r="K1831"/>
      <c r="L1831"/>
      <c r="M1831"/>
      <c r="S1831" s="54"/>
    </row>
    <row r="1832" spans="1:19" s="15" customFormat="1" x14ac:dyDescent="0.3">
      <c r="A1832" s="17"/>
      <c r="B1832"/>
      <c r="C1832"/>
      <c r="D1832"/>
      <c r="E1832"/>
      <c r="F1832"/>
      <c r="G1832"/>
      <c r="H1832"/>
      <c r="I1832"/>
      <c r="J1832"/>
      <c r="K1832"/>
      <c r="L1832"/>
      <c r="M1832"/>
      <c r="S1832" s="54"/>
    </row>
    <row r="1833" spans="1:19" s="15" customFormat="1" x14ac:dyDescent="0.3">
      <c r="A1833" s="17"/>
      <c r="B1833"/>
      <c r="C1833"/>
      <c r="D1833"/>
      <c r="E1833"/>
      <c r="F1833"/>
      <c r="G1833"/>
      <c r="H1833"/>
      <c r="I1833"/>
      <c r="J1833"/>
      <c r="K1833"/>
      <c r="L1833"/>
      <c r="M1833"/>
      <c r="S1833" s="54"/>
    </row>
    <row r="1834" spans="1:19" s="15" customFormat="1" x14ac:dyDescent="0.3">
      <c r="A1834" s="17"/>
      <c r="B1834"/>
      <c r="C1834"/>
      <c r="D1834"/>
      <c r="E1834"/>
      <c r="F1834"/>
      <c r="G1834"/>
      <c r="H1834"/>
      <c r="I1834"/>
      <c r="J1834"/>
      <c r="K1834"/>
      <c r="L1834"/>
      <c r="M1834"/>
      <c r="S1834" s="54"/>
    </row>
    <row r="1835" spans="1:19" s="15" customFormat="1" x14ac:dyDescent="0.3">
      <c r="A1835" s="17"/>
      <c r="B1835"/>
      <c r="C1835"/>
      <c r="D1835"/>
      <c r="E1835"/>
      <c r="F1835"/>
      <c r="G1835"/>
      <c r="H1835"/>
      <c r="I1835"/>
      <c r="J1835"/>
      <c r="K1835"/>
      <c r="L1835"/>
      <c r="M1835"/>
      <c r="S1835" s="54"/>
    </row>
    <row r="1836" spans="1:19" s="15" customFormat="1" x14ac:dyDescent="0.3">
      <c r="A1836" s="17"/>
      <c r="B1836"/>
      <c r="C1836"/>
      <c r="D1836"/>
      <c r="E1836"/>
      <c r="F1836"/>
      <c r="G1836"/>
      <c r="H1836"/>
      <c r="I1836"/>
      <c r="J1836"/>
      <c r="K1836"/>
      <c r="L1836"/>
      <c r="M1836"/>
      <c r="S1836" s="54"/>
    </row>
    <row r="1837" spans="1:19" s="15" customFormat="1" x14ac:dyDescent="0.3">
      <c r="A1837" s="17"/>
      <c r="B1837"/>
      <c r="C1837"/>
      <c r="D1837"/>
      <c r="E1837"/>
      <c r="F1837"/>
      <c r="G1837"/>
      <c r="H1837"/>
      <c r="I1837"/>
      <c r="J1837"/>
      <c r="K1837"/>
      <c r="L1837"/>
      <c r="M1837"/>
      <c r="S1837" s="54"/>
    </row>
    <row r="1838" spans="1:19" s="15" customFormat="1" x14ac:dyDescent="0.3">
      <c r="A1838" s="17"/>
      <c r="B1838"/>
      <c r="C1838"/>
      <c r="D1838"/>
      <c r="E1838"/>
      <c r="F1838"/>
      <c r="G1838"/>
      <c r="H1838"/>
      <c r="I1838"/>
      <c r="J1838"/>
      <c r="K1838"/>
      <c r="L1838"/>
      <c r="M1838"/>
      <c r="S1838" s="54"/>
    </row>
    <row r="1839" spans="1:19" s="15" customFormat="1" x14ac:dyDescent="0.3">
      <c r="A1839" s="17"/>
      <c r="B1839"/>
      <c r="C1839"/>
      <c r="D1839"/>
      <c r="E1839"/>
      <c r="F1839"/>
      <c r="G1839"/>
      <c r="H1839"/>
      <c r="I1839"/>
      <c r="J1839"/>
      <c r="K1839"/>
      <c r="L1839"/>
      <c r="M1839"/>
      <c r="S1839" s="54"/>
    </row>
    <row r="1840" spans="1:19" s="15" customFormat="1" x14ac:dyDescent="0.3">
      <c r="A1840" s="17"/>
      <c r="B1840"/>
      <c r="C1840"/>
      <c r="D1840"/>
      <c r="E1840"/>
      <c r="F1840"/>
      <c r="G1840"/>
      <c r="H1840"/>
      <c r="I1840"/>
      <c r="J1840"/>
      <c r="K1840"/>
      <c r="L1840"/>
      <c r="M1840"/>
      <c r="S1840" s="54"/>
    </row>
    <row r="1841" spans="1:19" s="15" customFormat="1" x14ac:dyDescent="0.3">
      <c r="A1841" s="17"/>
      <c r="B1841"/>
      <c r="C1841"/>
      <c r="D1841"/>
      <c r="E1841"/>
      <c r="F1841"/>
      <c r="G1841"/>
      <c r="H1841"/>
      <c r="I1841"/>
      <c r="J1841"/>
      <c r="K1841"/>
      <c r="L1841"/>
      <c r="M1841"/>
      <c r="S1841" s="54"/>
    </row>
    <row r="1842" spans="1:19" s="15" customFormat="1" x14ac:dyDescent="0.3">
      <c r="A1842" s="17"/>
      <c r="B1842"/>
      <c r="C1842"/>
      <c r="D1842"/>
      <c r="E1842"/>
      <c r="F1842"/>
      <c r="G1842"/>
      <c r="H1842"/>
      <c r="I1842"/>
      <c r="J1842"/>
      <c r="K1842"/>
      <c r="L1842"/>
      <c r="M1842"/>
      <c r="S1842" s="54"/>
    </row>
    <row r="1843" spans="1:19" s="15" customFormat="1" x14ac:dyDescent="0.3">
      <c r="A1843" s="17"/>
      <c r="B1843"/>
      <c r="C1843"/>
      <c r="D1843"/>
      <c r="E1843"/>
      <c r="F1843"/>
      <c r="G1843"/>
      <c r="H1843"/>
      <c r="I1843"/>
      <c r="J1843"/>
      <c r="K1843"/>
      <c r="L1843"/>
      <c r="M1843"/>
      <c r="S1843" s="54"/>
    </row>
    <row r="1844" spans="1:19" s="15" customFormat="1" x14ac:dyDescent="0.3">
      <c r="A1844" s="17"/>
      <c r="B1844"/>
      <c r="C1844"/>
      <c r="D1844"/>
      <c r="E1844"/>
      <c r="F1844"/>
      <c r="G1844"/>
      <c r="H1844"/>
      <c r="I1844"/>
      <c r="J1844"/>
      <c r="K1844"/>
      <c r="L1844"/>
      <c r="M1844"/>
      <c r="S1844" s="54"/>
    </row>
    <row r="1845" spans="1:19" s="15" customFormat="1" x14ac:dyDescent="0.3">
      <c r="A1845" s="17"/>
      <c r="B1845"/>
      <c r="C1845"/>
      <c r="D1845"/>
      <c r="E1845"/>
      <c r="F1845"/>
      <c r="G1845"/>
      <c r="H1845"/>
      <c r="I1845"/>
      <c r="J1845"/>
      <c r="K1845"/>
      <c r="L1845"/>
      <c r="M1845"/>
      <c r="S1845" s="54"/>
    </row>
    <row r="1846" spans="1:19" s="15" customFormat="1" x14ac:dyDescent="0.3">
      <c r="A1846" s="17"/>
      <c r="B1846"/>
      <c r="C1846"/>
      <c r="D1846"/>
      <c r="E1846"/>
      <c r="F1846"/>
      <c r="G1846"/>
      <c r="H1846"/>
      <c r="I1846"/>
      <c r="J1846"/>
      <c r="K1846"/>
      <c r="L1846"/>
      <c r="M1846"/>
      <c r="S1846" s="54"/>
    </row>
    <row r="1847" spans="1:19" s="15" customFormat="1" x14ac:dyDescent="0.3">
      <c r="A1847" s="17"/>
      <c r="B1847"/>
      <c r="C1847"/>
      <c r="D1847"/>
      <c r="E1847"/>
      <c r="F1847"/>
      <c r="G1847"/>
      <c r="H1847"/>
      <c r="I1847"/>
      <c r="J1847"/>
      <c r="K1847"/>
      <c r="L1847"/>
      <c r="M1847"/>
      <c r="S1847" s="54"/>
    </row>
    <row r="1848" spans="1:19" s="15" customFormat="1" x14ac:dyDescent="0.3">
      <c r="A1848" s="17"/>
      <c r="B1848"/>
      <c r="C1848"/>
      <c r="D1848"/>
      <c r="E1848"/>
      <c r="F1848"/>
      <c r="G1848"/>
      <c r="H1848"/>
      <c r="I1848"/>
      <c r="J1848"/>
      <c r="K1848"/>
      <c r="L1848"/>
      <c r="M1848"/>
      <c r="S1848" s="54"/>
    </row>
    <row r="1849" spans="1:19" s="15" customFormat="1" x14ac:dyDescent="0.3">
      <c r="A1849" s="17"/>
      <c r="B1849"/>
      <c r="C1849"/>
      <c r="D1849"/>
      <c r="E1849"/>
      <c r="F1849"/>
      <c r="G1849"/>
      <c r="H1849"/>
      <c r="I1849"/>
      <c r="J1849"/>
      <c r="K1849"/>
      <c r="L1849"/>
      <c r="M1849"/>
      <c r="S1849" s="54"/>
    </row>
    <row r="1850" spans="1:19" s="15" customFormat="1" x14ac:dyDescent="0.3">
      <c r="A1850" s="17"/>
      <c r="B1850"/>
      <c r="C1850"/>
      <c r="D1850"/>
      <c r="E1850"/>
      <c r="F1850"/>
      <c r="G1850"/>
      <c r="H1850"/>
      <c r="I1850"/>
      <c r="J1850"/>
      <c r="K1850"/>
      <c r="L1850"/>
      <c r="M1850"/>
      <c r="S1850" s="54"/>
    </row>
    <row r="1851" spans="1:19" s="15" customFormat="1" x14ac:dyDescent="0.3">
      <c r="A1851" s="17"/>
      <c r="B1851"/>
      <c r="C1851"/>
      <c r="D1851"/>
      <c r="E1851"/>
      <c r="F1851"/>
      <c r="G1851"/>
      <c r="H1851"/>
      <c r="I1851"/>
      <c r="J1851"/>
      <c r="K1851"/>
      <c r="L1851"/>
      <c r="M1851"/>
      <c r="S1851" s="54"/>
    </row>
    <row r="1852" spans="1:19" s="15" customFormat="1" x14ac:dyDescent="0.3">
      <c r="A1852" s="17"/>
      <c r="B1852"/>
      <c r="C1852"/>
      <c r="D1852"/>
      <c r="E1852"/>
      <c r="F1852"/>
      <c r="G1852"/>
      <c r="H1852"/>
      <c r="I1852"/>
      <c r="J1852"/>
      <c r="K1852"/>
      <c r="L1852"/>
      <c r="M1852"/>
      <c r="S1852" s="54"/>
    </row>
    <row r="1853" spans="1:19" s="15" customFormat="1" x14ac:dyDescent="0.3">
      <c r="A1853" s="17"/>
      <c r="B1853"/>
      <c r="C1853"/>
      <c r="D1853"/>
      <c r="E1853"/>
      <c r="F1853"/>
      <c r="G1853"/>
      <c r="H1853"/>
      <c r="I1853"/>
      <c r="J1853"/>
      <c r="K1853"/>
      <c r="L1853"/>
      <c r="M1853"/>
      <c r="S1853" s="54"/>
    </row>
    <row r="1854" spans="1:19" s="15" customFormat="1" x14ac:dyDescent="0.3">
      <c r="A1854" s="17"/>
      <c r="B1854"/>
      <c r="C1854"/>
      <c r="D1854"/>
      <c r="E1854"/>
      <c r="F1854"/>
      <c r="G1854"/>
      <c r="H1854"/>
      <c r="I1854"/>
      <c r="J1854"/>
      <c r="K1854"/>
      <c r="L1854"/>
      <c r="M1854"/>
      <c r="S1854" s="54"/>
    </row>
    <row r="1855" spans="1:19" s="15" customFormat="1" x14ac:dyDescent="0.3">
      <c r="A1855" s="17"/>
      <c r="B1855"/>
      <c r="C1855"/>
      <c r="D1855"/>
      <c r="E1855"/>
      <c r="F1855"/>
      <c r="G1855"/>
      <c r="H1855"/>
      <c r="I1855"/>
      <c r="J1855"/>
      <c r="K1855"/>
      <c r="L1855"/>
      <c r="M1855"/>
      <c r="S1855" s="54"/>
    </row>
    <row r="1856" spans="1:19" s="15" customFormat="1" x14ac:dyDescent="0.3">
      <c r="A1856" s="17"/>
      <c r="B1856"/>
      <c r="C1856"/>
      <c r="D1856"/>
      <c r="E1856"/>
      <c r="F1856"/>
      <c r="G1856"/>
      <c r="H1856"/>
      <c r="I1856"/>
      <c r="J1856"/>
      <c r="K1856"/>
      <c r="L1856"/>
      <c r="M1856"/>
      <c r="S1856" s="54"/>
    </row>
    <row r="1857" spans="1:19" s="15" customFormat="1" x14ac:dyDescent="0.3">
      <c r="A1857" s="17"/>
      <c r="B1857"/>
      <c r="C1857"/>
      <c r="D1857"/>
      <c r="E1857"/>
      <c r="F1857"/>
      <c r="G1857"/>
      <c r="H1857"/>
      <c r="I1857"/>
      <c r="J1857"/>
      <c r="K1857"/>
      <c r="L1857"/>
      <c r="M1857"/>
      <c r="S1857" s="54"/>
    </row>
    <row r="1858" spans="1:19" s="15" customFormat="1" x14ac:dyDescent="0.3">
      <c r="A1858" s="17"/>
      <c r="B1858"/>
      <c r="C1858"/>
      <c r="D1858"/>
      <c r="E1858"/>
      <c r="F1858"/>
      <c r="G1858"/>
      <c r="H1858"/>
      <c r="I1858"/>
      <c r="J1858"/>
      <c r="K1858"/>
      <c r="L1858"/>
      <c r="M1858"/>
      <c r="S1858" s="54"/>
    </row>
    <row r="1859" spans="1:19" s="15" customFormat="1" x14ac:dyDescent="0.3">
      <c r="A1859" s="17"/>
      <c r="B1859"/>
      <c r="C1859"/>
      <c r="D1859"/>
      <c r="E1859"/>
      <c r="F1859"/>
      <c r="G1859"/>
      <c r="H1859"/>
      <c r="I1859"/>
      <c r="J1859"/>
      <c r="K1859"/>
      <c r="L1859"/>
      <c r="M1859"/>
      <c r="S1859" s="54"/>
    </row>
    <row r="1860" spans="1:19" s="15" customFormat="1" x14ac:dyDescent="0.3">
      <c r="A1860" s="17"/>
      <c r="B1860"/>
      <c r="C1860"/>
      <c r="D1860"/>
      <c r="E1860"/>
      <c r="F1860"/>
      <c r="G1860"/>
      <c r="H1860"/>
      <c r="I1860"/>
      <c r="J1860"/>
      <c r="K1860"/>
      <c r="L1860"/>
      <c r="M1860"/>
      <c r="S1860" s="54"/>
    </row>
    <row r="1861" spans="1:19" s="15" customFormat="1" x14ac:dyDescent="0.3">
      <c r="A1861" s="17"/>
      <c r="B1861"/>
      <c r="C1861"/>
      <c r="D1861"/>
      <c r="E1861"/>
      <c r="F1861"/>
      <c r="G1861"/>
      <c r="H1861"/>
      <c r="I1861"/>
      <c r="J1861"/>
      <c r="K1861"/>
      <c r="L1861"/>
      <c r="M1861"/>
      <c r="S1861" s="54"/>
    </row>
    <row r="1862" spans="1:19" s="15" customFormat="1" x14ac:dyDescent="0.3">
      <c r="A1862" s="17"/>
      <c r="B1862"/>
      <c r="C1862"/>
      <c r="D1862"/>
      <c r="E1862"/>
      <c r="F1862"/>
      <c r="G1862"/>
      <c r="H1862"/>
      <c r="I1862"/>
      <c r="J1862"/>
      <c r="K1862"/>
      <c r="L1862"/>
      <c r="M1862"/>
      <c r="S1862" s="54"/>
    </row>
    <row r="1863" spans="1:19" s="15" customFormat="1" x14ac:dyDescent="0.3">
      <c r="A1863" s="17"/>
      <c r="B1863"/>
      <c r="C1863"/>
      <c r="D1863"/>
      <c r="E1863"/>
      <c r="F1863"/>
      <c r="G1863"/>
      <c r="H1863"/>
      <c r="I1863"/>
      <c r="J1863"/>
      <c r="K1863"/>
      <c r="L1863"/>
      <c r="M1863"/>
      <c r="S1863" s="54"/>
    </row>
    <row r="1864" spans="1:19" s="15" customFormat="1" x14ac:dyDescent="0.3">
      <c r="A1864" s="17"/>
      <c r="B1864"/>
      <c r="C1864"/>
      <c r="D1864"/>
      <c r="E1864"/>
      <c r="F1864"/>
      <c r="G1864"/>
      <c r="H1864"/>
      <c r="I1864"/>
      <c r="J1864"/>
      <c r="K1864"/>
      <c r="L1864"/>
      <c r="M1864"/>
      <c r="S1864" s="54"/>
    </row>
    <row r="1865" spans="1:19" s="15" customFormat="1" x14ac:dyDescent="0.3">
      <c r="A1865" s="17"/>
      <c r="B1865"/>
      <c r="C1865"/>
      <c r="D1865"/>
      <c r="E1865"/>
      <c r="F1865"/>
      <c r="G1865"/>
      <c r="H1865"/>
      <c r="I1865"/>
      <c r="J1865"/>
      <c r="K1865"/>
      <c r="L1865"/>
      <c r="M1865"/>
      <c r="S1865" s="54"/>
    </row>
    <row r="1866" spans="1:19" s="15" customFormat="1" x14ac:dyDescent="0.3">
      <c r="A1866" s="17"/>
      <c r="B1866"/>
      <c r="C1866"/>
      <c r="D1866"/>
      <c r="E1866"/>
      <c r="F1866"/>
      <c r="G1866"/>
      <c r="H1866"/>
      <c r="I1866"/>
      <c r="J1866"/>
      <c r="K1866"/>
      <c r="L1866"/>
      <c r="M1866"/>
      <c r="S1866" s="54"/>
    </row>
    <row r="1867" spans="1:19" s="15" customFormat="1" x14ac:dyDescent="0.3">
      <c r="A1867" s="17"/>
      <c r="B1867"/>
      <c r="C1867"/>
      <c r="D1867"/>
      <c r="E1867"/>
      <c r="F1867"/>
      <c r="G1867"/>
      <c r="H1867"/>
      <c r="I1867"/>
      <c r="J1867"/>
      <c r="K1867"/>
      <c r="L1867"/>
      <c r="M1867"/>
      <c r="S1867" s="54"/>
    </row>
    <row r="1868" spans="1:19" s="15" customFormat="1" x14ac:dyDescent="0.3">
      <c r="A1868" s="17"/>
      <c r="B1868"/>
      <c r="C1868"/>
      <c r="D1868"/>
      <c r="E1868"/>
      <c r="F1868"/>
      <c r="G1868"/>
      <c r="H1868"/>
      <c r="I1868"/>
      <c r="J1868"/>
      <c r="K1868"/>
      <c r="L1868"/>
      <c r="M1868"/>
      <c r="S1868" s="54"/>
    </row>
    <row r="1869" spans="1:19" s="15" customFormat="1" x14ac:dyDescent="0.3">
      <c r="A1869" s="17"/>
      <c r="B1869"/>
      <c r="C1869"/>
      <c r="D1869"/>
      <c r="E1869"/>
      <c r="F1869"/>
      <c r="G1869"/>
      <c r="H1869"/>
      <c r="I1869"/>
      <c r="J1869"/>
      <c r="K1869"/>
      <c r="L1869"/>
      <c r="M1869"/>
      <c r="S1869" s="54"/>
    </row>
    <row r="1870" spans="1:19" s="15" customFormat="1" x14ac:dyDescent="0.3">
      <c r="A1870" s="17"/>
      <c r="B1870"/>
      <c r="C1870"/>
      <c r="D1870"/>
      <c r="E1870"/>
      <c r="F1870"/>
      <c r="G1870"/>
      <c r="H1870"/>
      <c r="I1870"/>
      <c r="J1870"/>
      <c r="K1870"/>
      <c r="L1870"/>
      <c r="M1870"/>
      <c r="S1870" s="54"/>
    </row>
    <row r="1871" spans="1:19" s="15" customFormat="1" x14ac:dyDescent="0.3">
      <c r="A1871" s="17"/>
      <c r="B1871"/>
      <c r="C1871"/>
      <c r="D1871"/>
      <c r="E1871"/>
      <c r="F1871"/>
      <c r="G1871"/>
      <c r="H1871"/>
      <c r="I1871"/>
      <c r="J1871"/>
      <c r="K1871"/>
      <c r="L1871"/>
      <c r="M1871"/>
      <c r="S1871" s="54"/>
    </row>
    <row r="1872" spans="1:19" s="15" customFormat="1" x14ac:dyDescent="0.3">
      <c r="A1872" s="17"/>
      <c r="B1872"/>
      <c r="C1872"/>
      <c r="D1872"/>
      <c r="E1872"/>
      <c r="F1872"/>
      <c r="G1872"/>
      <c r="H1872"/>
      <c r="I1872"/>
      <c r="J1872"/>
      <c r="K1872"/>
      <c r="L1872"/>
      <c r="M1872"/>
      <c r="S1872" s="54"/>
    </row>
    <row r="1873" spans="1:19" s="15" customFormat="1" x14ac:dyDescent="0.3">
      <c r="A1873" s="17"/>
      <c r="B1873"/>
      <c r="C1873"/>
      <c r="D1873"/>
      <c r="E1873"/>
      <c r="F1873"/>
      <c r="G1873"/>
      <c r="H1873"/>
      <c r="I1873"/>
      <c r="J1873"/>
      <c r="K1873"/>
      <c r="L1873"/>
      <c r="M1873"/>
      <c r="S1873" s="54"/>
    </row>
    <row r="1874" spans="1:19" s="15" customFormat="1" x14ac:dyDescent="0.3">
      <c r="A1874" s="17"/>
      <c r="B1874"/>
      <c r="C1874"/>
      <c r="D1874"/>
      <c r="E1874"/>
      <c r="F1874"/>
      <c r="G1874"/>
      <c r="H1874"/>
      <c r="I1874"/>
      <c r="J1874"/>
      <c r="K1874"/>
      <c r="L1874"/>
      <c r="M1874"/>
      <c r="S1874" s="54"/>
    </row>
    <row r="1875" spans="1:19" s="15" customFormat="1" x14ac:dyDescent="0.3">
      <c r="A1875" s="17"/>
      <c r="B1875"/>
      <c r="C1875"/>
      <c r="D1875"/>
      <c r="E1875"/>
      <c r="F1875"/>
      <c r="G1875"/>
      <c r="H1875"/>
      <c r="I1875"/>
      <c r="J1875"/>
      <c r="K1875"/>
      <c r="L1875"/>
      <c r="M1875"/>
      <c r="S1875" s="54"/>
    </row>
    <row r="1876" spans="1:19" s="15" customFormat="1" x14ac:dyDescent="0.3">
      <c r="A1876" s="17"/>
      <c r="B1876"/>
      <c r="C1876"/>
      <c r="D1876"/>
      <c r="E1876"/>
      <c r="F1876"/>
      <c r="G1876"/>
      <c r="H1876"/>
      <c r="I1876"/>
      <c r="J1876"/>
      <c r="K1876"/>
      <c r="L1876"/>
      <c r="M1876"/>
      <c r="S1876" s="54"/>
    </row>
    <row r="1877" spans="1:19" s="15" customFormat="1" x14ac:dyDescent="0.3">
      <c r="A1877" s="17"/>
      <c r="B1877"/>
      <c r="C1877"/>
      <c r="D1877"/>
      <c r="E1877"/>
      <c r="F1877"/>
      <c r="G1877"/>
      <c r="H1877"/>
      <c r="I1877"/>
      <c r="J1877"/>
      <c r="K1877"/>
      <c r="L1877"/>
      <c r="M1877"/>
      <c r="S1877" s="54"/>
    </row>
    <row r="1878" spans="1:19" s="15" customFormat="1" x14ac:dyDescent="0.3">
      <c r="A1878" s="17"/>
      <c r="B1878"/>
      <c r="C1878"/>
      <c r="D1878"/>
      <c r="E1878"/>
      <c r="F1878"/>
      <c r="G1878"/>
      <c r="H1878"/>
      <c r="I1878"/>
      <c r="J1878"/>
      <c r="K1878"/>
      <c r="L1878"/>
      <c r="M1878"/>
      <c r="S1878" s="54"/>
    </row>
    <row r="1879" spans="1:19" s="15" customFormat="1" x14ac:dyDescent="0.3">
      <c r="A1879" s="17"/>
      <c r="B1879"/>
      <c r="C1879"/>
      <c r="D1879"/>
      <c r="E1879"/>
      <c r="F1879"/>
      <c r="G1879"/>
      <c r="H1879"/>
      <c r="I1879"/>
      <c r="J1879"/>
      <c r="K1879"/>
      <c r="L1879"/>
      <c r="M1879"/>
      <c r="S1879" s="54"/>
    </row>
    <row r="1880" spans="1:19" s="15" customFormat="1" x14ac:dyDescent="0.3">
      <c r="A1880" s="17"/>
      <c r="B1880"/>
      <c r="C1880"/>
      <c r="D1880"/>
      <c r="E1880"/>
      <c r="F1880"/>
      <c r="G1880"/>
      <c r="H1880"/>
      <c r="I1880"/>
      <c r="J1880"/>
      <c r="K1880"/>
      <c r="L1880"/>
      <c r="M1880"/>
      <c r="S1880" s="54"/>
    </row>
    <row r="1881" spans="1:19" s="15" customFormat="1" x14ac:dyDescent="0.3">
      <c r="A1881" s="17"/>
      <c r="B1881"/>
      <c r="C1881"/>
      <c r="D1881"/>
      <c r="E1881"/>
      <c r="F1881"/>
      <c r="G1881"/>
      <c r="H1881"/>
      <c r="I1881"/>
      <c r="J1881"/>
      <c r="K1881"/>
      <c r="L1881"/>
      <c r="M1881"/>
      <c r="S1881" s="54"/>
    </row>
    <row r="1882" spans="1:19" s="15" customFormat="1" x14ac:dyDescent="0.3">
      <c r="A1882" s="17"/>
      <c r="B1882"/>
      <c r="C1882"/>
      <c r="D1882"/>
      <c r="E1882"/>
      <c r="F1882"/>
      <c r="G1882"/>
      <c r="H1882"/>
      <c r="I1882"/>
      <c r="J1882"/>
      <c r="K1882"/>
      <c r="L1882"/>
      <c r="M1882"/>
      <c r="S1882" s="54"/>
    </row>
    <row r="1883" spans="1:19" s="15" customFormat="1" x14ac:dyDescent="0.3">
      <c r="A1883" s="17"/>
      <c r="B1883"/>
      <c r="C1883"/>
      <c r="D1883"/>
      <c r="E1883"/>
      <c r="F1883"/>
      <c r="G1883"/>
      <c r="H1883"/>
      <c r="I1883"/>
      <c r="J1883"/>
      <c r="K1883"/>
      <c r="L1883"/>
      <c r="M1883"/>
      <c r="S1883" s="54"/>
    </row>
    <row r="1884" spans="1:19" s="15" customFormat="1" x14ac:dyDescent="0.3">
      <c r="A1884" s="17"/>
      <c r="B1884"/>
      <c r="C1884"/>
      <c r="D1884"/>
      <c r="E1884"/>
      <c r="F1884"/>
      <c r="G1884"/>
      <c r="H1884"/>
      <c r="I1884"/>
      <c r="J1884"/>
      <c r="K1884"/>
      <c r="L1884"/>
      <c r="M1884"/>
      <c r="S1884" s="54"/>
    </row>
    <row r="1885" spans="1:19" s="15" customFormat="1" x14ac:dyDescent="0.3">
      <c r="A1885" s="17"/>
      <c r="B1885"/>
      <c r="C1885"/>
      <c r="D1885"/>
      <c r="E1885"/>
      <c r="F1885"/>
      <c r="G1885"/>
      <c r="H1885"/>
      <c r="I1885"/>
      <c r="J1885"/>
      <c r="K1885"/>
      <c r="L1885"/>
      <c r="M1885"/>
      <c r="S1885" s="54"/>
    </row>
    <row r="1886" spans="1:19" s="15" customFormat="1" x14ac:dyDescent="0.3">
      <c r="A1886" s="17"/>
      <c r="B1886"/>
      <c r="C1886"/>
      <c r="D1886"/>
      <c r="E1886"/>
      <c r="F1886"/>
      <c r="G1886"/>
      <c r="H1886"/>
      <c r="I1886"/>
      <c r="J1886"/>
      <c r="K1886"/>
      <c r="L1886"/>
      <c r="M1886"/>
      <c r="S1886" s="54"/>
    </row>
    <row r="1887" spans="1:19" s="15" customFormat="1" x14ac:dyDescent="0.3">
      <c r="A1887" s="17"/>
      <c r="B1887"/>
      <c r="C1887"/>
      <c r="D1887"/>
      <c r="E1887"/>
      <c r="F1887"/>
      <c r="G1887"/>
      <c r="H1887"/>
      <c r="I1887"/>
      <c r="J1887"/>
      <c r="K1887"/>
      <c r="L1887"/>
      <c r="M1887"/>
      <c r="S1887" s="54"/>
    </row>
    <row r="1888" spans="1:19" s="15" customFormat="1" x14ac:dyDescent="0.3">
      <c r="A1888" s="17"/>
      <c r="B1888"/>
      <c r="C1888"/>
      <c r="D1888"/>
      <c r="E1888"/>
      <c r="F1888"/>
      <c r="G1888"/>
      <c r="H1888"/>
      <c r="I1888"/>
      <c r="J1888"/>
      <c r="K1888"/>
      <c r="L1888"/>
      <c r="M1888"/>
      <c r="S1888" s="54"/>
    </row>
    <row r="1889" spans="1:19" s="15" customFormat="1" x14ac:dyDescent="0.3">
      <c r="A1889" s="17"/>
      <c r="B1889"/>
      <c r="C1889"/>
      <c r="D1889"/>
      <c r="E1889"/>
      <c r="F1889"/>
      <c r="G1889"/>
      <c r="H1889"/>
      <c r="I1889"/>
      <c r="J1889"/>
      <c r="K1889"/>
      <c r="L1889"/>
      <c r="M1889"/>
      <c r="S1889" s="54"/>
    </row>
    <row r="1890" spans="1:19" s="15" customFormat="1" x14ac:dyDescent="0.3">
      <c r="A1890" s="17"/>
      <c r="B1890"/>
      <c r="C1890"/>
      <c r="D1890"/>
      <c r="E1890"/>
      <c r="F1890"/>
      <c r="G1890"/>
      <c r="H1890"/>
      <c r="I1890"/>
      <c r="J1890"/>
      <c r="K1890"/>
      <c r="L1890"/>
      <c r="M1890"/>
      <c r="S1890" s="54"/>
    </row>
    <row r="1891" spans="1:19" s="15" customFormat="1" x14ac:dyDescent="0.3">
      <c r="A1891" s="17"/>
      <c r="B1891"/>
      <c r="C1891"/>
      <c r="D1891"/>
      <c r="E1891"/>
      <c r="F1891"/>
      <c r="G1891"/>
      <c r="H1891"/>
      <c r="I1891"/>
      <c r="J1891"/>
      <c r="K1891"/>
      <c r="L1891"/>
      <c r="M1891"/>
      <c r="S1891" s="54"/>
    </row>
    <row r="1892" spans="1:19" s="15" customFormat="1" x14ac:dyDescent="0.3">
      <c r="A1892" s="17"/>
      <c r="B1892"/>
      <c r="C1892"/>
      <c r="D1892"/>
      <c r="E1892"/>
      <c r="F1892"/>
      <c r="G1892"/>
      <c r="H1892"/>
      <c r="I1892"/>
      <c r="J1892"/>
      <c r="K1892"/>
      <c r="L1892"/>
      <c r="M1892"/>
      <c r="S1892" s="54"/>
    </row>
    <row r="1893" spans="1:19" s="15" customFormat="1" x14ac:dyDescent="0.3">
      <c r="A1893" s="17"/>
      <c r="B1893"/>
      <c r="C1893"/>
      <c r="D1893"/>
      <c r="E1893"/>
      <c r="F1893"/>
      <c r="G1893"/>
      <c r="H1893"/>
      <c r="I1893"/>
      <c r="J1893"/>
      <c r="K1893"/>
      <c r="L1893"/>
      <c r="M1893"/>
      <c r="S1893" s="54"/>
    </row>
    <row r="1894" spans="1:19" s="15" customFormat="1" x14ac:dyDescent="0.3">
      <c r="A1894" s="17"/>
      <c r="B1894"/>
      <c r="C1894"/>
      <c r="D1894"/>
      <c r="E1894"/>
      <c r="F1894"/>
      <c r="G1894"/>
      <c r="H1894"/>
      <c r="I1894"/>
      <c r="J1894"/>
      <c r="K1894"/>
      <c r="L1894"/>
      <c r="M1894"/>
      <c r="S1894" s="54"/>
    </row>
    <row r="1895" spans="1:19" s="15" customFormat="1" x14ac:dyDescent="0.3">
      <c r="A1895" s="17"/>
      <c r="B1895"/>
      <c r="C1895"/>
      <c r="D1895"/>
      <c r="E1895"/>
      <c r="F1895"/>
      <c r="G1895"/>
      <c r="H1895"/>
      <c r="I1895"/>
      <c r="J1895"/>
      <c r="K1895"/>
      <c r="L1895"/>
      <c r="M1895"/>
      <c r="S1895" s="54"/>
    </row>
    <row r="1896" spans="1:19" s="15" customFormat="1" x14ac:dyDescent="0.3">
      <c r="A1896" s="17"/>
      <c r="B1896"/>
      <c r="C1896"/>
      <c r="D1896"/>
      <c r="E1896"/>
      <c r="F1896"/>
      <c r="G1896"/>
      <c r="H1896"/>
      <c r="I1896"/>
      <c r="J1896"/>
      <c r="K1896"/>
      <c r="L1896"/>
      <c r="M1896"/>
      <c r="S1896" s="54"/>
    </row>
    <row r="1897" spans="1:19" s="15" customFormat="1" x14ac:dyDescent="0.3">
      <c r="A1897" s="17"/>
      <c r="B1897"/>
      <c r="C1897"/>
      <c r="D1897"/>
      <c r="E1897"/>
      <c r="F1897"/>
      <c r="G1897"/>
      <c r="H1897"/>
      <c r="I1897"/>
      <c r="J1897"/>
      <c r="K1897"/>
      <c r="L1897"/>
      <c r="M1897"/>
      <c r="S1897" s="54"/>
    </row>
    <row r="1898" spans="1:19" s="15" customFormat="1" x14ac:dyDescent="0.3">
      <c r="A1898" s="17"/>
      <c r="B1898"/>
      <c r="C1898"/>
      <c r="D1898"/>
      <c r="E1898"/>
      <c r="F1898"/>
      <c r="G1898"/>
      <c r="H1898"/>
      <c r="I1898"/>
      <c r="J1898"/>
      <c r="K1898"/>
      <c r="L1898"/>
      <c r="M1898"/>
      <c r="S1898" s="54"/>
    </row>
    <row r="1899" spans="1:19" s="15" customFormat="1" x14ac:dyDescent="0.3">
      <c r="A1899" s="17"/>
      <c r="B1899"/>
      <c r="C1899"/>
      <c r="D1899"/>
      <c r="E1899"/>
      <c r="F1899"/>
      <c r="G1899"/>
      <c r="H1899"/>
      <c r="I1899"/>
      <c r="J1899"/>
      <c r="K1899"/>
      <c r="L1899"/>
      <c r="M1899"/>
      <c r="S1899" s="54"/>
    </row>
    <row r="1900" spans="1:19" s="15" customFormat="1" x14ac:dyDescent="0.3">
      <c r="A1900" s="17"/>
      <c r="B1900"/>
      <c r="C1900"/>
      <c r="D1900"/>
      <c r="E1900"/>
      <c r="F1900"/>
      <c r="G1900"/>
      <c r="H1900"/>
      <c r="I1900"/>
      <c r="J1900"/>
      <c r="K1900"/>
      <c r="L1900"/>
      <c r="M1900"/>
      <c r="S1900" s="54"/>
    </row>
    <row r="1901" spans="1:19" s="15" customFormat="1" x14ac:dyDescent="0.3">
      <c r="A1901" s="17"/>
      <c r="B1901"/>
      <c r="C1901"/>
      <c r="D1901"/>
      <c r="E1901"/>
      <c r="F1901"/>
      <c r="G1901"/>
      <c r="H1901"/>
      <c r="I1901"/>
      <c r="J1901"/>
      <c r="K1901"/>
      <c r="L1901"/>
      <c r="M1901"/>
      <c r="S1901" s="54"/>
    </row>
    <row r="1902" spans="1:19" s="15" customFormat="1" x14ac:dyDescent="0.3">
      <c r="A1902" s="17"/>
      <c r="B1902"/>
      <c r="C1902"/>
      <c r="D1902"/>
      <c r="E1902"/>
      <c r="F1902"/>
      <c r="G1902"/>
      <c r="H1902"/>
      <c r="I1902"/>
      <c r="J1902"/>
      <c r="K1902"/>
      <c r="L1902"/>
      <c r="M1902"/>
      <c r="S1902" s="54"/>
    </row>
    <row r="1903" spans="1:19" s="15" customFormat="1" x14ac:dyDescent="0.3">
      <c r="A1903" s="17"/>
      <c r="B1903"/>
      <c r="C1903"/>
      <c r="D1903"/>
      <c r="E1903"/>
      <c r="F1903"/>
      <c r="G1903"/>
      <c r="H1903"/>
      <c r="I1903"/>
      <c r="J1903"/>
      <c r="K1903"/>
      <c r="L1903"/>
      <c r="M1903"/>
      <c r="S1903" s="54"/>
    </row>
    <row r="1904" spans="1:19" s="15" customFormat="1" x14ac:dyDescent="0.3">
      <c r="A1904" s="17"/>
      <c r="B1904"/>
      <c r="C1904"/>
      <c r="D1904"/>
      <c r="E1904"/>
      <c r="F1904"/>
      <c r="G1904"/>
      <c r="H1904"/>
      <c r="I1904"/>
      <c r="J1904"/>
      <c r="K1904"/>
      <c r="L1904"/>
      <c r="M1904"/>
      <c r="S1904" s="54"/>
    </row>
    <row r="1905" spans="1:19" s="15" customFormat="1" x14ac:dyDescent="0.3">
      <c r="A1905" s="17"/>
      <c r="B1905"/>
      <c r="C1905"/>
      <c r="D1905"/>
      <c r="E1905"/>
      <c r="F1905"/>
      <c r="G1905"/>
      <c r="H1905"/>
      <c r="I1905"/>
      <c r="J1905"/>
      <c r="K1905"/>
      <c r="L1905"/>
      <c r="M1905"/>
      <c r="S1905" s="54"/>
    </row>
    <row r="1906" spans="1:19" s="15" customFormat="1" x14ac:dyDescent="0.3">
      <c r="A1906" s="17"/>
      <c r="B1906"/>
      <c r="C1906"/>
      <c r="D1906"/>
      <c r="E1906"/>
      <c r="F1906"/>
      <c r="G1906"/>
      <c r="H1906"/>
      <c r="I1906"/>
      <c r="J1906"/>
      <c r="K1906"/>
      <c r="L1906"/>
      <c r="M1906"/>
      <c r="S1906" s="54"/>
    </row>
    <row r="1907" spans="1:19" s="15" customFormat="1" x14ac:dyDescent="0.3">
      <c r="A1907" s="17"/>
      <c r="B1907"/>
      <c r="C1907"/>
      <c r="D1907"/>
      <c r="E1907"/>
      <c r="F1907"/>
      <c r="G1907"/>
      <c r="H1907"/>
      <c r="I1907"/>
      <c r="J1907"/>
      <c r="K1907"/>
      <c r="L1907"/>
      <c r="M1907"/>
      <c r="S1907" s="54"/>
    </row>
    <row r="1908" spans="1:19" s="15" customFormat="1" x14ac:dyDescent="0.3">
      <c r="A1908" s="17"/>
      <c r="B1908"/>
      <c r="C1908"/>
      <c r="D1908"/>
      <c r="E1908"/>
      <c r="F1908"/>
      <c r="G1908"/>
      <c r="H1908"/>
      <c r="I1908"/>
      <c r="J1908"/>
      <c r="K1908"/>
      <c r="L1908"/>
      <c r="M1908"/>
      <c r="S1908" s="54"/>
    </row>
    <row r="1909" spans="1:19" s="15" customFormat="1" x14ac:dyDescent="0.3">
      <c r="A1909" s="17"/>
      <c r="B1909"/>
      <c r="C1909"/>
      <c r="D1909"/>
      <c r="E1909"/>
      <c r="F1909"/>
      <c r="G1909"/>
      <c r="H1909"/>
      <c r="I1909"/>
      <c r="J1909"/>
      <c r="K1909"/>
      <c r="L1909"/>
      <c r="M1909"/>
      <c r="S1909" s="54"/>
    </row>
    <row r="1910" spans="1:19" s="15" customFormat="1" x14ac:dyDescent="0.3">
      <c r="A1910" s="17"/>
      <c r="B1910"/>
      <c r="C1910"/>
      <c r="D1910"/>
      <c r="E1910"/>
      <c r="F1910"/>
      <c r="G1910"/>
      <c r="H1910"/>
      <c r="I1910"/>
      <c r="J1910"/>
      <c r="K1910"/>
      <c r="L1910"/>
      <c r="M1910"/>
      <c r="S1910" s="54"/>
    </row>
    <row r="1911" spans="1:19" s="15" customFormat="1" x14ac:dyDescent="0.3">
      <c r="A1911" s="17"/>
      <c r="B1911"/>
      <c r="C1911"/>
      <c r="D1911"/>
      <c r="E1911"/>
      <c r="F1911"/>
      <c r="G1911"/>
      <c r="H1911"/>
      <c r="I1911"/>
      <c r="J1911"/>
      <c r="K1911"/>
      <c r="L1911"/>
      <c r="M1911"/>
      <c r="S1911" s="54"/>
    </row>
    <row r="1912" spans="1:19" s="15" customFormat="1" x14ac:dyDescent="0.3">
      <c r="A1912" s="17"/>
      <c r="B1912"/>
      <c r="C1912"/>
      <c r="D1912"/>
      <c r="E1912"/>
      <c r="F1912"/>
      <c r="G1912"/>
      <c r="H1912"/>
      <c r="I1912"/>
      <c r="J1912"/>
      <c r="K1912"/>
      <c r="L1912"/>
      <c r="M1912"/>
      <c r="S1912" s="54"/>
    </row>
    <row r="1913" spans="1:19" s="15" customFormat="1" x14ac:dyDescent="0.3">
      <c r="A1913" s="17"/>
      <c r="B1913"/>
      <c r="C1913"/>
      <c r="D1913"/>
      <c r="E1913"/>
      <c r="F1913"/>
      <c r="G1913"/>
      <c r="H1913"/>
      <c r="I1913"/>
      <c r="J1913"/>
      <c r="K1913"/>
      <c r="L1913"/>
      <c r="M1913"/>
      <c r="S1913" s="54"/>
    </row>
    <row r="1914" spans="1:19" s="15" customFormat="1" x14ac:dyDescent="0.3">
      <c r="A1914" s="17"/>
      <c r="B1914"/>
      <c r="C1914"/>
      <c r="D1914"/>
      <c r="E1914"/>
      <c r="F1914"/>
      <c r="G1914"/>
      <c r="H1914"/>
      <c r="I1914"/>
      <c r="J1914"/>
      <c r="K1914"/>
      <c r="L1914"/>
      <c r="M1914"/>
      <c r="S1914" s="54"/>
    </row>
    <row r="1915" spans="1:19" s="15" customFormat="1" x14ac:dyDescent="0.3">
      <c r="A1915" s="17"/>
      <c r="B1915"/>
      <c r="C1915"/>
      <c r="D1915"/>
      <c r="E1915"/>
      <c r="F1915"/>
      <c r="G1915"/>
      <c r="H1915"/>
      <c r="I1915"/>
      <c r="J1915"/>
      <c r="K1915"/>
      <c r="L1915"/>
      <c r="M1915"/>
      <c r="S1915" s="54"/>
    </row>
    <row r="1916" spans="1:19" s="15" customFormat="1" x14ac:dyDescent="0.3">
      <c r="A1916" s="17"/>
      <c r="B1916"/>
      <c r="C1916"/>
      <c r="D1916"/>
      <c r="E1916"/>
      <c r="F1916"/>
      <c r="G1916"/>
      <c r="H1916"/>
      <c r="I1916"/>
      <c r="J1916"/>
      <c r="K1916"/>
      <c r="L1916"/>
      <c r="M1916"/>
      <c r="S1916" s="54"/>
    </row>
    <row r="1917" spans="1:19" s="15" customFormat="1" x14ac:dyDescent="0.3">
      <c r="A1917" s="17"/>
      <c r="B1917"/>
      <c r="C1917"/>
      <c r="D1917"/>
      <c r="E1917"/>
      <c r="F1917"/>
      <c r="G1917"/>
      <c r="H1917"/>
      <c r="I1917"/>
      <c r="J1917"/>
      <c r="K1917"/>
      <c r="L1917"/>
      <c r="M1917"/>
      <c r="S1917" s="54"/>
    </row>
    <row r="1918" spans="1:19" s="15" customFormat="1" x14ac:dyDescent="0.3">
      <c r="A1918" s="17"/>
      <c r="B1918"/>
      <c r="C1918"/>
      <c r="D1918"/>
      <c r="E1918"/>
      <c r="F1918"/>
      <c r="G1918"/>
      <c r="H1918"/>
      <c r="I1918"/>
      <c r="J1918"/>
      <c r="K1918"/>
      <c r="L1918"/>
      <c r="M1918"/>
      <c r="S1918" s="54"/>
    </row>
    <row r="1919" spans="1:19" s="15" customFormat="1" x14ac:dyDescent="0.3">
      <c r="A1919" s="17"/>
      <c r="B1919"/>
      <c r="C1919"/>
      <c r="D1919"/>
      <c r="E1919"/>
      <c r="F1919"/>
      <c r="G1919"/>
      <c r="H1919"/>
      <c r="I1919"/>
      <c r="J1919"/>
      <c r="K1919"/>
      <c r="L1919"/>
      <c r="M1919"/>
      <c r="S1919" s="54"/>
    </row>
    <row r="1920" spans="1:19" s="15" customFormat="1" x14ac:dyDescent="0.3">
      <c r="A1920" s="17"/>
      <c r="B1920"/>
      <c r="C1920"/>
      <c r="D1920"/>
      <c r="E1920"/>
      <c r="F1920"/>
      <c r="G1920"/>
      <c r="H1920"/>
      <c r="I1920"/>
      <c r="J1920"/>
      <c r="K1920"/>
      <c r="L1920"/>
      <c r="M1920"/>
      <c r="S1920" s="54"/>
    </row>
    <row r="1921" spans="1:19" s="15" customFormat="1" x14ac:dyDescent="0.3">
      <c r="A1921" s="17"/>
      <c r="B1921"/>
      <c r="C1921"/>
      <c r="D1921"/>
      <c r="E1921"/>
      <c r="F1921"/>
      <c r="G1921"/>
      <c r="H1921"/>
      <c r="I1921"/>
      <c r="J1921"/>
      <c r="K1921"/>
      <c r="L1921"/>
      <c r="M1921"/>
      <c r="S1921" s="54"/>
    </row>
    <row r="1922" spans="1:19" s="15" customFormat="1" x14ac:dyDescent="0.3">
      <c r="A1922" s="17"/>
      <c r="B1922"/>
      <c r="C1922"/>
      <c r="D1922"/>
      <c r="E1922"/>
      <c r="F1922"/>
      <c r="G1922"/>
      <c r="H1922"/>
      <c r="I1922"/>
      <c r="J1922"/>
      <c r="K1922"/>
      <c r="L1922"/>
      <c r="M1922"/>
      <c r="S1922" s="54"/>
    </row>
    <row r="1923" spans="1:19" s="15" customFormat="1" x14ac:dyDescent="0.3">
      <c r="A1923" s="17"/>
      <c r="B1923"/>
      <c r="C1923"/>
      <c r="D1923"/>
      <c r="E1923"/>
      <c r="F1923"/>
      <c r="G1923"/>
      <c r="H1923"/>
      <c r="I1923"/>
      <c r="J1923"/>
      <c r="K1923"/>
      <c r="L1923"/>
      <c r="M1923"/>
      <c r="S1923" s="54"/>
    </row>
    <row r="1924" spans="1:19" s="15" customFormat="1" x14ac:dyDescent="0.3">
      <c r="A1924" s="17"/>
      <c r="B1924"/>
      <c r="C1924"/>
      <c r="D1924"/>
      <c r="E1924"/>
      <c r="F1924"/>
      <c r="G1924"/>
      <c r="H1924"/>
      <c r="I1924"/>
      <c r="J1924"/>
      <c r="K1924"/>
      <c r="L1924"/>
      <c r="M1924"/>
      <c r="S1924" s="54"/>
    </row>
    <row r="1925" spans="1:19" s="15" customFormat="1" x14ac:dyDescent="0.3">
      <c r="A1925" s="17"/>
      <c r="B1925"/>
      <c r="C1925"/>
      <c r="D1925"/>
      <c r="E1925"/>
      <c r="F1925"/>
      <c r="G1925"/>
      <c r="H1925"/>
      <c r="I1925"/>
      <c r="J1925"/>
      <c r="K1925"/>
      <c r="L1925"/>
      <c r="M1925"/>
      <c r="S1925" s="54"/>
    </row>
    <row r="1926" spans="1:19" s="15" customFormat="1" x14ac:dyDescent="0.3">
      <c r="A1926" s="17"/>
      <c r="B1926"/>
      <c r="C1926"/>
      <c r="D1926"/>
      <c r="E1926"/>
      <c r="F1926"/>
      <c r="G1926"/>
      <c r="H1926"/>
      <c r="I1926"/>
      <c r="J1926"/>
      <c r="K1926"/>
      <c r="L1926"/>
      <c r="M1926"/>
      <c r="S1926" s="54"/>
    </row>
    <row r="1927" spans="1:19" s="15" customFormat="1" x14ac:dyDescent="0.3">
      <c r="A1927" s="17"/>
      <c r="B1927"/>
      <c r="C1927"/>
      <c r="D1927"/>
      <c r="E1927"/>
      <c r="F1927"/>
      <c r="G1927"/>
      <c r="H1927"/>
      <c r="I1927"/>
      <c r="J1927"/>
      <c r="K1927"/>
      <c r="L1927"/>
      <c r="M1927"/>
      <c r="S1927" s="54"/>
    </row>
    <row r="1928" spans="1:19" s="15" customFormat="1" x14ac:dyDescent="0.3">
      <c r="A1928" s="17"/>
      <c r="B1928"/>
      <c r="C1928"/>
      <c r="D1928"/>
      <c r="E1928"/>
      <c r="F1928"/>
      <c r="G1928"/>
      <c r="H1928"/>
      <c r="I1928"/>
      <c r="J1928"/>
      <c r="K1928"/>
      <c r="L1928"/>
      <c r="M1928"/>
      <c r="S1928" s="54"/>
    </row>
    <row r="1929" spans="1:19" s="15" customFormat="1" x14ac:dyDescent="0.3">
      <c r="A1929" s="17"/>
      <c r="B1929"/>
      <c r="C1929"/>
      <c r="D1929"/>
      <c r="E1929"/>
      <c r="F1929"/>
      <c r="G1929"/>
      <c r="H1929"/>
      <c r="I1929"/>
      <c r="J1929"/>
      <c r="K1929"/>
      <c r="L1929"/>
      <c r="M1929"/>
      <c r="S1929" s="54"/>
    </row>
    <row r="1930" spans="1:19" s="15" customFormat="1" x14ac:dyDescent="0.3">
      <c r="A1930" s="17"/>
      <c r="B1930"/>
      <c r="C1930"/>
      <c r="D1930"/>
      <c r="E1930"/>
      <c r="F1930"/>
      <c r="G1930"/>
      <c r="H1930"/>
      <c r="I1930"/>
      <c r="J1930"/>
      <c r="K1930"/>
      <c r="L1930"/>
      <c r="M1930"/>
      <c r="S1930" s="54"/>
    </row>
    <row r="1931" spans="1:19" s="15" customFormat="1" x14ac:dyDescent="0.3">
      <c r="A1931" s="17"/>
      <c r="B1931"/>
      <c r="C1931"/>
      <c r="D1931"/>
      <c r="E1931"/>
      <c r="F1931"/>
      <c r="G1931"/>
      <c r="H1931"/>
      <c r="I1931"/>
      <c r="J1931"/>
      <c r="K1931"/>
      <c r="L1931"/>
      <c r="M1931"/>
      <c r="S1931" s="54"/>
    </row>
    <row r="1932" spans="1:19" s="15" customFormat="1" x14ac:dyDescent="0.3">
      <c r="A1932" s="17"/>
      <c r="B1932"/>
      <c r="C1932"/>
      <c r="D1932"/>
      <c r="E1932"/>
      <c r="F1932"/>
      <c r="G1932"/>
      <c r="H1932"/>
      <c r="I1932"/>
      <c r="J1932"/>
      <c r="K1932"/>
      <c r="L1932"/>
      <c r="M1932"/>
      <c r="S1932" s="54"/>
    </row>
    <row r="1933" spans="1:19" s="15" customFormat="1" x14ac:dyDescent="0.3">
      <c r="A1933" s="17"/>
      <c r="B1933"/>
      <c r="C1933"/>
      <c r="D1933"/>
      <c r="E1933"/>
      <c r="F1933"/>
      <c r="G1933"/>
      <c r="H1933"/>
      <c r="I1933"/>
      <c r="J1933"/>
      <c r="K1933"/>
      <c r="L1933"/>
      <c r="M1933"/>
      <c r="S1933" s="54"/>
    </row>
    <row r="1934" spans="1:19" s="15" customFormat="1" x14ac:dyDescent="0.3">
      <c r="A1934" s="17"/>
      <c r="B1934"/>
      <c r="C1934"/>
      <c r="D1934"/>
      <c r="E1934"/>
      <c r="F1934"/>
      <c r="G1934"/>
      <c r="H1934"/>
      <c r="I1934"/>
      <c r="J1934"/>
      <c r="K1934"/>
      <c r="L1934"/>
      <c r="M1934"/>
      <c r="S1934" s="54"/>
    </row>
    <row r="1935" spans="1:19" s="15" customFormat="1" x14ac:dyDescent="0.3">
      <c r="A1935" s="17"/>
      <c r="B1935"/>
      <c r="C1935"/>
      <c r="D1935"/>
      <c r="E1935"/>
      <c r="F1935"/>
      <c r="G1935"/>
      <c r="H1935"/>
      <c r="I1935"/>
      <c r="J1935"/>
      <c r="K1935"/>
      <c r="L1935"/>
      <c r="M1935"/>
      <c r="S1935" s="54"/>
    </row>
    <row r="1936" spans="1:19" s="15" customFormat="1" x14ac:dyDescent="0.3">
      <c r="A1936" s="17"/>
      <c r="B1936"/>
      <c r="C1936"/>
      <c r="D1936"/>
      <c r="E1936"/>
      <c r="F1936"/>
      <c r="G1936"/>
      <c r="H1936"/>
      <c r="I1936"/>
      <c r="J1936"/>
      <c r="K1936"/>
      <c r="L1936"/>
      <c r="M1936"/>
      <c r="S1936" s="54"/>
    </row>
    <row r="1937" spans="1:19" s="15" customFormat="1" x14ac:dyDescent="0.3">
      <c r="A1937" s="17"/>
      <c r="B1937"/>
      <c r="C1937"/>
      <c r="D1937"/>
      <c r="E1937"/>
      <c r="F1937"/>
      <c r="G1937"/>
      <c r="H1937"/>
      <c r="I1937"/>
      <c r="J1937"/>
      <c r="K1937"/>
      <c r="L1937"/>
      <c r="M1937"/>
      <c r="S1937" s="54"/>
    </row>
    <row r="1938" spans="1:19" s="15" customFormat="1" x14ac:dyDescent="0.3">
      <c r="A1938" s="17"/>
      <c r="B1938"/>
      <c r="C1938"/>
      <c r="D1938"/>
      <c r="E1938"/>
      <c r="F1938"/>
      <c r="G1938"/>
      <c r="H1938"/>
      <c r="I1938"/>
      <c r="J1938"/>
      <c r="K1938"/>
      <c r="L1938"/>
      <c r="M1938"/>
      <c r="S1938" s="54"/>
    </row>
    <row r="1939" spans="1:19" s="15" customFormat="1" x14ac:dyDescent="0.3">
      <c r="A1939" s="17"/>
      <c r="B1939"/>
      <c r="C1939"/>
      <c r="D1939"/>
      <c r="E1939"/>
      <c r="F1939"/>
      <c r="G1939"/>
      <c r="H1939"/>
      <c r="I1939"/>
      <c r="J1939"/>
      <c r="K1939"/>
      <c r="L1939"/>
      <c r="M1939"/>
      <c r="S1939" s="54"/>
    </row>
    <row r="1940" spans="1:19" s="15" customFormat="1" x14ac:dyDescent="0.3">
      <c r="A1940" s="17"/>
      <c r="B1940"/>
      <c r="C1940"/>
      <c r="D1940"/>
      <c r="E1940"/>
      <c r="F1940"/>
      <c r="G1940"/>
      <c r="H1940"/>
      <c r="I1940"/>
      <c r="J1940"/>
      <c r="K1940"/>
      <c r="L1940"/>
      <c r="M1940"/>
      <c r="S1940" s="54"/>
    </row>
    <row r="1941" spans="1:19" s="15" customFormat="1" x14ac:dyDescent="0.3">
      <c r="A1941" s="17"/>
      <c r="B1941"/>
      <c r="C1941"/>
      <c r="D1941"/>
      <c r="E1941"/>
      <c r="F1941"/>
      <c r="G1941"/>
      <c r="H1941"/>
      <c r="I1941"/>
      <c r="J1941"/>
      <c r="K1941"/>
      <c r="L1941"/>
      <c r="M1941"/>
      <c r="S1941" s="54"/>
    </row>
    <row r="1942" spans="1:19" s="15" customFormat="1" x14ac:dyDescent="0.3">
      <c r="A1942" s="17"/>
      <c r="B1942"/>
      <c r="C1942"/>
      <c r="D1942"/>
      <c r="E1942"/>
      <c r="F1942"/>
      <c r="G1942"/>
      <c r="H1942"/>
      <c r="I1942"/>
      <c r="J1942"/>
      <c r="K1942"/>
      <c r="L1942"/>
      <c r="M1942"/>
      <c r="S1942" s="54"/>
    </row>
    <row r="1943" spans="1:19" s="15" customFormat="1" x14ac:dyDescent="0.3">
      <c r="A1943" s="17"/>
      <c r="B1943"/>
      <c r="C1943"/>
      <c r="D1943"/>
      <c r="E1943"/>
      <c r="F1943"/>
      <c r="G1943"/>
      <c r="H1943"/>
      <c r="I1943"/>
      <c r="J1943"/>
      <c r="K1943"/>
      <c r="L1943"/>
      <c r="M1943"/>
      <c r="S1943" s="54"/>
    </row>
    <row r="1944" spans="1:19" s="15" customFormat="1" x14ac:dyDescent="0.3">
      <c r="A1944" s="17"/>
      <c r="B1944"/>
      <c r="C1944"/>
      <c r="D1944"/>
      <c r="E1944"/>
      <c r="F1944"/>
      <c r="G1944"/>
      <c r="H1944"/>
      <c r="I1944"/>
      <c r="J1944"/>
      <c r="K1944"/>
      <c r="L1944"/>
      <c r="M1944"/>
      <c r="S1944" s="54"/>
    </row>
    <row r="1945" spans="1:19" s="15" customFormat="1" x14ac:dyDescent="0.3">
      <c r="A1945" s="17"/>
      <c r="B1945"/>
      <c r="C1945"/>
      <c r="D1945"/>
      <c r="E1945"/>
      <c r="F1945"/>
      <c r="G1945"/>
      <c r="H1945"/>
      <c r="I1945"/>
      <c r="J1945"/>
      <c r="K1945"/>
      <c r="L1945"/>
      <c r="M1945"/>
      <c r="S1945" s="54"/>
    </row>
    <row r="1946" spans="1:19" s="15" customFormat="1" x14ac:dyDescent="0.3">
      <c r="A1946" s="17"/>
      <c r="B1946"/>
      <c r="C1946"/>
      <c r="D1946"/>
      <c r="E1946"/>
      <c r="F1946"/>
      <c r="G1946"/>
      <c r="H1946"/>
      <c r="I1946"/>
      <c r="J1946"/>
      <c r="K1946"/>
      <c r="L1946"/>
      <c r="M1946"/>
      <c r="S1946" s="54"/>
    </row>
    <row r="1947" spans="1:19" s="15" customFormat="1" x14ac:dyDescent="0.3">
      <c r="A1947" s="17"/>
      <c r="B1947"/>
      <c r="C1947"/>
      <c r="D1947"/>
      <c r="E1947"/>
      <c r="F1947"/>
      <c r="G1947"/>
      <c r="H1947"/>
      <c r="I1947"/>
      <c r="J1947"/>
      <c r="K1947"/>
      <c r="L1947"/>
      <c r="M1947"/>
      <c r="S1947" s="54"/>
    </row>
    <row r="1948" spans="1:19" s="15" customFormat="1" x14ac:dyDescent="0.3">
      <c r="A1948" s="17"/>
      <c r="B1948"/>
      <c r="C1948"/>
      <c r="D1948"/>
      <c r="E1948"/>
      <c r="F1948"/>
      <c r="G1948"/>
      <c r="H1948"/>
      <c r="I1948"/>
      <c r="J1948"/>
      <c r="K1948"/>
      <c r="L1948"/>
      <c r="M1948"/>
      <c r="S1948" s="54"/>
    </row>
    <row r="1949" spans="1:19" s="15" customFormat="1" x14ac:dyDescent="0.3">
      <c r="A1949" s="17"/>
      <c r="B1949"/>
      <c r="C1949"/>
      <c r="D1949"/>
      <c r="E1949"/>
      <c r="F1949"/>
      <c r="G1949"/>
      <c r="H1949"/>
      <c r="I1949"/>
      <c r="J1949"/>
      <c r="K1949"/>
      <c r="L1949"/>
      <c r="M1949"/>
      <c r="S1949" s="54"/>
    </row>
    <row r="1950" spans="1:19" s="15" customFormat="1" x14ac:dyDescent="0.3">
      <c r="A1950" s="17"/>
      <c r="B1950"/>
      <c r="C1950"/>
      <c r="D1950"/>
      <c r="E1950"/>
      <c r="F1950"/>
      <c r="G1950"/>
      <c r="H1950"/>
      <c r="I1950"/>
      <c r="J1950"/>
      <c r="K1950"/>
      <c r="L1950"/>
      <c r="M1950"/>
      <c r="S1950" s="54"/>
    </row>
    <row r="1951" spans="1:19" s="15" customFormat="1" x14ac:dyDescent="0.3">
      <c r="A1951" s="17"/>
      <c r="B1951"/>
      <c r="C1951"/>
      <c r="D1951"/>
      <c r="E1951"/>
      <c r="F1951"/>
      <c r="G1951"/>
      <c r="H1951"/>
      <c r="I1951"/>
      <c r="J1951"/>
      <c r="K1951"/>
      <c r="L1951"/>
      <c r="M1951"/>
      <c r="S1951" s="54"/>
    </row>
    <row r="1952" spans="1:19" s="15" customFormat="1" x14ac:dyDescent="0.3">
      <c r="A1952" s="17"/>
      <c r="B1952"/>
      <c r="C1952"/>
      <c r="D1952"/>
      <c r="E1952"/>
      <c r="F1952"/>
      <c r="G1952"/>
      <c r="H1952"/>
      <c r="I1952"/>
      <c r="J1952"/>
      <c r="K1952"/>
      <c r="L1952"/>
      <c r="M1952"/>
      <c r="S1952" s="54"/>
    </row>
    <row r="1953" spans="1:19" s="15" customFormat="1" x14ac:dyDescent="0.3">
      <c r="A1953" s="17"/>
      <c r="B1953"/>
      <c r="C1953"/>
      <c r="D1953"/>
      <c r="E1953"/>
      <c r="F1953"/>
      <c r="G1953"/>
      <c r="H1953"/>
      <c r="I1953"/>
      <c r="J1953"/>
      <c r="K1953"/>
      <c r="L1953"/>
      <c r="M1953"/>
      <c r="S1953" s="54"/>
    </row>
    <row r="1954" spans="1:19" s="15" customFormat="1" x14ac:dyDescent="0.3">
      <c r="A1954" s="17"/>
      <c r="B1954"/>
      <c r="C1954"/>
      <c r="D1954"/>
      <c r="E1954"/>
      <c r="F1954"/>
      <c r="G1954"/>
      <c r="H1954"/>
      <c r="I1954"/>
      <c r="J1954"/>
      <c r="K1954"/>
      <c r="L1954"/>
      <c r="M1954"/>
      <c r="S1954" s="54"/>
    </row>
    <row r="1955" spans="1:19" s="15" customFormat="1" x14ac:dyDescent="0.3">
      <c r="A1955" s="17"/>
      <c r="B1955"/>
      <c r="C1955"/>
      <c r="D1955"/>
      <c r="E1955"/>
      <c r="F1955"/>
      <c r="G1955"/>
      <c r="H1955"/>
      <c r="I1955"/>
      <c r="J1955"/>
      <c r="K1955"/>
      <c r="L1955"/>
      <c r="M1955"/>
      <c r="S1955" s="54"/>
    </row>
    <row r="1956" spans="1:19" s="15" customFormat="1" x14ac:dyDescent="0.3">
      <c r="A1956" s="17"/>
      <c r="B1956"/>
      <c r="C1956"/>
      <c r="D1956"/>
      <c r="E1956"/>
      <c r="F1956"/>
      <c r="G1956"/>
      <c r="H1956"/>
      <c r="I1956"/>
      <c r="J1956"/>
      <c r="K1956"/>
      <c r="L1956"/>
      <c r="M1956"/>
      <c r="S1956" s="54"/>
    </row>
    <row r="1957" spans="1:19" s="15" customFormat="1" x14ac:dyDescent="0.3">
      <c r="A1957" s="17"/>
      <c r="B1957"/>
      <c r="C1957"/>
      <c r="D1957"/>
      <c r="E1957"/>
      <c r="F1957"/>
      <c r="G1957"/>
      <c r="H1957"/>
      <c r="I1957"/>
      <c r="J1957"/>
      <c r="K1957"/>
      <c r="L1957"/>
      <c r="M1957"/>
      <c r="S1957" s="54"/>
    </row>
    <row r="1958" spans="1:19" s="15" customFormat="1" x14ac:dyDescent="0.3">
      <c r="A1958" s="17"/>
      <c r="B1958"/>
      <c r="C1958"/>
      <c r="D1958"/>
      <c r="E1958"/>
      <c r="F1958"/>
      <c r="G1958"/>
      <c r="H1958"/>
      <c r="I1958"/>
      <c r="J1958"/>
      <c r="K1958"/>
      <c r="L1958"/>
      <c r="M1958"/>
      <c r="S1958" s="54"/>
    </row>
    <row r="1959" spans="1:19" s="15" customFormat="1" x14ac:dyDescent="0.3">
      <c r="A1959" s="17"/>
      <c r="B1959"/>
      <c r="C1959"/>
      <c r="D1959"/>
      <c r="E1959"/>
      <c r="F1959"/>
      <c r="G1959"/>
      <c r="H1959"/>
      <c r="I1959"/>
      <c r="J1959"/>
      <c r="K1959"/>
      <c r="L1959"/>
      <c r="M1959"/>
      <c r="S1959" s="54"/>
    </row>
    <row r="1960" spans="1:19" s="15" customFormat="1" x14ac:dyDescent="0.3">
      <c r="A1960" s="17"/>
      <c r="B1960"/>
      <c r="C1960"/>
      <c r="D1960"/>
      <c r="E1960"/>
      <c r="F1960"/>
      <c r="G1960"/>
      <c r="H1960"/>
      <c r="I1960"/>
      <c r="J1960"/>
      <c r="K1960"/>
      <c r="L1960"/>
      <c r="M1960"/>
      <c r="S1960" s="54"/>
    </row>
    <row r="1961" spans="1:19" s="15" customFormat="1" x14ac:dyDescent="0.3">
      <c r="A1961" s="17"/>
      <c r="B1961"/>
      <c r="C1961"/>
      <c r="D1961"/>
      <c r="E1961"/>
      <c r="F1961"/>
      <c r="G1961"/>
      <c r="H1961"/>
      <c r="I1961"/>
      <c r="J1961"/>
      <c r="K1961"/>
      <c r="L1961"/>
      <c r="M1961"/>
      <c r="S1961" s="54"/>
    </row>
    <row r="1962" spans="1:19" s="15" customFormat="1" x14ac:dyDescent="0.3">
      <c r="A1962" s="17"/>
      <c r="B1962"/>
      <c r="C1962"/>
      <c r="D1962"/>
      <c r="E1962"/>
      <c r="F1962"/>
      <c r="G1962"/>
      <c r="H1962"/>
      <c r="I1962"/>
      <c r="J1962"/>
      <c r="K1962"/>
      <c r="L1962"/>
      <c r="M1962"/>
      <c r="S1962" s="54"/>
    </row>
    <row r="1963" spans="1:19" s="15" customFormat="1" x14ac:dyDescent="0.3">
      <c r="A1963" s="17"/>
      <c r="B1963"/>
      <c r="C1963"/>
      <c r="D1963"/>
      <c r="E1963"/>
      <c r="F1963"/>
      <c r="G1963"/>
      <c r="H1963"/>
      <c r="I1963"/>
      <c r="J1963"/>
      <c r="K1963"/>
      <c r="L1963"/>
      <c r="M1963"/>
      <c r="S1963" s="54"/>
    </row>
    <row r="1964" spans="1:19" s="15" customFormat="1" x14ac:dyDescent="0.3">
      <c r="A1964" s="17"/>
      <c r="B1964"/>
      <c r="C1964"/>
      <c r="D1964"/>
      <c r="E1964"/>
      <c r="F1964"/>
      <c r="G1964"/>
      <c r="H1964"/>
      <c r="I1964"/>
      <c r="J1964"/>
      <c r="K1964"/>
      <c r="L1964"/>
      <c r="M1964"/>
      <c r="S1964" s="54"/>
    </row>
    <row r="1965" spans="1:19" s="15" customFormat="1" x14ac:dyDescent="0.3">
      <c r="A1965" s="17"/>
      <c r="B1965"/>
      <c r="C1965"/>
      <c r="D1965"/>
      <c r="E1965"/>
      <c r="F1965"/>
      <c r="G1965"/>
      <c r="H1965"/>
      <c r="I1965"/>
      <c r="J1965"/>
      <c r="K1965"/>
      <c r="L1965"/>
      <c r="M1965"/>
      <c r="S1965" s="54"/>
    </row>
    <row r="1966" spans="1:19" s="15" customFormat="1" x14ac:dyDescent="0.3">
      <c r="A1966" s="17"/>
      <c r="B1966"/>
      <c r="C1966"/>
      <c r="D1966"/>
      <c r="E1966"/>
      <c r="F1966"/>
      <c r="G1966"/>
      <c r="H1966"/>
      <c r="I1966"/>
      <c r="J1966"/>
      <c r="K1966"/>
      <c r="L1966"/>
      <c r="M1966"/>
      <c r="S1966" s="54"/>
    </row>
    <row r="1967" spans="1:19" s="15" customFormat="1" x14ac:dyDescent="0.3">
      <c r="A1967" s="17"/>
      <c r="B1967"/>
      <c r="C1967"/>
      <c r="D1967"/>
      <c r="E1967"/>
      <c r="F1967"/>
      <c r="G1967"/>
      <c r="H1967"/>
      <c r="I1967"/>
      <c r="J1967"/>
      <c r="K1967"/>
      <c r="L1967"/>
      <c r="M1967"/>
      <c r="S1967" s="54"/>
    </row>
    <row r="1968" spans="1:19" s="15" customFormat="1" x14ac:dyDescent="0.3">
      <c r="A1968" s="17"/>
      <c r="B1968"/>
      <c r="C1968"/>
      <c r="D1968"/>
      <c r="E1968"/>
      <c r="F1968"/>
      <c r="G1968"/>
      <c r="H1968"/>
      <c r="I1968"/>
      <c r="J1968"/>
      <c r="K1968"/>
      <c r="L1968"/>
      <c r="M1968"/>
      <c r="S1968" s="54"/>
    </row>
    <row r="1969" spans="1:19" s="15" customFormat="1" x14ac:dyDescent="0.3">
      <c r="A1969" s="17"/>
      <c r="B1969"/>
      <c r="C1969"/>
      <c r="D1969"/>
      <c r="E1969"/>
      <c r="F1969"/>
      <c r="G1969"/>
      <c r="H1969"/>
      <c r="I1969"/>
      <c r="J1969"/>
      <c r="K1969"/>
      <c r="L1969"/>
      <c r="M1969"/>
      <c r="S1969" s="54"/>
    </row>
    <row r="1970" spans="1:19" s="15" customFormat="1" x14ac:dyDescent="0.3">
      <c r="A1970" s="17"/>
      <c r="B1970"/>
      <c r="C1970"/>
      <c r="D1970"/>
      <c r="E1970"/>
      <c r="F1970"/>
      <c r="G1970"/>
      <c r="H1970"/>
      <c r="I1970"/>
      <c r="J1970"/>
      <c r="K1970"/>
      <c r="L1970"/>
      <c r="M1970"/>
      <c r="S1970" s="54"/>
    </row>
    <row r="1971" spans="1:19" s="15" customFormat="1" x14ac:dyDescent="0.3">
      <c r="A1971" s="17"/>
      <c r="B1971"/>
      <c r="C1971"/>
      <c r="D1971"/>
      <c r="E1971"/>
      <c r="F1971"/>
      <c r="G1971"/>
      <c r="H1971"/>
      <c r="I1971"/>
      <c r="J1971"/>
      <c r="K1971"/>
      <c r="L1971"/>
      <c r="M1971"/>
      <c r="S1971" s="54"/>
    </row>
    <row r="1972" spans="1:19" s="15" customFormat="1" x14ac:dyDescent="0.3">
      <c r="A1972" s="17"/>
      <c r="B1972"/>
      <c r="C1972"/>
      <c r="D1972"/>
      <c r="E1972"/>
      <c r="F1972"/>
      <c r="G1972"/>
      <c r="H1972"/>
      <c r="I1972"/>
      <c r="J1972"/>
      <c r="K1972"/>
      <c r="L1972"/>
      <c r="M1972"/>
      <c r="S1972" s="54"/>
    </row>
    <row r="1973" spans="1:19" s="15" customFormat="1" x14ac:dyDescent="0.3">
      <c r="A1973" s="17"/>
      <c r="B1973"/>
      <c r="C1973"/>
      <c r="D1973"/>
      <c r="E1973"/>
      <c r="F1973"/>
      <c r="G1973"/>
      <c r="H1973"/>
      <c r="I1973"/>
      <c r="J1973"/>
      <c r="K1973"/>
      <c r="L1973"/>
      <c r="M1973"/>
      <c r="S1973" s="54"/>
    </row>
    <row r="1974" spans="1:19" s="15" customFormat="1" x14ac:dyDescent="0.3">
      <c r="A1974" s="17"/>
      <c r="B1974"/>
      <c r="C1974"/>
      <c r="D1974"/>
      <c r="E1974"/>
      <c r="F1974"/>
      <c r="G1974"/>
      <c r="H1974"/>
      <c r="I1974"/>
      <c r="J1974"/>
      <c r="K1974"/>
      <c r="L1974"/>
      <c r="M1974"/>
      <c r="S1974" s="54"/>
    </row>
    <row r="1975" spans="1:19" s="15" customFormat="1" x14ac:dyDescent="0.3">
      <c r="A1975" s="17"/>
      <c r="B1975"/>
      <c r="C1975"/>
      <c r="D1975"/>
      <c r="E1975"/>
      <c r="F1975"/>
      <c r="G1975"/>
      <c r="H1975"/>
      <c r="I1975"/>
      <c r="J1975"/>
      <c r="K1975"/>
      <c r="L1975"/>
      <c r="M1975"/>
      <c r="S1975" s="54"/>
    </row>
    <row r="1976" spans="1:19" s="15" customFormat="1" x14ac:dyDescent="0.3">
      <c r="A1976" s="17"/>
      <c r="B1976"/>
      <c r="C1976"/>
      <c r="D1976"/>
      <c r="E1976"/>
      <c r="F1976"/>
      <c r="G1976"/>
      <c r="H1976"/>
      <c r="I1976"/>
      <c r="J1976"/>
      <c r="K1976"/>
      <c r="L1976"/>
      <c r="M1976"/>
      <c r="S1976" s="54"/>
    </row>
    <row r="1977" spans="1:19" s="15" customFormat="1" x14ac:dyDescent="0.3">
      <c r="A1977" s="17"/>
      <c r="B1977"/>
      <c r="C1977"/>
      <c r="D1977"/>
      <c r="E1977"/>
      <c r="F1977"/>
      <c r="G1977"/>
      <c r="H1977"/>
      <c r="I1977"/>
      <c r="J1977"/>
      <c r="K1977"/>
      <c r="L1977"/>
      <c r="M1977"/>
      <c r="S1977" s="54"/>
    </row>
    <row r="1978" spans="1:19" s="15" customFormat="1" x14ac:dyDescent="0.3">
      <c r="A1978" s="17"/>
      <c r="B1978"/>
      <c r="C1978"/>
      <c r="D1978"/>
      <c r="E1978"/>
      <c r="F1978"/>
      <c r="G1978"/>
      <c r="H1978"/>
      <c r="I1978"/>
      <c r="J1978"/>
      <c r="K1978"/>
      <c r="L1978"/>
      <c r="M1978"/>
      <c r="S1978" s="54"/>
    </row>
    <row r="1979" spans="1:19" s="15" customFormat="1" x14ac:dyDescent="0.3">
      <c r="A1979" s="17"/>
      <c r="B1979"/>
      <c r="C1979"/>
      <c r="D1979"/>
      <c r="E1979"/>
      <c r="F1979"/>
      <c r="G1979"/>
      <c r="H1979"/>
      <c r="I1979"/>
      <c r="J1979"/>
      <c r="K1979"/>
      <c r="L1979"/>
      <c r="M1979"/>
      <c r="S1979" s="54"/>
    </row>
    <row r="1980" spans="1:19" s="15" customFormat="1" x14ac:dyDescent="0.3">
      <c r="A1980" s="17"/>
      <c r="B1980"/>
      <c r="C1980"/>
      <c r="D1980"/>
      <c r="E1980"/>
      <c r="F1980"/>
      <c r="G1980"/>
      <c r="H1980"/>
      <c r="I1980"/>
      <c r="J1980"/>
      <c r="K1980"/>
      <c r="L1980"/>
      <c r="M1980"/>
      <c r="S1980" s="54"/>
    </row>
    <row r="1981" spans="1:19" s="15" customFormat="1" x14ac:dyDescent="0.3">
      <c r="A1981" s="17"/>
      <c r="B1981"/>
      <c r="C1981"/>
      <c r="D1981"/>
      <c r="E1981"/>
      <c r="F1981"/>
      <c r="G1981"/>
      <c r="H1981"/>
      <c r="I1981"/>
      <c r="J1981"/>
      <c r="K1981"/>
      <c r="L1981"/>
      <c r="M1981"/>
      <c r="S1981" s="54"/>
    </row>
    <row r="1982" spans="1:19" s="15" customFormat="1" x14ac:dyDescent="0.3">
      <c r="A1982" s="17"/>
      <c r="B1982"/>
      <c r="C1982"/>
      <c r="D1982"/>
      <c r="E1982"/>
      <c r="F1982"/>
      <c r="G1982"/>
      <c r="H1982"/>
      <c r="I1982"/>
      <c r="J1982"/>
      <c r="K1982"/>
      <c r="L1982"/>
      <c r="M1982"/>
      <c r="S1982" s="54"/>
    </row>
    <row r="1983" spans="1:19" s="15" customFormat="1" x14ac:dyDescent="0.3">
      <c r="A1983" s="17"/>
      <c r="B1983"/>
      <c r="C1983"/>
      <c r="D1983"/>
      <c r="E1983"/>
      <c r="F1983"/>
      <c r="G1983"/>
      <c r="H1983"/>
      <c r="I1983"/>
      <c r="J1983"/>
      <c r="K1983"/>
      <c r="L1983"/>
      <c r="M1983"/>
      <c r="S1983" s="54"/>
    </row>
    <row r="1984" spans="1:19" s="15" customFormat="1" x14ac:dyDescent="0.3">
      <c r="A1984" s="17"/>
      <c r="B1984"/>
      <c r="C1984"/>
      <c r="D1984"/>
      <c r="E1984"/>
      <c r="F1984"/>
      <c r="G1984"/>
      <c r="H1984"/>
      <c r="I1984"/>
      <c r="J1984"/>
      <c r="K1984"/>
      <c r="L1984"/>
      <c r="M1984"/>
      <c r="S1984" s="54"/>
    </row>
    <row r="1985" spans="1:19" s="15" customFormat="1" x14ac:dyDescent="0.3">
      <c r="A1985" s="17"/>
      <c r="B1985"/>
      <c r="C1985"/>
      <c r="D1985"/>
      <c r="E1985"/>
      <c r="F1985"/>
      <c r="G1985"/>
      <c r="H1985"/>
      <c r="I1985"/>
      <c r="J1985"/>
      <c r="K1985"/>
      <c r="L1985"/>
      <c r="M1985"/>
      <c r="S1985" s="54"/>
    </row>
    <row r="1986" spans="1:19" s="15" customFormat="1" x14ac:dyDescent="0.3">
      <c r="A1986" s="17"/>
      <c r="B1986"/>
      <c r="C1986"/>
      <c r="D1986"/>
      <c r="E1986"/>
      <c r="F1986"/>
      <c r="G1986"/>
      <c r="H1986"/>
      <c r="I1986"/>
      <c r="J1986"/>
      <c r="K1986"/>
      <c r="L1986"/>
      <c r="M1986"/>
      <c r="S1986" s="54"/>
    </row>
    <row r="1987" spans="1:19" s="15" customFormat="1" x14ac:dyDescent="0.3">
      <c r="A1987" s="17"/>
      <c r="B1987"/>
      <c r="C1987"/>
      <c r="D1987"/>
      <c r="E1987"/>
      <c r="F1987"/>
      <c r="G1987"/>
      <c r="H1987"/>
      <c r="I1987"/>
      <c r="J1987"/>
      <c r="K1987"/>
      <c r="L1987"/>
      <c r="M1987"/>
      <c r="S1987" s="54"/>
    </row>
    <row r="1988" spans="1:19" s="15" customFormat="1" x14ac:dyDescent="0.3">
      <c r="A1988" s="17"/>
      <c r="B1988"/>
      <c r="C1988"/>
      <c r="D1988"/>
      <c r="E1988"/>
      <c r="F1988"/>
      <c r="G1988"/>
      <c r="H1988"/>
      <c r="I1988"/>
      <c r="J1988"/>
      <c r="K1988"/>
      <c r="L1988"/>
      <c r="M1988"/>
      <c r="S1988" s="54"/>
    </row>
    <row r="1989" spans="1:19" s="15" customFormat="1" x14ac:dyDescent="0.3">
      <c r="A1989" s="17"/>
      <c r="B1989"/>
      <c r="C1989"/>
      <c r="D1989"/>
      <c r="E1989"/>
      <c r="F1989"/>
      <c r="G1989"/>
      <c r="H1989"/>
      <c r="I1989"/>
      <c r="J1989"/>
      <c r="K1989"/>
      <c r="L1989"/>
      <c r="M1989"/>
      <c r="S1989" s="54"/>
    </row>
    <row r="1990" spans="1:19" s="15" customFormat="1" x14ac:dyDescent="0.3">
      <c r="A1990" s="17"/>
      <c r="B1990"/>
      <c r="C1990"/>
      <c r="D1990"/>
      <c r="E1990"/>
      <c r="F1990"/>
      <c r="G1990"/>
      <c r="H1990"/>
      <c r="I1990"/>
      <c r="J1990"/>
      <c r="K1990"/>
      <c r="L1990"/>
      <c r="M1990"/>
      <c r="S1990" s="54"/>
    </row>
    <row r="1991" spans="1:19" s="15" customFormat="1" x14ac:dyDescent="0.3">
      <c r="A1991" s="17"/>
      <c r="B1991"/>
      <c r="C1991"/>
      <c r="D1991"/>
      <c r="E1991"/>
      <c r="F1991"/>
      <c r="G1991"/>
      <c r="H1991"/>
      <c r="I1991"/>
      <c r="J1991"/>
      <c r="K1991"/>
      <c r="L1991"/>
      <c r="M1991"/>
      <c r="S1991" s="54"/>
    </row>
    <row r="1992" spans="1:19" s="15" customFormat="1" x14ac:dyDescent="0.3">
      <c r="A1992" s="17"/>
      <c r="B1992"/>
      <c r="C1992"/>
      <c r="D1992"/>
      <c r="E1992"/>
      <c r="F1992"/>
      <c r="G1992"/>
      <c r="H1992"/>
      <c r="I1992"/>
      <c r="J1992"/>
      <c r="K1992"/>
      <c r="L1992"/>
      <c r="M1992"/>
      <c r="S1992" s="54"/>
    </row>
    <row r="1993" spans="1:19" s="15" customFormat="1" x14ac:dyDescent="0.3">
      <c r="A1993" s="17"/>
      <c r="B1993"/>
      <c r="C1993"/>
      <c r="D1993"/>
      <c r="E1993"/>
      <c r="F1993"/>
      <c r="G1993"/>
      <c r="H1993"/>
      <c r="I1993"/>
      <c r="J1993"/>
      <c r="K1993"/>
      <c r="L1993"/>
      <c r="M1993"/>
      <c r="S1993" s="54"/>
    </row>
    <row r="1994" spans="1:19" s="15" customFormat="1" x14ac:dyDescent="0.3">
      <c r="A1994" s="17"/>
      <c r="B1994"/>
      <c r="C1994"/>
      <c r="D1994"/>
      <c r="E1994"/>
      <c r="F1994"/>
      <c r="G1994"/>
      <c r="H1994"/>
      <c r="I1994"/>
      <c r="J1994"/>
      <c r="K1994"/>
      <c r="L1994"/>
      <c r="M1994"/>
      <c r="S1994" s="54"/>
    </row>
    <row r="1995" spans="1:19" s="15" customFormat="1" x14ac:dyDescent="0.3">
      <c r="A1995" s="17"/>
      <c r="B1995"/>
      <c r="C1995"/>
      <c r="D1995"/>
      <c r="E1995"/>
      <c r="F1995"/>
      <c r="G1995"/>
      <c r="H1995"/>
      <c r="I1995"/>
      <c r="J1995"/>
      <c r="K1995"/>
      <c r="L1995"/>
      <c r="M1995"/>
      <c r="S1995" s="54"/>
    </row>
    <row r="1996" spans="1:19" s="15" customFormat="1" x14ac:dyDescent="0.3">
      <c r="A1996" s="17"/>
      <c r="B1996"/>
      <c r="C1996"/>
      <c r="D1996"/>
      <c r="E1996"/>
      <c r="F1996"/>
      <c r="G1996"/>
      <c r="H1996"/>
      <c r="I1996"/>
      <c r="J1996"/>
      <c r="K1996"/>
      <c r="L1996"/>
      <c r="M1996"/>
      <c r="S1996" s="54"/>
    </row>
    <row r="1997" spans="1:19" s="15" customFormat="1" x14ac:dyDescent="0.3">
      <c r="A1997" s="17"/>
      <c r="B1997"/>
      <c r="C1997"/>
      <c r="D1997"/>
      <c r="E1997"/>
      <c r="F1997"/>
      <c r="G1997"/>
      <c r="H1997"/>
      <c r="I1997"/>
      <c r="J1997"/>
      <c r="K1997"/>
      <c r="L1997"/>
      <c r="M1997"/>
      <c r="S1997" s="54"/>
    </row>
    <row r="1998" spans="1:19" s="15" customFormat="1" x14ac:dyDescent="0.3">
      <c r="A1998" s="17"/>
      <c r="B1998"/>
      <c r="C1998"/>
      <c r="D1998"/>
      <c r="E1998"/>
      <c r="F1998"/>
      <c r="G1998"/>
      <c r="H1998"/>
      <c r="I1998"/>
      <c r="J1998"/>
      <c r="K1998"/>
      <c r="L1998"/>
      <c r="M1998"/>
      <c r="S1998" s="54"/>
    </row>
    <row r="1999" spans="1:19" s="15" customFormat="1" x14ac:dyDescent="0.3">
      <c r="A1999" s="17"/>
      <c r="B1999"/>
      <c r="C1999"/>
      <c r="D1999"/>
      <c r="E1999"/>
      <c r="F1999"/>
      <c r="G1999"/>
      <c r="H1999"/>
      <c r="I1999"/>
      <c r="J1999"/>
      <c r="K1999"/>
      <c r="L1999"/>
      <c r="M1999"/>
      <c r="S1999" s="54"/>
    </row>
    <row r="2000" spans="1:19" s="15" customFormat="1" x14ac:dyDescent="0.3">
      <c r="A2000" s="17"/>
      <c r="B2000"/>
      <c r="C2000"/>
      <c r="D2000"/>
      <c r="E2000"/>
      <c r="F2000"/>
      <c r="G2000"/>
      <c r="H2000"/>
      <c r="I2000"/>
      <c r="J2000"/>
      <c r="K2000"/>
      <c r="L2000"/>
      <c r="M2000"/>
      <c r="S2000" s="54"/>
    </row>
    <row r="2001" spans="1:19" s="15" customFormat="1" x14ac:dyDescent="0.3">
      <c r="A2001" s="17"/>
      <c r="B2001"/>
      <c r="C2001"/>
      <c r="D2001"/>
      <c r="E2001"/>
      <c r="F2001"/>
      <c r="G2001"/>
      <c r="H2001"/>
      <c r="I2001"/>
      <c r="J2001"/>
      <c r="K2001"/>
      <c r="L2001"/>
      <c r="M2001"/>
      <c r="S2001" s="54"/>
    </row>
    <row r="2002" spans="1:19" s="15" customFormat="1" x14ac:dyDescent="0.3">
      <c r="A2002" s="17"/>
      <c r="B2002"/>
      <c r="C2002"/>
      <c r="D2002"/>
      <c r="E2002"/>
      <c r="F2002"/>
      <c r="G2002"/>
      <c r="H2002"/>
      <c r="I2002"/>
      <c r="J2002"/>
      <c r="K2002"/>
      <c r="L2002"/>
      <c r="M2002"/>
      <c r="S2002" s="54"/>
    </row>
    <row r="2003" spans="1:19" s="15" customFormat="1" x14ac:dyDescent="0.3">
      <c r="A2003" s="17"/>
      <c r="B2003"/>
      <c r="C2003"/>
      <c r="D2003"/>
      <c r="E2003"/>
      <c r="F2003"/>
      <c r="G2003"/>
      <c r="H2003"/>
      <c r="I2003"/>
      <c r="J2003"/>
      <c r="K2003"/>
      <c r="L2003"/>
      <c r="M2003"/>
      <c r="S2003" s="54"/>
    </row>
    <row r="2004" spans="1:19" s="15" customFormat="1" x14ac:dyDescent="0.3">
      <c r="A2004" s="17"/>
      <c r="B2004"/>
      <c r="C2004"/>
      <c r="D2004"/>
      <c r="E2004"/>
      <c r="F2004"/>
      <c r="G2004"/>
      <c r="H2004"/>
      <c r="I2004"/>
      <c r="J2004"/>
      <c r="K2004"/>
      <c r="L2004"/>
      <c r="M2004"/>
      <c r="S2004" s="54"/>
    </row>
    <row r="2005" spans="1:19" s="15" customFormat="1" x14ac:dyDescent="0.3">
      <c r="A2005" s="17"/>
      <c r="B2005"/>
      <c r="C2005"/>
      <c r="D2005"/>
      <c r="E2005"/>
      <c r="F2005"/>
      <c r="G2005"/>
      <c r="H2005"/>
      <c r="I2005"/>
      <c r="J2005"/>
      <c r="K2005"/>
      <c r="L2005"/>
      <c r="M2005"/>
      <c r="S2005" s="54"/>
    </row>
    <row r="2006" spans="1:19" s="15" customFormat="1" x14ac:dyDescent="0.3">
      <c r="A2006" s="17"/>
      <c r="B2006"/>
      <c r="C2006"/>
      <c r="D2006"/>
      <c r="E2006"/>
      <c r="F2006"/>
      <c r="G2006"/>
      <c r="H2006"/>
      <c r="I2006"/>
      <c r="J2006"/>
      <c r="K2006"/>
      <c r="L2006"/>
      <c r="M2006"/>
      <c r="S2006" s="54"/>
    </row>
    <row r="2007" spans="1:19" s="15" customFormat="1" x14ac:dyDescent="0.3">
      <c r="A2007" s="17"/>
      <c r="B2007"/>
      <c r="C2007"/>
      <c r="D2007"/>
      <c r="E2007"/>
      <c r="F2007"/>
      <c r="G2007"/>
      <c r="H2007"/>
      <c r="I2007"/>
      <c r="J2007"/>
      <c r="K2007"/>
      <c r="L2007"/>
      <c r="M2007"/>
      <c r="S2007" s="54"/>
    </row>
    <row r="2008" spans="1:19" s="15" customFormat="1" x14ac:dyDescent="0.3">
      <c r="A2008" s="17"/>
      <c r="B2008"/>
      <c r="C2008"/>
      <c r="D2008"/>
      <c r="E2008"/>
      <c r="F2008"/>
      <c r="G2008"/>
      <c r="H2008"/>
      <c r="I2008"/>
      <c r="J2008"/>
      <c r="K2008"/>
      <c r="L2008"/>
      <c r="M2008"/>
      <c r="S2008" s="54"/>
    </row>
    <row r="2009" spans="1:19" s="15" customFormat="1" x14ac:dyDescent="0.3">
      <c r="A2009" s="17"/>
      <c r="B2009"/>
      <c r="C2009"/>
      <c r="D2009"/>
      <c r="E2009"/>
      <c r="F2009"/>
      <c r="G2009"/>
      <c r="H2009"/>
      <c r="I2009"/>
      <c r="J2009"/>
      <c r="K2009"/>
      <c r="L2009"/>
      <c r="M2009"/>
      <c r="S2009" s="54"/>
    </row>
    <row r="2010" spans="1:19" s="15" customFormat="1" x14ac:dyDescent="0.3">
      <c r="A2010" s="17"/>
      <c r="B2010"/>
      <c r="C2010"/>
      <c r="D2010"/>
      <c r="E2010"/>
      <c r="F2010"/>
      <c r="G2010"/>
      <c r="H2010"/>
      <c r="I2010"/>
      <c r="J2010"/>
      <c r="K2010"/>
      <c r="L2010"/>
      <c r="M2010"/>
      <c r="S2010" s="54"/>
    </row>
    <row r="2011" spans="1:19" s="15" customFormat="1" x14ac:dyDescent="0.3">
      <c r="A2011" s="17"/>
      <c r="B2011"/>
      <c r="C2011"/>
      <c r="D2011"/>
      <c r="E2011"/>
      <c r="F2011"/>
      <c r="G2011"/>
      <c r="H2011"/>
      <c r="I2011"/>
      <c r="J2011"/>
      <c r="K2011"/>
      <c r="L2011"/>
      <c r="M2011"/>
      <c r="S2011" s="54"/>
    </row>
    <row r="2012" spans="1:19" s="15" customFormat="1" x14ac:dyDescent="0.3">
      <c r="A2012" s="17"/>
      <c r="B2012"/>
      <c r="C2012"/>
      <c r="D2012"/>
      <c r="E2012"/>
      <c r="F2012"/>
      <c r="G2012"/>
      <c r="H2012"/>
      <c r="I2012"/>
      <c r="J2012"/>
      <c r="K2012"/>
      <c r="L2012"/>
      <c r="M2012"/>
      <c r="S2012" s="54"/>
    </row>
    <row r="2013" spans="1:19" s="15" customFormat="1" x14ac:dyDescent="0.3">
      <c r="A2013" s="17"/>
      <c r="B2013"/>
      <c r="C2013"/>
      <c r="D2013"/>
      <c r="E2013"/>
      <c r="F2013"/>
      <c r="G2013"/>
      <c r="H2013"/>
      <c r="I2013"/>
      <c r="J2013"/>
      <c r="K2013"/>
      <c r="L2013"/>
      <c r="M2013"/>
      <c r="S2013" s="54"/>
    </row>
    <row r="2014" spans="1:19" s="15" customFormat="1" x14ac:dyDescent="0.3">
      <c r="A2014" s="17"/>
      <c r="B2014"/>
      <c r="C2014"/>
      <c r="D2014"/>
      <c r="E2014"/>
      <c r="F2014"/>
      <c r="G2014"/>
      <c r="H2014"/>
      <c r="I2014"/>
      <c r="J2014"/>
      <c r="K2014"/>
      <c r="L2014"/>
      <c r="M2014"/>
      <c r="S2014" s="54"/>
    </row>
    <row r="2015" spans="1:19" s="15" customFormat="1" x14ac:dyDescent="0.3">
      <c r="A2015" s="17"/>
      <c r="B2015"/>
      <c r="C2015"/>
      <c r="D2015"/>
      <c r="E2015"/>
      <c r="F2015"/>
      <c r="G2015"/>
      <c r="H2015"/>
      <c r="I2015"/>
      <c r="J2015"/>
      <c r="K2015"/>
      <c r="L2015"/>
      <c r="M2015"/>
      <c r="S2015" s="54"/>
    </row>
    <row r="2016" spans="1:19" s="15" customFormat="1" x14ac:dyDescent="0.3">
      <c r="A2016" s="17"/>
      <c r="B2016"/>
      <c r="C2016"/>
      <c r="D2016"/>
      <c r="E2016"/>
      <c r="F2016"/>
      <c r="G2016"/>
      <c r="H2016"/>
      <c r="I2016"/>
      <c r="J2016"/>
      <c r="K2016"/>
      <c r="L2016"/>
      <c r="M2016"/>
      <c r="S2016" s="54"/>
    </row>
    <row r="2017" spans="1:19" s="15" customFormat="1" x14ac:dyDescent="0.3">
      <c r="A2017" s="17"/>
      <c r="B2017"/>
      <c r="C2017"/>
      <c r="D2017"/>
      <c r="E2017"/>
      <c r="F2017"/>
      <c r="G2017"/>
      <c r="H2017"/>
      <c r="I2017"/>
      <c r="J2017"/>
      <c r="K2017"/>
      <c r="L2017"/>
      <c r="M2017"/>
      <c r="S2017" s="54"/>
    </row>
    <row r="2018" spans="1:19" s="15" customFormat="1" x14ac:dyDescent="0.3">
      <c r="A2018" s="17"/>
      <c r="B2018"/>
      <c r="C2018"/>
      <c r="D2018"/>
      <c r="E2018"/>
      <c r="F2018"/>
      <c r="G2018"/>
      <c r="H2018"/>
      <c r="I2018"/>
      <c r="J2018"/>
      <c r="K2018"/>
      <c r="L2018"/>
      <c r="M2018"/>
      <c r="S2018" s="54"/>
    </row>
    <row r="2019" spans="1:19" s="15" customFormat="1" x14ac:dyDescent="0.3">
      <c r="A2019" s="17"/>
      <c r="B2019"/>
      <c r="C2019"/>
      <c r="D2019"/>
      <c r="E2019"/>
      <c r="F2019"/>
      <c r="G2019"/>
      <c r="H2019"/>
      <c r="I2019"/>
      <c r="J2019"/>
      <c r="K2019"/>
      <c r="L2019"/>
      <c r="M2019"/>
      <c r="S2019" s="54"/>
    </row>
    <row r="2020" spans="1:19" s="15" customFormat="1" x14ac:dyDescent="0.3">
      <c r="A2020" s="17"/>
      <c r="B2020"/>
      <c r="C2020"/>
      <c r="D2020"/>
      <c r="E2020"/>
      <c r="F2020"/>
      <c r="G2020"/>
      <c r="H2020"/>
      <c r="I2020"/>
      <c r="J2020"/>
      <c r="K2020"/>
      <c r="L2020"/>
      <c r="M2020"/>
      <c r="S2020" s="54"/>
    </row>
    <row r="2021" spans="1:19" s="15" customFormat="1" x14ac:dyDescent="0.3">
      <c r="A2021" s="17"/>
      <c r="B2021"/>
      <c r="C2021"/>
      <c r="D2021"/>
      <c r="E2021"/>
      <c r="F2021"/>
      <c r="G2021"/>
      <c r="H2021"/>
      <c r="I2021"/>
      <c r="J2021"/>
      <c r="K2021"/>
      <c r="L2021"/>
      <c r="M2021"/>
      <c r="S2021" s="54"/>
    </row>
    <row r="2022" spans="1:19" s="15" customFormat="1" x14ac:dyDescent="0.3">
      <c r="A2022" s="17"/>
      <c r="B2022"/>
      <c r="C2022"/>
      <c r="D2022"/>
      <c r="E2022"/>
      <c r="F2022"/>
      <c r="G2022"/>
      <c r="H2022"/>
      <c r="I2022"/>
      <c r="J2022"/>
      <c r="K2022"/>
      <c r="L2022"/>
      <c r="M2022"/>
      <c r="S2022" s="54"/>
    </row>
    <row r="2023" spans="1:19" s="15" customFormat="1" x14ac:dyDescent="0.3">
      <c r="A2023" s="17"/>
      <c r="B2023"/>
      <c r="C2023"/>
      <c r="D2023"/>
      <c r="E2023"/>
      <c r="F2023"/>
      <c r="G2023"/>
      <c r="H2023"/>
      <c r="I2023"/>
      <c r="J2023"/>
      <c r="K2023"/>
      <c r="L2023"/>
      <c r="M2023"/>
      <c r="S2023" s="54"/>
    </row>
    <row r="2024" spans="1:19" s="15" customFormat="1" x14ac:dyDescent="0.3">
      <c r="A2024" s="17"/>
      <c r="B2024"/>
      <c r="C2024"/>
      <c r="D2024"/>
      <c r="E2024"/>
      <c r="F2024"/>
      <c r="G2024"/>
      <c r="H2024"/>
      <c r="I2024"/>
      <c r="J2024"/>
      <c r="K2024"/>
      <c r="L2024"/>
      <c r="M2024"/>
      <c r="S2024" s="54"/>
    </row>
    <row r="2025" spans="1:19" s="15" customFormat="1" x14ac:dyDescent="0.3">
      <c r="A2025" s="17"/>
      <c r="B2025"/>
      <c r="C2025"/>
      <c r="D2025"/>
      <c r="E2025"/>
      <c r="F2025"/>
      <c r="G2025"/>
      <c r="H2025"/>
      <c r="I2025"/>
      <c r="J2025"/>
      <c r="K2025"/>
      <c r="L2025"/>
      <c r="M2025"/>
      <c r="S2025" s="54"/>
    </row>
    <row r="2026" spans="1:19" s="15" customFormat="1" x14ac:dyDescent="0.3">
      <c r="A2026" s="17"/>
      <c r="B2026"/>
      <c r="C2026"/>
      <c r="D2026"/>
      <c r="E2026"/>
      <c r="F2026"/>
      <c r="G2026"/>
      <c r="H2026"/>
      <c r="I2026"/>
      <c r="J2026"/>
      <c r="K2026"/>
      <c r="L2026"/>
      <c r="M2026"/>
      <c r="S2026" s="54"/>
    </row>
    <row r="2027" spans="1:19" s="15" customFormat="1" x14ac:dyDescent="0.3">
      <c r="A2027" s="17"/>
      <c r="B2027"/>
      <c r="C2027"/>
      <c r="D2027"/>
      <c r="E2027"/>
      <c r="F2027"/>
      <c r="G2027"/>
      <c r="H2027"/>
      <c r="I2027"/>
      <c r="J2027"/>
      <c r="K2027"/>
      <c r="L2027"/>
      <c r="M2027"/>
      <c r="S2027" s="54"/>
    </row>
    <row r="2028" spans="1:19" s="15" customFormat="1" x14ac:dyDescent="0.3">
      <c r="A2028" s="17"/>
      <c r="B2028"/>
      <c r="C2028"/>
      <c r="D2028"/>
      <c r="E2028"/>
      <c r="F2028"/>
      <c r="G2028"/>
      <c r="H2028"/>
      <c r="I2028"/>
      <c r="J2028"/>
      <c r="K2028"/>
      <c r="L2028"/>
      <c r="M2028"/>
      <c r="S2028" s="54"/>
    </row>
    <row r="2029" spans="1:19" s="15" customFormat="1" x14ac:dyDescent="0.3">
      <c r="A2029" s="17"/>
      <c r="B2029"/>
      <c r="C2029"/>
      <c r="D2029"/>
      <c r="E2029"/>
      <c r="F2029"/>
      <c r="G2029"/>
      <c r="H2029"/>
      <c r="I2029"/>
      <c r="J2029"/>
      <c r="K2029"/>
      <c r="L2029"/>
      <c r="M2029"/>
      <c r="S2029" s="54"/>
    </row>
    <row r="2030" spans="1:19" s="15" customFormat="1" x14ac:dyDescent="0.3">
      <c r="A2030" s="17"/>
      <c r="B2030"/>
      <c r="C2030"/>
      <c r="D2030"/>
      <c r="E2030"/>
      <c r="F2030"/>
      <c r="G2030"/>
      <c r="H2030"/>
      <c r="I2030"/>
      <c r="J2030"/>
      <c r="K2030"/>
      <c r="L2030"/>
      <c r="M2030"/>
      <c r="S2030" s="54"/>
    </row>
    <row r="2031" spans="1:19" s="15" customFormat="1" x14ac:dyDescent="0.3">
      <c r="A2031" s="17"/>
      <c r="B2031"/>
      <c r="C2031"/>
      <c r="D2031"/>
      <c r="E2031"/>
      <c r="F2031"/>
      <c r="G2031"/>
      <c r="H2031"/>
      <c r="I2031"/>
      <c r="J2031"/>
      <c r="K2031"/>
      <c r="L2031"/>
      <c r="M2031"/>
      <c r="S2031" s="54"/>
    </row>
    <row r="2032" spans="1:19" s="15" customFormat="1" x14ac:dyDescent="0.3">
      <c r="A2032" s="17"/>
      <c r="B2032"/>
      <c r="C2032"/>
      <c r="D2032"/>
      <c r="E2032"/>
      <c r="F2032"/>
      <c r="G2032"/>
      <c r="H2032"/>
      <c r="I2032"/>
      <c r="J2032"/>
      <c r="K2032"/>
      <c r="L2032"/>
      <c r="M2032"/>
      <c r="S2032" s="54"/>
    </row>
    <row r="2033" spans="1:19" s="15" customFormat="1" x14ac:dyDescent="0.3">
      <c r="A2033" s="17"/>
      <c r="B2033"/>
      <c r="C2033"/>
      <c r="D2033"/>
      <c r="E2033"/>
      <c r="F2033"/>
      <c r="G2033"/>
      <c r="H2033"/>
      <c r="I2033"/>
      <c r="J2033"/>
      <c r="K2033"/>
      <c r="L2033"/>
      <c r="M2033"/>
      <c r="S2033" s="54"/>
    </row>
    <row r="2034" spans="1:19" s="15" customFormat="1" x14ac:dyDescent="0.3">
      <c r="A2034" s="17"/>
      <c r="B2034"/>
      <c r="C2034"/>
      <c r="D2034"/>
      <c r="E2034"/>
      <c r="F2034"/>
      <c r="G2034"/>
      <c r="H2034"/>
      <c r="I2034"/>
      <c r="J2034"/>
      <c r="K2034"/>
      <c r="L2034"/>
      <c r="M2034"/>
      <c r="S2034" s="54"/>
    </row>
    <row r="2035" spans="1:19" s="15" customFormat="1" x14ac:dyDescent="0.3">
      <c r="A2035" s="17"/>
      <c r="B2035"/>
      <c r="C2035"/>
      <c r="D2035"/>
      <c r="E2035"/>
      <c r="F2035"/>
      <c r="G2035"/>
      <c r="H2035"/>
      <c r="I2035"/>
      <c r="J2035"/>
      <c r="K2035"/>
      <c r="L2035"/>
      <c r="M2035"/>
      <c r="S2035" s="54"/>
    </row>
    <row r="2036" spans="1:19" s="15" customFormat="1" x14ac:dyDescent="0.3">
      <c r="A2036" s="17"/>
      <c r="B2036"/>
      <c r="C2036"/>
      <c r="D2036"/>
      <c r="E2036"/>
      <c r="F2036"/>
      <c r="G2036"/>
      <c r="H2036"/>
      <c r="I2036"/>
      <c r="J2036"/>
      <c r="K2036"/>
      <c r="L2036"/>
      <c r="M2036"/>
      <c r="S2036" s="54"/>
    </row>
    <row r="2037" spans="1:19" s="15" customFormat="1" x14ac:dyDescent="0.3">
      <c r="A2037" s="17"/>
      <c r="B2037"/>
      <c r="C2037"/>
      <c r="D2037"/>
      <c r="E2037"/>
      <c r="F2037"/>
      <c r="G2037"/>
      <c r="H2037"/>
      <c r="I2037"/>
      <c r="J2037"/>
      <c r="K2037"/>
      <c r="L2037"/>
      <c r="M2037"/>
      <c r="S2037" s="54"/>
    </row>
    <row r="2038" spans="1:19" s="15" customFormat="1" x14ac:dyDescent="0.3">
      <c r="A2038" s="17"/>
      <c r="B2038"/>
      <c r="C2038"/>
      <c r="D2038"/>
      <c r="E2038"/>
      <c r="F2038"/>
      <c r="G2038"/>
      <c r="H2038"/>
      <c r="I2038"/>
      <c r="J2038"/>
      <c r="K2038"/>
      <c r="L2038"/>
      <c r="M2038"/>
      <c r="S2038" s="54"/>
    </row>
    <row r="2039" spans="1:19" s="15" customFormat="1" x14ac:dyDescent="0.3">
      <c r="A2039" s="17"/>
      <c r="B2039"/>
      <c r="C2039"/>
      <c r="D2039"/>
      <c r="E2039"/>
      <c r="F2039"/>
      <c r="G2039"/>
      <c r="H2039"/>
      <c r="I2039"/>
      <c r="J2039"/>
      <c r="K2039"/>
      <c r="L2039"/>
      <c r="M2039"/>
      <c r="S2039" s="54"/>
    </row>
    <row r="2040" spans="1:19" s="15" customFormat="1" x14ac:dyDescent="0.3">
      <c r="A2040" s="17"/>
      <c r="B2040"/>
      <c r="C2040"/>
      <c r="D2040"/>
      <c r="E2040"/>
      <c r="F2040"/>
      <c r="G2040"/>
      <c r="H2040"/>
      <c r="I2040"/>
      <c r="J2040"/>
      <c r="K2040"/>
      <c r="L2040"/>
      <c r="M2040"/>
      <c r="S2040" s="54"/>
    </row>
    <row r="2041" spans="1:19" s="15" customFormat="1" x14ac:dyDescent="0.3">
      <c r="A2041" s="17"/>
      <c r="B2041"/>
      <c r="C2041"/>
      <c r="D2041"/>
      <c r="E2041"/>
      <c r="F2041"/>
      <c r="G2041"/>
      <c r="H2041"/>
      <c r="I2041"/>
      <c r="J2041"/>
      <c r="K2041"/>
      <c r="L2041"/>
      <c r="M2041"/>
      <c r="S2041" s="54"/>
    </row>
    <row r="2042" spans="1:19" s="15" customFormat="1" x14ac:dyDescent="0.3">
      <c r="A2042" s="17"/>
      <c r="B2042"/>
      <c r="C2042"/>
      <c r="D2042"/>
      <c r="E2042"/>
      <c r="F2042"/>
      <c r="G2042"/>
      <c r="H2042"/>
      <c r="I2042"/>
      <c r="J2042"/>
      <c r="K2042"/>
      <c r="L2042"/>
      <c r="M2042"/>
      <c r="S2042" s="54"/>
    </row>
    <row r="2043" spans="1:19" s="15" customFormat="1" x14ac:dyDescent="0.3">
      <c r="A2043" s="17"/>
      <c r="B2043"/>
      <c r="C2043"/>
      <c r="D2043"/>
      <c r="E2043"/>
      <c r="F2043"/>
      <c r="G2043"/>
      <c r="H2043"/>
      <c r="I2043"/>
      <c r="J2043"/>
      <c r="K2043"/>
      <c r="L2043"/>
      <c r="M2043"/>
      <c r="S2043" s="54"/>
    </row>
    <row r="2044" spans="1:19" s="15" customFormat="1" x14ac:dyDescent="0.3">
      <c r="A2044" s="17"/>
      <c r="B2044"/>
      <c r="C2044"/>
      <c r="D2044"/>
      <c r="E2044"/>
      <c r="F2044"/>
      <c r="G2044"/>
      <c r="H2044"/>
      <c r="I2044"/>
      <c r="J2044"/>
      <c r="K2044"/>
      <c r="L2044"/>
      <c r="M2044"/>
      <c r="S2044" s="54"/>
    </row>
    <row r="2045" spans="1:19" s="15" customFormat="1" x14ac:dyDescent="0.3">
      <c r="A2045" s="17"/>
      <c r="B2045"/>
      <c r="C2045"/>
      <c r="D2045"/>
      <c r="E2045"/>
      <c r="F2045"/>
      <c r="G2045"/>
      <c r="H2045"/>
      <c r="I2045"/>
      <c r="J2045"/>
      <c r="K2045"/>
      <c r="L2045"/>
      <c r="M2045"/>
      <c r="S2045" s="54"/>
    </row>
    <row r="2046" spans="1:19" s="15" customFormat="1" x14ac:dyDescent="0.3">
      <c r="A2046" s="17"/>
      <c r="B2046"/>
      <c r="C2046"/>
      <c r="D2046"/>
      <c r="E2046"/>
      <c r="F2046"/>
      <c r="G2046"/>
      <c r="H2046"/>
      <c r="I2046"/>
      <c r="J2046"/>
      <c r="K2046"/>
      <c r="L2046"/>
      <c r="M2046"/>
      <c r="S2046" s="54"/>
    </row>
    <row r="2047" spans="1:19" s="15" customFormat="1" x14ac:dyDescent="0.3">
      <c r="A2047" s="17"/>
      <c r="B2047"/>
      <c r="C2047"/>
      <c r="D2047"/>
      <c r="E2047"/>
      <c r="F2047"/>
      <c r="G2047"/>
      <c r="H2047"/>
      <c r="I2047"/>
      <c r="J2047"/>
      <c r="K2047"/>
      <c r="L2047"/>
      <c r="M2047"/>
      <c r="S2047" s="54"/>
    </row>
    <row r="2048" spans="1:19" s="15" customFormat="1" x14ac:dyDescent="0.3">
      <c r="A2048" s="17"/>
      <c r="B2048"/>
      <c r="C2048"/>
      <c r="D2048"/>
      <c r="E2048"/>
      <c r="F2048"/>
      <c r="G2048"/>
      <c r="H2048"/>
      <c r="I2048"/>
      <c r="J2048"/>
      <c r="K2048"/>
      <c r="L2048"/>
      <c r="M2048"/>
      <c r="S2048" s="54"/>
    </row>
    <row r="2049" spans="1:19" s="15" customFormat="1" x14ac:dyDescent="0.3">
      <c r="A2049" s="17"/>
      <c r="B2049"/>
      <c r="C2049"/>
      <c r="D2049"/>
      <c r="E2049"/>
      <c r="F2049"/>
      <c r="G2049"/>
      <c r="H2049"/>
      <c r="I2049"/>
      <c r="J2049"/>
      <c r="K2049"/>
      <c r="L2049"/>
      <c r="M2049"/>
      <c r="S2049" s="54"/>
    </row>
    <row r="2050" spans="1:19" s="15" customFormat="1" x14ac:dyDescent="0.3">
      <c r="A2050" s="17"/>
      <c r="B2050"/>
      <c r="C2050"/>
      <c r="D2050"/>
      <c r="E2050"/>
      <c r="F2050"/>
      <c r="G2050"/>
      <c r="H2050"/>
      <c r="I2050"/>
      <c r="J2050"/>
      <c r="K2050"/>
      <c r="L2050"/>
      <c r="M2050"/>
      <c r="S2050" s="54"/>
    </row>
    <row r="2051" spans="1:19" s="15" customFormat="1" x14ac:dyDescent="0.3">
      <c r="A2051" s="17"/>
      <c r="B2051"/>
      <c r="C2051"/>
      <c r="D2051"/>
      <c r="E2051"/>
      <c r="F2051"/>
      <c r="G2051"/>
      <c r="H2051"/>
      <c r="I2051"/>
      <c r="J2051"/>
      <c r="K2051"/>
      <c r="L2051"/>
      <c r="M2051"/>
      <c r="S2051" s="54"/>
    </row>
    <row r="2052" spans="1:19" s="15" customFormat="1" x14ac:dyDescent="0.3">
      <c r="A2052" s="17"/>
      <c r="B2052"/>
      <c r="C2052"/>
      <c r="D2052"/>
      <c r="E2052"/>
      <c r="F2052"/>
      <c r="G2052"/>
      <c r="H2052"/>
      <c r="I2052"/>
      <c r="J2052"/>
      <c r="K2052"/>
      <c r="L2052"/>
      <c r="M2052"/>
      <c r="S2052" s="54"/>
    </row>
    <row r="2053" spans="1:19" s="15" customFormat="1" x14ac:dyDescent="0.3">
      <c r="A2053" s="17"/>
      <c r="B2053"/>
      <c r="C2053"/>
      <c r="D2053"/>
      <c r="E2053"/>
      <c r="F2053"/>
      <c r="G2053"/>
      <c r="H2053"/>
      <c r="I2053"/>
      <c r="J2053"/>
      <c r="K2053"/>
      <c r="L2053"/>
      <c r="M2053"/>
      <c r="S2053" s="54"/>
    </row>
    <row r="2054" spans="1:19" s="15" customFormat="1" x14ac:dyDescent="0.3">
      <c r="A2054" s="17"/>
      <c r="B2054"/>
      <c r="C2054"/>
      <c r="D2054"/>
      <c r="E2054"/>
      <c r="F2054"/>
      <c r="G2054"/>
      <c r="H2054"/>
      <c r="I2054"/>
      <c r="J2054"/>
      <c r="K2054"/>
      <c r="L2054"/>
      <c r="M2054"/>
      <c r="S2054" s="54"/>
    </row>
    <row r="2055" spans="1:19" s="15" customFormat="1" x14ac:dyDescent="0.3">
      <c r="A2055" s="17"/>
      <c r="B2055"/>
      <c r="C2055"/>
      <c r="D2055"/>
      <c r="E2055"/>
      <c r="F2055"/>
      <c r="G2055"/>
      <c r="H2055"/>
      <c r="I2055"/>
      <c r="J2055"/>
      <c r="K2055"/>
      <c r="L2055"/>
      <c r="M2055"/>
      <c r="S2055" s="54"/>
    </row>
    <row r="2056" spans="1:19" s="15" customFormat="1" x14ac:dyDescent="0.3">
      <c r="A2056" s="17"/>
      <c r="B2056"/>
      <c r="C2056"/>
      <c r="D2056"/>
      <c r="E2056"/>
      <c r="F2056"/>
      <c r="G2056"/>
      <c r="H2056"/>
      <c r="I2056"/>
      <c r="J2056"/>
      <c r="K2056"/>
      <c r="L2056"/>
      <c r="M2056"/>
      <c r="S2056" s="54"/>
    </row>
    <row r="2057" spans="1:19" s="15" customFormat="1" x14ac:dyDescent="0.3">
      <c r="A2057" s="17"/>
      <c r="B2057"/>
      <c r="C2057"/>
      <c r="D2057"/>
      <c r="E2057"/>
      <c r="F2057"/>
      <c r="G2057"/>
      <c r="H2057"/>
      <c r="I2057"/>
      <c r="J2057"/>
      <c r="K2057"/>
      <c r="L2057"/>
      <c r="M2057"/>
      <c r="S2057" s="54"/>
    </row>
    <row r="2058" spans="1:19" s="15" customFormat="1" x14ac:dyDescent="0.3">
      <c r="A2058" s="17"/>
      <c r="B2058"/>
      <c r="C2058"/>
      <c r="D2058"/>
      <c r="E2058"/>
      <c r="F2058"/>
      <c r="G2058"/>
      <c r="H2058"/>
      <c r="I2058"/>
      <c r="J2058"/>
      <c r="K2058"/>
      <c r="L2058"/>
      <c r="M2058"/>
      <c r="S2058" s="54"/>
    </row>
    <row r="2059" spans="1:19" s="15" customFormat="1" x14ac:dyDescent="0.3">
      <c r="A2059" s="17"/>
      <c r="B2059"/>
      <c r="C2059"/>
      <c r="D2059"/>
      <c r="E2059"/>
      <c r="F2059"/>
      <c r="G2059"/>
      <c r="H2059"/>
      <c r="I2059"/>
      <c r="J2059"/>
      <c r="K2059"/>
      <c r="L2059"/>
      <c r="M2059"/>
      <c r="S2059" s="54"/>
    </row>
    <row r="2060" spans="1:19" s="15" customFormat="1" x14ac:dyDescent="0.3">
      <c r="A2060" s="17"/>
      <c r="B2060"/>
      <c r="C2060"/>
      <c r="D2060"/>
      <c r="E2060"/>
      <c r="F2060"/>
      <c r="G2060"/>
      <c r="H2060"/>
      <c r="I2060"/>
      <c r="J2060"/>
      <c r="K2060"/>
      <c r="L2060"/>
      <c r="M2060"/>
      <c r="S2060" s="54"/>
    </row>
    <row r="2061" spans="1:19" s="15" customFormat="1" x14ac:dyDescent="0.3">
      <c r="A2061" s="17"/>
      <c r="B2061"/>
      <c r="C2061"/>
      <c r="D2061"/>
      <c r="E2061"/>
      <c r="F2061"/>
      <c r="G2061"/>
      <c r="H2061"/>
      <c r="I2061"/>
      <c r="J2061"/>
      <c r="K2061"/>
      <c r="L2061"/>
      <c r="M2061"/>
      <c r="S2061" s="54"/>
    </row>
    <row r="2062" spans="1:19" s="15" customFormat="1" x14ac:dyDescent="0.3">
      <c r="A2062" s="17"/>
      <c r="B2062"/>
      <c r="C2062"/>
      <c r="D2062"/>
      <c r="E2062"/>
      <c r="F2062"/>
      <c r="G2062"/>
      <c r="H2062"/>
      <c r="I2062"/>
      <c r="J2062"/>
      <c r="K2062"/>
      <c r="L2062"/>
      <c r="M2062"/>
      <c r="S2062" s="54"/>
    </row>
    <row r="2063" spans="1:19" s="15" customFormat="1" x14ac:dyDescent="0.3">
      <c r="A2063" s="17"/>
      <c r="B2063"/>
      <c r="C2063"/>
      <c r="D2063"/>
      <c r="E2063"/>
      <c r="F2063"/>
      <c r="G2063"/>
      <c r="H2063"/>
      <c r="I2063"/>
      <c r="J2063"/>
      <c r="K2063"/>
      <c r="L2063"/>
      <c r="M2063"/>
      <c r="S2063" s="54"/>
    </row>
    <row r="2064" spans="1:19" s="15" customFormat="1" x14ac:dyDescent="0.3">
      <c r="A2064" s="17"/>
      <c r="B2064"/>
      <c r="C2064"/>
      <c r="D2064"/>
      <c r="E2064"/>
      <c r="F2064"/>
      <c r="G2064"/>
      <c r="H2064"/>
      <c r="I2064"/>
      <c r="J2064"/>
      <c r="K2064"/>
      <c r="L2064"/>
      <c r="M2064"/>
      <c r="S2064" s="54"/>
    </row>
    <row r="2065" spans="1:19" s="15" customFormat="1" x14ac:dyDescent="0.3">
      <c r="A2065" s="17"/>
      <c r="B2065"/>
      <c r="C2065"/>
      <c r="D2065"/>
      <c r="E2065"/>
      <c r="F2065"/>
      <c r="G2065"/>
      <c r="H2065"/>
      <c r="I2065"/>
      <c r="J2065"/>
      <c r="K2065"/>
      <c r="L2065"/>
      <c r="M2065"/>
      <c r="S2065" s="54"/>
    </row>
    <row r="2066" spans="1:19" s="15" customFormat="1" x14ac:dyDescent="0.3">
      <c r="A2066" s="17"/>
      <c r="B2066"/>
      <c r="C2066"/>
      <c r="D2066"/>
      <c r="E2066"/>
      <c r="F2066"/>
      <c r="G2066"/>
      <c r="H2066"/>
      <c r="I2066"/>
      <c r="J2066"/>
      <c r="K2066"/>
      <c r="L2066"/>
      <c r="M2066"/>
      <c r="S2066" s="54"/>
    </row>
    <row r="2067" spans="1:19" s="15" customFormat="1" x14ac:dyDescent="0.3">
      <c r="A2067" s="17"/>
      <c r="B2067"/>
      <c r="C2067"/>
      <c r="D2067"/>
      <c r="E2067"/>
      <c r="F2067"/>
      <c r="G2067"/>
      <c r="H2067"/>
      <c r="I2067"/>
      <c r="J2067"/>
      <c r="K2067"/>
      <c r="L2067"/>
      <c r="M2067"/>
      <c r="S2067" s="54"/>
    </row>
    <row r="2068" spans="1:19" s="15" customFormat="1" x14ac:dyDescent="0.3">
      <c r="A2068" s="17"/>
      <c r="B2068"/>
      <c r="C2068"/>
      <c r="D2068"/>
      <c r="E2068"/>
      <c r="F2068"/>
      <c r="G2068"/>
      <c r="H2068"/>
      <c r="I2068"/>
      <c r="J2068"/>
      <c r="K2068"/>
      <c r="L2068"/>
      <c r="M2068"/>
      <c r="S2068" s="54"/>
    </row>
    <row r="2069" spans="1:19" s="15" customFormat="1" x14ac:dyDescent="0.3">
      <c r="A2069" s="17"/>
      <c r="B2069"/>
      <c r="C2069"/>
      <c r="D2069"/>
      <c r="E2069"/>
      <c r="F2069"/>
      <c r="G2069"/>
      <c r="H2069"/>
      <c r="I2069"/>
      <c r="J2069"/>
      <c r="K2069"/>
      <c r="L2069"/>
      <c r="M2069"/>
      <c r="S2069" s="54"/>
    </row>
    <row r="2070" spans="1:19" s="15" customFormat="1" x14ac:dyDescent="0.3">
      <c r="A2070" s="17"/>
      <c r="B2070"/>
      <c r="C2070"/>
      <c r="D2070"/>
      <c r="E2070"/>
      <c r="F2070"/>
      <c r="G2070"/>
      <c r="H2070"/>
      <c r="I2070"/>
      <c r="J2070"/>
      <c r="K2070"/>
      <c r="L2070"/>
      <c r="M2070"/>
      <c r="S2070" s="54"/>
    </row>
    <row r="2071" spans="1:19" s="15" customFormat="1" x14ac:dyDescent="0.3">
      <c r="A2071" s="17"/>
      <c r="B2071"/>
      <c r="C2071"/>
      <c r="D2071"/>
      <c r="E2071"/>
      <c r="F2071"/>
      <c r="G2071"/>
      <c r="H2071"/>
      <c r="I2071"/>
      <c r="J2071"/>
      <c r="K2071"/>
      <c r="L2071"/>
      <c r="M2071"/>
      <c r="S2071" s="54"/>
    </row>
    <row r="2072" spans="1:19" s="15" customFormat="1" x14ac:dyDescent="0.3">
      <c r="A2072" s="17"/>
      <c r="B2072"/>
      <c r="C2072"/>
      <c r="D2072"/>
      <c r="E2072"/>
      <c r="F2072"/>
      <c r="G2072"/>
      <c r="H2072"/>
      <c r="I2072"/>
      <c r="J2072"/>
      <c r="K2072"/>
      <c r="L2072"/>
      <c r="M2072"/>
      <c r="S2072" s="54"/>
    </row>
    <row r="2073" spans="1:19" s="15" customFormat="1" x14ac:dyDescent="0.3">
      <c r="A2073" s="17"/>
      <c r="B2073"/>
      <c r="C2073"/>
      <c r="D2073"/>
      <c r="E2073"/>
      <c r="F2073"/>
      <c r="G2073"/>
      <c r="H2073"/>
      <c r="I2073"/>
      <c r="J2073"/>
      <c r="K2073"/>
      <c r="L2073"/>
      <c r="M2073"/>
      <c r="S2073" s="54"/>
    </row>
    <row r="2074" spans="1:19" s="15" customFormat="1" x14ac:dyDescent="0.3">
      <c r="A2074" s="17"/>
      <c r="B2074"/>
      <c r="C2074"/>
      <c r="D2074"/>
      <c r="E2074"/>
      <c r="F2074"/>
      <c r="G2074"/>
      <c r="H2074"/>
      <c r="I2074"/>
      <c r="J2074"/>
      <c r="K2074"/>
      <c r="L2074"/>
      <c r="M2074"/>
      <c r="S2074" s="54"/>
    </row>
    <row r="2075" spans="1:19" s="15" customFormat="1" x14ac:dyDescent="0.3">
      <c r="A2075" s="17"/>
      <c r="B2075"/>
      <c r="C2075"/>
      <c r="D2075"/>
      <c r="E2075"/>
      <c r="F2075"/>
      <c r="G2075"/>
      <c r="H2075"/>
      <c r="I2075"/>
      <c r="J2075"/>
      <c r="K2075"/>
      <c r="L2075"/>
      <c r="M2075"/>
      <c r="S2075" s="54"/>
    </row>
    <row r="2076" spans="1:19" s="15" customFormat="1" x14ac:dyDescent="0.3">
      <c r="A2076" s="17"/>
      <c r="B2076"/>
      <c r="C2076"/>
      <c r="D2076"/>
      <c r="E2076"/>
      <c r="F2076"/>
      <c r="G2076"/>
      <c r="H2076"/>
      <c r="I2076"/>
      <c r="J2076"/>
      <c r="K2076"/>
      <c r="L2076"/>
      <c r="M2076"/>
      <c r="S2076" s="54"/>
    </row>
    <row r="2077" spans="1:19" s="15" customFormat="1" x14ac:dyDescent="0.3">
      <c r="A2077" s="17"/>
      <c r="B2077"/>
      <c r="C2077"/>
      <c r="D2077"/>
      <c r="E2077"/>
      <c r="F2077"/>
      <c r="G2077"/>
      <c r="H2077"/>
      <c r="I2077"/>
      <c r="J2077"/>
      <c r="K2077"/>
      <c r="L2077"/>
      <c r="M2077"/>
      <c r="S2077" s="54"/>
    </row>
    <row r="2078" spans="1:19" s="15" customFormat="1" x14ac:dyDescent="0.3">
      <c r="A2078" s="17"/>
      <c r="B2078"/>
      <c r="C2078"/>
      <c r="D2078"/>
      <c r="E2078"/>
      <c r="F2078"/>
      <c r="G2078"/>
      <c r="H2078"/>
      <c r="I2078"/>
      <c r="J2078"/>
      <c r="K2078"/>
      <c r="L2078"/>
      <c r="M2078"/>
      <c r="S2078" s="54"/>
    </row>
    <row r="2079" spans="1:19" s="15" customFormat="1" x14ac:dyDescent="0.3">
      <c r="A2079" s="17"/>
      <c r="B2079"/>
      <c r="C2079"/>
      <c r="D2079"/>
      <c r="E2079"/>
      <c r="F2079"/>
      <c r="G2079"/>
      <c r="H2079"/>
      <c r="I2079"/>
      <c r="J2079"/>
      <c r="K2079"/>
      <c r="L2079"/>
      <c r="M2079"/>
      <c r="S2079" s="54"/>
    </row>
    <row r="2080" spans="1:19" s="15" customFormat="1" x14ac:dyDescent="0.3">
      <c r="A2080" s="17"/>
      <c r="B2080"/>
      <c r="C2080"/>
      <c r="D2080"/>
      <c r="E2080"/>
      <c r="F2080"/>
      <c r="G2080"/>
      <c r="H2080"/>
      <c r="I2080"/>
      <c r="J2080"/>
      <c r="K2080"/>
      <c r="L2080"/>
      <c r="M2080"/>
      <c r="S2080" s="54"/>
    </row>
    <row r="2081" spans="1:19" s="15" customFormat="1" x14ac:dyDescent="0.3">
      <c r="A2081" s="17"/>
      <c r="B2081"/>
      <c r="C2081"/>
      <c r="D2081"/>
      <c r="E2081"/>
      <c r="F2081"/>
      <c r="G2081"/>
      <c r="H2081"/>
      <c r="I2081"/>
      <c r="J2081"/>
      <c r="K2081"/>
      <c r="L2081"/>
      <c r="M2081"/>
      <c r="S2081" s="54"/>
    </row>
    <row r="2082" spans="1:19" s="15" customFormat="1" x14ac:dyDescent="0.3">
      <c r="A2082" s="17"/>
      <c r="B2082"/>
      <c r="C2082"/>
      <c r="D2082"/>
      <c r="E2082"/>
      <c r="F2082"/>
      <c r="G2082"/>
      <c r="H2082"/>
      <c r="I2082"/>
      <c r="J2082"/>
      <c r="K2082"/>
      <c r="L2082"/>
      <c r="M2082"/>
      <c r="S2082" s="54"/>
    </row>
    <row r="2083" spans="1:19" s="15" customFormat="1" x14ac:dyDescent="0.3">
      <c r="A2083" s="17"/>
      <c r="B2083"/>
      <c r="C2083"/>
      <c r="D2083"/>
      <c r="E2083"/>
      <c r="F2083"/>
      <c r="G2083"/>
      <c r="H2083"/>
      <c r="I2083"/>
      <c r="J2083"/>
      <c r="K2083"/>
      <c r="L2083"/>
      <c r="M2083"/>
      <c r="S2083" s="54"/>
    </row>
    <row r="2084" spans="1:19" s="15" customFormat="1" x14ac:dyDescent="0.3">
      <c r="A2084" s="17"/>
      <c r="B2084"/>
      <c r="C2084"/>
      <c r="D2084"/>
      <c r="E2084"/>
      <c r="F2084"/>
      <c r="G2084"/>
      <c r="H2084"/>
      <c r="I2084"/>
      <c r="J2084"/>
      <c r="K2084"/>
      <c r="L2084"/>
      <c r="M2084"/>
      <c r="S2084" s="54"/>
    </row>
    <row r="2085" spans="1:19" s="15" customFormat="1" x14ac:dyDescent="0.3">
      <c r="A2085" s="17"/>
      <c r="B2085"/>
      <c r="C2085"/>
      <c r="D2085"/>
      <c r="E2085"/>
      <c r="F2085"/>
      <c r="G2085"/>
      <c r="H2085"/>
      <c r="I2085"/>
      <c r="J2085"/>
      <c r="K2085"/>
      <c r="L2085"/>
      <c r="M2085"/>
      <c r="S2085" s="54"/>
    </row>
    <row r="2086" spans="1:19" s="15" customFormat="1" x14ac:dyDescent="0.3">
      <c r="A2086" s="17"/>
      <c r="B2086"/>
      <c r="C2086"/>
      <c r="D2086"/>
      <c r="E2086"/>
      <c r="F2086"/>
      <c r="G2086"/>
      <c r="H2086"/>
      <c r="I2086"/>
      <c r="J2086"/>
      <c r="K2086"/>
      <c r="L2086"/>
      <c r="M2086"/>
      <c r="S2086" s="54"/>
    </row>
    <row r="2087" spans="1:19" s="15" customFormat="1" x14ac:dyDescent="0.3">
      <c r="A2087" s="17"/>
      <c r="B2087"/>
      <c r="C2087"/>
      <c r="D2087"/>
      <c r="E2087"/>
      <c r="F2087"/>
      <c r="G2087"/>
      <c r="H2087"/>
      <c r="I2087"/>
      <c r="J2087"/>
      <c r="K2087"/>
      <c r="L2087"/>
      <c r="M2087"/>
      <c r="S2087" s="54"/>
    </row>
    <row r="2088" spans="1:19" s="15" customFormat="1" x14ac:dyDescent="0.3">
      <c r="A2088" s="17"/>
      <c r="B2088"/>
      <c r="C2088"/>
      <c r="D2088"/>
      <c r="E2088"/>
      <c r="F2088"/>
      <c r="G2088"/>
      <c r="H2088"/>
      <c r="I2088"/>
      <c r="J2088"/>
      <c r="K2088"/>
      <c r="L2088"/>
      <c r="M2088"/>
      <c r="S2088" s="54"/>
    </row>
    <row r="2089" spans="1:19" s="15" customFormat="1" x14ac:dyDescent="0.3">
      <c r="A2089" s="17"/>
      <c r="B2089"/>
      <c r="C2089"/>
      <c r="D2089"/>
      <c r="E2089"/>
      <c r="F2089"/>
      <c r="G2089"/>
      <c r="H2089"/>
      <c r="I2089"/>
      <c r="J2089"/>
      <c r="K2089"/>
      <c r="L2089"/>
      <c r="M2089"/>
      <c r="S2089" s="54"/>
    </row>
    <row r="2090" spans="1:19" s="15" customFormat="1" x14ac:dyDescent="0.3">
      <c r="A2090" s="17"/>
      <c r="B2090"/>
      <c r="C2090"/>
      <c r="D2090"/>
      <c r="E2090"/>
      <c r="F2090"/>
      <c r="G2090"/>
      <c r="H2090"/>
      <c r="I2090"/>
      <c r="J2090"/>
      <c r="K2090"/>
      <c r="L2090"/>
      <c r="M2090"/>
      <c r="S2090" s="54"/>
    </row>
    <row r="2091" spans="1:19" s="15" customFormat="1" x14ac:dyDescent="0.3">
      <c r="A2091" s="17"/>
      <c r="B2091"/>
      <c r="C2091"/>
      <c r="D2091"/>
      <c r="E2091"/>
      <c r="F2091"/>
      <c r="G2091"/>
      <c r="H2091"/>
      <c r="I2091"/>
      <c r="J2091"/>
      <c r="K2091"/>
      <c r="L2091"/>
      <c r="M2091"/>
      <c r="S2091" s="54"/>
    </row>
    <row r="2092" spans="1:19" s="15" customFormat="1" x14ac:dyDescent="0.3">
      <c r="A2092" s="17"/>
      <c r="B2092"/>
      <c r="C2092"/>
      <c r="D2092"/>
      <c r="E2092"/>
      <c r="F2092"/>
      <c r="G2092"/>
      <c r="H2092"/>
      <c r="I2092"/>
      <c r="J2092"/>
      <c r="K2092"/>
      <c r="L2092"/>
      <c r="M2092"/>
      <c r="S2092" s="54"/>
    </row>
    <row r="2093" spans="1:19" s="15" customFormat="1" x14ac:dyDescent="0.3">
      <c r="A2093" s="17"/>
      <c r="B2093"/>
      <c r="C2093"/>
      <c r="D2093"/>
      <c r="E2093"/>
      <c r="F2093"/>
      <c r="G2093"/>
      <c r="H2093"/>
      <c r="I2093"/>
      <c r="J2093"/>
      <c r="K2093"/>
      <c r="L2093"/>
      <c r="M2093"/>
      <c r="S2093" s="54"/>
    </row>
    <row r="2094" spans="1:19" s="15" customFormat="1" x14ac:dyDescent="0.3">
      <c r="A2094" s="17"/>
      <c r="B2094"/>
      <c r="C2094"/>
      <c r="D2094"/>
      <c r="E2094"/>
      <c r="F2094"/>
      <c r="G2094"/>
      <c r="H2094"/>
      <c r="I2094"/>
      <c r="J2094"/>
      <c r="K2094"/>
      <c r="L2094"/>
      <c r="M2094"/>
      <c r="S2094" s="54"/>
    </row>
    <row r="2095" spans="1:19" s="15" customFormat="1" x14ac:dyDescent="0.3">
      <c r="A2095" s="17"/>
      <c r="B2095"/>
      <c r="C2095"/>
      <c r="D2095"/>
      <c r="E2095"/>
      <c r="F2095"/>
      <c r="G2095"/>
      <c r="H2095"/>
      <c r="I2095"/>
      <c r="J2095"/>
      <c r="K2095"/>
      <c r="L2095"/>
      <c r="M2095"/>
      <c r="S2095" s="54"/>
    </row>
    <row r="2096" spans="1:19" s="15" customFormat="1" x14ac:dyDescent="0.3">
      <c r="A2096" s="17"/>
      <c r="B2096"/>
      <c r="C2096"/>
      <c r="D2096"/>
      <c r="E2096"/>
      <c r="F2096"/>
      <c r="G2096"/>
      <c r="H2096"/>
      <c r="I2096"/>
      <c r="J2096"/>
      <c r="K2096"/>
      <c r="L2096"/>
      <c r="M2096"/>
      <c r="S2096" s="54"/>
    </row>
    <row r="2097" spans="1:19" s="15" customFormat="1" x14ac:dyDescent="0.3">
      <c r="A2097" s="17"/>
      <c r="B2097"/>
      <c r="C2097"/>
      <c r="D2097"/>
      <c r="E2097"/>
      <c r="F2097"/>
      <c r="G2097"/>
      <c r="H2097"/>
      <c r="I2097"/>
      <c r="J2097"/>
      <c r="K2097"/>
      <c r="L2097"/>
      <c r="M2097"/>
      <c r="S2097" s="54"/>
    </row>
    <row r="2098" spans="1:19" s="15" customFormat="1" x14ac:dyDescent="0.3">
      <c r="A2098" s="17"/>
      <c r="B2098"/>
      <c r="C2098"/>
      <c r="D2098"/>
      <c r="E2098"/>
      <c r="F2098"/>
      <c r="G2098"/>
      <c r="H2098"/>
      <c r="I2098"/>
      <c r="J2098"/>
      <c r="K2098"/>
      <c r="L2098"/>
      <c r="M2098"/>
      <c r="S2098" s="54"/>
    </row>
    <row r="2099" spans="1:19" s="15" customFormat="1" x14ac:dyDescent="0.3">
      <c r="A2099" s="17"/>
      <c r="B2099"/>
      <c r="C2099"/>
      <c r="D2099"/>
      <c r="E2099"/>
      <c r="F2099"/>
      <c r="G2099"/>
      <c r="H2099"/>
      <c r="I2099"/>
      <c r="J2099"/>
      <c r="K2099"/>
      <c r="L2099"/>
      <c r="M2099"/>
      <c r="S2099" s="54"/>
    </row>
    <row r="2100" spans="1:19" s="15" customFormat="1" x14ac:dyDescent="0.3">
      <c r="A2100" s="17"/>
      <c r="B2100"/>
      <c r="C2100"/>
      <c r="D2100"/>
      <c r="E2100"/>
      <c r="F2100"/>
      <c r="G2100"/>
      <c r="H2100"/>
      <c r="I2100"/>
      <c r="J2100"/>
      <c r="K2100"/>
      <c r="L2100"/>
      <c r="M2100"/>
      <c r="S2100" s="54"/>
    </row>
    <row r="2101" spans="1:19" s="15" customFormat="1" x14ac:dyDescent="0.3">
      <c r="A2101" s="17"/>
      <c r="B2101"/>
      <c r="C2101"/>
      <c r="D2101"/>
      <c r="E2101"/>
      <c r="F2101"/>
      <c r="G2101"/>
      <c r="H2101"/>
      <c r="I2101"/>
      <c r="J2101"/>
      <c r="K2101"/>
      <c r="L2101"/>
      <c r="M2101"/>
      <c r="S2101" s="54"/>
    </row>
    <row r="2102" spans="1:19" s="15" customFormat="1" x14ac:dyDescent="0.3">
      <c r="A2102" s="17"/>
      <c r="B2102"/>
      <c r="C2102"/>
      <c r="D2102"/>
      <c r="E2102"/>
      <c r="F2102"/>
      <c r="G2102"/>
      <c r="H2102"/>
      <c r="I2102"/>
      <c r="J2102"/>
      <c r="K2102"/>
      <c r="L2102"/>
      <c r="M2102"/>
      <c r="S2102" s="54"/>
    </row>
    <row r="2103" spans="1:19" s="15" customFormat="1" x14ac:dyDescent="0.3">
      <c r="A2103" s="17"/>
      <c r="B2103"/>
      <c r="C2103"/>
      <c r="D2103"/>
      <c r="E2103"/>
      <c r="F2103"/>
      <c r="G2103"/>
      <c r="H2103"/>
      <c r="I2103"/>
      <c r="J2103"/>
      <c r="K2103"/>
      <c r="L2103"/>
      <c r="M2103"/>
      <c r="S2103" s="54"/>
    </row>
    <row r="2104" spans="1:19" s="15" customFormat="1" x14ac:dyDescent="0.3">
      <c r="A2104" s="17"/>
      <c r="B2104"/>
      <c r="C2104"/>
      <c r="D2104"/>
      <c r="E2104"/>
      <c r="F2104"/>
      <c r="G2104"/>
      <c r="H2104"/>
      <c r="I2104"/>
      <c r="J2104"/>
      <c r="K2104"/>
      <c r="L2104"/>
      <c r="M2104"/>
      <c r="S2104" s="54"/>
    </row>
    <row r="2105" spans="1:19" s="15" customFormat="1" x14ac:dyDescent="0.3">
      <c r="A2105" s="17"/>
      <c r="B2105"/>
      <c r="C2105"/>
      <c r="D2105"/>
      <c r="E2105"/>
      <c r="F2105"/>
      <c r="G2105"/>
      <c r="H2105"/>
      <c r="I2105"/>
      <c r="J2105"/>
      <c r="K2105"/>
      <c r="L2105"/>
      <c r="M2105"/>
      <c r="S2105" s="54"/>
    </row>
    <row r="2106" spans="1:19" s="15" customFormat="1" x14ac:dyDescent="0.3">
      <c r="A2106" s="17"/>
      <c r="B2106"/>
      <c r="C2106"/>
      <c r="D2106"/>
      <c r="E2106"/>
      <c r="F2106"/>
      <c r="G2106"/>
      <c r="H2106"/>
      <c r="I2106"/>
      <c r="J2106"/>
      <c r="K2106"/>
      <c r="L2106"/>
      <c r="M2106"/>
      <c r="S2106" s="54"/>
    </row>
    <row r="2107" spans="1:19" s="15" customFormat="1" x14ac:dyDescent="0.3">
      <c r="A2107" s="17"/>
      <c r="B2107"/>
      <c r="C2107"/>
      <c r="D2107"/>
      <c r="E2107"/>
      <c r="F2107"/>
      <c r="G2107"/>
      <c r="H2107"/>
      <c r="I2107"/>
      <c r="J2107"/>
      <c r="K2107"/>
      <c r="L2107"/>
      <c r="M2107"/>
      <c r="S2107" s="54"/>
    </row>
    <row r="2108" spans="1:19" s="15" customFormat="1" x14ac:dyDescent="0.3">
      <c r="A2108" s="17"/>
      <c r="B2108"/>
      <c r="C2108"/>
      <c r="D2108"/>
      <c r="E2108"/>
      <c r="F2108"/>
      <c r="G2108"/>
      <c r="H2108"/>
      <c r="I2108"/>
      <c r="J2108"/>
      <c r="K2108"/>
      <c r="L2108"/>
      <c r="M2108"/>
      <c r="S2108" s="54"/>
    </row>
    <row r="2109" spans="1:19" s="15" customFormat="1" x14ac:dyDescent="0.3">
      <c r="A2109" s="17"/>
      <c r="B2109"/>
      <c r="C2109"/>
      <c r="D2109"/>
      <c r="E2109"/>
      <c r="F2109"/>
      <c r="G2109"/>
      <c r="H2109"/>
      <c r="I2109"/>
      <c r="J2109"/>
      <c r="K2109"/>
      <c r="L2109"/>
      <c r="M2109"/>
      <c r="S2109" s="54"/>
    </row>
    <row r="2110" spans="1:19" s="15" customFormat="1" x14ac:dyDescent="0.3">
      <c r="A2110" s="17"/>
      <c r="B2110"/>
      <c r="C2110"/>
      <c r="D2110"/>
      <c r="E2110"/>
      <c r="F2110"/>
      <c r="G2110"/>
      <c r="H2110"/>
      <c r="I2110"/>
      <c r="J2110"/>
      <c r="K2110"/>
      <c r="L2110"/>
      <c r="M2110"/>
      <c r="S2110" s="54"/>
    </row>
    <row r="2111" spans="1:19" s="15" customFormat="1" x14ac:dyDescent="0.3">
      <c r="A2111" s="17"/>
      <c r="B2111"/>
      <c r="C2111"/>
      <c r="D2111"/>
      <c r="E2111"/>
      <c r="F2111"/>
      <c r="G2111"/>
      <c r="H2111"/>
      <c r="I2111"/>
      <c r="J2111"/>
      <c r="K2111"/>
      <c r="L2111"/>
      <c r="M2111"/>
      <c r="S2111" s="54"/>
    </row>
    <row r="2112" spans="1:19" s="15" customFormat="1" x14ac:dyDescent="0.3">
      <c r="A2112" s="17"/>
      <c r="B2112"/>
      <c r="C2112"/>
      <c r="D2112"/>
      <c r="E2112"/>
      <c r="F2112"/>
      <c r="G2112"/>
      <c r="H2112"/>
      <c r="I2112"/>
      <c r="J2112"/>
      <c r="K2112"/>
      <c r="L2112"/>
      <c r="M2112"/>
      <c r="S2112" s="54"/>
    </row>
    <row r="2113" spans="1:19" s="15" customFormat="1" x14ac:dyDescent="0.3">
      <c r="A2113" s="17"/>
      <c r="B2113"/>
      <c r="C2113"/>
      <c r="D2113"/>
      <c r="E2113"/>
      <c r="F2113"/>
      <c r="G2113"/>
      <c r="H2113"/>
      <c r="I2113"/>
      <c r="J2113"/>
      <c r="K2113"/>
      <c r="L2113"/>
      <c r="M2113"/>
      <c r="S2113" s="54"/>
    </row>
    <row r="2114" spans="1:19" s="15" customFormat="1" x14ac:dyDescent="0.3">
      <c r="A2114" s="17"/>
      <c r="B2114"/>
      <c r="C2114"/>
      <c r="D2114"/>
      <c r="E2114"/>
      <c r="F2114"/>
      <c r="G2114"/>
      <c r="H2114"/>
      <c r="I2114"/>
      <c r="J2114"/>
      <c r="K2114"/>
      <c r="L2114"/>
      <c r="M2114"/>
      <c r="S2114" s="54"/>
    </row>
    <row r="2115" spans="1:19" s="15" customFormat="1" x14ac:dyDescent="0.3">
      <c r="A2115" s="17"/>
      <c r="B2115"/>
      <c r="C2115"/>
      <c r="D2115"/>
      <c r="E2115"/>
      <c r="F2115"/>
      <c r="G2115"/>
      <c r="H2115"/>
      <c r="I2115"/>
      <c r="J2115"/>
      <c r="K2115"/>
      <c r="L2115"/>
      <c r="M2115"/>
      <c r="S2115" s="54"/>
    </row>
    <row r="2116" spans="1:19" s="15" customFormat="1" x14ac:dyDescent="0.3">
      <c r="A2116" s="17"/>
      <c r="B2116"/>
      <c r="C2116"/>
      <c r="D2116"/>
      <c r="E2116"/>
      <c r="F2116"/>
      <c r="G2116"/>
      <c r="H2116"/>
      <c r="I2116"/>
      <c r="J2116"/>
      <c r="K2116"/>
      <c r="L2116"/>
      <c r="M2116"/>
      <c r="S2116" s="54"/>
    </row>
    <row r="2117" spans="1:19" s="15" customFormat="1" x14ac:dyDescent="0.3">
      <c r="A2117" s="17"/>
      <c r="B2117"/>
      <c r="C2117"/>
      <c r="D2117"/>
      <c r="E2117"/>
      <c r="F2117"/>
      <c r="G2117"/>
      <c r="H2117"/>
      <c r="I2117"/>
      <c r="J2117"/>
      <c r="K2117"/>
      <c r="L2117"/>
      <c r="M2117"/>
      <c r="S2117" s="54"/>
    </row>
    <row r="2118" spans="1:19" s="15" customFormat="1" x14ac:dyDescent="0.3">
      <c r="A2118" s="17"/>
      <c r="B2118"/>
      <c r="C2118"/>
      <c r="D2118"/>
      <c r="E2118"/>
      <c r="F2118"/>
      <c r="G2118"/>
      <c r="H2118"/>
      <c r="I2118"/>
      <c r="J2118"/>
      <c r="K2118"/>
      <c r="L2118"/>
      <c r="M2118"/>
      <c r="S2118" s="54"/>
    </row>
    <row r="2119" spans="1:19" s="15" customFormat="1" x14ac:dyDescent="0.3">
      <c r="A2119" s="17"/>
      <c r="B2119"/>
      <c r="C2119"/>
      <c r="D2119"/>
      <c r="E2119"/>
      <c r="F2119"/>
      <c r="G2119"/>
      <c r="H2119"/>
      <c r="I2119"/>
      <c r="J2119"/>
      <c r="K2119"/>
      <c r="L2119"/>
      <c r="M2119"/>
      <c r="S2119" s="54"/>
    </row>
    <row r="2120" spans="1:19" s="15" customFormat="1" x14ac:dyDescent="0.3">
      <c r="A2120" s="17"/>
      <c r="B2120"/>
      <c r="C2120"/>
      <c r="D2120"/>
      <c r="E2120"/>
      <c r="F2120"/>
      <c r="G2120"/>
      <c r="H2120"/>
      <c r="I2120"/>
      <c r="J2120"/>
      <c r="K2120"/>
      <c r="L2120"/>
      <c r="M2120"/>
      <c r="S2120" s="54"/>
    </row>
    <row r="2121" spans="1:19" s="15" customFormat="1" x14ac:dyDescent="0.3">
      <c r="A2121" s="17"/>
      <c r="B2121"/>
      <c r="C2121"/>
      <c r="D2121"/>
      <c r="E2121"/>
      <c r="F2121"/>
      <c r="G2121"/>
      <c r="H2121"/>
      <c r="I2121"/>
      <c r="J2121"/>
      <c r="K2121"/>
      <c r="L2121"/>
      <c r="M2121"/>
      <c r="S2121" s="54"/>
    </row>
    <row r="2122" spans="1:19" s="15" customFormat="1" x14ac:dyDescent="0.3">
      <c r="A2122" s="17"/>
      <c r="B2122"/>
      <c r="C2122"/>
      <c r="D2122"/>
      <c r="E2122"/>
      <c r="F2122"/>
      <c r="G2122"/>
      <c r="H2122"/>
      <c r="I2122"/>
      <c r="J2122"/>
      <c r="K2122"/>
      <c r="L2122"/>
      <c r="M2122"/>
      <c r="S2122" s="54"/>
    </row>
    <row r="2123" spans="1:19" s="15" customFormat="1" x14ac:dyDescent="0.3">
      <c r="A2123" s="17"/>
      <c r="B2123"/>
      <c r="C2123"/>
      <c r="D2123"/>
      <c r="E2123"/>
      <c r="F2123"/>
      <c r="G2123"/>
      <c r="H2123"/>
      <c r="I2123"/>
      <c r="J2123"/>
      <c r="K2123"/>
      <c r="L2123"/>
      <c r="M2123"/>
      <c r="S2123" s="54"/>
    </row>
    <row r="2124" spans="1:19" s="15" customFormat="1" x14ac:dyDescent="0.3">
      <c r="A2124" s="17"/>
      <c r="B2124"/>
      <c r="C2124"/>
      <c r="D2124"/>
      <c r="E2124"/>
      <c r="F2124"/>
      <c r="G2124"/>
      <c r="H2124"/>
      <c r="I2124"/>
      <c r="J2124"/>
      <c r="K2124"/>
      <c r="L2124"/>
      <c r="M2124"/>
      <c r="S2124" s="54"/>
    </row>
    <row r="2125" spans="1:19" s="15" customFormat="1" x14ac:dyDescent="0.3">
      <c r="A2125" s="17"/>
      <c r="B2125"/>
      <c r="C2125"/>
      <c r="D2125"/>
      <c r="E2125"/>
      <c r="F2125"/>
      <c r="G2125"/>
      <c r="H2125"/>
      <c r="I2125"/>
      <c r="J2125"/>
      <c r="K2125"/>
      <c r="L2125"/>
      <c r="M2125"/>
      <c r="S2125" s="54"/>
    </row>
    <row r="2126" spans="1:19" s="15" customFormat="1" x14ac:dyDescent="0.3">
      <c r="A2126" s="17"/>
      <c r="B2126"/>
      <c r="C2126"/>
      <c r="D2126"/>
      <c r="E2126"/>
      <c r="F2126"/>
      <c r="G2126"/>
      <c r="H2126"/>
      <c r="I2126"/>
      <c r="J2126"/>
      <c r="K2126"/>
      <c r="L2126"/>
      <c r="M2126"/>
      <c r="S2126" s="54"/>
    </row>
    <row r="2127" spans="1:19" s="15" customFormat="1" x14ac:dyDescent="0.3">
      <c r="A2127" s="17"/>
      <c r="B2127"/>
      <c r="C2127"/>
      <c r="D2127"/>
      <c r="E2127"/>
      <c r="F2127"/>
      <c r="G2127"/>
      <c r="H2127"/>
      <c r="I2127"/>
      <c r="J2127"/>
      <c r="K2127"/>
      <c r="L2127"/>
      <c r="M2127"/>
      <c r="S2127" s="54"/>
    </row>
    <row r="2128" spans="1:19" s="15" customFormat="1" x14ac:dyDescent="0.3">
      <c r="A2128" s="17"/>
      <c r="B2128"/>
      <c r="C2128"/>
      <c r="D2128"/>
      <c r="E2128"/>
      <c r="F2128"/>
      <c r="G2128"/>
      <c r="H2128"/>
      <c r="I2128"/>
      <c r="J2128"/>
      <c r="K2128"/>
      <c r="L2128"/>
      <c r="M2128"/>
      <c r="S2128" s="54"/>
    </row>
    <row r="2129" spans="1:19" s="15" customFormat="1" x14ac:dyDescent="0.3">
      <c r="A2129" s="17"/>
      <c r="B2129"/>
      <c r="C2129"/>
      <c r="D2129"/>
      <c r="E2129"/>
      <c r="F2129"/>
      <c r="G2129"/>
      <c r="H2129"/>
      <c r="I2129"/>
      <c r="J2129"/>
      <c r="K2129"/>
      <c r="L2129"/>
      <c r="M2129"/>
      <c r="S2129" s="54"/>
    </row>
    <row r="2130" spans="1:19" s="15" customFormat="1" x14ac:dyDescent="0.3">
      <c r="A2130" s="17"/>
      <c r="B2130"/>
      <c r="C2130"/>
      <c r="D2130"/>
      <c r="E2130"/>
      <c r="F2130"/>
      <c r="G2130"/>
      <c r="H2130"/>
      <c r="I2130"/>
      <c r="J2130"/>
      <c r="K2130"/>
      <c r="L2130"/>
      <c r="M2130"/>
      <c r="S2130" s="54"/>
    </row>
    <row r="2131" spans="1:19" s="15" customFormat="1" x14ac:dyDescent="0.3">
      <c r="A2131" s="17"/>
      <c r="B2131"/>
      <c r="C2131"/>
      <c r="D2131"/>
      <c r="E2131"/>
      <c r="F2131"/>
      <c r="G2131"/>
      <c r="H2131"/>
      <c r="I2131"/>
      <c r="J2131"/>
      <c r="K2131"/>
      <c r="L2131"/>
      <c r="M2131"/>
      <c r="S2131" s="54"/>
    </row>
    <row r="2132" spans="1:19" s="15" customFormat="1" x14ac:dyDescent="0.3">
      <c r="A2132" s="17"/>
      <c r="B2132"/>
      <c r="C2132"/>
      <c r="D2132"/>
      <c r="E2132"/>
      <c r="F2132"/>
      <c r="G2132"/>
      <c r="H2132"/>
      <c r="I2132"/>
      <c r="J2132"/>
      <c r="K2132"/>
      <c r="L2132"/>
      <c r="M2132"/>
      <c r="S2132" s="54"/>
    </row>
    <row r="2133" spans="1:19" s="15" customFormat="1" x14ac:dyDescent="0.3">
      <c r="A2133" s="17"/>
      <c r="B2133"/>
      <c r="C2133"/>
      <c r="D2133"/>
      <c r="E2133"/>
      <c r="F2133"/>
      <c r="G2133"/>
      <c r="H2133"/>
      <c r="I2133"/>
      <c r="J2133"/>
      <c r="K2133"/>
      <c r="L2133"/>
      <c r="M2133"/>
      <c r="S2133" s="54"/>
    </row>
    <row r="2134" spans="1:19" s="15" customFormat="1" x14ac:dyDescent="0.3">
      <c r="A2134" s="17"/>
      <c r="B2134"/>
      <c r="C2134"/>
      <c r="D2134"/>
      <c r="E2134"/>
      <c r="F2134"/>
      <c r="G2134"/>
      <c r="H2134"/>
      <c r="I2134"/>
      <c r="J2134"/>
      <c r="K2134"/>
      <c r="L2134"/>
      <c r="M2134"/>
      <c r="S2134" s="54"/>
    </row>
    <row r="2135" spans="1:19" s="15" customFormat="1" x14ac:dyDescent="0.3">
      <c r="A2135" s="17"/>
      <c r="B2135"/>
      <c r="C2135"/>
      <c r="D2135"/>
      <c r="E2135"/>
      <c r="F2135"/>
      <c r="G2135"/>
      <c r="H2135"/>
      <c r="I2135"/>
      <c r="J2135"/>
      <c r="K2135"/>
      <c r="L2135"/>
      <c r="M2135"/>
      <c r="S2135" s="54"/>
    </row>
    <row r="2136" spans="1:19" s="15" customFormat="1" x14ac:dyDescent="0.3">
      <c r="A2136" s="17"/>
      <c r="B2136"/>
      <c r="C2136"/>
      <c r="D2136"/>
      <c r="E2136"/>
      <c r="F2136"/>
      <c r="G2136"/>
      <c r="H2136"/>
      <c r="I2136"/>
      <c r="J2136"/>
      <c r="K2136"/>
      <c r="L2136"/>
      <c r="M2136"/>
      <c r="S2136" s="54"/>
    </row>
    <row r="2137" spans="1:19" s="15" customFormat="1" x14ac:dyDescent="0.3">
      <c r="A2137" s="17"/>
      <c r="B2137"/>
      <c r="C2137"/>
      <c r="D2137"/>
      <c r="E2137"/>
      <c r="F2137"/>
      <c r="G2137"/>
      <c r="H2137"/>
      <c r="I2137"/>
      <c r="J2137"/>
      <c r="K2137"/>
      <c r="L2137"/>
      <c r="M2137"/>
      <c r="S2137" s="54"/>
    </row>
    <row r="2138" spans="1:19" s="15" customFormat="1" x14ac:dyDescent="0.3">
      <c r="A2138" s="17"/>
      <c r="B2138"/>
      <c r="C2138"/>
      <c r="D2138"/>
      <c r="E2138"/>
      <c r="F2138"/>
      <c r="G2138"/>
      <c r="H2138"/>
      <c r="I2138"/>
      <c r="J2138"/>
      <c r="K2138"/>
      <c r="L2138"/>
      <c r="M2138"/>
      <c r="S2138" s="54"/>
    </row>
    <row r="2139" spans="1:19" s="15" customFormat="1" x14ac:dyDescent="0.3">
      <c r="A2139" s="17"/>
      <c r="B2139"/>
      <c r="C2139"/>
      <c r="D2139"/>
      <c r="E2139"/>
      <c r="F2139"/>
      <c r="G2139"/>
      <c r="H2139"/>
      <c r="I2139"/>
      <c r="J2139"/>
      <c r="K2139"/>
      <c r="L2139"/>
      <c r="M2139"/>
      <c r="S2139" s="54"/>
    </row>
    <row r="2140" spans="1:19" s="15" customFormat="1" x14ac:dyDescent="0.3">
      <c r="A2140" s="17"/>
      <c r="B2140"/>
      <c r="C2140"/>
      <c r="D2140"/>
      <c r="E2140"/>
      <c r="F2140"/>
      <c r="G2140"/>
      <c r="H2140"/>
      <c r="I2140"/>
      <c r="J2140"/>
      <c r="K2140"/>
      <c r="L2140"/>
      <c r="M2140"/>
      <c r="S2140" s="54"/>
    </row>
    <row r="2141" spans="1:19" s="15" customFormat="1" x14ac:dyDescent="0.3">
      <c r="A2141" s="17"/>
      <c r="B2141"/>
      <c r="C2141"/>
      <c r="D2141"/>
      <c r="E2141"/>
      <c r="F2141"/>
      <c r="G2141"/>
      <c r="H2141"/>
      <c r="I2141"/>
      <c r="J2141"/>
      <c r="K2141"/>
      <c r="L2141"/>
      <c r="M2141"/>
      <c r="S2141" s="54"/>
    </row>
    <row r="2142" spans="1:19" s="15" customFormat="1" x14ac:dyDescent="0.3">
      <c r="A2142" s="17"/>
      <c r="B2142"/>
      <c r="C2142"/>
      <c r="D2142"/>
      <c r="E2142"/>
      <c r="F2142"/>
      <c r="G2142"/>
      <c r="H2142"/>
      <c r="I2142"/>
      <c r="J2142"/>
      <c r="K2142"/>
      <c r="L2142"/>
      <c r="M2142"/>
      <c r="S2142" s="54"/>
    </row>
    <row r="2143" spans="1:19" s="15" customFormat="1" x14ac:dyDescent="0.3">
      <c r="A2143" s="17"/>
      <c r="B2143"/>
      <c r="C2143"/>
      <c r="D2143"/>
      <c r="E2143"/>
      <c r="F2143"/>
      <c r="G2143"/>
      <c r="H2143"/>
      <c r="I2143"/>
      <c r="J2143"/>
      <c r="K2143"/>
      <c r="L2143"/>
      <c r="M2143"/>
      <c r="S2143" s="54"/>
    </row>
    <row r="2144" spans="1:19" s="15" customFormat="1" x14ac:dyDescent="0.3">
      <c r="A2144" s="17"/>
      <c r="B2144"/>
      <c r="C2144"/>
      <c r="D2144"/>
      <c r="E2144"/>
      <c r="F2144"/>
      <c r="G2144"/>
      <c r="H2144"/>
      <c r="I2144"/>
      <c r="J2144"/>
      <c r="K2144"/>
      <c r="L2144"/>
      <c r="M2144"/>
      <c r="S2144" s="54"/>
    </row>
    <row r="2145" spans="1:19" s="15" customFormat="1" x14ac:dyDescent="0.3">
      <c r="A2145" s="17"/>
      <c r="B2145"/>
      <c r="C2145"/>
      <c r="D2145"/>
      <c r="E2145"/>
      <c r="F2145"/>
      <c r="G2145"/>
      <c r="H2145"/>
      <c r="I2145"/>
      <c r="J2145"/>
      <c r="K2145"/>
      <c r="L2145"/>
      <c r="M2145"/>
      <c r="S2145" s="54"/>
    </row>
    <row r="2146" spans="1:19" s="15" customFormat="1" x14ac:dyDescent="0.3">
      <c r="A2146" s="17"/>
      <c r="B2146"/>
      <c r="C2146"/>
      <c r="D2146"/>
      <c r="E2146"/>
      <c r="F2146"/>
      <c r="G2146"/>
      <c r="H2146"/>
      <c r="I2146"/>
      <c r="J2146"/>
      <c r="K2146"/>
      <c r="L2146"/>
      <c r="M2146"/>
      <c r="S2146" s="54"/>
    </row>
    <row r="2147" spans="1:19" s="15" customFormat="1" x14ac:dyDescent="0.3">
      <c r="A2147" s="17"/>
      <c r="B2147"/>
      <c r="C2147"/>
      <c r="D2147"/>
      <c r="E2147"/>
      <c r="F2147"/>
      <c r="G2147"/>
      <c r="H2147"/>
      <c r="I2147"/>
      <c r="J2147"/>
      <c r="K2147"/>
      <c r="L2147"/>
      <c r="M2147"/>
      <c r="S2147" s="54"/>
    </row>
    <row r="2148" spans="1:19" s="15" customFormat="1" x14ac:dyDescent="0.3">
      <c r="A2148" s="17"/>
      <c r="B2148"/>
      <c r="C2148"/>
      <c r="D2148"/>
      <c r="E2148"/>
      <c r="F2148"/>
      <c r="G2148"/>
      <c r="H2148"/>
      <c r="I2148"/>
      <c r="J2148"/>
      <c r="K2148"/>
      <c r="L2148"/>
      <c r="M2148"/>
      <c r="S2148" s="54"/>
    </row>
    <row r="2149" spans="1:19" s="15" customFormat="1" x14ac:dyDescent="0.3">
      <c r="A2149" s="17"/>
      <c r="B2149"/>
      <c r="C2149"/>
      <c r="D2149"/>
      <c r="E2149"/>
      <c r="F2149"/>
      <c r="G2149"/>
      <c r="H2149"/>
      <c r="I2149"/>
      <c r="J2149"/>
      <c r="K2149"/>
      <c r="L2149"/>
      <c r="M2149"/>
      <c r="S2149" s="54"/>
    </row>
    <row r="2150" spans="1:19" s="15" customFormat="1" x14ac:dyDescent="0.3">
      <c r="A2150" s="17"/>
      <c r="B2150"/>
      <c r="C2150"/>
      <c r="D2150"/>
      <c r="E2150"/>
      <c r="F2150"/>
      <c r="G2150"/>
      <c r="H2150"/>
      <c r="I2150"/>
      <c r="J2150"/>
      <c r="K2150"/>
      <c r="L2150"/>
      <c r="M2150"/>
      <c r="S2150" s="54"/>
    </row>
    <row r="2151" spans="1:19" s="15" customFormat="1" x14ac:dyDescent="0.3">
      <c r="A2151" s="17"/>
      <c r="B2151"/>
      <c r="C2151"/>
      <c r="D2151"/>
      <c r="E2151"/>
      <c r="F2151"/>
      <c r="G2151"/>
      <c r="H2151"/>
      <c r="I2151"/>
      <c r="J2151"/>
      <c r="K2151"/>
      <c r="L2151"/>
      <c r="M2151"/>
      <c r="S2151" s="54"/>
    </row>
    <row r="2152" spans="1:19" s="15" customFormat="1" x14ac:dyDescent="0.3">
      <c r="A2152" s="17"/>
      <c r="B2152"/>
      <c r="C2152"/>
      <c r="D2152"/>
      <c r="E2152"/>
      <c r="F2152"/>
      <c r="G2152"/>
      <c r="H2152"/>
      <c r="I2152"/>
      <c r="J2152"/>
      <c r="K2152"/>
      <c r="L2152"/>
      <c r="M2152"/>
      <c r="S2152" s="54"/>
    </row>
    <row r="2153" spans="1:19" s="15" customFormat="1" x14ac:dyDescent="0.3">
      <c r="A2153" s="17"/>
      <c r="B2153"/>
      <c r="C2153"/>
      <c r="D2153"/>
      <c r="E2153"/>
      <c r="F2153"/>
      <c r="G2153"/>
      <c r="H2153"/>
      <c r="I2153"/>
      <c r="J2153"/>
      <c r="K2153"/>
      <c r="L2153"/>
      <c r="M2153"/>
      <c r="S2153" s="54"/>
    </row>
    <row r="2154" spans="1:19" s="15" customFormat="1" x14ac:dyDescent="0.3">
      <c r="A2154" s="17"/>
      <c r="B2154"/>
      <c r="C2154"/>
      <c r="D2154"/>
      <c r="E2154"/>
      <c r="F2154"/>
      <c r="G2154"/>
      <c r="H2154"/>
      <c r="I2154"/>
      <c r="J2154"/>
      <c r="K2154"/>
      <c r="L2154"/>
      <c r="M2154"/>
      <c r="S2154" s="54"/>
    </row>
    <row r="2155" spans="1:19" s="15" customFormat="1" x14ac:dyDescent="0.3">
      <c r="A2155" s="17"/>
      <c r="B2155"/>
      <c r="C2155"/>
      <c r="D2155"/>
      <c r="E2155"/>
      <c r="F2155"/>
      <c r="G2155"/>
      <c r="H2155"/>
      <c r="I2155"/>
      <c r="J2155"/>
      <c r="K2155"/>
      <c r="L2155"/>
      <c r="M2155"/>
      <c r="S2155" s="54"/>
    </row>
    <row r="2156" spans="1:19" s="15" customFormat="1" x14ac:dyDescent="0.3">
      <c r="A2156" s="17"/>
      <c r="B2156"/>
      <c r="C2156"/>
      <c r="D2156"/>
      <c r="E2156"/>
      <c r="F2156"/>
      <c r="G2156"/>
      <c r="H2156"/>
      <c r="I2156"/>
      <c r="J2156"/>
      <c r="K2156"/>
      <c r="L2156"/>
      <c r="M2156"/>
      <c r="S2156" s="54"/>
    </row>
    <row r="2157" spans="1:19" s="15" customFormat="1" x14ac:dyDescent="0.3">
      <c r="A2157" s="17"/>
      <c r="B2157"/>
      <c r="C2157"/>
      <c r="D2157"/>
      <c r="E2157"/>
      <c r="F2157"/>
      <c r="G2157"/>
      <c r="H2157"/>
      <c r="I2157"/>
      <c r="J2157"/>
      <c r="K2157"/>
      <c r="L2157"/>
      <c r="M2157"/>
      <c r="S2157" s="54"/>
    </row>
    <row r="2158" spans="1:19" s="15" customFormat="1" x14ac:dyDescent="0.3">
      <c r="A2158" s="17"/>
      <c r="B2158"/>
      <c r="C2158"/>
      <c r="D2158"/>
      <c r="E2158"/>
      <c r="F2158"/>
      <c r="G2158"/>
      <c r="H2158"/>
      <c r="I2158"/>
      <c r="J2158"/>
      <c r="K2158"/>
      <c r="L2158"/>
      <c r="M2158"/>
      <c r="S2158" s="54"/>
    </row>
    <row r="2159" spans="1:19" s="15" customFormat="1" x14ac:dyDescent="0.3">
      <c r="A2159" s="17"/>
      <c r="B2159"/>
      <c r="C2159"/>
      <c r="D2159"/>
      <c r="E2159"/>
      <c r="F2159"/>
      <c r="G2159"/>
      <c r="H2159"/>
      <c r="I2159"/>
      <c r="J2159"/>
      <c r="K2159"/>
      <c r="L2159"/>
      <c r="M2159"/>
      <c r="S2159" s="54"/>
    </row>
    <row r="2160" spans="1:19" s="15" customFormat="1" x14ac:dyDescent="0.3">
      <c r="A2160" s="17"/>
      <c r="B2160"/>
      <c r="C2160"/>
      <c r="D2160"/>
      <c r="E2160"/>
      <c r="F2160"/>
      <c r="G2160"/>
      <c r="H2160"/>
      <c r="I2160"/>
      <c r="J2160"/>
      <c r="K2160"/>
      <c r="L2160"/>
      <c r="M2160"/>
      <c r="S2160" s="54"/>
    </row>
    <row r="2161" spans="1:19" s="15" customFormat="1" x14ac:dyDescent="0.3">
      <c r="A2161" s="17"/>
      <c r="B2161"/>
      <c r="C2161"/>
      <c r="D2161"/>
      <c r="E2161"/>
      <c r="F2161"/>
      <c r="G2161"/>
      <c r="H2161"/>
      <c r="I2161"/>
      <c r="J2161"/>
      <c r="K2161"/>
      <c r="L2161"/>
      <c r="M2161"/>
      <c r="S2161" s="54"/>
    </row>
    <row r="2162" spans="1:19" s="15" customFormat="1" x14ac:dyDescent="0.3">
      <c r="A2162" s="17"/>
      <c r="B2162"/>
      <c r="C2162"/>
      <c r="D2162"/>
      <c r="E2162"/>
      <c r="F2162"/>
      <c r="G2162"/>
      <c r="H2162"/>
      <c r="I2162"/>
      <c r="J2162"/>
      <c r="K2162"/>
      <c r="L2162"/>
      <c r="M2162"/>
      <c r="S2162" s="54"/>
    </row>
    <row r="2163" spans="1:19" s="15" customFormat="1" x14ac:dyDescent="0.3">
      <c r="A2163" s="17"/>
      <c r="B2163"/>
      <c r="C2163"/>
      <c r="D2163"/>
      <c r="E2163"/>
      <c r="F2163"/>
      <c r="G2163"/>
      <c r="H2163"/>
      <c r="I2163"/>
      <c r="J2163"/>
      <c r="K2163"/>
      <c r="L2163"/>
      <c r="M2163"/>
      <c r="S2163" s="54"/>
    </row>
    <row r="2164" spans="1:19" s="15" customFormat="1" x14ac:dyDescent="0.3">
      <c r="A2164" s="17"/>
      <c r="B2164"/>
      <c r="C2164"/>
      <c r="D2164"/>
      <c r="E2164"/>
      <c r="F2164"/>
      <c r="G2164"/>
      <c r="H2164"/>
      <c r="I2164"/>
      <c r="J2164"/>
      <c r="K2164"/>
      <c r="L2164"/>
      <c r="M2164"/>
      <c r="S2164" s="54"/>
    </row>
    <row r="2165" spans="1:19" s="15" customFormat="1" x14ac:dyDescent="0.3">
      <c r="A2165" s="17"/>
      <c r="B2165"/>
      <c r="C2165"/>
      <c r="D2165"/>
      <c r="E2165"/>
      <c r="F2165"/>
      <c r="G2165"/>
      <c r="H2165"/>
      <c r="I2165"/>
      <c r="J2165"/>
      <c r="K2165"/>
      <c r="L2165"/>
      <c r="M2165"/>
      <c r="S2165" s="54"/>
    </row>
    <row r="2166" spans="1:19" s="15" customFormat="1" x14ac:dyDescent="0.3">
      <c r="A2166" s="17"/>
      <c r="B2166"/>
      <c r="C2166"/>
      <c r="D2166"/>
      <c r="E2166"/>
      <c r="F2166"/>
      <c r="G2166"/>
      <c r="H2166"/>
      <c r="I2166"/>
      <c r="J2166"/>
      <c r="K2166"/>
      <c r="L2166"/>
      <c r="M2166"/>
      <c r="S2166" s="54"/>
    </row>
    <row r="2167" spans="1:19" s="15" customFormat="1" x14ac:dyDescent="0.3">
      <c r="A2167" s="17"/>
      <c r="B2167"/>
      <c r="C2167"/>
      <c r="D2167"/>
      <c r="E2167"/>
      <c r="F2167"/>
      <c r="G2167"/>
      <c r="H2167"/>
      <c r="I2167"/>
      <c r="J2167"/>
      <c r="K2167"/>
      <c r="L2167"/>
      <c r="M2167"/>
      <c r="S2167" s="54"/>
    </row>
    <row r="2168" spans="1:19" s="15" customFormat="1" x14ac:dyDescent="0.3">
      <c r="A2168" s="17"/>
      <c r="B2168"/>
      <c r="C2168"/>
      <c r="D2168"/>
      <c r="E2168"/>
      <c r="F2168"/>
      <c r="G2168"/>
      <c r="H2168"/>
      <c r="I2168"/>
      <c r="J2168"/>
      <c r="K2168"/>
      <c r="L2168"/>
      <c r="M2168"/>
      <c r="S2168" s="54"/>
    </row>
    <row r="2169" spans="1:19" s="15" customFormat="1" x14ac:dyDescent="0.3">
      <c r="A2169" s="17"/>
      <c r="B2169"/>
      <c r="C2169"/>
      <c r="D2169"/>
      <c r="E2169"/>
      <c r="F2169"/>
      <c r="G2169"/>
      <c r="H2169"/>
      <c r="I2169"/>
      <c r="J2169"/>
      <c r="K2169"/>
      <c r="L2169"/>
      <c r="M2169"/>
      <c r="S2169" s="54"/>
    </row>
    <row r="2170" spans="1:19" s="15" customFormat="1" x14ac:dyDescent="0.3">
      <c r="A2170" s="17"/>
      <c r="B2170"/>
      <c r="C2170"/>
      <c r="D2170"/>
      <c r="E2170"/>
      <c r="F2170"/>
      <c r="G2170"/>
      <c r="H2170"/>
      <c r="I2170"/>
      <c r="J2170"/>
      <c r="K2170"/>
      <c r="L2170"/>
      <c r="M2170"/>
      <c r="S2170" s="54"/>
    </row>
    <row r="2171" spans="1:19" s="15" customFormat="1" x14ac:dyDescent="0.3">
      <c r="A2171" s="17"/>
      <c r="B2171"/>
      <c r="C2171"/>
      <c r="D2171"/>
      <c r="E2171"/>
      <c r="F2171"/>
      <c r="G2171"/>
      <c r="H2171"/>
      <c r="I2171"/>
      <c r="J2171"/>
      <c r="K2171"/>
      <c r="L2171"/>
      <c r="M2171"/>
      <c r="S2171" s="54"/>
    </row>
    <row r="2172" spans="1:19" s="15" customFormat="1" x14ac:dyDescent="0.3">
      <c r="A2172" s="17"/>
      <c r="B2172"/>
      <c r="C2172"/>
      <c r="D2172"/>
      <c r="E2172"/>
      <c r="F2172"/>
      <c r="G2172"/>
      <c r="H2172"/>
      <c r="I2172"/>
      <c r="J2172"/>
      <c r="K2172"/>
      <c r="L2172"/>
      <c r="M2172"/>
      <c r="S2172" s="54"/>
    </row>
    <row r="2173" spans="1:19" s="15" customFormat="1" x14ac:dyDescent="0.3">
      <c r="A2173" s="17"/>
      <c r="B2173"/>
      <c r="C2173"/>
      <c r="D2173"/>
      <c r="E2173"/>
      <c r="F2173"/>
      <c r="G2173"/>
      <c r="H2173"/>
      <c r="I2173"/>
      <c r="J2173"/>
      <c r="K2173"/>
      <c r="L2173"/>
      <c r="M2173"/>
      <c r="S2173" s="54"/>
    </row>
    <row r="2174" spans="1:19" s="15" customFormat="1" x14ac:dyDescent="0.3">
      <c r="A2174" s="17"/>
      <c r="B2174"/>
      <c r="C2174"/>
      <c r="D2174"/>
      <c r="E2174"/>
      <c r="F2174"/>
      <c r="G2174"/>
      <c r="H2174"/>
      <c r="I2174"/>
      <c r="J2174"/>
      <c r="K2174"/>
      <c r="L2174"/>
      <c r="M2174"/>
      <c r="S2174" s="54"/>
    </row>
    <row r="2175" spans="1:19" s="15" customFormat="1" x14ac:dyDescent="0.3">
      <c r="A2175" s="17"/>
      <c r="B2175"/>
      <c r="C2175"/>
      <c r="D2175"/>
      <c r="E2175"/>
      <c r="F2175"/>
      <c r="G2175"/>
      <c r="H2175"/>
      <c r="I2175"/>
      <c r="J2175"/>
      <c r="K2175"/>
      <c r="L2175"/>
      <c r="M2175"/>
      <c r="S2175" s="54"/>
    </row>
    <row r="2176" spans="1:19" s="15" customFormat="1" x14ac:dyDescent="0.3">
      <c r="A2176" s="17"/>
      <c r="B2176"/>
      <c r="C2176"/>
      <c r="D2176"/>
      <c r="E2176"/>
      <c r="F2176"/>
      <c r="G2176"/>
      <c r="H2176"/>
      <c r="I2176"/>
      <c r="J2176"/>
      <c r="K2176"/>
      <c r="L2176"/>
      <c r="M2176"/>
      <c r="S2176" s="54"/>
    </row>
    <row r="2177" spans="1:19" s="15" customFormat="1" x14ac:dyDescent="0.3">
      <c r="A2177" s="17"/>
      <c r="B2177"/>
      <c r="C2177"/>
      <c r="D2177"/>
      <c r="E2177"/>
      <c r="F2177"/>
      <c r="G2177"/>
      <c r="H2177"/>
      <c r="I2177"/>
      <c r="J2177"/>
      <c r="K2177"/>
      <c r="L2177"/>
      <c r="M2177"/>
      <c r="S2177" s="54"/>
    </row>
    <row r="2178" spans="1:19" s="15" customFormat="1" x14ac:dyDescent="0.3">
      <c r="A2178" s="17"/>
      <c r="B2178"/>
      <c r="C2178"/>
      <c r="D2178"/>
      <c r="E2178"/>
      <c r="F2178"/>
      <c r="G2178"/>
      <c r="H2178"/>
      <c r="I2178"/>
      <c r="J2178"/>
      <c r="K2178"/>
      <c r="L2178"/>
      <c r="M2178"/>
      <c r="S2178" s="54"/>
    </row>
    <row r="2179" spans="1:19" s="15" customFormat="1" x14ac:dyDescent="0.3">
      <c r="A2179" s="17"/>
      <c r="B2179"/>
      <c r="C2179"/>
      <c r="D2179"/>
      <c r="E2179"/>
      <c r="F2179"/>
      <c r="G2179"/>
      <c r="H2179"/>
      <c r="I2179"/>
      <c r="J2179"/>
      <c r="K2179"/>
      <c r="L2179"/>
      <c r="M2179"/>
      <c r="S2179" s="54"/>
    </row>
    <row r="2180" spans="1:19" s="15" customFormat="1" x14ac:dyDescent="0.3">
      <c r="A2180" s="17"/>
      <c r="B2180"/>
      <c r="C2180"/>
      <c r="D2180"/>
      <c r="E2180"/>
      <c r="F2180"/>
      <c r="G2180"/>
      <c r="H2180"/>
      <c r="I2180"/>
      <c r="J2180"/>
      <c r="K2180"/>
      <c r="L2180"/>
      <c r="M2180"/>
      <c r="S2180" s="54"/>
    </row>
    <row r="2181" spans="1:19" s="15" customFormat="1" x14ac:dyDescent="0.3">
      <c r="A2181" s="17"/>
      <c r="B2181"/>
      <c r="C2181"/>
      <c r="D2181"/>
      <c r="E2181"/>
      <c r="F2181"/>
      <c r="G2181"/>
      <c r="H2181"/>
      <c r="I2181"/>
      <c r="J2181"/>
      <c r="K2181"/>
      <c r="L2181"/>
      <c r="M2181"/>
      <c r="S2181" s="54"/>
    </row>
    <row r="2182" spans="1:19" s="15" customFormat="1" x14ac:dyDescent="0.3">
      <c r="A2182" s="17"/>
      <c r="B2182"/>
      <c r="C2182"/>
      <c r="D2182"/>
      <c r="E2182"/>
      <c r="F2182"/>
      <c r="G2182"/>
      <c r="H2182"/>
      <c r="I2182"/>
      <c r="J2182"/>
      <c r="K2182"/>
      <c r="L2182"/>
      <c r="M2182"/>
      <c r="S2182" s="54"/>
    </row>
    <row r="2183" spans="1:19" s="15" customFormat="1" x14ac:dyDescent="0.3">
      <c r="A2183" s="17"/>
      <c r="B2183"/>
      <c r="C2183"/>
      <c r="D2183"/>
      <c r="E2183"/>
      <c r="F2183"/>
      <c r="G2183"/>
      <c r="H2183"/>
      <c r="I2183"/>
      <c r="J2183"/>
      <c r="K2183"/>
      <c r="L2183"/>
      <c r="M2183"/>
      <c r="S2183" s="54"/>
    </row>
    <row r="2184" spans="1:19" s="15" customFormat="1" x14ac:dyDescent="0.3">
      <c r="A2184" s="17"/>
      <c r="B2184"/>
      <c r="C2184"/>
      <c r="D2184"/>
      <c r="E2184"/>
      <c r="F2184"/>
      <c r="G2184"/>
      <c r="H2184"/>
      <c r="I2184"/>
      <c r="J2184"/>
      <c r="K2184"/>
      <c r="L2184"/>
      <c r="M2184"/>
      <c r="S2184" s="54"/>
    </row>
    <row r="2185" spans="1:19" s="15" customFormat="1" x14ac:dyDescent="0.3">
      <c r="A2185" s="17"/>
      <c r="B2185"/>
      <c r="C2185"/>
      <c r="D2185"/>
      <c r="E2185"/>
      <c r="F2185"/>
      <c r="G2185"/>
      <c r="H2185"/>
      <c r="I2185"/>
      <c r="J2185"/>
      <c r="K2185"/>
      <c r="L2185"/>
      <c r="M2185"/>
      <c r="S2185" s="54"/>
    </row>
    <row r="2186" spans="1:19" s="15" customFormat="1" x14ac:dyDescent="0.3">
      <c r="A2186" s="17"/>
      <c r="B2186"/>
      <c r="C2186"/>
      <c r="D2186"/>
      <c r="E2186"/>
      <c r="F2186"/>
      <c r="G2186"/>
      <c r="H2186"/>
      <c r="I2186"/>
      <c r="J2186"/>
      <c r="K2186"/>
      <c r="L2186"/>
      <c r="M2186"/>
      <c r="S2186" s="54"/>
    </row>
    <row r="2187" spans="1:19" s="15" customFormat="1" x14ac:dyDescent="0.3">
      <c r="A2187" s="17"/>
      <c r="B2187"/>
      <c r="C2187"/>
      <c r="D2187"/>
      <c r="E2187"/>
      <c r="F2187"/>
      <c r="G2187"/>
      <c r="H2187"/>
      <c r="I2187"/>
      <c r="J2187"/>
      <c r="K2187"/>
      <c r="L2187"/>
      <c r="M2187"/>
      <c r="S2187" s="54"/>
    </row>
    <row r="2188" spans="1:19" s="15" customFormat="1" x14ac:dyDescent="0.3">
      <c r="A2188" s="17"/>
      <c r="B2188"/>
      <c r="C2188"/>
      <c r="D2188"/>
      <c r="E2188"/>
      <c r="F2188"/>
      <c r="G2188"/>
      <c r="H2188"/>
      <c r="I2188"/>
      <c r="J2188"/>
      <c r="K2188"/>
      <c r="L2188"/>
      <c r="M2188"/>
      <c r="S2188" s="54"/>
    </row>
    <row r="2189" spans="1:19" s="15" customFormat="1" x14ac:dyDescent="0.3">
      <c r="A2189" s="17"/>
      <c r="B2189"/>
      <c r="C2189"/>
      <c r="D2189"/>
      <c r="E2189"/>
      <c r="F2189"/>
      <c r="G2189"/>
      <c r="H2189"/>
      <c r="I2189"/>
      <c r="J2189"/>
      <c r="K2189"/>
      <c r="L2189"/>
      <c r="M2189"/>
      <c r="S2189" s="54"/>
    </row>
    <row r="2190" spans="1:19" s="15" customFormat="1" x14ac:dyDescent="0.3">
      <c r="A2190" s="17"/>
      <c r="B2190"/>
      <c r="C2190"/>
      <c r="D2190"/>
      <c r="E2190"/>
      <c r="F2190"/>
      <c r="G2190"/>
      <c r="H2190"/>
      <c r="I2190"/>
      <c r="J2190"/>
      <c r="K2190"/>
      <c r="L2190"/>
      <c r="M2190"/>
      <c r="S2190" s="54"/>
    </row>
    <row r="2191" spans="1:19" s="15" customFormat="1" x14ac:dyDescent="0.3">
      <c r="A2191" s="17"/>
      <c r="B2191"/>
      <c r="C2191"/>
      <c r="D2191"/>
      <c r="E2191"/>
      <c r="F2191"/>
      <c r="G2191"/>
      <c r="H2191"/>
      <c r="I2191"/>
      <c r="J2191"/>
      <c r="K2191"/>
      <c r="L2191"/>
      <c r="M2191"/>
      <c r="S2191" s="54"/>
    </row>
    <row r="2192" spans="1:19" s="15" customFormat="1" x14ac:dyDescent="0.3">
      <c r="A2192" s="17"/>
      <c r="B2192"/>
      <c r="C2192"/>
      <c r="D2192"/>
      <c r="E2192"/>
      <c r="F2192"/>
      <c r="G2192"/>
      <c r="H2192"/>
      <c r="I2192"/>
      <c r="J2192"/>
      <c r="K2192"/>
      <c r="L2192"/>
      <c r="M2192"/>
      <c r="S2192" s="54"/>
    </row>
    <row r="2193" spans="1:19" s="15" customFormat="1" x14ac:dyDescent="0.3">
      <c r="A2193" s="17"/>
      <c r="B2193"/>
      <c r="C2193"/>
      <c r="D2193"/>
      <c r="E2193"/>
      <c r="F2193"/>
      <c r="G2193"/>
      <c r="H2193"/>
      <c r="I2193"/>
      <c r="J2193"/>
      <c r="K2193"/>
      <c r="L2193"/>
      <c r="M2193"/>
      <c r="S2193" s="54"/>
    </row>
    <row r="2194" spans="1:19" s="15" customFormat="1" x14ac:dyDescent="0.3">
      <c r="A2194" s="17"/>
      <c r="B2194"/>
      <c r="C2194"/>
      <c r="D2194"/>
      <c r="E2194"/>
      <c r="F2194"/>
      <c r="G2194"/>
      <c r="H2194"/>
      <c r="I2194"/>
      <c r="J2194"/>
      <c r="K2194"/>
      <c r="L2194"/>
      <c r="M2194"/>
      <c r="S2194" s="54"/>
    </row>
    <row r="2195" spans="1:19" s="15" customFormat="1" x14ac:dyDescent="0.3">
      <c r="A2195" s="17"/>
      <c r="B2195"/>
      <c r="C2195"/>
      <c r="D2195"/>
      <c r="E2195"/>
      <c r="F2195"/>
      <c r="G2195"/>
      <c r="H2195"/>
      <c r="I2195"/>
      <c r="J2195"/>
      <c r="K2195"/>
      <c r="L2195"/>
      <c r="M2195"/>
      <c r="S2195" s="54"/>
    </row>
    <row r="2196" spans="1:19" s="15" customFormat="1" x14ac:dyDescent="0.3">
      <c r="A2196" s="17"/>
      <c r="B2196"/>
      <c r="C2196"/>
      <c r="D2196"/>
      <c r="E2196"/>
      <c r="F2196"/>
      <c r="G2196"/>
      <c r="H2196"/>
      <c r="I2196"/>
      <c r="J2196"/>
      <c r="K2196"/>
      <c r="L2196"/>
      <c r="M2196"/>
      <c r="S2196" s="54"/>
    </row>
    <row r="2197" spans="1:19" s="15" customFormat="1" x14ac:dyDescent="0.3">
      <c r="A2197" s="17"/>
      <c r="B2197"/>
      <c r="C2197"/>
      <c r="D2197"/>
      <c r="E2197"/>
      <c r="F2197"/>
      <c r="G2197"/>
      <c r="H2197"/>
      <c r="I2197"/>
      <c r="J2197"/>
      <c r="K2197"/>
      <c r="L2197"/>
      <c r="M2197"/>
      <c r="S2197" s="54"/>
    </row>
    <row r="2198" spans="1:19" s="15" customFormat="1" x14ac:dyDescent="0.3">
      <c r="A2198" s="17"/>
      <c r="B2198"/>
      <c r="C2198"/>
      <c r="D2198"/>
      <c r="E2198"/>
      <c r="F2198"/>
      <c r="G2198"/>
      <c r="H2198"/>
      <c r="I2198"/>
      <c r="J2198"/>
      <c r="K2198"/>
      <c r="L2198"/>
      <c r="M2198"/>
      <c r="S2198" s="54"/>
    </row>
    <row r="2199" spans="1:19" s="15" customFormat="1" x14ac:dyDescent="0.3">
      <c r="A2199" s="17"/>
      <c r="B2199"/>
      <c r="C2199"/>
      <c r="D2199"/>
      <c r="E2199"/>
      <c r="F2199"/>
      <c r="G2199"/>
      <c r="H2199"/>
      <c r="I2199"/>
      <c r="J2199"/>
      <c r="K2199"/>
      <c r="L2199"/>
      <c r="M2199"/>
      <c r="S2199" s="54"/>
    </row>
    <row r="2200" spans="1:19" s="15" customFormat="1" x14ac:dyDescent="0.3">
      <c r="A2200" s="17"/>
      <c r="B2200"/>
      <c r="C2200"/>
      <c r="D2200"/>
      <c r="E2200"/>
      <c r="F2200"/>
      <c r="G2200"/>
      <c r="H2200"/>
      <c r="I2200"/>
      <c r="J2200"/>
      <c r="K2200"/>
      <c r="L2200"/>
      <c r="M2200"/>
      <c r="S2200" s="54"/>
    </row>
    <row r="2201" spans="1:19" s="15" customFormat="1" x14ac:dyDescent="0.3">
      <c r="A2201" s="17"/>
      <c r="B2201"/>
      <c r="C2201"/>
      <c r="D2201"/>
      <c r="E2201"/>
      <c r="F2201"/>
      <c r="G2201"/>
      <c r="H2201"/>
      <c r="I2201"/>
      <c r="J2201"/>
      <c r="K2201"/>
      <c r="L2201"/>
      <c r="M2201"/>
      <c r="S2201" s="54"/>
    </row>
    <row r="2202" spans="1:19" s="15" customFormat="1" x14ac:dyDescent="0.3">
      <c r="A2202" s="17"/>
      <c r="B2202"/>
      <c r="C2202"/>
      <c r="D2202"/>
      <c r="E2202"/>
      <c r="F2202"/>
      <c r="G2202"/>
      <c r="H2202"/>
      <c r="I2202"/>
      <c r="J2202"/>
      <c r="K2202"/>
      <c r="L2202"/>
      <c r="M2202"/>
      <c r="S2202" s="54"/>
    </row>
    <row r="2203" spans="1:19" s="15" customFormat="1" x14ac:dyDescent="0.3">
      <c r="A2203" s="17"/>
      <c r="B2203"/>
      <c r="C2203"/>
      <c r="D2203"/>
      <c r="E2203"/>
      <c r="F2203"/>
      <c r="G2203"/>
      <c r="H2203"/>
      <c r="I2203"/>
      <c r="J2203"/>
      <c r="K2203"/>
      <c r="L2203"/>
      <c r="M2203"/>
      <c r="S2203" s="54"/>
    </row>
    <row r="2204" spans="1:19" s="15" customFormat="1" x14ac:dyDescent="0.3">
      <c r="A2204" s="17"/>
      <c r="B2204"/>
      <c r="C2204"/>
      <c r="D2204"/>
      <c r="E2204"/>
      <c r="F2204"/>
      <c r="G2204"/>
      <c r="H2204"/>
      <c r="I2204"/>
      <c r="J2204"/>
      <c r="K2204"/>
      <c r="L2204"/>
      <c r="M2204"/>
      <c r="S2204" s="54"/>
    </row>
    <row r="2205" spans="1:19" s="15" customFormat="1" x14ac:dyDescent="0.3">
      <c r="A2205" s="17"/>
      <c r="B2205"/>
      <c r="C2205"/>
      <c r="D2205"/>
      <c r="E2205"/>
      <c r="F2205"/>
      <c r="G2205"/>
      <c r="H2205"/>
      <c r="I2205"/>
      <c r="J2205"/>
      <c r="K2205"/>
      <c r="L2205"/>
      <c r="M2205"/>
      <c r="S2205" s="54"/>
    </row>
    <row r="2206" spans="1:19" s="15" customFormat="1" x14ac:dyDescent="0.3">
      <c r="A2206" s="17"/>
      <c r="B2206"/>
      <c r="C2206"/>
      <c r="D2206"/>
      <c r="E2206"/>
      <c r="F2206"/>
      <c r="G2206"/>
      <c r="H2206"/>
      <c r="I2206"/>
      <c r="J2206"/>
      <c r="K2206"/>
      <c r="L2206"/>
      <c r="M2206"/>
      <c r="S2206" s="54"/>
    </row>
    <row r="2207" spans="1:19" s="15" customFormat="1" x14ac:dyDescent="0.3">
      <c r="A2207" s="17"/>
      <c r="B2207"/>
      <c r="C2207"/>
      <c r="D2207"/>
      <c r="E2207"/>
      <c r="F2207"/>
      <c r="G2207"/>
      <c r="H2207"/>
      <c r="I2207"/>
      <c r="J2207"/>
      <c r="K2207"/>
      <c r="L2207"/>
      <c r="M2207"/>
      <c r="S2207" s="54"/>
    </row>
    <row r="2208" spans="1:19" s="15" customFormat="1" x14ac:dyDescent="0.3">
      <c r="A2208" s="17"/>
      <c r="B2208"/>
      <c r="C2208"/>
      <c r="D2208"/>
      <c r="E2208"/>
      <c r="F2208"/>
      <c r="G2208"/>
      <c r="H2208"/>
      <c r="I2208"/>
      <c r="J2208"/>
      <c r="K2208"/>
      <c r="L2208"/>
      <c r="M2208"/>
      <c r="S2208" s="54"/>
    </row>
    <row r="2209" spans="1:19" s="15" customFormat="1" x14ac:dyDescent="0.3">
      <c r="A2209" s="17"/>
      <c r="B2209"/>
      <c r="C2209"/>
      <c r="D2209"/>
      <c r="E2209"/>
      <c r="F2209"/>
      <c r="G2209"/>
      <c r="H2209"/>
      <c r="I2209"/>
      <c r="J2209"/>
      <c r="K2209"/>
      <c r="L2209"/>
      <c r="M2209"/>
      <c r="S2209" s="54"/>
    </row>
    <row r="2210" spans="1:19" s="15" customFormat="1" x14ac:dyDescent="0.3">
      <c r="A2210" s="17"/>
      <c r="B2210"/>
      <c r="C2210"/>
      <c r="D2210"/>
      <c r="E2210"/>
      <c r="F2210"/>
      <c r="G2210"/>
      <c r="H2210"/>
      <c r="I2210"/>
      <c r="J2210"/>
      <c r="K2210"/>
      <c r="L2210"/>
      <c r="M2210"/>
      <c r="S2210" s="54"/>
    </row>
    <row r="2211" spans="1:19" s="15" customFormat="1" x14ac:dyDescent="0.3">
      <c r="A2211" s="17"/>
      <c r="B2211"/>
      <c r="C2211"/>
      <c r="D2211"/>
      <c r="E2211"/>
      <c r="F2211"/>
      <c r="G2211"/>
      <c r="H2211"/>
      <c r="I2211"/>
      <c r="J2211"/>
      <c r="K2211"/>
      <c r="L2211"/>
      <c r="M2211"/>
      <c r="S2211" s="54"/>
    </row>
    <row r="2212" spans="1:19" s="15" customFormat="1" x14ac:dyDescent="0.3">
      <c r="A2212" s="17"/>
      <c r="B2212"/>
      <c r="C2212"/>
      <c r="D2212"/>
      <c r="E2212"/>
      <c r="F2212"/>
      <c r="G2212"/>
      <c r="H2212"/>
      <c r="I2212"/>
      <c r="J2212"/>
      <c r="K2212"/>
      <c r="L2212"/>
      <c r="M2212"/>
      <c r="S2212" s="54"/>
    </row>
    <row r="2213" spans="1:19" s="15" customFormat="1" x14ac:dyDescent="0.3">
      <c r="A2213" s="17"/>
      <c r="B2213"/>
      <c r="C2213"/>
      <c r="D2213"/>
      <c r="E2213"/>
      <c r="F2213"/>
      <c r="G2213"/>
      <c r="H2213"/>
      <c r="I2213"/>
      <c r="J2213"/>
      <c r="K2213"/>
      <c r="L2213"/>
      <c r="M2213"/>
      <c r="S2213" s="54"/>
    </row>
    <row r="2214" spans="1:19" s="15" customFormat="1" x14ac:dyDescent="0.3">
      <c r="A2214" s="17"/>
      <c r="B2214"/>
      <c r="C2214"/>
      <c r="D2214"/>
      <c r="E2214"/>
      <c r="F2214"/>
      <c r="G2214"/>
      <c r="H2214"/>
      <c r="I2214"/>
      <c r="J2214"/>
      <c r="K2214"/>
      <c r="L2214"/>
      <c r="M2214"/>
      <c r="S2214" s="54"/>
    </row>
    <row r="2215" spans="1:19" s="15" customFormat="1" x14ac:dyDescent="0.3">
      <c r="A2215" s="17"/>
      <c r="B2215"/>
      <c r="C2215"/>
      <c r="D2215"/>
      <c r="E2215"/>
      <c r="F2215"/>
      <c r="G2215"/>
      <c r="H2215"/>
      <c r="I2215"/>
      <c r="J2215"/>
      <c r="K2215"/>
      <c r="L2215"/>
      <c r="M2215"/>
      <c r="S2215" s="54"/>
    </row>
    <row r="2216" spans="1:19" s="15" customFormat="1" x14ac:dyDescent="0.3">
      <c r="A2216" s="17"/>
      <c r="B2216"/>
      <c r="C2216"/>
      <c r="D2216"/>
      <c r="E2216"/>
      <c r="F2216"/>
      <c r="G2216"/>
      <c r="H2216"/>
      <c r="I2216"/>
      <c r="J2216"/>
      <c r="K2216"/>
      <c r="L2216"/>
      <c r="M2216"/>
      <c r="S2216" s="54"/>
    </row>
    <row r="2217" spans="1:19" s="15" customFormat="1" x14ac:dyDescent="0.3">
      <c r="A2217" s="17"/>
      <c r="B2217"/>
      <c r="C2217"/>
      <c r="D2217"/>
      <c r="E2217"/>
      <c r="F2217"/>
      <c r="G2217"/>
      <c r="H2217"/>
      <c r="I2217"/>
      <c r="J2217"/>
      <c r="K2217"/>
      <c r="L2217"/>
      <c r="M2217"/>
      <c r="S2217" s="54"/>
    </row>
    <row r="2218" spans="1:19" s="15" customFormat="1" x14ac:dyDescent="0.3">
      <c r="A2218" s="17"/>
      <c r="B2218"/>
      <c r="C2218"/>
      <c r="D2218"/>
      <c r="E2218"/>
      <c r="F2218"/>
      <c r="G2218"/>
      <c r="H2218"/>
      <c r="I2218"/>
      <c r="J2218"/>
      <c r="K2218"/>
      <c r="L2218"/>
      <c r="M2218"/>
      <c r="S2218" s="54"/>
    </row>
    <row r="2219" spans="1:19" s="15" customFormat="1" x14ac:dyDescent="0.3">
      <c r="A2219" s="17"/>
      <c r="B2219"/>
      <c r="C2219"/>
      <c r="D2219"/>
      <c r="E2219"/>
      <c r="F2219"/>
      <c r="G2219"/>
      <c r="H2219"/>
      <c r="I2219"/>
      <c r="J2219"/>
      <c r="K2219"/>
      <c r="L2219"/>
      <c r="M2219"/>
      <c r="S2219" s="54"/>
    </row>
    <row r="2220" spans="1:19" s="15" customFormat="1" x14ac:dyDescent="0.3">
      <c r="A2220" s="17"/>
      <c r="B2220"/>
      <c r="C2220"/>
      <c r="D2220"/>
      <c r="E2220"/>
      <c r="F2220"/>
      <c r="G2220"/>
      <c r="H2220"/>
      <c r="I2220"/>
      <c r="J2220"/>
      <c r="K2220"/>
      <c r="L2220"/>
      <c r="M2220"/>
      <c r="S2220" s="54"/>
    </row>
    <row r="2221" spans="1:19" s="15" customFormat="1" x14ac:dyDescent="0.3">
      <c r="A2221" s="17"/>
      <c r="B2221"/>
      <c r="C2221"/>
      <c r="D2221"/>
      <c r="E2221"/>
      <c r="F2221"/>
      <c r="G2221"/>
      <c r="H2221"/>
      <c r="I2221"/>
      <c r="J2221"/>
      <c r="K2221"/>
      <c r="L2221"/>
      <c r="M2221"/>
      <c r="S2221" s="54"/>
    </row>
    <row r="2222" spans="1:19" s="15" customFormat="1" x14ac:dyDescent="0.3">
      <c r="A2222" s="17"/>
      <c r="B2222"/>
      <c r="C2222"/>
      <c r="D2222"/>
      <c r="E2222"/>
      <c r="F2222"/>
      <c r="G2222"/>
      <c r="H2222"/>
      <c r="I2222"/>
      <c r="J2222"/>
      <c r="K2222"/>
      <c r="L2222"/>
      <c r="M2222"/>
      <c r="S2222" s="54"/>
    </row>
    <row r="2223" spans="1:19" s="15" customFormat="1" x14ac:dyDescent="0.3">
      <c r="A2223" s="17"/>
      <c r="B2223"/>
      <c r="C2223"/>
      <c r="D2223"/>
      <c r="E2223"/>
      <c r="F2223"/>
      <c r="G2223"/>
      <c r="H2223"/>
      <c r="I2223"/>
      <c r="J2223"/>
      <c r="K2223"/>
      <c r="L2223"/>
      <c r="M2223"/>
      <c r="S2223" s="54"/>
    </row>
    <row r="2224" spans="1:19" s="15" customFormat="1" x14ac:dyDescent="0.3">
      <c r="A2224" s="17"/>
      <c r="B2224"/>
      <c r="C2224"/>
      <c r="D2224"/>
      <c r="E2224"/>
      <c r="F2224"/>
      <c r="G2224"/>
      <c r="H2224"/>
      <c r="I2224"/>
      <c r="J2224"/>
      <c r="K2224"/>
      <c r="L2224"/>
      <c r="M2224"/>
      <c r="S2224" s="54"/>
    </row>
    <row r="2225" spans="1:19" s="15" customFormat="1" x14ac:dyDescent="0.3">
      <c r="A2225" s="17"/>
      <c r="B2225"/>
      <c r="C2225"/>
      <c r="D2225"/>
      <c r="E2225"/>
      <c r="F2225"/>
      <c r="G2225"/>
      <c r="H2225"/>
      <c r="I2225"/>
      <c r="J2225"/>
      <c r="K2225"/>
      <c r="L2225"/>
      <c r="M2225"/>
      <c r="S2225" s="54"/>
    </row>
    <row r="2226" spans="1:19" s="15" customFormat="1" x14ac:dyDescent="0.3">
      <c r="A2226" s="17"/>
      <c r="B2226"/>
      <c r="C2226"/>
      <c r="D2226"/>
      <c r="E2226"/>
      <c r="F2226"/>
      <c r="G2226"/>
      <c r="H2226"/>
      <c r="I2226"/>
      <c r="J2226"/>
      <c r="K2226"/>
      <c r="L2226"/>
      <c r="M2226"/>
      <c r="S2226" s="54"/>
    </row>
    <row r="2227" spans="1:19" s="15" customFormat="1" x14ac:dyDescent="0.3">
      <c r="A2227" s="17"/>
      <c r="B2227"/>
      <c r="C2227"/>
      <c r="D2227"/>
      <c r="E2227"/>
      <c r="F2227"/>
      <c r="G2227"/>
      <c r="H2227"/>
      <c r="I2227"/>
      <c r="J2227"/>
      <c r="K2227"/>
      <c r="L2227"/>
      <c r="M2227"/>
      <c r="S2227" s="54"/>
    </row>
    <row r="2228" spans="1:19" s="15" customFormat="1" x14ac:dyDescent="0.3">
      <c r="A2228" s="17"/>
      <c r="B2228"/>
      <c r="C2228"/>
      <c r="D2228"/>
      <c r="E2228"/>
      <c r="F2228"/>
      <c r="G2228"/>
      <c r="H2228"/>
      <c r="I2228"/>
      <c r="J2228"/>
      <c r="K2228"/>
      <c r="L2228"/>
      <c r="M2228"/>
      <c r="S2228" s="54"/>
    </row>
    <row r="2229" spans="1:19" s="15" customFormat="1" x14ac:dyDescent="0.3">
      <c r="A2229" s="17"/>
      <c r="B2229"/>
      <c r="C2229"/>
      <c r="D2229"/>
      <c r="E2229"/>
      <c r="F2229"/>
      <c r="G2229"/>
      <c r="H2229"/>
      <c r="I2229"/>
      <c r="J2229"/>
      <c r="K2229"/>
      <c r="L2229"/>
      <c r="M2229"/>
      <c r="S2229" s="54"/>
    </row>
    <row r="2230" spans="1:19" s="15" customFormat="1" x14ac:dyDescent="0.3">
      <c r="A2230" s="17"/>
      <c r="B2230"/>
      <c r="C2230"/>
      <c r="D2230"/>
      <c r="E2230"/>
      <c r="F2230"/>
      <c r="G2230"/>
      <c r="H2230"/>
      <c r="I2230"/>
      <c r="J2230"/>
      <c r="K2230"/>
      <c r="L2230"/>
      <c r="M2230"/>
      <c r="S2230" s="54"/>
    </row>
    <row r="2231" spans="1:19" s="15" customFormat="1" x14ac:dyDescent="0.3">
      <c r="A2231" s="17"/>
      <c r="B2231"/>
      <c r="C2231"/>
      <c r="D2231"/>
      <c r="E2231"/>
      <c r="F2231"/>
      <c r="G2231"/>
      <c r="H2231"/>
      <c r="I2231"/>
      <c r="J2231"/>
      <c r="K2231"/>
      <c r="L2231"/>
      <c r="M2231"/>
      <c r="S2231" s="54"/>
    </row>
    <row r="2232" spans="1:19" s="15" customFormat="1" x14ac:dyDescent="0.3">
      <c r="A2232" s="17"/>
      <c r="B2232"/>
      <c r="C2232"/>
      <c r="D2232"/>
      <c r="E2232"/>
      <c r="F2232"/>
      <c r="G2232"/>
      <c r="H2232"/>
      <c r="I2232"/>
      <c r="J2232"/>
      <c r="K2232"/>
      <c r="L2232"/>
      <c r="M2232"/>
      <c r="S2232" s="54"/>
    </row>
    <row r="2233" spans="1:19" s="15" customFormat="1" x14ac:dyDescent="0.3">
      <c r="A2233" s="17"/>
      <c r="B2233"/>
      <c r="C2233"/>
      <c r="D2233"/>
      <c r="E2233"/>
      <c r="F2233"/>
      <c r="G2233"/>
      <c r="H2233"/>
      <c r="I2233"/>
      <c r="J2233"/>
      <c r="K2233"/>
      <c r="L2233"/>
      <c r="M2233"/>
      <c r="S2233" s="54"/>
    </row>
    <row r="2234" spans="1:19" s="15" customFormat="1" x14ac:dyDescent="0.3">
      <c r="A2234" s="17"/>
      <c r="B2234"/>
      <c r="C2234"/>
      <c r="D2234"/>
      <c r="E2234"/>
      <c r="F2234"/>
      <c r="G2234"/>
      <c r="H2234"/>
      <c r="I2234"/>
      <c r="J2234"/>
      <c r="K2234"/>
      <c r="L2234"/>
      <c r="M2234"/>
      <c r="S2234" s="54"/>
    </row>
    <row r="2235" spans="1:19" s="15" customFormat="1" x14ac:dyDescent="0.3">
      <c r="A2235" s="17"/>
      <c r="B2235"/>
      <c r="C2235"/>
      <c r="D2235"/>
      <c r="E2235"/>
      <c r="F2235"/>
      <c r="G2235"/>
      <c r="H2235"/>
      <c r="I2235"/>
      <c r="J2235"/>
      <c r="K2235"/>
      <c r="L2235"/>
      <c r="M2235"/>
      <c r="S2235" s="54"/>
    </row>
    <row r="2236" spans="1:19" s="15" customFormat="1" x14ac:dyDescent="0.3">
      <c r="A2236" s="17"/>
      <c r="B2236"/>
      <c r="C2236"/>
      <c r="D2236"/>
      <c r="E2236"/>
      <c r="F2236"/>
      <c r="G2236"/>
      <c r="H2236"/>
      <c r="I2236"/>
      <c r="J2236"/>
      <c r="K2236"/>
      <c r="L2236"/>
      <c r="M2236"/>
      <c r="S2236" s="54"/>
    </row>
    <row r="2237" spans="1:19" s="15" customFormat="1" x14ac:dyDescent="0.3">
      <c r="A2237" s="17"/>
      <c r="B2237"/>
      <c r="C2237"/>
      <c r="D2237"/>
      <c r="E2237"/>
      <c r="F2237"/>
      <c r="G2237"/>
      <c r="H2237"/>
      <c r="I2237"/>
      <c r="J2237"/>
      <c r="K2237"/>
      <c r="L2237"/>
      <c r="M2237"/>
      <c r="S2237" s="54"/>
    </row>
    <row r="2238" spans="1:19" s="15" customFormat="1" x14ac:dyDescent="0.3">
      <c r="A2238" s="17"/>
      <c r="B2238"/>
      <c r="C2238"/>
      <c r="D2238"/>
      <c r="E2238"/>
      <c r="F2238"/>
      <c r="G2238"/>
      <c r="H2238"/>
      <c r="I2238"/>
      <c r="J2238"/>
      <c r="K2238"/>
      <c r="L2238"/>
      <c r="M2238"/>
      <c r="S2238" s="54"/>
    </row>
    <row r="2239" spans="1:19" s="15" customFormat="1" x14ac:dyDescent="0.3">
      <c r="A2239" s="17"/>
      <c r="B2239"/>
      <c r="C2239"/>
      <c r="D2239"/>
      <c r="E2239"/>
      <c r="F2239"/>
      <c r="G2239"/>
      <c r="H2239"/>
      <c r="I2239"/>
      <c r="J2239"/>
      <c r="K2239"/>
      <c r="L2239"/>
      <c r="M2239"/>
      <c r="S2239" s="54"/>
    </row>
    <row r="2240" spans="1:19" s="15" customFormat="1" x14ac:dyDescent="0.3">
      <c r="A2240" s="17"/>
      <c r="B2240"/>
      <c r="C2240"/>
      <c r="D2240"/>
      <c r="E2240"/>
      <c r="F2240"/>
      <c r="G2240"/>
      <c r="H2240"/>
      <c r="I2240"/>
      <c r="J2240"/>
      <c r="K2240"/>
      <c r="L2240"/>
      <c r="M2240"/>
      <c r="S2240" s="54"/>
    </row>
    <row r="2241" spans="1:19" s="15" customFormat="1" x14ac:dyDescent="0.3">
      <c r="A2241" s="17"/>
      <c r="B2241"/>
      <c r="C2241"/>
      <c r="D2241"/>
      <c r="E2241"/>
      <c r="F2241"/>
      <c r="G2241"/>
      <c r="H2241"/>
      <c r="I2241"/>
      <c r="J2241"/>
      <c r="K2241"/>
      <c r="L2241"/>
      <c r="M2241"/>
      <c r="S2241" s="54"/>
    </row>
    <row r="2242" spans="1:19" s="15" customFormat="1" x14ac:dyDescent="0.3">
      <c r="A2242" s="17"/>
      <c r="B2242"/>
      <c r="C2242"/>
      <c r="D2242"/>
      <c r="E2242"/>
      <c r="F2242"/>
      <c r="G2242"/>
      <c r="H2242"/>
      <c r="I2242"/>
      <c r="J2242"/>
      <c r="K2242"/>
      <c r="L2242"/>
      <c r="M2242"/>
      <c r="S2242" s="54"/>
    </row>
    <row r="2243" spans="1:19" s="15" customFormat="1" x14ac:dyDescent="0.3">
      <c r="A2243" s="17"/>
      <c r="B2243"/>
      <c r="C2243"/>
      <c r="D2243"/>
      <c r="E2243"/>
      <c r="F2243"/>
      <c r="G2243"/>
      <c r="H2243"/>
      <c r="I2243"/>
      <c r="J2243"/>
      <c r="K2243"/>
      <c r="L2243"/>
      <c r="M2243"/>
      <c r="S2243" s="54"/>
    </row>
    <row r="2244" spans="1:19" s="15" customFormat="1" x14ac:dyDescent="0.3">
      <c r="A2244" s="17"/>
      <c r="B2244"/>
      <c r="C2244"/>
      <c r="D2244"/>
      <c r="E2244"/>
      <c r="F2244"/>
      <c r="G2244"/>
      <c r="H2244"/>
      <c r="I2244"/>
      <c r="J2244"/>
      <c r="K2244"/>
      <c r="L2244"/>
      <c r="M2244"/>
      <c r="S2244" s="54"/>
    </row>
    <row r="2245" spans="1:19" s="15" customFormat="1" x14ac:dyDescent="0.3">
      <c r="A2245" s="17"/>
      <c r="B2245"/>
      <c r="C2245"/>
      <c r="D2245"/>
      <c r="E2245"/>
      <c r="F2245"/>
      <c r="G2245"/>
      <c r="H2245"/>
      <c r="I2245"/>
      <c r="J2245"/>
      <c r="K2245"/>
      <c r="L2245"/>
      <c r="M2245"/>
      <c r="S2245" s="54"/>
    </row>
    <row r="2246" spans="1:19" s="15" customFormat="1" x14ac:dyDescent="0.3">
      <c r="A2246" s="17"/>
      <c r="B2246"/>
      <c r="C2246"/>
      <c r="D2246"/>
      <c r="E2246"/>
      <c r="F2246"/>
      <c r="G2246"/>
      <c r="H2246"/>
      <c r="I2246"/>
      <c r="J2246"/>
      <c r="K2246"/>
      <c r="L2246"/>
      <c r="M2246"/>
      <c r="S2246" s="54"/>
    </row>
    <row r="2247" spans="1:19" s="15" customFormat="1" x14ac:dyDescent="0.3">
      <c r="A2247" s="17"/>
      <c r="B2247"/>
      <c r="C2247"/>
      <c r="D2247"/>
      <c r="E2247"/>
      <c r="F2247"/>
      <c r="G2247"/>
      <c r="H2247"/>
      <c r="I2247"/>
      <c r="J2247"/>
      <c r="K2247"/>
      <c r="L2247"/>
      <c r="M2247"/>
      <c r="S2247" s="54"/>
    </row>
    <row r="2248" spans="1:19" s="15" customFormat="1" x14ac:dyDescent="0.3">
      <c r="A2248" s="17"/>
      <c r="B2248"/>
      <c r="C2248"/>
      <c r="D2248"/>
      <c r="E2248"/>
      <c r="F2248"/>
      <c r="G2248"/>
      <c r="H2248"/>
      <c r="I2248"/>
      <c r="J2248"/>
      <c r="K2248"/>
      <c r="L2248"/>
      <c r="M2248"/>
      <c r="S2248" s="54"/>
    </row>
    <row r="2249" spans="1:19" s="15" customFormat="1" x14ac:dyDescent="0.3">
      <c r="A2249" s="17"/>
      <c r="B2249"/>
      <c r="C2249"/>
      <c r="D2249"/>
      <c r="E2249"/>
      <c r="F2249"/>
      <c r="G2249"/>
      <c r="H2249"/>
      <c r="I2249"/>
      <c r="J2249"/>
      <c r="K2249"/>
      <c r="L2249"/>
      <c r="M2249"/>
      <c r="S2249" s="54"/>
    </row>
    <row r="2250" spans="1:19" s="15" customFormat="1" x14ac:dyDescent="0.3">
      <c r="A2250" s="17"/>
      <c r="B2250"/>
      <c r="C2250"/>
      <c r="D2250"/>
      <c r="E2250"/>
      <c r="F2250"/>
      <c r="G2250"/>
      <c r="H2250"/>
      <c r="I2250"/>
      <c r="J2250"/>
      <c r="K2250"/>
      <c r="L2250"/>
      <c r="M2250"/>
      <c r="S2250" s="54"/>
    </row>
    <row r="2251" spans="1:19" s="15" customFormat="1" x14ac:dyDescent="0.3">
      <c r="A2251" s="17"/>
      <c r="B2251"/>
      <c r="C2251"/>
      <c r="D2251"/>
      <c r="E2251"/>
      <c r="F2251"/>
      <c r="G2251"/>
      <c r="H2251"/>
      <c r="I2251"/>
      <c r="J2251"/>
      <c r="K2251"/>
      <c r="L2251"/>
      <c r="M2251"/>
      <c r="S2251" s="54"/>
    </row>
    <row r="2252" spans="1:19" s="15" customFormat="1" x14ac:dyDescent="0.3">
      <c r="A2252" s="17"/>
      <c r="B2252"/>
      <c r="C2252"/>
      <c r="D2252"/>
      <c r="E2252"/>
      <c r="F2252"/>
      <c r="G2252"/>
      <c r="H2252"/>
      <c r="I2252"/>
      <c r="J2252"/>
      <c r="K2252"/>
      <c r="L2252"/>
      <c r="M2252"/>
      <c r="S2252" s="54"/>
    </row>
    <row r="2253" spans="1:19" s="15" customFormat="1" x14ac:dyDescent="0.3">
      <c r="A2253" s="17"/>
      <c r="B2253"/>
      <c r="C2253"/>
      <c r="D2253"/>
      <c r="E2253"/>
      <c r="F2253"/>
      <c r="G2253"/>
      <c r="H2253"/>
      <c r="I2253"/>
      <c r="J2253"/>
      <c r="K2253"/>
      <c r="L2253"/>
      <c r="M2253"/>
      <c r="S2253" s="54"/>
    </row>
    <row r="2254" spans="1:19" s="15" customFormat="1" x14ac:dyDescent="0.3">
      <c r="A2254" s="17"/>
      <c r="B2254"/>
      <c r="C2254"/>
      <c r="D2254"/>
      <c r="E2254"/>
      <c r="F2254"/>
      <c r="G2254"/>
      <c r="H2254"/>
      <c r="I2254"/>
      <c r="J2254"/>
      <c r="K2254"/>
      <c r="L2254"/>
      <c r="M2254"/>
      <c r="S2254" s="54"/>
    </row>
    <row r="2255" spans="1:19" s="15" customFormat="1" x14ac:dyDescent="0.3">
      <c r="A2255" s="17"/>
      <c r="B2255"/>
      <c r="C2255"/>
      <c r="D2255"/>
      <c r="E2255"/>
      <c r="F2255"/>
      <c r="G2255"/>
      <c r="H2255"/>
      <c r="I2255"/>
      <c r="J2255"/>
      <c r="K2255"/>
      <c r="L2255"/>
      <c r="M2255"/>
      <c r="S2255" s="54"/>
    </row>
    <row r="2256" spans="1:19" s="15" customFormat="1" x14ac:dyDescent="0.3">
      <c r="A2256" s="17"/>
      <c r="B2256"/>
      <c r="C2256"/>
      <c r="D2256"/>
      <c r="E2256"/>
      <c r="F2256"/>
      <c r="G2256"/>
      <c r="H2256"/>
      <c r="I2256"/>
      <c r="J2256"/>
      <c r="K2256"/>
      <c r="L2256"/>
      <c r="M2256"/>
      <c r="S2256" s="54"/>
    </row>
    <row r="2257" spans="1:19" s="15" customFormat="1" x14ac:dyDescent="0.3">
      <c r="A2257" s="17"/>
      <c r="B2257"/>
      <c r="C2257"/>
      <c r="D2257"/>
      <c r="E2257"/>
      <c r="F2257"/>
      <c r="G2257"/>
      <c r="H2257"/>
      <c r="I2257"/>
      <c r="J2257"/>
      <c r="K2257"/>
      <c r="L2257"/>
      <c r="M2257"/>
      <c r="S2257" s="54"/>
    </row>
    <row r="2258" spans="1:19" s="15" customFormat="1" x14ac:dyDescent="0.3">
      <c r="A2258" s="17"/>
      <c r="B2258"/>
      <c r="C2258"/>
      <c r="D2258"/>
      <c r="E2258"/>
      <c r="F2258"/>
      <c r="G2258"/>
      <c r="H2258"/>
      <c r="I2258"/>
      <c r="J2258"/>
      <c r="K2258"/>
      <c r="L2258"/>
      <c r="M2258"/>
      <c r="S2258" s="54"/>
    </row>
    <row r="2259" spans="1:19" s="15" customFormat="1" x14ac:dyDescent="0.3">
      <c r="A2259" s="17"/>
      <c r="B2259"/>
      <c r="C2259"/>
      <c r="D2259"/>
      <c r="E2259"/>
      <c r="F2259"/>
      <c r="G2259"/>
      <c r="H2259"/>
      <c r="I2259"/>
      <c r="J2259"/>
      <c r="K2259"/>
      <c r="L2259"/>
      <c r="M2259"/>
      <c r="S2259" s="54"/>
    </row>
    <row r="2260" spans="1:19" s="15" customFormat="1" x14ac:dyDescent="0.3">
      <c r="A2260" s="17"/>
      <c r="B2260"/>
      <c r="C2260"/>
      <c r="D2260"/>
      <c r="E2260"/>
      <c r="F2260"/>
      <c r="G2260"/>
      <c r="H2260"/>
      <c r="I2260"/>
      <c r="J2260"/>
      <c r="K2260"/>
      <c r="L2260"/>
      <c r="M2260"/>
      <c r="S2260" s="54"/>
    </row>
    <row r="2261" spans="1:19" s="15" customFormat="1" x14ac:dyDescent="0.3">
      <c r="A2261" s="17"/>
      <c r="B2261"/>
      <c r="C2261"/>
      <c r="D2261"/>
      <c r="E2261"/>
      <c r="F2261"/>
      <c r="G2261"/>
      <c r="H2261"/>
      <c r="I2261"/>
      <c r="J2261"/>
      <c r="K2261"/>
      <c r="L2261"/>
      <c r="M2261"/>
      <c r="S2261" s="54"/>
    </row>
    <row r="2262" spans="1:19" s="15" customFormat="1" x14ac:dyDescent="0.3">
      <c r="A2262" s="17"/>
      <c r="B2262"/>
      <c r="C2262"/>
      <c r="D2262"/>
      <c r="E2262"/>
      <c r="F2262"/>
      <c r="G2262"/>
      <c r="H2262"/>
      <c r="I2262"/>
      <c r="J2262"/>
      <c r="K2262"/>
      <c r="L2262"/>
      <c r="M2262"/>
      <c r="S2262" s="54"/>
    </row>
    <row r="2263" spans="1:19" s="15" customFormat="1" x14ac:dyDescent="0.3">
      <c r="A2263" s="17"/>
      <c r="B2263"/>
      <c r="C2263"/>
      <c r="D2263"/>
      <c r="E2263"/>
      <c r="F2263"/>
      <c r="G2263"/>
      <c r="H2263"/>
      <c r="I2263"/>
      <c r="J2263"/>
      <c r="K2263"/>
      <c r="L2263"/>
      <c r="M2263"/>
      <c r="S2263" s="54"/>
    </row>
    <row r="2264" spans="1:19" s="15" customFormat="1" x14ac:dyDescent="0.3">
      <c r="A2264" s="17"/>
      <c r="B2264"/>
      <c r="C2264"/>
      <c r="D2264"/>
      <c r="E2264"/>
      <c r="F2264"/>
      <c r="G2264"/>
      <c r="H2264"/>
      <c r="I2264"/>
      <c r="J2264"/>
      <c r="K2264"/>
      <c r="L2264"/>
      <c r="M2264"/>
      <c r="S2264" s="54"/>
    </row>
    <row r="2265" spans="1:19" s="15" customFormat="1" x14ac:dyDescent="0.3">
      <c r="A2265" s="17"/>
      <c r="B2265"/>
      <c r="C2265"/>
      <c r="D2265"/>
      <c r="E2265"/>
      <c r="F2265"/>
      <c r="G2265"/>
      <c r="H2265"/>
      <c r="I2265"/>
      <c r="J2265"/>
      <c r="K2265"/>
      <c r="L2265"/>
      <c r="M2265"/>
      <c r="S2265" s="54"/>
    </row>
    <row r="2266" spans="1:19" s="15" customFormat="1" x14ac:dyDescent="0.3">
      <c r="A2266" s="17"/>
      <c r="B2266"/>
      <c r="C2266"/>
      <c r="D2266"/>
      <c r="E2266"/>
      <c r="F2266"/>
      <c r="G2266"/>
      <c r="H2266"/>
      <c r="I2266"/>
      <c r="J2266"/>
      <c r="K2266"/>
      <c r="L2266"/>
      <c r="M2266"/>
      <c r="S2266" s="54"/>
    </row>
    <row r="2267" spans="1:19" s="15" customFormat="1" x14ac:dyDescent="0.3">
      <c r="A2267" s="17"/>
      <c r="B2267"/>
      <c r="C2267"/>
      <c r="D2267"/>
      <c r="E2267"/>
      <c r="F2267"/>
      <c r="G2267"/>
      <c r="H2267"/>
      <c r="I2267"/>
      <c r="J2267"/>
      <c r="K2267"/>
      <c r="L2267"/>
      <c r="M2267"/>
      <c r="S2267" s="54"/>
    </row>
    <row r="2268" spans="1:19" s="15" customFormat="1" x14ac:dyDescent="0.3">
      <c r="A2268" s="17"/>
      <c r="B2268"/>
      <c r="C2268"/>
      <c r="D2268"/>
      <c r="E2268"/>
      <c r="F2268"/>
      <c r="G2268"/>
      <c r="H2268"/>
      <c r="I2268"/>
      <c r="J2268"/>
      <c r="K2268"/>
      <c r="L2268"/>
      <c r="M2268"/>
      <c r="S2268" s="54"/>
    </row>
    <row r="2269" spans="1:19" s="15" customFormat="1" x14ac:dyDescent="0.3">
      <c r="A2269" s="17"/>
      <c r="B2269"/>
      <c r="C2269"/>
      <c r="D2269"/>
      <c r="E2269"/>
      <c r="F2269"/>
      <c r="G2269"/>
      <c r="H2269"/>
      <c r="I2269"/>
      <c r="J2269"/>
      <c r="K2269"/>
      <c r="L2269"/>
      <c r="M2269"/>
      <c r="S2269" s="54"/>
    </row>
    <row r="2270" spans="1:19" s="15" customFormat="1" x14ac:dyDescent="0.3">
      <c r="A2270" s="17"/>
      <c r="B2270"/>
      <c r="C2270"/>
      <c r="D2270"/>
      <c r="E2270"/>
      <c r="F2270"/>
      <c r="G2270"/>
      <c r="H2270"/>
      <c r="I2270"/>
      <c r="J2270"/>
      <c r="K2270"/>
      <c r="L2270"/>
      <c r="M2270"/>
      <c r="S2270" s="54"/>
    </row>
    <row r="2271" spans="1:19" s="15" customFormat="1" x14ac:dyDescent="0.3">
      <c r="A2271" s="17"/>
      <c r="B2271"/>
      <c r="C2271"/>
      <c r="D2271"/>
      <c r="E2271"/>
      <c r="F2271"/>
      <c r="G2271"/>
      <c r="H2271"/>
      <c r="I2271"/>
      <c r="J2271"/>
      <c r="K2271"/>
      <c r="L2271"/>
      <c r="M2271"/>
      <c r="S2271" s="54"/>
    </row>
    <row r="2272" spans="1:19" s="15" customFormat="1" x14ac:dyDescent="0.3">
      <c r="A2272" s="17"/>
      <c r="B2272"/>
      <c r="C2272"/>
      <c r="D2272"/>
      <c r="E2272"/>
      <c r="F2272"/>
      <c r="G2272"/>
      <c r="H2272"/>
      <c r="I2272"/>
      <c r="J2272"/>
      <c r="K2272"/>
      <c r="L2272"/>
      <c r="M2272"/>
      <c r="S2272" s="54"/>
    </row>
    <row r="2273" spans="1:19" s="15" customFormat="1" x14ac:dyDescent="0.3">
      <c r="A2273" s="17"/>
      <c r="B2273"/>
      <c r="C2273"/>
      <c r="D2273"/>
      <c r="E2273"/>
      <c r="F2273"/>
      <c r="G2273"/>
      <c r="H2273"/>
      <c r="I2273"/>
      <c r="J2273"/>
      <c r="K2273"/>
      <c r="L2273"/>
      <c r="M2273"/>
      <c r="S2273" s="54"/>
    </row>
    <row r="2274" spans="1:19" s="15" customFormat="1" x14ac:dyDescent="0.3">
      <c r="A2274" s="17"/>
      <c r="B2274"/>
      <c r="C2274"/>
      <c r="D2274"/>
      <c r="E2274"/>
      <c r="F2274"/>
      <c r="G2274"/>
      <c r="H2274"/>
      <c r="I2274"/>
      <c r="J2274"/>
      <c r="K2274"/>
      <c r="L2274"/>
      <c r="M2274"/>
      <c r="S2274" s="54"/>
    </row>
    <row r="2275" spans="1:19" s="15" customFormat="1" x14ac:dyDescent="0.3">
      <c r="A2275" s="17"/>
      <c r="B2275"/>
      <c r="C2275"/>
      <c r="D2275"/>
      <c r="E2275"/>
      <c r="F2275"/>
      <c r="G2275"/>
      <c r="H2275"/>
      <c r="I2275"/>
      <c r="J2275"/>
      <c r="K2275"/>
      <c r="L2275"/>
      <c r="M2275"/>
      <c r="S2275" s="54"/>
    </row>
    <row r="2276" spans="1:19" s="15" customFormat="1" x14ac:dyDescent="0.3">
      <c r="A2276" s="17"/>
      <c r="B2276"/>
      <c r="C2276"/>
      <c r="D2276"/>
      <c r="E2276"/>
      <c r="F2276"/>
      <c r="G2276"/>
      <c r="H2276"/>
      <c r="I2276"/>
      <c r="J2276"/>
      <c r="K2276"/>
      <c r="L2276"/>
      <c r="M2276"/>
      <c r="S2276" s="54"/>
    </row>
    <row r="2277" spans="1:19" s="15" customFormat="1" x14ac:dyDescent="0.3">
      <c r="A2277" s="17"/>
      <c r="B2277"/>
      <c r="C2277"/>
      <c r="D2277"/>
      <c r="E2277"/>
      <c r="F2277"/>
      <c r="G2277"/>
      <c r="H2277"/>
      <c r="I2277"/>
      <c r="J2277"/>
      <c r="K2277"/>
      <c r="L2277"/>
      <c r="M2277"/>
      <c r="S2277" s="54"/>
    </row>
    <row r="2278" spans="1:19" s="15" customFormat="1" x14ac:dyDescent="0.3">
      <c r="A2278" s="17"/>
      <c r="B2278"/>
      <c r="C2278"/>
      <c r="D2278"/>
      <c r="E2278"/>
      <c r="F2278"/>
      <c r="G2278"/>
      <c r="H2278"/>
      <c r="I2278"/>
      <c r="J2278"/>
      <c r="K2278"/>
      <c r="L2278"/>
      <c r="M2278"/>
      <c r="S2278" s="54"/>
    </row>
    <row r="2279" spans="1:19" s="15" customFormat="1" x14ac:dyDescent="0.3">
      <c r="A2279" s="17"/>
      <c r="B2279"/>
      <c r="C2279"/>
      <c r="D2279"/>
      <c r="E2279"/>
      <c r="F2279"/>
      <c r="G2279"/>
      <c r="H2279"/>
      <c r="I2279"/>
      <c r="J2279"/>
      <c r="K2279"/>
      <c r="L2279"/>
      <c r="M2279"/>
      <c r="S2279" s="54"/>
    </row>
    <row r="2280" spans="1:19" s="15" customFormat="1" x14ac:dyDescent="0.3">
      <c r="A2280" s="17"/>
      <c r="B2280"/>
      <c r="C2280"/>
      <c r="D2280"/>
      <c r="E2280"/>
      <c r="F2280"/>
      <c r="G2280"/>
      <c r="H2280"/>
      <c r="I2280"/>
      <c r="J2280"/>
      <c r="K2280"/>
      <c r="L2280"/>
      <c r="M2280"/>
      <c r="S2280" s="54"/>
    </row>
    <row r="2281" spans="1:19" s="15" customFormat="1" x14ac:dyDescent="0.3">
      <c r="A2281" s="17"/>
      <c r="B2281"/>
      <c r="C2281"/>
      <c r="D2281"/>
      <c r="E2281"/>
      <c r="F2281"/>
      <c r="G2281"/>
      <c r="H2281"/>
      <c r="I2281"/>
      <c r="J2281"/>
      <c r="K2281"/>
      <c r="L2281"/>
      <c r="M2281"/>
      <c r="S2281" s="54"/>
    </row>
    <row r="2282" spans="1:19" s="15" customFormat="1" x14ac:dyDescent="0.3">
      <c r="A2282" s="17"/>
      <c r="B2282"/>
      <c r="C2282"/>
      <c r="D2282"/>
      <c r="E2282"/>
      <c r="F2282"/>
      <c r="G2282"/>
      <c r="H2282"/>
      <c r="I2282"/>
      <c r="J2282"/>
      <c r="K2282"/>
      <c r="L2282"/>
      <c r="M2282"/>
      <c r="S2282" s="54"/>
    </row>
    <row r="2283" spans="1:19" s="15" customFormat="1" x14ac:dyDescent="0.3">
      <c r="A2283" s="17"/>
      <c r="B2283"/>
      <c r="C2283"/>
      <c r="D2283"/>
      <c r="E2283"/>
      <c r="F2283"/>
      <c r="G2283"/>
      <c r="H2283"/>
      <c r="I2283"/>
      <c r="J2283"/>
      <c r="K2283"/>
      <c r="L2283"/>
      <c r="M2283"/>
      <c r="S2283" s="54"/>
    </row>
    <row r="2284" spans="1:19" s="15" customFormat="1" x14ac:dyDescent="0.3">
      <c r="A2284" s="17"/>
      <c r="B2284"/>
      <c r="C2284"/>
      <c r="D2284"/>
      <c r="E2284"/>
      <c r="F2284"/>
      <c r="G2284"/>
      <c r="H2284"/>
      <c r="I2284"/>
      <c r="J2284"/>
      <c r="K2284"/>
      <c r="L2284"/>
      <c r="M2284"/>
      <c r="S2284" s="54"/>
    </row>
    <row r="2285" spans="1:19" s="15" customFormat="1" x14ac:dyDescent="0.3">
      <c r="A2285" s="17"/>
      <c r="B2285"/>
      <c r="C2285"/>
      <c r="D2285"/>
      <c r="E2285"/>
      <c r="F2285"/>
      <c r="G2285"/>
      <c r="H2285"/>
      <c r="I2285"/>
      <c r="J2285"/>
      <c r="K2285"/>
      <c r="L2285"/>
      <c r="M2285"/>
      <c r="S2285" s="54"/>
    </row>
    <row r="2286" spans="1:19" s="15" customFormat="1" x14ac:dyDescent="0.3">
      <c r="A2286" s="17"/>
      <c r="B2286"/>
      <c r="C2286"/>
      <c r="D2286"/>
      <c r="E2286"/>
      <c r="F2286"/>
      <c r="G2286"/>
      <c r="H2286"/>
      <c r="I2286"/>
      <c r="J2286"/>
      <c r="K2286"/>
      <c r="L2286"/>
      <c r="M2286"/>
      <c r="S2286" s="54"/>
    </row>
    <row r="2287" spans="1:19" s="15" customFormat="1" x14ac:dyDescent="0.3">
      <c r="A2287" s="17"/>
      <c r="B2287"/>
      <c r="C2287"/>
      <c r="D2287"/>
      <c r="E2287"/>
      <c r="F2287"/>
      <c r="G2287"/>
      <c r="H2287"/>
      <c r="I2287"/>
      <c r="J2287"/>
      <c r="K2287"/>
      <c r="L2287"/>
      <c r="M2287"/>
      <c r="S2287" s="54"/>
    </row>
    <row r="2288" spans="1:19" s="15" customFormat="1" x14ac:dyDescent="0.3">
      <c r="A2288" s="17"/>
      <c r="B2288"/>
      <c r="C2288"/>
      <c r="D2288"/>
      <c r="E2288"/>
      <c r="F2288"/>
      <c r="G2288"/>
      <c r="H2288"/>
      <c r="I2288"/>
      <c r="J2288"/>
      <c r="K2288"/>
      <c r="L2288"/>
      <c r="M2288"/>
      <c r="S2288" s="54"/>
    </row>
    <row r="2289" spans="1:19" s="15" customFormat="1" x14ac:dyDescent="0.3">
      <c r="A2289" s="17"/>
      <c r="B2289"/>
      <c r="C2289"/>
      <c r="D2289"/>
      <c r="E2289"/>
      <c r="F2289"/>
      <c r="G2289"/>
      <c r="H2289"/>
      <c r="I2289"/>
      <c r="J2289"/>
      <c r="K2289"/>
      <c r="L2289"/>
      <c r="M2289"/>
      <c r="S2289" s="54"/>
    </row>
    <row r="2290" spans="1:19" s="15" customFormat="1" x14ac:dyDescent="0.3">
      <c r="A2290" s="17"/>
      <c r="B2290"/>
      <c r="C2290"/>
      <c r="D2290"/>
      <c r="E2290"/>
      <c r="F2290"/>
      <c r="G2290"/>
      <c r="H2290"/>
      <c r="I2290"/>
      <c r="J2290"/>
      <c r="K2290"/>
      <c r="L2290"/>
      <c r="M2290"/>
      <c r="S2290" s="54"/>
    </row>
    <row r="2291" spans="1:19" s="15" customFormat="1" x14ac:dyDescent="0.3">
      <c r="A2291" s="17"/>
      <c r="B2291"/>
      <c r="C2291"/>
      <c r="D2291"/>
      <c r="E2291"/>
      <c r="F2291"/>
      <c r="G2291"/>
      <c r="H2291"/>
      <c r="I2291"/>
      <c r="J2291"/>
      <c r="K2291"/>
      <c r="L2291"/>
      <c r="M2291"/>
      <c r="S2291" s="54"/>
    </row>
    <row r="2292" spans="1:19" s="15" customFormat="1" x14ac:dyDescent="0.3">
      <c r="A2292" s="17"/>
      <c r="B2292"/>
      <c r="C2292"/>
      <c r="D2292"/>
      <c r="E2292"/>
      <c r="F2292"/>
      <c r="G2292"/>
      <c r="H2292"/>
      <c r="I2292"/>
      <c r="J2292"/>
      <c r="K2292"/>
      <c r="L2292"/>
      <c r="M2292"/>
      <c r="S2292" s="54"/>
    </row>
    <row r="2293" spans="1:19" s="15" customFormat="1" x14ac:dyDescent="0.3">
      <c r="A2293" s="17"/>
      <c r="B2293"/>
      <c r="C2293"/>
      <c r="D2293"/>
      <c r="E2293"/>
      <c r="F2293"/>
      <c r="G2293"/>
      <c r="H2293"/>
      <c r="I2293"/>
      <c r="J2293"/>
      <c r="K2293"/>
      <c r="L2293"/>
      <c r="M2293"/>
      <c r="S2293" s="54"/>
    </row>
    <row r="2294" spans="1:19" s="15" customFormat="1" x14ac:dyDescent="0.3">
      <c r="A2294" s="17"/>
      <c r="B2294"/>
      <c r="C2294"/>
      <c r="D2294"/>
      <c r="E2294"/>
      <c r="F2294"/>
      <c r="G2294"/>
      <c r="H2294"/>
      <c r="I2294"/>
      <c r="J2294"/>
      <c r="K2294"/>
      <c r="L2294"/>
      <c r="M2294"/>
      <c r="S2294" s="54"/>
    </row>
    <row r="2295" spans="1:19" s="15" customFormat="1" x14ac:dyDescent="0.3">
      <c r="A2295" s="17"/>
      <c r="B2295"/>
      <c r="C2295"/>
      <c r="D2295"/>
      <c r="E2295"/>
      <c r="F2295"/>
      <c r="G2295"/>
      <c r="H2295"/>
      <c r="I2295"/>
      <c r="J2295"/>
      <c r="K2295"/>
      <c r="L2295"/>
      <c r="M2295"/>
      <c r="S2295" s="54"/>
    </row>
    <row r="2296" spans="1:19" s="15" customFormat="1" x14ac:dyDescent="0.3">
      <c r="A2296" s="17"/>
      <c r="B2296"/>
      <c r="C2296"/>
      <c r="D2296"/>
      <c r="E2296"/>
      <c r="F2296"/>
      <c r="G2296"/>
      <c r="H2296"/>
      <c r="I2296"/>
      <c r="J2296"/>
      <c r="K2296"/>
      <c r="L2296"/>
      <c r="M2296"/>
      <c r="S2296" s="54"/>
    </row>
    <row r="2297" spans="1:19" s="15" customFormat="1" x14ac:dyDescent="0.3">
      <c r="A2297" s="17"/>
      <c r="B2297"/>
      <c r="C2297"/>
      <c r="D2297"/>
      <c r="E2297"/>
      <c r="F2297"/>
      <c r="G2297"/>
      <c r="H2297"/>
      <c r="I2297"/>
      <c r="J2297"/>
      <c r="K2297"/>
      <c r="L2297"/>
      <c r="M2297"/>
      <c r="S2297" s="54"/>
    </row>
    <row r="2298" spans="1:19" s="15" customFormat="1" x14ac:dyDescent="0.3">
      <c r="A2298" s="17"/>
      <c r="B2298"/>
      <c r="C2298"/>
      <c r="D2298"/>
      <c r="E2298"/>
      <c r="F2298"/>
      <c r="G2298"/>
      <c r="H2298"/>
      <c r="I2298"/>
      <c r="J2298"/>
      <c r="K2298"/>
      <c r="L2298"/>
      <c r="M2298"/>
      <c r="S2298" s="54"/>
    </row>
    <row r="2299" spans="1:19" s="15" customFormat="1" x14ac:dyDescent="0.3">
      <c r="A2299" s="17"/>
      <c r="B2299"/>
      <c r="C2299"/>
      <c r="D2299"/>
      <c r="E2299"/>
      <c r="F2299"/>
      <c r="G2299"/>
      <c r="H2299"/>
      <c r="I2299"/>
      <c r="J2299"/>
      <c r="K2299"/>
      <c r="L2299"/>
      <c r="M2299"/>
      <c r="S2299" s="54"/>
    </row>
    <row r="2300" spans="1:19" s="15" customFormat="1" x14ac:dyDescent="0.3">
      <c r="A2300" s="17"/>
      <c r="B2300"/>
      <c r="C2300"/>
      <c r="D2300"/>
      <c r="E2300"/>
      <c r="F2300"/>
      <c r="G2300"/>
      <c r="H2300"/>
      <c r="I2300"/>
      <c r="J2300"/>
      <c r="K2300"/>
      <c r="L2300"/>
      <c r="M2300"/>
      <c r="S2300" s="54"/>
    </row>
    <row r="2301" spans="1:19" s="15" customFormat="1" x14ac:dyDescent="0.3">
      <c r="A2301" s="17"/>
      <c r="B2301"/>
      <c r="C2301"/>
      <c r="D2301"/>
      <c r="E2301"/>
      <c r="F2301"/>
      <c r="G2301"/>
      <c r="H2301"/>
      <c r="I2301"/>
      <c r="J2301"/>
      <c r="K2301"/>
      <c r="L2301"/>
      <c r="M2301"/>
      <c r="S2301" s="54"/>
    </row>
    <row r="2302" spans="1:19" s="15" customFormat="1" x14ac:dyDescent="0.3">
      <c r="A2302" s="17"/>
      <c r="B2302"/>
      <c r="C2302"/>
      <c r="D2302"/>
      <c r="E2302"/>
      <c r="F2302"/>
      <c r="G2302"/>
      <c r="H2302"/>
      <c r="I2302"/>
      <c r="J2302"/>
      <c r="K2302"/>
      <c r="L2302"/>
      <c r="M2302"/>
      <c r="S2302" s="54"/>
    </row>
    <row r="2303" spans="1:19" s="15" customFormat="1" x14ac:dyDescent="0.3">
      <c r="A2303" s="17"/>
      <c r="B2303"/>
      <c r="C2303"/>
      <c r="D2303"/>
      <c r="E2303"/>
      <c r="F2303"/>
      <c r="G2303"/>
      <c r="H2303"/>
      <c r="I2303"/>
      <c r="J2303"/>
      <c r="K2303"/>
      <c r="L2303"/>
      <c r="M2303"/>
      <c r="S2303" s="54"/>
    </row>
    <row r="2304" spans="1:19" s="15" customFormat="1" x14ac:dyDescent="0.3">
      <c r="A2304" s="17"/>
      <c r="B2304"/>
      <c r="C2304"/>
      <c r="D2304"/>
      <c r="E2304"/>
      <c r="F2304"/>
      <c r="G2304"/>
      <c r="H2304"/>
      <c r="I2304"/>
      <c r="J2304"/>
      <c r="K2304"/>
      <c r="L2304"/>
      <c r="M2304"/>
      <c r="S2304" s="54"/>
    </row>
    <row r="2305" spans="1:19" s="15" customFormat="1" x14ac:dyDescent="0.3">
      <c r="A2305" s="17"/>
      <c r="B2305"/>
      <c r="C2305"/>
      <c r="D2305"/>
      <c r="E2305"/>
      <c r="F2305"/>
      <c r="G2305"/>
      <c r="H2305"/>
      <c r="I2305"/>
      <c r="J2305"/>
      <c r="K2305"/>
      <c r="L2305"/>
      <c r="M2305"/>
      <c r="S2305" s="54"/>
    </row>
    <row r="2306" spans="1:19" s="15" customFormat="1" x14ac:dyDescent="0.3">
      <c r="A2306" s="17"/>
      <c r="B2306"/>
      <c r="C2306"/>
      <c r="D2306"/>
      <c r="E2306"/>
      <c r="F2306"/>
      <c r="G2306"/>
      <c r="H2306"/>
      <c r="I2306"/>
      <c r="J2306"/>
      <c r="K2306"/>
      <c r="L2306"/>
      <c r="M2306"/>
      <c r="S2306" s="54"/>
    </row>
    <row r="2307" spans="1:19" s="15" customFormat="1" x14ac:dyDescent="0.3">
      <c r="A2307" s="17"/>
      <c r="B2307"/>
      <c r="C2307"/>
      <c r="D2307"/>
      <c r="E2307"/>
      <c r="F2307"/>
      <c r="G2307"/>
      <c r="H2307"/>
      <c r="I2307"/>
      <c r="J2307"/>
      <c r="K2307"/>
      <c r="L2307"/>
      <c r="M2307"/>
      <c r="S2307" s="54"/>
    </row>
    <row r="2308" spans="1:19" s="15" customFormat="1" x14ac:dyDescent="0.3">
      <c r="A2308" s="17"/>
      <c r="B2308"/>
      <c r="C2308"/>
      <c r="D2308"/>
      <c r="E2308"/>
      <c r="F2308"/>
      <c r="G2308"/>
      <c r="H2308"/>
      <c r="I2308"/>
      <c r="J2308"/>
      <c r="K2308"/>
      <c r="L2308"/>
      <c r="M2308"/>
      <c r="S2308" s="54"/>
    </row>
    <row r="2309" spans="1:19" s="15" customFormat="1" x14ac:dyDescent="0.3">
      <c r="A2309" s="17"/>
      <c r="B2309"/>
      <c r="C2309"/>
      <c r="D2309"/>
      <c r="E2309"/>
      <c r="F2309"/>
      <c r="G2309"/>
      <c r="H2309"/>
      <c r="I2309"/>
      <c r="J2309"/>
      <c r="K2309"/>
      <c r="L2309"/>
      <c r="M2309"/>
      <c r="S2309" s="54"/>
    </row>
    <row r="2310" spans="1:19" s="15" customFormat="1" x14ac:dyDescent="0.3">
      <c r="A2310" s="17"/>
      <c r="B2310"/>
      <c r="C2310"/>
      <c r="D2310"/>
      <c r="E2310"/>
      <c r="F2310"/>
      <c r="G2310"/>
      <c r="H2310"/>
      <c r="I2310"/>
      <c r="J2310"/>
      <c r="K2310"/>
      <c r="L2310"/>
      <c r="M2310"/>
      <c r="S2310" s="54"/>
    </row>
    <row r="2311" spans="1:19" s="15" customFormat="1" x14ac:dyDescent="0.3">
      <c r="A2311" s="17"/>
      <c r="B2311"/>
      <c r="C2311"/>
      <c r="D2311"/>
      <c r="E2311"/>
      <c r="F2311"/>
      <c r="G2311"/>
      <c r="H2311"/>
      <c r="I2311"/>
      <c r="J2311"/>
      <c r="K2311"/>
      <c r="L2311"/>
      <c r="M2311"/>
      <c r="S2311" s="54"/>
    </row>
    <row r="2312" spans="1:19" s="15" customFormat="1" x14ac:dyDescent="0.3">
      <c r="A2312" s="17"/>
      <c r="B2312"/>
      <c r="C2312"/>
      <c r="D2312"/>
      <c r="E2312"/>
      <c r="F2312"/>
      <c r="G2312"/>
      <c r="H2312"/>
      <c r="I2312"/>
      <c r="J2312"/>
      <c r="K2312"/>
      <c r="L2312"/>
      <c r="M2312"/>
      <c r="S2312" s="54"/>
    </row>
    <row r="2313" spans="1:19" s="15" customFormat="1" x14ac:dyDescent="0.3">
      <c r="A2313" s="17"/>
      <c r="B2313"/>
      <c r="C2313"/>
      <c r="D2313"/>
      <c r="E2313"/>
      <c r="F2313"/>
      <c r="G2313"/>
      <c r="H2313"/>
      <c r="I2313"/>
      <c r="J2313"/>
      <c r="K2313"/>
      <c r="L2313"/>
      <c r="M2313"/>
      <c r="S2313" s="54"/>
    </row>
    <row r="2314" spans="1:19" s="15" customFormat="1" x14ac:dyDescent="0.3">
      <c r="A2314" s="17"/>
      <c r="B2314"/>
      <c r="C2314"/>
      <c r="D2314"/>
      <c r="E2314"/>
      <c r="F2314"/>
      <c r="G2314"/>
      <c r="H2314"/>
      <c r="I2314"/>
      <c r="J2314"/>
      <c r="K2314"/>
      <c r="L2314"/>
      <c r="M2314"/>
      <c r="S2314" s="54"/>
    </row>
    <row r="2315" spans="1:19" s="15" customFormat="1" x14ac:dyDescent="0.3">
      <c r="A2315" s="17"/>
      <c r="B2315"/>
      <c r="C2315"/>
      <c r="D2315"/>
      <c r="E2315"/>
      <c r="F2315"/>
      <c r="G2315"/>
      <c r="H2315"/>
      <c r="I2315"/>
      <c r="J2315"/>
      <c r="K2315"/>
      <c r="L2315"/>
      <c r="M2315"/>
      <c r="S2315" s="54"/>
    </row>
    <row r="2316" spans="1:19" s="15" customFormat="1" x14ac:dyDescent="0.3">
      <c r="A2316" s="17"/>
      <c r="B2316"/>
      <c r="C2316"/>
      <c r="D2316"/>
      <c r="E2316"/>
      <c r="F2316"/>
      <c r="G2316"/>
      <c r="H2316"/>
      <c r="I2316"/>
      <c r="J2316"/>
      <c r="K2316"/>
      <c r="L2316"/>
      <c r="M2316"/>
      <c r="S2316" s="54"/>
    </row>
    <row r="2317" spans="1:19" s="15" customFormat="1" x14ac:dyDescent="0.3">
      <c r="A2317" s="17"/>
      <c r="B2317"/>
      <c r="C2317"/>
      <c r="D2317"/>
      <c r="E2317"/>
      <c r="F2317"/>
      <c r="G2317"/>
      <c r="H2317"/>
      <c r="I2317"/>
      <c r="J2317"/>
      <c r="K2317"/>
      <c r="L2317"/>
      <c r="M2317"/>
      <c r="S2317" s="54"/>
    </row>
    <row r="2318" spans="1:19" s="15" customFormat="1" x14ac:dyDescent="0.3">
      <c r="A2318" s="17"/>
      <c r="B2318"/>
      <c r="C2318"/>
      <c r="D2318"/>
      <c r="E2318"/>
      <c r="F2318"/>
      <c r="G2318"/>
      <c r="H2318"/>
      <c r="I2318"/>
      <c r="J2318"/>
      <c r="K2318"/>
      <c r="L2318"/>
      <c r="M2318"/>
      <c r="S2318" s="54"/>
    </row>
    <row r="2319" spans="1:19" s="15" customFormat="1" x14ac:dyDescent="0.3">
      <c r="A2319" s="17"/>
      <c r="B2319"/>
      <c r="C2319"/>
      <c r="D2319"/>
      <c r="E2319"/>
      <c r="F2319"/>
      <c r="G2319"/>
      <c r="H2319"/>
      <c r="I2319"/>
      <c r="J2319"/>
      <c r="K2319"/>
      <c r="L2319"/>
      <c r="M2319"/>
      <c r="S2319" s="54"/>
    </row>
    <row r="2320" spans="1:19" s="15" customFormat="1" x14ac:dyDescent="0.3">
      <c r="A2320" s="17"/>
      <c r="B2320"/>
      <c r="C2320"/>
      <c r="D2320"/>
      <c r="E2320"/>
      <c r="F2320"/>
      <c r="G2320"/>
      <c r="H2320"/>
      <c r="I2320"/>
      <c r="J2320"/>
      <c r="K2320"/>
      <c r="L2320"/>
      <c r="M2320"/>
      <c r="S2320" s="54"/>
    </row>
    <row r="2321" spans="1:19" s="15" customFormat="1" x14ac:dyDescent="0.3">
      <c r="A2321" s="17"/>
      <c r="B2321"/>
      <c r="C2321"/>
      <c r="D2321"/>
      <c r="E2321"/>
      <c r="F2321"/>
      <c r="G2321"/>
      <c r="H2321"/>
      <c r="I2321"/>
      <c r="J2321"/>
      <c r="K2321"/>
      <c r="L2321"/>
      <c r="M2321"/>
      <c r="S2321" s="54"/>
    </row>
    <row r="2322" spans="1:19" s="15" customFormat="1" x14ac:dyDescent="0.3">
      <c r="A2322" s="17"/>
      <c r="B2322"/>
      <c r="C2322"/>
      <c r="D2322"/>
      <c r="E2322"/>
      <c r="F2322"/>
      <c r="G2322"/>
      <c r="H2322"/>
      <c r="I2322"/>
      <c r="J2322"/>
      <c r="K2322"/>
      <c r="L2322"/>
      <c r="M2322"/>
      <c r="S2322" s="54"/>
    </row>
    <row r="2323" spans="1:19" s="15" customFormat="1" x14ac:dyDescent="0.3">
      <c r="A2323" s="17"/>
      <c r="B2323"/>
      <c r="C2323"/>
      <c r="D2323"/>
      <c r="E2323"/>
      <c r="F2323"/>
      <c r="G2323"/>
      <c r="H2323"/>
      <c r="I2323"/>
      <c r="J2323"/>
      <c r="K2323"/>
      <c r="L2323"/>
      <c r="M2323"/>
      <c r="S2323" s="54"/>
    </row>
    <row r="2324" spans="1:19" s="15" customFormat="1" x14ac:dyDescent="0.3">
      <c r="A2324" s="17"/>
      <c r="B2324"/>
      <c r="C2324"/>
      <c r="D2324"/>
      <c r="E2324"/>
      <c r="F2324"/>
      <c r="G2324"/>
      <c r="H2324"/>
      <c r="I2324"/>
      <c r="J2324"/>
      <c r="K2324"/>
      <c r="L2324"/>
      <c r="M2324"/>
      <c r="S2324" s="54"/>
    </row>
    <row r="2325" spans="1:19" s="15" customFormat="1" x14ac:dyDescent="0.3">
      <c r="A2325" s="17"/>
      <c r="B2325"/>
      <c r="C2325"/>
      <c r="D2325"/>
      <c r="E2325"/>
      <c r="F2325"/>
      <c r="G2325"/>
      <c r="H2325"/>
      <c r="I2325"/>
      <c r="J2325"/>
      <c r="K2325"/>
      <c r="L2325"/>
      <c r="M2325"/>
      <c r="S2325" s="54"/>
    </row>
    <row r="2326" spans="1:19" s="15" customFormat="1" x14ac:dyDescent="0.3">
      <c r="A2326" s="17"/>
      <c r="B2326"/>
      <c r="C2326"/>
      <c r="D2326"/>
      <c r="E2326"/>
      <c r="F2326"/>
      <c r="G2326"/>
      <c r="H2326"/>
      <c r="I2326"/>
      <c r="J2326"/>
      <c r="K2326"/>
      <c r="L2326"/>
      <c r="M2326"/>
      <c r="S2326" s="54"/>
    </row>
    <row r="2327" spans="1:19" s="15" customFormat="1" x14ac:dyDescent="0.3">
      <c r="A2327" s="17"/>
      <c r="B2327"/>
      <c r="C2327"/>
      <c r="D2327"/>
      <c r="E2327"/>
      <c r="F2327"/>
      <c r="G2327"/>
      <c r="H2327"/>
      <c r="I2327"/>
      <c r="J2327"/>
      <c r="K2327"/>
      <c r="L2327"/>
      <c r="M2327"/>
      <c r="S2327" s="54"/>
    </row>
    <row r="2328" spans="1:19" s="15" customFormat="1" x14ac:dyDescent="0.3">
      <c r="A2328" s="17"/>
      <c r="B2328"/>
      <c r="C2328"/>
      <c r="D2328"/>
      <c r="E2328"/>
      <c r="F2328"/>
      <c r="G2328"/>
      <c r="H2328"/>
      <c r="I2328"/>
      <c r="J2328"/>
      <c r="K2328"/>
      <c r="L2328"/>
      <c r="M2328"/>
      <c r="S2328" s="54"/>
    </row>
    <row r="2329" spans="1:19" s="15" customFormat="1" x14ac:dyDescent="0.3">
      <c r="A2329" s="17"/>
      <c r="B2329"/>
      <c r="C2329"/>
      <c r="D2329"/>
      <c r="E2329"/>
      <c r="F2329"/>
      <c r="G2329"/>
      <c r="H2329"/>
      <c r="I2329"/>
      <c r="J2329"/>
      <c r="K2329"/>
      <c r="L2329"/>
      <c r="M2329"/>
      <c r="S2329" s="54"/>
    </row>
    <row r="2330" spans="1:19" s="15" customFormat="1" x14ac:dyDescent="0.3">
      <c r="A2330" s="17"/>
      <c r="B2330"/>
      <c r="C2330"/>
      <c r="D2330"/>
      <c r="E2330"/>
      <c r="F2330"/>
      <c r="G2330"/>
      <c r="H2330"/>
      <c r="I2330"/>
      <c r="J2330"/>
      <c r="K2330"/>
      <c r="L2330"/>
      <c r="M2330"/>
      <c r="S2330" s="54"/>
    </row>
    <row r="2331" spans="1:19" s="15" customFormat="1" x14ac:dyDescent="0.3">
      <c r="A2331" s="17"/>
      <c r="B2331"/>
      <c r="C2331"/>
      <c r="D2331"/>
      <c r="E2331"/>
      <c r="F2331"/>
      <c r="G2331"/>
      <c r="H2331"/>
      <c r="I2331"/>
      <c r="J2331"/>
      <c r="K2331"/>
      <c r="L2331"/>
      <c r="M2331"/>
      <c r="S2331" s="54"/>
    </row>
    <row r="2332" spans="1:19" s="15" customFormat="1" x14ac:dyDescent="0.3">
      <c r="A2332" s="17"/>
      <c r="B2332"/>
      <c r="C2332"/>
      <c r="D2332"/>
      <c r="E2332"/>
      <c r="F2332"/>
      <c r="G2332"/>
      <c r="H2332"/>
      <c r="I2332"/>
      <c r="J2332"/>
      <c r="K2332"/>
      <c r="L2332"/>
      <c r="M2332"/>
      <c r="S2332" s="54"/>
    </row>
    <row r="2333" spans="1:19" s="15" customFormat="1" x14ac:dyDescent="0.3">
      <c r="A2333" s="17"/>
      <c r="B2333"/>
      <c r="C2333"/>
      <c r="D2333"/>
      <c r="E2333"/>
      <c r="F2333"/>
      <c r="G2333"/>
      <c r="H2333"/>
      <c r="I2333"/>
      <c r="J2333"/>
      <c r="K2333"/>
      <c r="L2333"/>
      <c r="M2333"/>
      <c r="S2333" s="54"/>
    </row>
    <row r="2334" spans="1:19" s="15" customFormat="1" x14ac:dyDescent="0.3">
      <c r="A2334" s="17"/>
      <c r="B2334"/>
      <c r="C2334"/>
      <c r="D2334"/>
      <c r="E2334"/>
      <c r="F2334"/>
      <c r="G2334"/>
      <c r="H2334"/>
      <c r="I2334"/>
      <c r="J2334"/>
      <c r="K2334"/>
      <c r="L2334"/>
      <c r="M2334"/>
      <c r="S2334" s="54"/>
    </row>
    <row r="2335" spans="1:19" s="15" customFormat="1" x14ac:dyDescent="0.3">
      <c r="A2335" s="17"/>
      <c r="B2335"/>
      <c r="C2335"/>
      <c r="D2335"/>
      <c r="E2335"/>
      <c r="F2335"/>
      <c r="G2335"/>
      <c r="H2335"/>
      <c r="I2335"/>
      <c r="J2335"/>
      <c r="K2335"/>
      <c r="L2335"/>
      <c r="M2335"/>
      <c r="S2335" s="54"/>
    </row>
    <row r="2336" spans="1:19" s="15" customFormat="1" x14ac:dyDescent="0.3">
      <c r="A2336" s="17"/>
      <c r="B2336"/>
      <c r="C2336"/>
      <c r="D2336"/>
      <c r="E2336"/>
      <c r="F2336"/>
      <c r="G2336"/>
      <c r="H2336"/>
      <c r="I2336"/>
      <c r="J2336"/>
      <c r="K2336"/>
      <c r="L2336"/>
      <c r="M2336"/>
      <c r="S2336" s="54"/>
    </row>
    <row r="2337" spans="1:19" s="15" customFormat="1" x14ac:dyDescent="0.3">
      <c r="A2337" s="17"/>
      <c r="B2337"/>
      <c r="C2337"/>
      <c r="D2337"/>
      <c r="E2337"/>
      <c r="F2337"/>
      <c r="G2337"/>
      <c r="H2337"/>
      <c r="I2337"/>
      <c r="J2337"/>
      <c r="K2337"/>
      <c r="L2337"/>
      <c r="M2337"/>
      <c r="S2337" s="54"/>
    </row>
    <row r="2338" spans="1:19" s="15" customFormat="1" x14ac:dyDescent="0.3">
      <c r="A2338" s="17"/>
      <c r="B2338"/>
      <c r="C2338"/>
      <c r="D2338"/>
      <c r="E2338"/>
      <c r="F2338"/>
      <c r="G2338"/>
      <c r="H2338"/>
      <c r="I2338"/>
      <c r="J2338"/>
      <c r="K2338"/>
      <c r="L2338"/>
      <c r="M2338"/>
      <c r="S2338" s="54"/>
    </row>
    <row r="2339" spans="1:19" s="15" customFormat="1" x14ac:dyDescent="0.3">
      <c r="A2339" s="17"/>
      <c r="B2339"/>
      <c r="C2339"/>
      <c r="D2339"/>
      <c r="E2339"/>
      <c r="F2339"/>
      <c r="G2339"/>
      <c r="H2339"/>
      <c r="I2339"/>
      <c r="J2339"/>
      <c r="K2339"/>
      <c r="L2339"/>
      <c r="M2339"/>
      <c r="S2339" s="54"/>
    </row>
    <row r="2340" spans="1:19" s="15" customFormat="1" x14ac:dyDescent="0.3">
      <c r="A2340" s="17"/>
      <c r="B2340"/>
      <c r="C2340"/>
      <c r="D2340"/>
      <c r="E2340"/>
      <c r="F2340"/>
      <c r="G2340"/>
      <c r="H2340"/>
      <c r="I2340"/>
      <c r="J2340"/>
      <c r="K2340"/>
      <c r="L2340"/>
      <c r="M2340"/>
      <c r="S2340" s="54"/>
    </row>
    <row r="2341" spans="1:19" s="15" customFormat="1" x14ac:dyDescent="0.3">
      <c r="A2341" s="17"/>
      <c r="B2341"/>
      <c r="C2341"/>
      <c r="D2341"/>
      <c r="E2341"/>
      <c r="F2341"/>
      <c r="G2341"/>
      <c r="H2341"/>
      <c r="I2341"/>
      <c r="J2341"/>
      <c r="K2341"/>
      <c r="L2341"/>
      <c r="M2341"/>
      <c r="S2341" s="54"/>
    </row>
    <row r="2342" spans="1:19" s="15" customFormat="1" x14ac:dyDescent="0.3">
      <c r="A2342" s="17"/>
      <c r="B2342"/>
      <c r="C2342"/>
      <c r="D2342"/>
      <c r="E2342"/>
      <c r="F2342"/>
      <c r="G2342"/>
      <c r="H2342"/>
      <c r="I2342"/>
      <c r="J2342"/>
      <c r="K2342"/>
      <c r="L2342"/>
      <c r="M2342"/>
      <c r="S2342" s="54"/>
    </row>
    <row r="2343" spans="1:19" s="15" customFormat="1" x14ac:dyDescent="0.3">
      <c r="A2343" s="17"/>
      <c r="B2343"/>
      <c r="C2343"/>
      <c r="D2343"/>
      <c r="E2343"/>
      <c r="F2343"/>
      <c r="G2343"/>
      <c r="H2343"/>
      <c r="I2343"/>
      <c r="J2343"/>
      <c r="K2343"/>
      <c r="L2343"/>
      <c r="M2343"/>
      <c r="S2343" s="54"/>
    </row>
    <row r="2344" spans="1:19" s="15" customFormat="1" x14ac:dyDescent="0.3">
      <c r="A2344" s="17"/>
      <c r="B2344"/>
      <c r="C2344"/>
      <c r="D2344"/>
      <c r="E2344"/>
      <c r="F2344"/>
      <c r="G2344"/>
      <c r="H2344"/>
      <c r="I2344"/>
      <c r="J2344"/>
      <c r="K2344"/>
      <c r="L2344"/>
      <c r="M2344"/>
      <c r="S2344" s="54"/>
    </row>
    <row r="2345" spans="1:19" s="15" customFormat="1" x14ac:dyDescent="0.3">
      <c r="A2345" s="17"/>
      <c r="B2345"/>
      <c r="C2345"/>
      <c r="D2345"/>
      <c r="E2345"/>
      <c r="F2345"/>
      <c r="G2345"/>
      <c r="H2345"/>
      <c r="I2345"/>
      <c r="J2345"/>
      <c r="K2345"/>
      <c r="L2345"/>
      <c r="M2345"/>
      <c r="S2345" s="54"/>
    </row>
    <row r="2346" spans="1:19" s="15" customFormat="1" x14ac:dyDescent="0.3">
      <c r="A2346" s="17"/>
      <c r="B2346"/>
      <c r="C2346"/>
      <c r="D2346"/>
      <c r="E2346"/>
      <c r="F2346"/>
      <c r="G2346"/>
      <c r="H2346"/>
      <c r="I2346"/>
      <c r="J2346"/>
      <c r="K2346"/>
      <c r="L2346"/>
      <c r="M2346"/>
      <c r="S2346" s="54"/>
    </row>
    <row r="2347" spans="1:19" s="15" customFormat="1" x14ac:dyDescent="0.3">
      <c r="A2347" s="17"/>
      <c r="B2347"/>
      <c r="C2347"/>
      <c r="D2347"/>
      <c r="E2347"/>
      <c r="F2347"/>
      <c r="G2347"/>
      <c r="H2347"/>
      <c r="I2347"/>
      <c r="J2347"/>
      <c r="K2347"/>
      <c r="L2347"/>
      <c r="M2347"/>
      <c r="S2347" s="54"/>
    </row>
    <row r="2348" spans="1:19" s="15" customFormat="1" x14ac:dyDescent="0.3">
      <c r="A2348" s="17"/>
      <c r="B2348"/>
      <c r="C2348"/>
      <c r="D2348"/>
      <c r="E2348"/>
      <c r="F2348"/>
      <c r="G2348"/>
      <c r="H2348"/>
      <c r="I2348"/>
      <c r="J2348"/>
      <c r="K2348"/>
      <c r="L2348"/>
      <c r="M2348"/>
      <c r="S2348" s="54"/>
    </row>
    <row r="2349" spans="1:19" s="15" customFormat="1" x14ac:dyDescent="0.3">
      <c r="A2349" s="17"/>
      <c r="B2349"/>
      <c r="C2349"/>
      <c r="D2349"/>
      <c r="E2349"/>
      <c r="F2349"/>
      <c r="G2349"/>
      <c r="H2349"/>
      <c r="I2349"/>
      <c r="J2349"/>
      <c r="K2349"/>
      <c r="L2349"/>
      <c r="M2349"/>
      <c r="S2349" s="54"/>
    </row>
    <row r="2350" spans="1:19" s="15" customFormat="1" x14ac:dyDescent="0.3">
      <c r="A2350" s="17"/>
      <c r="B2350"/>
      <c r="C2350"/>
      <c r="D2350"/>
      <c r="E2350"/>
      <c r="F2350"/>
      <c r="G2350"/>
      <c r="H2350"/>
      <c r="I2350"/>
      <c r="J2350"/>
      <c r="K2350"/>
      <c r="L2350"/>
      <c r="M2350"/>
      <c r="S2350" s="54"/>
    </row>
    <row r="2351" spans="1:19" s="15" customFormat="1" x14ac:dyDescent="0.3">
      <c r="A2351" s="17"/>
      <c r="B2351"/>
      <c r="C2351"/>
      <c r="D2351"/>
      <c r="E2351"/>
      <c r="F2351"/>
      <c r="G2351"/>
      <c r="H2351"/>
      <c r="I2351"/>
      <c r="J2351"/>
      <c r="K2351"/>
      <c r="L2351"/>
      <c r="M2351"/>
      <c r="S2351" s="54"/>
    </row>
    <row r="2352" spans="1:19" s="15" customFormat="1" x14ac:dyDescent="0.3">
      <c r="A2352" s="17"/>
      <c r="B2352"/>
      <c r="C2352"/>
      <c r="D2352"/>
      <c r="E2352"/>
      <c r="F2352"/>
      <c r="G2352"/>
      <c r="H2352"/>
      <c r="I2352"/>
      <c r="J2352"/>
      <c r="K2352"/>
      <c r="L2352"/>
      <c r="M2352"/>
      <c r="S2352" s="54"/>
    </row>
    <row r="2353" spans="1:19" s="15" customFormat="1" x14ac:dyDescent="0.3">
      <c r="A2353" s="17"/>
      <c r="B2353"/>
      <c r="C2353"/>
      <c r="D2353"/>
      <c r="E2353"/>
      <c r="F2353"/>
      <c r="G2353"/>
      <c r="H2353"/>
      <c r="I2353"/>
      <c r="J2353"/>
      <c r="K2353"/>
      <c r="L2353"/>
      <c r="M2353"/>
      <c r="S2353" s="54"/>
    </row>
    <row r="2354" spans="1:19" s="15" customFormat="1" x14ac:dyDescent="0.3">
      <c r="A2354" s="17"/>
      <c r="B2354"/>
      <c r="C2354"/>
      <c r="D2354"/>
      <c r="E2354"/>
      <c r="F2354"/>
      <c r="G2354"/>
      <c r="H2354"/>
      <c r="I2354"/>
      <c r="J2354"/>
      <c r="K2354"/>
      <c r="L2354"/>
      <c r="M2354"/>
      <c r="S2354" s="54"/>
    </row>
    <row r="2355" spans="1:19" s="15" customFormat="1" x14ac:dyDescent="0.3">
      <c r="A2355" s="17"/>
      <c r="B2355"/>
      <c r="C2355"/>
      <c r="D2355"/>
      <c r="E2355"/>
      <c r="F2355"/>
      <c r="G2355"/>
      <c r="H2355"/>
      <c r="I2355"/>
      <c r="J2355"/>
      <c r="K2355"/>
      <c r="L2355"/>
      <c r="M2355"/>
      <c r="S2355" s="54"/>
    </row>
    <row r="2356" spans="1:19" s="15" customFormat="1" x14ac:dyDescent="0.3">
      <c r="A2356" s="17"/>
      <c r="B2356"/>
      <c r="C2356"/>
      <c r="D2356"/>
      <c r="E2356"/>
      <c r="F2356"/>
      <c r="G2356"/>
      <c r="H2356"/>
      <c r="I2356"/>
      <c r="J2356"/>
      <c r="K2356"/>
      <c r="L2356"/>
      <c r="M2356"/>
      <c r="S2356" s="54"/>
    </row>
    <row r="2357" spans="1:19" s="15" customFormat="1" x14ac:dyDescent="0.3">
      <c r="A2357" s="17"/>
      <c r="B2357"/>
      <c r="C2357"/>
      <c r="D2357"/>
      <c r="E2357"/>
      <c r="F2357"/>
      <c r="G2357"/>
      <c r="H2357"/>
      <c r="I2357"/>
      <c r="J2357"/>
      <c r="K2357"/>
      <c r="L2357"/>
      <c r="M2357"/>
      <c r="S2357" s="54"/>
    </row>
    <row r="2358" spans="1:19" s="15" customFormat="1" x14ac:dyDescent="0.3">
      <c r="A2358" s="17"/>
      <c r="B2358"/>
      <c r="C2358"/>
      <c r="D2358"/>
      <c r="E2358"/>
      <c r="F2358"/>
      <c r="G2358"/>
      <c r="H2358"/>
      <c r="I2358"/>
      <c r="J2358"/>
      <c r="K2358"/>
      <c r="L2358"/>
      <c r="M2358"/>
      <c r="S2358" s="54"/>
    </row>
    <row r="2359" spans="1:19" s="15" customFormat="1" x14ac:dyDescent="0.3">
      <c r="A2359" s="17"/>
      <c r="B2359"/>
      <c r="C2359"/>
      <c r="D2359"/>
      <c r="E2359"/>
      <c r="F2359"/>
      <c r="G2359"/>
      <c r="H2359"/>
      <c r="I2359"/>
      <c r="J2359"/>
      <c r="K2359"/>
      <c r="L2359"/>
      <c r="M2359"/>
      <c r="S2359" s="54"/>
    </row>
    <row r="2360" spans="1:19" s="15" customFormat="1" x14ac:dyDescent="0.3">
      <c r="A2360" s="17"/>
      <c r="B2360"/>
      <c r="C2360"/>
      <c r="D2360"/>
      <c r="E2360"/>
      <c r="F2360"/>
      <c r="G2360"/>
      <c r="H2360"/>
      <c r="I2360"/>
      <c r="J2360"/>
      <c r="K2360"/>
      <c r="L2360"/>
      <c r="M2360"/>
      <c r="S2360" s="54"/>
    </row>
    <row r="2361" spans="1:19" s="15" customFormat="1" x14ac:dyDescent="0.3">
      <c r="A2361" s="17"/>
      <c r="B2361"/>
      <c r="C2361"/>
      <c r="D2361"/>
      <c r="E2361"/>
      <c r="F2361"/>
      <c r="G2361"/>
      <c r="H2361"/>
      <c r="I2361"/>
      <c r="J2361"/>
      <c r="K2361"/>
      <c r="L2361"/>
      <c r="M2361"/>
      <c r="S2361" s="54"/>
    </row>
    <row r="2362" spans="1:19" s="15" customFormat="1" x14ac:dyDescent="0.3">
      <c r="A2362" s="17"/>
      <c r="B2362"/>
      <c r="C2362"/>
      <c r="D2362"/>
      <c r="E2362"/>
      <c r="F2362"/>
      <c r="G2362"/>
      <c r="H2362"/>
      <c r="I2362"/>
      <c r="J2362"/>
      <c r="K2362"/>
      <c r="L2362"/>
      <c r="M2362"/>
      <c r="S2362" s="54"/>
    </row>
    <row r="2363" spans="1:19" s="15" customFormat="1" x14ac:dyDescent="0.3">
      <c r="A2363" s="17"/>
      <c r="B2363"/>
      <c r="C2363"/>
      <c r="D2363"/>
      <c r="E2363"/>
      <c r="F2363"/>
      <c r="G2363"/>
      <c r="H2363"/>
      <c r="I2363"/>
      <c r="J2363"/>
      <c r="K2363"/>
      <c r="L2363"/>
      <c r="M2363"/>
      <c r="S2363" s="54"/>
    </row>
    <row r="2364" spans="1:19" s="15" customFormat="1" x14ac:dyDescent="0.3">
      <c r="A2364" s="17"/>
      <c r="B2364"/>
      <c r="C2364"/>
      <c r="D2364"/>
      <c r="E2364"/>
      <c r="F2364"/>
      <c r="G2364"/>
      <c r="H2364"/>
      <c r="I2364"/>
      <c r="J2364"/>
      <c r="K2364"/>
      <c r="L2364"/>
      <c r="M2364"/>
      <c r="S2364" s="54"/>
    </row>
    <row r="2365" spans="1:19" s="15" customFormat="1" x14ac:dyDescent="0.3">
      <c r="A2365" s="17"/>
      <c r="B2365"/>
      <c r="C2365"/>
      <c r="D2365"/>
      <c r="E2365"/>
      <c r="F2365"/>
      <c r="G2365"/>
      <c r="H2365"/>
      <c r="I2365"/>
      <c r="J2365"/>
      <c r="K2365"/>
      <c r="L2365"/>
      <c r="M2365"/>
      <c r="S2365" s="54"/>
    </row>
    <row r="2366" spans="1:19" s="15" customFormat="1" x14ac:dyDescent="0.3">
      <c r="A2366" s="17"/>
      <c r="B2366"/>
      <c r="C2366"/>
      <c r="D2366"/>
      <c r="E2366"/>
      <c r="F2366"/>
      <c r="G2366"/>
      <c r="H2366"/>
      <c r="I2366"/>
      <c r="J2366"/>
      <c r="K2366"/>
      <c r="L2366"/>
      <c r="M2366"/>
      <c r="S2366" s="54"/>
    </row>
    <row r="2367" spans="1:19" s="15" customFormat="1" x14ac:dyDescent="0.3">
      <c r="A2367" s="17"/>
      <c r="B2367"/>
      <c r="C2367"/>
      <c r="D2367"/>
      <c r="E2367"/>
      <c r="F2367"/>
      <c r="G2367"/>
      <c r="H2367"/>
      <c r="I2367"/>
      <c r="J2367"/>
      <c r="K2367"/>
      <c r="L2367"/>
      <c r="M2367"/>
      <c r="S2367" s="54"/>
    </row>
    <row r="2368" spans="1:19" s="15" customFormat="1" x14ac:dyDescent="0.3">
      <c r="A2368" s="17"/>
      <c r="B2368"/>
      <c r="C2368"/>
      <c r="D2368"/>
      <c r="E2368"/>
      <c r="F2368"/>
      <c r="G2368"/>
      <c r="H2368"/>
      <c r="I2368"/>
      <c r="J2368"/>
      <c r="K2368"/>
      <c r="L2368"/>
      <c r="M2368"/>
      <c r="S2368" s="54"/>
    </row>
    <row r="2369" spans="1:19" s="15" customFormat="1" x14ac:dyDescent="0.3">
      <c r="A2369" s="17"/>
      <c r="B2369"/>
      <c r="C2369"/>
      <c r="D2369"/>
      <c r="E2369"/>
      <c r="F2369"/>
      <c r="G2369"/>
      <c r="H2369"/>
      <c r="I2369"/>
      <c r="J2369"/>
      <c r="K2369"/>
      <c r="L2369"/>
      <c r="M2369"/>
      <c r="S2369" s="54"/>
    </row>
    <row r="2370" spans="1:19" s="15" customFormat="1" x14ac:dyDescent="0.3">
      <c r="A2370" s="17"/>
      <c r="B2370"/>
      <c r="C2370"/>
      <c r="D2370"/>
      <c r="E2370"/>
      <c r="F2370"/>
      <c r="G2370"/>
      <c r="H2370"/>
      <c r="I2370"/>
      <c r="J2370"/>
      <c r="K2370"/>
      <c r="L2370"/>
      <c r="M2370"/>
      <c r="S2370" s="54"/>
    </row>
    <row r="2371" spans="1:19" s="15" customFormat="1" x14ac:dyDescent="0.3">
      <c r="A2371" s="17"/>
      <c r="B2371"/>
      <c r="C2371"/>
      <c r="D2371"/>
      <c r="E2371"/>
      <c r="F2371"/>
      <c r="G2371"/>
      <c r="H2371"/>
      <c r="I2371"/>
      <c r="J2371"/>
      <c r="K2371"/>
      <c r="L2371"/>
      <c r="M2371"/>
      <c r="S2371" s="54"/>
    </row>
    <row r="2372" spans="1:19" s="15" customFormat="1" x14ac:dyDescent="0.3">
      <c r="A2372" s="17"/>
      <c r="B2372"/>
      <c r="C2372"/>
      <c r="D2372"/>
      <c r="E2372"/>
      <c r="F2372"/>
      <c r="G2372"/>
      <c r="H2372"/>
      <c r="I2372"/>
      <c r="J2372"/>
      <c r="K2372"/>
      <c r="L2372"/>
      <c r="M2372"/>
      <c r="S2372" s="54"/>
    </row>
    <row r="2373" spans="1:19" s="15" customFormat="1" x14ac:dyDescent="0.3">
      <c r="A2373" s="17"/>
      <c r="B2373"/>
      <c r="C2373"/>
      <c r="D2373"/>
      <c r="E2373"/>
      <c r="F2373"/>
      <c r="G2373"/>
      <c r="H2373"/>
      <c r="I2373"/>
      <c r="J2373"/>
      <c r="K2373"/>
      <c r="L2373"/>
      <c r="M2373"/>
      <c r="S2373" s="54"/>
    </row>
    <row r="2374" spans="1:19" s="15" customFormat="1" x14ac:dyDescent="0.3">
      <c r="A2374" s="17"/>
      <c r="B2374"/>
      <c r="C2374"/>
      <c r="D2374"/>
      <c r="E2374"/>
      <c r="F2374"/>
      <c r="G2374"/>
      <c r="H2374"/>
      <c r="I2374"/>
      <c r="J2374"/>
      <c r="K2374"/>
      <c r="L2374"/>
      <c r="M2374"/>
      <c r="S2374" s="54"/>
    </row>
    <row r="2375" spans="1:19" s="15" customFormat="1" x14ac:dyDescent="0.3">
      <c r="A2375" s="17"/>
      <c r="B2375"/>
      <c r="C2375"/>
      <c r="D2375"/>
      <c r="E2375"/>
      <c r="F2375"/>
      <c r="G2375"/>
      <c r="H2375"/>
      <c r="I2375"/>
      <c r="J2375"/>
      <c r="K2375"/>
      <c r="L2375"/>
      <c r="M2375"/>
      <c r="S2375" s="54"/>
    </row>
    <row r="2376" spans="1:19" s="15" customFormat="1" x14ac:dyDescent="0.3">
      <c r="A2376" s="17"/>
      <c r="B2376"/>
      <c r="C2376"/>
      <c r="D2376"/>
      <c r="E2376"/>
      <c r="F2376"/>
      <c r="G2376"/>
      <c r="H2376"/>
      <c r="I2376"/>
      <c r="J2376"/>
      <c r="K2376"/>
      <c r="L2376"/>
      <c r="M2376"/>
      <c r="S2376" s="54"/>
    </row>
    <row r="2377" spans="1:19" s="15" customFormat="1" x14ac:dyDescent="0.3">
      <c r="A2377" s="17"/>
      <c r="B2377"/>
      <c r="C2377"/>
      <c r="D2377"/>
      <c r="E2377"/>
      <c r="F2377"/>
      <c r="G2377"/>
      <c r="H2377"/>
      <c r="I2377"/>
      <c r="J2377"/>
      <c r="K2377"/>
      <c r="L2377"/>
      <c r="M2377"/>
      <c r="S2377" s="54"/>
    </row>
    <row r="2378" spans="1:19" s="15" customFormat="1" x14ac:dyDescent="0.3">
      <c r="A2378" s="17"/>
      <c r="B2378"/>
      <c r="C2378"/>
      <c r="D2378"/>
      <c r="E2378"/>
      <c r="F2378"/>
      <c r="G2378"/>
      <c r="H2378"/>
      <c r="I2378"/>
      <c r="J2378"/>
      <c r="K2378"/>
      <c r="L2378"/>
      <c r="M2378"/>
      <c r="S2378" s="54"/>
    </row>
    <row r="2379" spans="1:19" s="15" customFormat="1" x14ac:dyDescent="0.3">
      <c r="A2379" s="17"/>
      <c r="B2379"/>
      <c r="C2379"/>
      <c r="D2379"/>
      <c r="E2379"/>
      <c r="F2379"/>
      <c r="G2379"/>
      <c r="H2379"/>
      <c r="I2379"/>
      <c r="J2379"/>
      <c r="K2379"/>
      <c r="L2379"/>
      <c r="M2379"/>
      <c r="S2379" s="54"/>
    </row>
    <row r="2380" spans="1:19" s="15" customFormat="1" x14ac:dyDescent="0.3">
      <c r="A2380" s="17"/>
      <c r="B2380"/>
      <c r="C2380"/>
      <c r="D2380"/>
      <c r="E2380"/>
      <c r="F2380"/>
      <c r="G2380"/>
      <c r="H2380"/>
      <c r="I2380"/>
      <c r="J2380"/>
      <c r="K2380"/>
      <c r="L2380"/>
      <c r="M2380"/>
      <c r="S2380" s="54"/>
    </row>
    <row r="2381" spans="1:19" s="15" customFormat="1" x14ac:dyDescent="0.3">
      <c r="A2381" s="17"/>
      <c r="B2381"/>
      <c r="C2381"/>
      <c r="D2381"/>
      <c r="E2381"/>
      <c r="F2381"/>
      <c r="G2381"/>
      <c r="H2381"/>
      <c r="I2381"/>
      <c r="J2381"/>
      <c r="K2381"/>
      <c r="L2381"/>
      <c r="M2381"/>
      <c r="S2381" s="54"/>
    </row>
    <row r="2382" spans="1:19" s="15" customFormat="1" x14ac:dyDescent="0.3">
      <c r="A2382" s="17"/>
      <c r="B2382"/>
      <c r="C2382"/>
      <c r="D2382"/>
      <c r="E2382"/>
      <c r="F2382"/>
      <c r="G2382"/>
      <c r="H2382"/>
      <c r="I2382"/>
      <c r="J2382"/>
      <c r="K2382"/>
      <c r="L2382"/>
      <c r="M2382"/>
      <c r="S2382" s="54"/>
    </row>
    <row r="2383" spans="1:19" s="15" customFormat="1" x14ac:dyDescent="0.3">
      <c r="A2383" s="17"/>
      <c r="B2383"/>
      <c r="C2383"/>
      <c r="D2383"/>
      <c r="E2383"/>
      <c r="F2383"/>
      <c r="G2383"/>
      <c r="H2383"/>
      <c r="I2383"/>
      <c r="J2383"/>
      <c r="K2383"/>
      <c r="L2383"/>
      <c r="M2383"/>
      <c r="S2383" s="54"/>
    </row>
    <row r="2384" spans="1:19" s="15" customFormat="1" x14ac:dyDescent="0.3">
      <c r="A2384" s="17"/>
      <c r="B2384"/>
      <c r="C2384"/>
      <c r="D2384"/>
      <c r="E2384"/>
      <c r="F2384"/>
      <c r="G2384"/>
      <c r="H2384"/>
      <c r="I2384"/>
      <c r="J2384"/>
      <c r="K2384"/>
      <c r="L2384"/>
      <c r="M2384"/>
      <c r="S2384" s="54"/>
    </row>
    <row r="2385" spans="1:19" s="15" customFormat="1" x14ac:dyDescent="0.3">
      <c r="A2385" s="17"/>
      <c r="B2385"/>
      <c r="C2385"/>
      <c r="D2385"/>
      <c r="E2385"/>
      <c r="F2385"/>
      <c r="G2385"/>
      <c r="H2385"/>
      <c r="I2385"/>
      <c r="J2385"/>
      <c r="K2385"/>
      <c r="L2385"/>
      <c r="M2385"/>
      <c r="S2385" s="54"/>
    </row>
    <row r="2386" spans="1:19" s="15" customFormat="1" x14ac:dyDescent="0.3">
      <c r="A2386" s="17"/>
      <c r="B2386"/>
      <c r="C2386"/>
      <c r="D2386"/>
      <c r="E2386"/>
      <c r="F2386"/>
      <c r="G2386"/>
      <c r="H2386"/>
      <c r="I2386"/>
      <c r="J2386"/>
      <c r="K2386"/>
      <c r="L2386"/>
      <c r="M2386"/>
      <c r="S2386" s="54"/>
    </row>
    <row r="2387" spans="1:19" s="15" customFormat="1" x14ac:dyDescent="0.3">
      <c r="A2387" s="17"/>
      <c r="B2387"/>
      <c r="C2387"/>
      <c r="D2387"/>
      <c r="E2387"/>
      <c r="F2387"/>
      <c r="G2387"/>
      <c r="H2387"/>
      <c r="I2387"/>
      <c r="J2387"/>
      <c r="K2387"/>
      <c r="L2387"/>
      <c r="M2387"/>
      <c r="S2387" s="54"/>
    </row>
    <row r="2388" spans="1:19" s="15" customFormat="1" x14ac:dyDescent="0.3">
      <c r="A2388" s="17"/>
      <c r="B2388"/>
      <c r="C2388"/>
      <c r="D2388"/>
      <c r="E2388"/>
      <c r="F2388"/>
      <c r="G2388"/>
      <c r="H2388"/>
      <c r="I2388"/>
      <c r="J2388"/>
      <c r="K2388"/>
      <c r="L2388"/>
      <c r="M2388"/>
      <c r="S2388" s="54"/>
    </row>
    <row r="2389" spans="1:19" s="15" customFormat="1" x14ac:dyDescent="0.3">
      <c r="A2389" s="17"/>
      <c r="B2389"/>
      <c r="C2389"/>
      <c r="D2389"/>
      <c r="E2389"/>
      <c r="F2389"/>
      <c r="G2389"/>
      <c r="H2389"/>
      <c r="I2389"/>
      <c r="J2389"/>
      <c r="K2389"/>
      <c r="L2389"/>
      <c r="M2389"/>
      <c r="S2389" s="54"/>
    </row>
    <row r="2390" spans="1:19" s="15" customFormat="1" x14ac:dyDescent="0.3">
      <c r="A2390" s="17"/>
      <c r="B2390"/>
      <c r="C2390"/>
      <c r="D2390"/>
      <c r="E2390"/>
      <c r="F2390"/>
      <c r="G2390"/>
      <c r="H2390"/>
      <c r="I2390"/>
      <c r="J2390"/>
      <c r="K2390"/>
      <c r="L2390"/>
      <c r="M2390"/>
      <c r="S2390" s="54"/>
    </row>
    <row r="2391" spans="1:19" s="15" customFormat="1" x14ac:dyDescent="0.3">
      <c r="A2391" s="17"/>
      <c r="B2391"/>
      <c r="C2391"/>
      <c r="D2391"/>
      <c r="E2391"/>
      <c r="F2391"/>
      <c r="G2391"/>
      <c r="H2391"/>
      <c r="I2391"/>
      <c r="J2391"/>
      <c r="K2391"/>
      <c r="L2391"/>
      <c r="M2391"/>
      <c r="S2391" s="54"/>
    </row>
    <row r="2392" spans="1:19" s="15" customFormat="1" x14ac:dyDescent="0.3">
      <c r="A2392" s="17"/>
      <c r="B2392"/>
      <c r="C2392"/>
      <c r="D2392"/>
      <c r="E2392"/>
      <c r="F2392"/>
      <c r="G2392"/>
      <c r="H2392"/>
      <c r="I2392"/>
      <c r="J2392"/>
      <c r="K2392"/>
      <c r="L2392"/>
      <c r="M2392"/>
      <c r="S2392" s="54"/>
    </row>
    <row r="2393" spans="1:19" s="15" customFormat="1" x14ac:dyDescent="0.3">
      <c r="A2393" s="17"/>
      <c r="B2393"/>
      <c r="C2393"/>
      <c r="D2393"/>
      <c r="E2393"/>
      <c r="F2393"/>
      <c r="G2393"/>
      <c r="H2393"/>
      <c r="I2393"/>
      <c r="J2393"/>
      <c r="K2393"/>
      <c r="L2393"/>
      <c r="M2393"/>
      <c r="S2393" s="54"/>
    </row>
    <row r="2394" spans="1:19" s="15" customFormat="1" x14ac:dyDescent="0.3">
      <c r="A2394" s="17"/>
      <c r="B2394"/>
      <c r="C2394"/>
      <c r="D2394"/>
      <c r="E2394"/>
      <c r="F2394"/>
      <c r="G2394"/>
      <c r="H2394"/>
      <c r="I2394"/>
      <c r="J2394"/>
      <c r="K2394"/>
      <c r="L2394"/>
      <c r="M2394"/>
      <c r="S2394" s="54"/>
    </row>
    <row r="2395" spans="1:19" s="15" customFormat="1" x14ac:dyDescent="0.3">
      <c r="A2395" s="17"/>
      <c r="B2395"/>
      <c r="C2395"/>
      <c r="D2395"/>
      <c r="E2395"/>
      <c r="F2395"/>
      <c r="G2395"/>
      <c r="H2395"/>
      <c r="I2395"/>
      <c r="J2395"/>
      <c r="K2395"/>
      <c r="L2395"/>
      <c r="M2395"/>
      <c r="S2395" s="54"/>
    </row>
    <row r="2396" spans="1:19" s="15" customFormat="1" x14ac:dyDescent="0.3">
      <c r="A2396" s="17"/>
      <c r="B2396"/>
      <c r="C2396"/>
      <c r="D2396"/>
      <c r="E2396"/>
      <c r="F2396"/>
      <c r="G2396"/>
      <c r="H2396"/>
      <c r="I2396"/>
      <c r="J2396"/>
      <c r="K2396"/>
      <c r="L2396"/>
      <c r="M2396"/>
      <c r="S2396" s="54"/>
    </row>
    <row r="2397" spans="1:19" s="15" customFormat="1" x14ac:dyDescent="0.3">
      <c r="A2397" s="17"/>
      <c r="B2397"/>
      <c r="C2397"/>
      <c r="D2397"/>
      <c r="E2397"/>
      <c r="F2397"/>
      <c r="G2397"/>
      <c r="H2397"/>
      <c r="I2397"/>
      <c r="J2397"/>
      <c r="K2397"/>
      <c r="L2397"/>
      <c r="M2397"/>
      <c r="S2397" s="54"/>
    </row>
    <row r="2398" spans="1:19" s="15" customFormat="1" x14ac:dyDescent="0.3">
      <c r="A2398" s="17"/>
      <c r="B2398"/>
      <c r="C2398"/>
      <c r="D2398"/>
      <c r="E2398"/>
      <c r="F2398"/>
      <c r="G2398"/>
      <c r="H2398"/>
      <c r="I2398"/>
      <c r="J2398"/>
      <c r="K2398"/>
      <c r="L2398"/>
      <c r="M2398"/>
      <c r="S2398" s="54"/>
    </row>
    <row r="2399" spans="1:19" s="15" customFormat="1" x14ac:dyDescent="0.3">
      <c r="A2399" s="17"/>
      <c r="B2399"/>
      <c r="C2399"/>
      <c r="D2399"/>
      <c r="E2399"/>
      <c r="F2399"/>
      <c r="G2399"/>
      <c r="H2399"/>
      <c r="I2399"/>
      <c r="J2399"/>
      <c r="K2399"/>
      <c r="L2399"/>
      <c r="M2399"/>
      <c r="S2399" s="54"/>
    </row>
    <row r="2400" spans="1:19" s="15" customFormat="1" x14ac:dyDescent="0.3">
      <c r="A2400" s="17"/>
      <c r="B2400"/>
      <c r="C2400"/>
      <c r="D2400"/>
      <c r="E2400"/>
      <c r="F2400"/>
      <c r="G2400"/>
      <c r="H2400"/>
      <c r="I2400"/>
      <c r="J2400"/>
      <c r="K2400"/>
      <c r="L2400"/>
      <c r="M2400"/>
      <c r="S2400" s="54"/>
    </row>
    <row r="2401" spans="1:19" s="15" customFormat="1" x14ac:dyDescent="0.3">
      <c r="A2401" s="17"/>
      <c r="B2401"/>
      <c r="C2401"/>
      <c r="D2401"/>
      <c r="E2401"/>
      <c r="F2401"/>
      <c r="G2401"/>
      <c r="H2401"/>
      <c r="I2401"/>
      <c r="J2401"/>
      <c r="K2401"/>
      <c r="L2401"/>
      <c r="M2401"/>
      <c r="S2401" s="54"/>
    </row>
    <row r="2402" spans="1:19" s="15" customFormat="1" x14ac:dyDescent="0.3">
      <c r="A2402" s="17"/>
      <c r="B2402"/>
      <c r="C2402"/>
      <c r="D2402"/>
      <c r="E2402"/>
      <c r="F2402"/>
      <c r="G2402"/>
      <c r="H2402"/>
      <c r="I2402"/>
      <c r="J2402"/>
      <c r="K2402"/>
      <c r="L2402"/>
      <c r="M2402"/>
      <c r="S2402" s="54"/>
    </row>
    <row r="2403" spans="1:19" s="15" customFormat="1" x14ac:dyDescent="0.3">
      <c r="A2403" s="17"/>
      <c r="B2403"/>
      <c r="C2403"/>
      <c r="D2403"/>
      <c r="E2403"/>
      <c r="F2403"/>
      <c r="G2403"/>
      <c r="H2403"/>
      <c r="I2403"/>
      <c r="J2403"/>
      <c r="K2403"/>
      <c r="L2403"/>
      <c r="M2403"/>
      <c r="S2403" s="54"/>
    </row>
    <row r="2404" spans="1:19" s="15" customFormat="1" x14ac:dyDescent="0.3">
      <c r="A2404" s="17"/>
      <c r="B2404"/>
      <c r="C2404"/>
      <c r="D2404"/>
      <c r="E2404"/>
      <c r="F2404"/>
      <c r="G2404"/>
      <c r="H2404"/>
      <c r="I2404"/>
      <c r="J2404"/>
      <c r="K2404"/>
      <c r="L2404"/>
      <c r="M2404"/>
      <c r="S2404" s="54"/>
    </row>
    <row r="2405" spans="1:19" s="15" customFormat="1" x14ac:dyDescent="0.3">
      <c r="A2405" s="17"/>
      <c r="B2405"/>
      <c r="C2405"/>
      <c r="D2405"/>
      <c r="E2405"/>
      <c r="F2405"/>
      <c r="G2405"/>
      <c r="H2405"/>
      <c r="I2405"/>
      <c r="J2405"/>
      <c r="K2405"/>
      <c r="L2405"/>
      <c r="M2405"/>
      <c r="S2405" s="54"/>
    </row>
    <row r="2406" spans="1:19" s="15" customFormat="1" x14ac:dyDescent="0.3">
      <c r="A2406" s="17"/>
      <c r="B2406"/>
      <c r="C2406"/>
      <c r="D2406"/>
      <c r="E2406"/>
      <c r="F2406"/>
      <c r="G2406"/>
      <c r="H2406"/>
      <c r="I2406"/>
      <c r="J2406"/>
      <c r="K2406"/>
      <c r="L2406"/>
      <c r="M2406"/>
      <c r="S2406" s="54"/>
    </row>
    <row r="2407" spans="1:19" s="15" customFormat="1" x14ac:dyDescent="0.3">
      <c r="A2407" s="17"/>
      <c r="B2407"/>
      <c r="C2407"/>
      <c r="D2407"/>
      <c r="E2407"/>
      <c r="F2407"/>
      <c r="G2407"/>
      <c r="H2407"/>
      <c r="I2407"/>
      <c r="J2407"/>
      <c r="K2407"/>
      <c r="L2407"/>
      <c r="M2407"/>
      <c r="S2407" s="54"/>
    </row>
    <row r="2408" spans="1:19" s="15" customFormat="1" x14ac:dyDescent="0.3">
      <c r="A2408" s="17"/>
      <c r="B2408"/>
      <c r="C2408"/>
      <c r="D2408"/>
      <c r="E2408"/>
      <c r="F2408"/>
      <c r="G2408"/>
      <c r="H2408"/>
      <c r="I2408"/>
      <c r="J2408"/>
      <c r="K2408"/>
      <c r="L2408"/>
      <c r="M2408"/>
      <c r="S2408" s="54"/>
    </row>
    <row r="2409" spans="1:19" s="15" customFormat="1" x14ac:dyDescent="0.3">
      <c r="A2409" s="17"/>
      <c r="B2409"/>
      <c r="C2409"/>
      <c r="D2409"/>
      <c r="E2409"/>
      <c r="F2409"/>
      <c r="G2409"/>
      <c r="H2409"/>
      <c r="I2409"/>
      <c r="J2409"/>
      <c r="K2409"/>
      <c r="L2409"/>
      <c r="M2409"/>
      <c r="S2409" s="54"/>
    </row>
    <row r="2410" spans="1:19" s="15" customFormat="1" x14ac:dyDescent="0.3">
      <c r="A2410" s="17"/>
      <c r="B2410"/>
      <c r="C2410"/>
      <c r="D2410"/>
      <c r="E2410"/>
      <c r="F2410"/>
      <c r="G2410"/>
      <c r="H2410"/>
      <c r="I2410"/>
      <c r="J2410"/>
      <c r="K2410"/>
      <c r="L2410"/>
      <c r="M2410"/>
      <c r="S2410" s="54"/>
    </row>
    <row r="2411" spans="1:19" s="15" customFormat="1" x14ac:dyDescent="0.3">
      <c r="A2411" s="17"/>
      <c r="B2411"/>
      <c r="C2411"/>
      <c r="D2411"/>
      <c r="E2411"/>
      <c r="F2411"/>
      <c r="G2411"/>
      <c r="H2411"/>
      <c r="I2411"/>
      <c r="J2411"/>
      <c r="K2411"/>
      <c r="L2411"/>
      <c r="M2411"/>
      <c r="S2411" s="54"/>
    </row>
    <row r="2412" spans="1:19" s="15" customFormat="1" x14ac:dyDescent="0.3">
      <c r="A2412" s="17"/>
      <c r="B2412"/>
      <c r="C2412"/>
      <c r="D2412"/>
      <c r="E2412"/>
      <c r="F2412"/>
      <c r="G2412"/>
      <c r="H2412"/>
      <c r="I2412"/>
      <c r="J2412"/>
      <c r="K2412"/>
      <c r="L2412"/>
      <c r="M2412"/>
      <c r="S2412" s="54"/>
    </row>
    <row r="2413" spans="1:19" s="15" customFormat="1" x14ac:dyDescent="0.3">
      <c r="A2413" s="17"/>
      <c r="B2413"/>
      <c r="C2413"/>
      <c r="D2413"/>
      <c r="E2413"/>
      <c r="F2413"/>
      <c r="G2413"/>
      <c r="H2413"/>
      <c r="I2413"/>
      <c r="J2413"/>
      <c r="K2413"/>
      <c r="L2413"/>
      <c r="M2413"/>
      <c r="S2413" s="54"/>
    </row>
    <row r="2414" spans="1:19" s="15" customFormat="1" x14ac:dyDescent="0.3">
      <c r="A2414" s="17"/>
      <c r="B2414"/>
      <c r="C2414"/>
      <c r="D2414"/>
      <c r="E2414"/>
      <c r="F2414"/>
      <c r="G2414"/>
      <c r="H2414"/>
      <c r="I2414"/>
      <c r="J2414"/>
      <c r="K2414"/>
      <c r="L2414"/>
      <c r="M2414"/>
      <c r="S2414" s="54"/>
    </row>
    <row r="2415" spans="1:19" s="15" customFormat="1" x14ac:dyDescent="0.3">
      <c r="A2415" s="17"/>
      <c r="B2415"/>
      <c r="C2415"/>
      <c r="D2415"/>
      <c r="E2415"/>
      <c r="F2415"/>
      <c r="G2415"/>
      <c r="H2415"/>
      <c r="I2415"/>
      <c r="J2415"/>
      <c r="K2415"/>
      <c r="L2415"/>
      <c r="M2415"/>
      <c r="S2415" s="54"/>
    </row>
    <row r="2416" spans="1:19" s="15" customFormat="1" x14ac:dyDescent="0.3">
      <c r="A2416" s="17"/>
      <c r="B2416"/>
      <c r="C2416"/>
      <c r="D2416"/>
      <c r="E2416"/>
      <c r="F2416"/>
      <c r="G2416"/>
      <c r="H2416"/>
      <c r="I2416"/>
      <c r="J2416"/>
      <c r="K2416"/>
      <c r="L2416"/>
      <c r="M2416"/>
      <c r="S2416" s="54"/>
    </row>
    <row r="2417" spans="1:19" s="15" customFormat="1" x14ac:dyDescent="0.3">
      <c r="A2417" s="17"/>
      <c r="B2417"/>
      <c r="C2417"/>
      <c r="D2417"/>
      <c r="E2417"/>
      <c r="F2417"/>
      <c r="G2417"/>
      <c r="H2417"/>
      <c r="I2417"/>
      <c r="J2417"/>
      <c r="K2417"/>
      <c r="L2417"/>
      <c r="M2417"/>
      <c r="S2417" s="54"/>
    </row>
    <row r="2418" spans="1:19" s="15" customFormat="1" x14ac:dyDescent="0.3">
      <c r="A2418" s="17"/>
      <c r="B2418"/>
      <c r="C2418"/>
      <c r="D2418"/>
      <c r="E2418"/>
      <c r="F2418"/>
      <c r="G2418"/>
      <c r="H2418"/>
      <c r="I2418"/>
      <c r="J2418"/>
      <c r="K2418"/>
      <c r="L2418"/>
      <c r="M2418"/>
      <c r="S2418" s="54"/>
    </row>
    <row r="2419" spans="1:19" s="15" customFormat="1" x14ac:dyDescent="0.3">
      <c r="A2419" s="17"/>
      <c r="B2419"/>
      <c r="C2419"/>
      <c r="D2419"/>
      <c r="E2419"/>
      <c r="F2419"/>
      <c r="G2419"/>
      <c r="H2419"/>
      <c r="I2419"/>
      <c r="J2419"/>
      <c r="K2419"/>
      <c r="L2419"/>
      <c r="M2419"/>
      <c r="S2419" s="54"/>
    </row>
    <row r="2420" spans="1:19" s="15" customFormat="1" x14ac:dyDescent="0.3">
      <c r="A2420" s="17"/>
      <c r="B2420"/>
      <c r="C2420"/>
      <c r="D2420"/>
      <c r="E2420"/>
      <c r="F2420"/>
      <c r="G2420"/>
      <c r="H2420"/>
      <c r="I2420"/>
      <c r="J2420"/>
      <c r="K2420"/>
      <c r="L2420"/>
      <c r="M2420"/>
      <c r="S2420" s="54"/>
    </row>
    <row r="2421" spans="1:19" s="15" customFormat="1" x14ac:dyDescent="0.3">
      <c r="A2421" s="17"/>
      <c r="B2421"/>
      <c r="C2421"/>
      <c r="D2421"/>
      <c r="E2421"/>
      <c r="F2421"/>
      <c r="G2421"/>
      <c r="H2421"/>
      <c r="I2421"/>
      <c r="J2421"/>
      <c r="K2421"/>
      <c r="L2421"/>
      <c r="M2421"/>
      <c r="S2421" s="54"/>
    </row>
    <row r="2422" spans="1:19" s="15" customFormat="1" x14ac:dyDescent="0.3">
      <c r="A2422" s="17"/>
      <c r="B2422"/>
      <c r="C2422"/>
      <c r="D2422"/>
      <c r="E2422"/>
      <c r="F2422"/>
      <c r="G2422"/>
      <c r="H2422"/>
      <c r="I2422"/>
      <c r="J2422"/>
      <c r="K2422"/>
      <c r="L2422"/>
      <c r="M2422"/>
      <c r="S2422" s="54"/>
    </row>
    <row r="2423" spans="1:19" s="15" customFormat="1" x14ac:dyDescent="0.3">
      <c r="A2423" s="17"/>
      <c r="B2423"/>
      <c r="C2423"/>
      <c r="D2423"/>
      <c r="E2423"/>
      <c r="F2423"/>
      <c r="G2423"/>
      <c r="H2423"/>
      <c r="I2423"/>
      <c r="J2423"/>
      <c r="K2423"/>
      <c r="L2423"/>
      <c r="M2423"/>
      <c r="S2423" s="54"/>
    </row>
    <row r="2424" spans="1:19" s="15" customFormat="1" x14ac:dyDescent="0.3">
      <c r="A2424" s="17"/>
      <c r="B2424"/>
      <c r="C2424"/>
      <c r="D2424"/>
      <c r="E2424"/>
      <c r="F2424"/>
      <c r="G2424"/>
      <c r="H2424"/>
      <c r="I2424"/>
      <c r="J2424"/>
      <c r="K2424"/>
      <c r="L2424"/>
      <c r="M2424"/>
      <c r="S2424" s="54"/>
    </row>
    <row r="2425" spans="1:19" s="15" customFormat="1" x14ac:dyDescent="0.3">
      <c r="A2425" s="17"/>
      <c r="B2425"/>
      <c r="C2425"/>
      <c r="D2425"/>
      <c r="E2425"/>
      <c r="F2425"/>
      <c r="G2425"/>
      <c r="H2425"/>
      <c r="I2425"/>
      <c r="J2425"/>
      <c r="K2425"/>
      <c r="L2425"/>
      <c r="M2425"/>
      <c r="S2425" s="54"/>
    </row>
    <row r="2426" spans="1:19" s="15" customFormat="1" x14ac:dyDescent="0.3">
      <c r="A2426" s="17"/>
      <c r="B2426"/>
      <c r="C2426"/>
      <c r="D2426"/>
      <c r="E2426"/>
      <c r="F2426"/>
      <c r="G2426"/>
      <c r="H2426"/>
      <c r="I2426"/>
      <c r="J2426"/>
      <c r="K2426"/>
      <c r="L2426"/>
      <c r="M2426"/>
      <c r="S2426" s="54"/>
    </row>
    <row r="2427" spans="1:19" s="15" customFormat="1" x14ac:dyDescent="0.3">
      <c r="A2427" s="17"/>
      <c r="B2427"/>
      <c r="C2427"/>
      <c r="D2427"/>
      <c r="E2427"/>
      <c r="F2427"/>
      <c r="G2427"/>
      <c r="H2427"/>
      <c r="I2427"/>
      <c r="J2427"/>
      <c r="K2427"/>
      <c r="L2427"/>
      <c r="M2427"/>
      <c r="S2427" s="54"/>
    </row>
    <row r="2428" spans="1:19" s="15" customFormat="1" x14ac:dyDescent="0.3">
      <c r="A2428" s="17"/>
      <c r="B2428"/>
      <c r="C2428"/>
      <c r="D2428"/>
      <c r="E2428"/>
      <c r="F2428"/>
      <c r="G2428"/>
      <c r="H2428"/>
      <c r="I2428"/>
      <c r="J2428"/>
      <c r="K2428"/>
      <c r="L2428"/>
      <c r="M2428"/>
      <c r="S2428" s="54"/>
    </row>
    <row r="2429" spans="1:19" s="15" customFormat="1" x14ac:dyDescent="0.3">
      <c r="A2429" s="17"/>
      <c r="B2429"/>
      <c r="C2429"/>
      <c r="D2429"/>
      <c r="E2429"/>
      <c r="F2429"/>
      <c r="G2429"/>
      <c r="H2429"/>
      <c r="I2429"/>
      <c r="J2429"/>
      <c r="K2429"/>
      <c r="L2429"/>
      <c r="M2429"/>
      <c r="S2429" s="54"/>
    </row>
    <row r="2430" spans="1:19" s="15" customFormat="1" x14ac:dyDescent="0.3">
      <c r="A2430" s="17"/>
      <c r="B2430"/>
      <c r="C2430"/>
      <c r="D2430"/>
      <c r="E2430"/>
      <c r="F2430"/>
      <c r="G2430"/>
      <c r="H2430"/>
      <c r="I2430"/>
      <c r="J2430"/>
      <c r="K2430"/>
      <c r="L2430"/>
      <c r="M2430"/>
      <c r="S2430" s="54"/>
    </row>
    <row r="2431" spans="1:19" s="15" customFormat="1" x14ac:dyDescent="0.3">
      <c r="A2431" s="17"/>
      <c r="B2431"/>
      <c r="C2431"/>
      <c r="D2431"/>
      <c r="E2431"/>
      <c r="F2431"/>
      <c r="G2431"/>
      <c r="H2431"/>
      <c r="I2431"/>
      <c r="J2431"/>
      <c r="K2431"/>
      <c r="L2431"/>
      <c r="M2431"/>
      <c r="S2431" s="54"/>
    </row>
    <row r="2432" spans="1:19" s="15" customFormat="1" x14ac:dyDescent="0.3">
      <c r="A2432" s="17"/>
      <c r="B2432"/>
      <c r="C2432"/>
      <c r="D2432"/>
      <c r="E2432"/>
      <c r="F2432"/>
      <c r="G2432"/>
      <c r="H2432"/>
      <c r="I2432"/>
      <c r="J2432"/>
      <c r="K2432"/>
      <c r="L2432"/>
      <c r="M2432"/>
      <c r="S2432" s="54"/>
    </row>
    <row r="2433" spans="1:19" s="15" customFormat="1" x14ac:dyDescent="0.3">
      <c r="A2433" s="17"/>
      <c r="B2433"/>
      <c r="C2433"/>
      <c r="D2433"/>
      <c r="E2433"/>
      <c r="F2433"/>
      <c r="G2433"/>
      <c r="H2433"/>
      <c r="I2433"/>
      <c r="J2433"/>
      <c r="K2433"/>
      <c r="L2433"/>
      <c r="M2433"/>
      <c r="S2433" s="54"/>
    </row>
    <row r="2434" spans="1:19" s="15" customFormat="1" x14ac:dyDescent="0.3">
      <c r="A2434" s="17"/>
      <c r="B2434"/>
      <c r="C2434"/>
      <c r="D2434"/>
      <c r="E2434"/>
      <c r="F2434"/>
      <c r="G2434"/>
      <c r="H2434"/>
      <c r="I2434"/>
      <c r="J2434"/>
      <c r="K2434"/>
      <c r="L2434"/>
      <c r="M2434"/>
      <c r="S2434" s="54"/>
    </row>
    <row r="2435" spans="1:19" s="15" customFormat="1" x14ac:dyDescent="0.3">
      <c r="A2435" s="17"/>
      <c r="B2435"/>
      <c r="C2435"/>
      <c r="D2435"/>
      <c r="E2435"/>
      <c r="F2435"/>
      <c r="G2435"/>
      <c r="H2435"/>
      <c r="I2435"/>
      <c r="J2435"/>
      <c r="K2435"/>
      <c r="L2435"/>
      <c r="M2435"/>
      <c r="S2435" s="54"/>
    </row>
    <row r="2436" spans="1:19" s="15" customFormat="1" x14ac:dyDescent="0.3">
      <c r="A2436" s="17"/>
      <c r="B2436"/>
      <c r="C2436"/>
      <c r="D2436"/>
      <c r="E2436"/>
      <c r="F2436"/>
      <c r="G2436"/>
      <c r="H2436"/>
      <c r="I2436"/>
      <c r="J2436"/>
      <c r="K2436"/>
      <c r="L2436"/>
      <c r="M2436"/>
      <c r="S2436" s="54"/>
    </row>
    <row r="2437" spans="1:19" s="15" customFormat="1" x14ac:dyDescent="0.3">
      <c r="A2437" s="17"/>
      <c r="B2437"/>
      <c r="C2437"/>
      <c r="D2437"/>
      <c r="E2437"/>
      <c r="F2437"/>
      <c r="G2437"/>
      <c r="H2437"/>
      <c r="I2437"/>
      <c r="J2437"/>
      <c r="K2437"/>
      <c r="L2437"/>
      <c r="M2437"/>
      <c r="S2437" s="54"/>
    </row>
    <row r="2438" spans="1:19" s="15" customFormat="1" x14ac:dyDescent="0.3">
      <c r="A2438" s="17"/>
      <c r="B2438"/>
      <c r="C2438"/>
      <c r="D2438"/>
      <c r="E2438"/>
      <c r="F2438"/>
      <c r="G2438"/>
      <c r="H2438"/>
      <c r="I2438"/>
      <c r="J2438"/>
      <c r="K2438"/>
      <c r="L2438"/>
      <c r="M2438"/>
      <c r="S2438" s="54"/>
    </row>
    <row r="2439" spans="1:19" s="15" customFormat="1" x14ac:dyDescent="0.3">
      <c r="A2439" s="17"/>
      <c r="B2439"/>
      <c r="C2439"/>
      <c r="D2439"/>
      <c r="E2439"/>
      <c r="F2439"/>
      <c r="G2439"/>
      <c r="H2439"/>
      <c r="I2439"/>
      <c r="J2439"/>
      <c r="K2439"/>
      <c r="L2439"/>
      <c r="M2439"/>
      <c r="S2439" s="54"/>
    </row>
    <row r="2440" spans="1:19" s="15" customFormat="1" x14ac:dyDescent="0.3">
      <c r="A2440" s="17"/>
      <c r="B2440"/>
      <c r="C2440"/>
      <c r="D2440"/>
      <c r="E2440"/>
      <c r="F2440"/>
      <c r="G2440"/>
      <c r="H2440"/>
      <c r="I2440"/>
      <c r="J2440"/>
      <c r="K2440"/>
      <c r="L2440"/>
      <c r="M2440"/>
      <c r="S2440" s="54"/>
    </row>
    <row r="2441" spans="1:19" s="15" customFormat="1" x14ac:dyDescent="0.3">
      <c r="A2441" s="17"/>
      <c r="B2441"/>
      <c r="C2441"/>
      <c r="D2441"/>
      <c r="E2441"/>
      <c r="F2441"/>
      <c r="G2441"/>
      <c r="H2441"/>
      <c r="I2441"/>
      <c r="J2441"/>
      <c r="K2441"/>
      <c r="L2441"/>
      <c r="M2441"/>
      <c r="S2441" s="54"/>
    </row>
    <row r="2442" spans="1:19" s="15" customFormat="1" x14ac:dyDescent="0.3">
      <c r="A2442" s="17"/>
      <c r="B2442"/>
      <c r="C2442"/>
      <c r="D2442"/>
      <c r="E2442"/>
      <c r="F2442"/>
      <c r="G2442"/>
      <c r="H2442"/>
      <c r="I2442"/>
      <c r="J2442"/>
      <c r="K2442"/>
      <c r="L2442"/>
      <c r="M2442"/>
      <c r="S2442" s="54"/>
    </row>
    <row r="2443" spans="1:19" s="15" customFormat="1" x14ac:dyDescent="0.3">
      <c r="A2443" s="17"/>
      <c r="B2443"/>
      <c r="C2443"/>
      <c r="D2443"/>
      <c r="E2443"/>
      <c r="F2443"/>
      <c r="G2443"/>
      <c r="H2443"/>
      <c r="I2443"/>
      <c r="J2443"/>
      <c r="K2443"/>
      <c r="L2443"/>
      <c r="M2443"/>
      <c r="S2443" s="54"/>
    </row>
    <row r="2444" spans="1:19" s="15" customFormat="1" x14ac:dyDescent="0.3">
      <c r="A2444" s="17"/>
      <c r="B2444"/>
      <c r="C2444"/>
      <c r="D2444"/>
      <c r="E2444"/>
      <c r="F2444"/>
      <c r="G2444"/>
      <c r="H2444"/>
      <c r="I2444"/>
      <c r="J2444"/>
      <c r="K2444"/>
      <c r="L2444"/>
      <c r="M2444"/>
      <c r="S2444" s="54"/>
    </row>
    <row r="2445" spans="1:19" s="15" customFormat="1" x14ac:dyDescent="0.3">
      <c r="A2445" s="17"/>
      <c r="B2445"/>
      <c r="C2445"/>
      <c r="D2445"/>
      <c r="E2445"/>
      <c r="F2445"/>
      <c r="G2445"/>
      <c r="H2445"/>
      <c r="I2445"/>
      <c r="J2445"/>
      <c r="K2445"/>
      <c r="L2445"/>
      <c r="M2445"/>
      <c r="S2445" s="54"/>
    </row>
    <row r="2446" spans="1:19" s="15" customFormat="1" x14ac:dyDescent="0.3">
      <c r="A2446" s="17"/>
      <c r="B2446"/>
      <c r="C2446"/>
      <c r="D2446"/>
      <c r="E2446"/>
      <c r="F2446"/>
      <c r="G2446"/>
      <c r="H2446"/>
      <c r="I2446"/>
      <c r="J2446"/>
      <c r="K2446"/>
      <c r="L2446"/>
      <c r="M2446"/>
      <c r="S2446" s="54"/>
    </row>
    <row r="2447" spans="1:19" s="15" customFormat="1" x14ac:dyDescent="0.3">
      <c r="A2447" s="17"/>
      <c r="B2447"/>
      <c r="C2447"/>
      <c r="D2447"/>
      <c r="E2447"/>
      <c r="F2447"/>
      <c r="G2447"/>
      <c r="H2447"/>
      <c r="I2447"/>
      <c r="J2447"/>
      <c r="K2447"/>
      <c r="L2447"/>
      <c r="M2447"/>
      <c r="S2447" s="54"/>
    </row>
    <row r="2448" spans="1:19" s="15" customFormat="1" x14ac:dyDescent="0.3">
      <c r="A2448" s="17"/>
      <c r="B2448"/>
      <c r="C2448"/>
      <c r="D2448"/>
      <c r="E2448"/>
      <c r="F2448"/>
      <c r="G2448"/>
      <c r="H2448"/>
      <c r="I2448"/>
      <c r="J2448"/>
      <c r="K2448"/>
      <c r="L2448"/>
      <c r="M2448"/>
      <c r="S2448" s="54"/>
    </row>
    <row r="2449" spans="1:19" s="15" customFormat="1" x14ac:dyDescent="0.3">
      <c r="A2449" s="17"/>
      <c r="B2449"/>
      <c r="C2449"/>
      <c r="D2449"/>
      <c r="E2449"/>
      <c r="F2449"/>
      <c r="G2449"/>
      <c r="H2449"/>
      <c r="I2449"/>
      <c r="J2449"/>
      <c r="K2449"/>
      <c r="L2449"/>
      <c r="M2449"/>
      <c r="S2449" s="54"/>
    </row>
    <row r="2450" spans="1:19" s="15" customFormat="1" x14ac:dyDescent="0.3">
      <c r="A2450" s="17"/>
      <c r="B2450"/>
      <c r="C2450"/>
      <c r="D2450"/>
      <c r="E2450"/>
      <c r="F2450"/>
      <c r="G2450"/>
      <c r="H2450"/>
      <c r="I2450"/>
      <c r="J2450"/>
      <c r="K2450"/>
      <c r="L2450"/>
      <c r="M2450"/>
      <c r="S2450" s="54"/>
    </row>
    <row r="2451" spans="1:19" s="15" customFormat="1" x14ac:dyDescent="0.3">
      <c r="A2451" s="17"/>
      <c r="B2451"/>
      <c r="C2451"/>
      <c r="D2451"/>
      <c r="E2451"/>
      <c r="F2451"/>
      <c r="G2451"/>
      <c r="H2451"/>
      <c r="I2451"/>
      <c r="J2451"/>
      <c r="K2451"/>
      <c r="L2451"/>
      <c r="M2451"/>
      <c r="S2451" s="54"/>
    </row>
    <row r="2452" spans="1:19" s="15" customFormat="1" x14ac:dyDescent="0.3">
      <c r="A2452" s="17"/>
      <c r="B2452"/>
      <c r="C2452"/>
      <c r="D2452"/>
      <c r="E2452"/>
      <c r="F2452"/>
      <c r="G2452"/>
      <c r="H2452"/>
      <c r="I2452"/>
      <c r="J2452"/>
      <c r="K2452"/>
      <c r="L2452"/>
      <c r="M2452"/>
      <c r="S2452" s="54"/>
    </row>
    <row r="2453" spans="1:19" s="15" customFormat="1" x14ac:dyDescent="0.3">
      <c r="A2453" s="17"/>
      <c r="B2453"/>
      <c r="C2453"/>
      <c r="D2453"/>
      <c r="E2453"/>
      <c r="F2453"/>
      <c r="G2453"/>
      <c r="H2453"/>
      <c r="I2453"/>
      <c r="J2453"/>
      <c r="K2453"/>
      <c r="L2453"/>
      <c r="M2453"/>
      <c r="S2453" s="54"/>
    </row>
    <row r="2454" spans="1:19" s="15" customFormat="1" x14ac:dyDescent="0.3">
      <c r="A2454" s="17"/>
      <c r="B2454"/>
      <c r="C2454"/>
      <c r="D2454"/>
      <c r="E2454"/>
      <c r="F2454"/>
      <c r="G2454"/>
      <c r="H2454"/>
      <c r="I2454"/>
      <c r="J2454"/>
      <c r="K2454"/>
      <c r="L2454"/>
      <c r="M2454"/>
      <c r="S2454" s="54"/>
    </row>
    <row r="2455" spans="1:19" s="15" customFormat="1" x14ac:dyDescent="0.3">
      <c r="A2455" s="17"/>
      <c r="B2455"/>
      <c r="C2455"/>
      <c r="D2455"/>
      <c r="E2455"/>
      <c r="F2455"/>
      <c r="G2455"/>
      <c r="H2455"/>
      <c r="I2455"/>
      <c r="J2455"/>
      <c r="K2455"/>
      <c r="L2455"/>
      <c r="M2455"/>
      <c r="S2455" s="54"/>
    </row>
    <row r="2456" spans="1:19" s="15" customFormat="1" x14ac:dyDescent="0.3">
      <c r="A2456" s="17"/>
      <c r="B2456"/>
      <c r="C2456"/>
      <c r="D2456"/>
      <c r="E2456"/>
      <c r="F2456"/>
      <c r="G2456"/>
      <c r="H2456"/>
      <c r="I2456"/>
      <c r="J2456"/>
      <c r="K2456"/>
      <c r="L2456"/>
      <c r="M2456"/>
      <c r="S2456" s="54"/>
    </row>
    <row r="2457" spans="1:19" s="15" customFormat="1" x14ac:dyDescent="0.3">
      <c r="A2457" s="17"/>
      <c r="B2457"/>
      <c r="C2457"/>
      <c r="D2457"/>
      <c r="E2457"/>
      <c r="F2457"/>
      <c r="G2457"/>
      <c r="H2457"/>
      <c r="I2457"/>
      <c r="J2457"/>
      <c r="K2457"/>
      <c r="L2457"/>
      <c r="M2457"/>
      <c r="S2457" s="54"/>
    </row>
    <row r="2458" spans="1:19" s="15" customFormat="1" x14ac:dyDescent="0.3">
      <c r="A2458" s="17"/>
      <c r="B2458"/>
      <c r="C2458"/>
      <c r="D2458"/>
      <c r="E2458"/>
      <c r="F2458"/>
      <c r="G2458"/>
      <c r="H2458"/>
      <c r="I2458"/>
      <c r="J2458"/>
      <c r="K2458"/>
      <c r="L2458"/>
      <c r="M2458"/>
      <c r="S2458" s="54"/>
    </row>
    <row r="2459" spans="1:19" s="15" customFormat="1" x14ac:dyDescent="0.3">
      <c r="A2459" s="17"/>
      <c r="B2459"/>
      <c r="C2459"/>
      <c r="D2459"/>
      <c r="E2459"/>
      <c r="F2459"/>
      <c r="G2459"/>
      <c r="H2459"/>
      <c r="I2459"/>
      <c r="J2459"/>
      <c r="K2459"/>
      <c r="L2459"/>
      <c r="M2459"/>
      <c r="S2459" s="54"/>
    </row>
    <row r="2460" spans="1:19" s="15" customFormat="1" x14ac:dyDescent="0.3">
      <c r="A2460" s="17"/>
      <c r="B2460"/>
      <c r="C2460"/>
      <c r="D2460"/>
      <c r="E2460"/>
      <c r="F2460"/>
      <c r="G2460"/>
      <c r="H2460"/>
      <c r="I2460"/>
      <c r="J2460"/>
      <c r="K2460"/>
      <c r="L2460"/>
      <c r="M2460"/>
      <c r="S2460" s="54"/>
    </row>
    <row r="2461" spans="1:19" s="15" customFormat="1" x14ac:dyDescent="0.3">
      <c r="A2461" s="17"/>
      <c r="B2461"/>
      <c r="C2461"/>
      <c r="D2461"/>
      <c r="E2461"/>
      <c r="F2461"/>
      <c r="G2461"/>
      <c r="H2461"/>
      <c r="I2461"/>
      <c r="J2461"/>
      <c r="K2461"/>
      <c r="L2461"/>
      <c r="M2461"/>
      <c r="S2461" s="54"/>
    </row>
    <row r="2462" spans="1:19" s="15" customFormat="1" x14ac:dyDescent="0.3">
      <c r="A2462" s="17"/>
      <c r="B2462"/>
      <c r="C2462"/>
      <c r="D2462"/>
      <c r="E2462"/>
      <c r="F2462"/>
      <c r="G2462"/>
      <c r="H2462"/>
      <c r="I2462"/>
      <c r="J2462"/>
      <c r="K2462"/>
      <c r="L2462"/>
      <c r="M2462"/>
      <c r="S2462" s="54"/>
    </row>
    <row r="2463" spans="1:19" s="15" customFormat="1" x14ac:dyDescent="0.3">
      <c r="A2463" s="17"/>
      <c r="B2463"/>
      <c r="C2463"/>
      <c r="D2463"/>
      <c r="E2463"/>
      <c r="F2463"/>
      <c r="G2463"/>
      <c r="H2463"/>
      <c r="I2463"/>
      <c r="J2463"/>
      <c r="K2463"/>
      <c r="L2463"/>
      <c r="M2463"/>
      <c r="S2463" s="54"/>
    </row>
    <row r="2464" spans="1:19" s="15" customFormat="1" x14ac:dyDescent="0.3">
      <c r="A2464" s="17"/>
      <c r="B2464"/>
      <c r="C2464"/>
      <c r="D2464"/>
      <c r="E2464"/>
      <c r="F2464"/>
      <c r="G2464"/>
      <c r="H2464"/>
      <c r="I2464"/>
      <c r="J2464"/>
      <c r="K2464"/>
      <c r="L2464"/>
      <c r="M2464"/>
      <c r="S2464" s="54"/>
    </row>
    <row r="2465" spans="1:19" s="15" customFormat="1" x14ac:dyDescent="0.3">
      <c r="A2465" s="17"/>
      <c r="B2465"/>
      <c r="C2465"/>
      <c r="D2465"/>
      <c r="E2465"/>
      <c r="F2465"/>
      <c r="G2465"/>
      <c r="H2465"/>
      <c r="I2465"/>
      <c r="J2465"/>
      <c r="K2465"/>
      <c r="L2465"/>
      <c r="M2465"/>
      <c r="S2465" s="54"/>
    </row>
    <row r="2466" spans="1:19" s="15" customFormat="1" x14ac:dyDescent="0.3">
      <c r="A2466" s="17"/>
      <c r="B2466"/>
      <c r="C2466"/>
      <c r="D2466"/>
      <c r="E2466"/>
      <c r="F2466"/>
      <c r="G2466"/>
      <c r="H2466"/>
      <c r="I2466"/>
      <c r="J2466"/>
      <c r="K2466"/>
      <c r="L2466"/>
      <c r="M2466"/>
      <c r="S2466" s="54"/>
    </row>
    <row r="2467" spans="1:19" s="15" customFormat="1" x14ac:dyDescent="0.3">
      <c r="A2467" s="17"/>
      <c r="B2467"/>
      <c r="C2467"/>
      <c r="D2467"/>
      <c r="E2467"/>
      <c r="F2467"/>
      <c r="G2467"/>
      <c r="H2467"/>
      <c r="I2467"/>
      <c r="J2467"/>
      <c r="K2467"/>
      <c r="L2467"/>
      <c r="M2467"/>
      <c r="S2467" s="54"/>
    </row>
    <row r="2468" spans="1:19" s="15" customFormat="1" x14ac:dyDescent="0.3">
      <c r="A2468" s="17"/>
      <c r="B2468"/>
      <c r="C2468"/>
      <c r="D2468"/>
      <c r="E2468"/>
      <c r="F2468"/>
      <c r="G2468"/>
      <c r="H2468"/>
      <c r="I2468"/>
      <c r="J2468"/>
      <c r="K2468"/>
      <c r="L2468"/>
      <c r="M2468"/>
      <c r="S2468" s="54"/>
    </row>
    <row r="2469" spans="1:19" s="15" customFormat="1" x14ac:dyDescent="0.3">
      <c r="A2469" s="17"/>
      <c r="B2469"/>
      <c r="C2469"/>
      <c r="D2469"/>
      <c r="E2469"/>
      <c r="F2469"/>
      <c r="G2469"/>
      <c r="H2469"/>
      <c r="I2469"/>
      <c r="J2469"/>
      <c r="K2469"/>
      <c r="L2469"/>
      <c r="M2469"/>
      <c r="S2469" s="54"/>
    </row>
    <row r="2470" spans="1:19" s="15" customFormat="1" x14ac:dyDescent="0.3">
      <c r="A2470" s="17"/>
      <c r="B2470"/>
      <c r="C2470"/>
      <c r="D2470"/>
      <c r="E2470"/>
      <c r="F2470"/>
      <c r="G2470"/>
      <c r="H2470"/>
      <c r="I2470"/>
      <c r="J2470"/>
      <c r="K2470"/>
      <c r="L2470"/>
      <c r="M2470"/>
      <c r="S2470" s="54"/>
    </row>
    <row r="2471" spans="1:19" s="15" customFormat="1" x14ac:dyDescent="0.3">
      <c r="A2471" s="17"/>
      <c r="B2471"/>
      <c r="C2471"/>
      <c r="D2471"/>
      <c r="E2471"/>
      <c r="F2471"/>
      <c r="G2471"/>
      <c r="H2471"/>
      <c r="I2471"/>
      <c r="J2471"/>
      <c r="K2471"/>
      <c r="L2471"/>
      <c r="M2471"/>
      <c r="S2471" s="54"/>
    </row>
    <row r="2472" spans="1:19" s="15" customFormat="1" x14ac:dyDescent="0.3">
      <c r="A2472" s="17"/>
      <c r="B2472"/>
      <c r="C2472"/>
      <c r="D2472"/>
      <c r="E2472"/>
      <c r="F2472"/>
      <c r="G2472"/>
      <c r="H2472"/>
      <c r="I2472"/>
      <c r="J2472"/>
      <c r="K2472"/>
      <c r="L2472"/>
      <c r="M2472"/>
      <c r="S2472" s="54"/>
    </row>
    <row r="2473" spans="1:19" s="15" customFormat="1" x14ac:dyDescent="0.3">
      <c r="A2473" s="17"/>
      <c r="B2473"/>
      <c r="C2473"/>
      <c r="D2473"/>
      <c r="E2473"/>
      <c r="F2473"/>
      <c r="G2473"/>
      <c r="H2473"/>
      <c r="I2473"/>
      <c r="J2473"/>
      <c r="K2473"/>
      <c r="L2473"/>
      <c r="M2473"/>
      <c r="S2473" s="54"/>
    </row>
    <row r="2474" spans="1:19" s="15" customFormat="1" x14ac:dyDescent="0.3">
      <c r="A2474" s="17"/>
      <c r="B2474"/>
      <c r="C2474"/>
      <c r="D2474"/>
      <c r="E2474"/>
      <c r="F2474"/>
      <c r="G2474"/>
      <c r="H2474"/>
      <c r="I2474"/>
      <c r="J2474"/>
      <c r="K2474"/>
      <c r="L2474"/>
      <c r="M2474"/>
      <c r="S2474" s="54"/>
    </row>
    <row r="2475" spans="1:19" s="15" customFormat="1" x14ac:dyDescent="0.3">
      <c r="A2475" s="17"/>
      <c r="B2475"/>
      <c r="C2475"/>
      <c r="D2475"/>
      <c r="E2475"/>
      <c r="F2475"/>
      <c r="G2475"/>
      <c r="H2475"/>
      <c r="I2475"/>
      <c r="J2475"/>
      <c r="K2475"/>
      <c r="L2475"/>
      <c r="M2475"/>
      <c r="S2475" s="54"/>
    </row>
    <row r="2476" spans="1:19" s="15" customFormat="1" x14ac:dyDescent="0.3">
      <c r="A2476" s="17"/>
      <c r="B2476"/>
      <c r="C2476"/>
      <c r="D2476"/>
      <c r="E2476"/>
      <c r="F2476"/>
      <c r="G2476"/>
      <c r="H2476"/>
      <c r="I2476"/>
      <c r="J2476"/>
      <c r="K2476"/>
      <c r="L2476"/>
      <c r="M2476"/>
      <c r="S2476" s="54"/>
    </row>
    <row r="2477" spans="1:19" s="15" customFormat="1" x14ac:dyDescent="0.3">
      <c r="A2477" s="17"/>
      <c r="B2477"/>
      <c r="C2477"/>
      <c r="D2477"/>
      <c r="E2477"/>
      <c r="F2477"/>
      <c r="G2477"/>
      <c r="H2477"/>
      <c r="I2477"/>
      <c r="J2477"/>
      <c r="K2477"/>
      <c r="L2477"/>
      <c r="M2477"/>
      <c r="S2477" s="54"/>
    </row>
    <row r="2478" spans="1:19" s="15" customFormat="1" x14ac:dyDescent="0.3">
      <c r="A2478" s="17"/>
      <c r="B2478"/>
      <c r="C2478"/>
      <c r="D2478"/>
      <c r="E2478"/>
      <c r="F2478"/>
      <c r="G2478"/>
      <c r="H2478"/>
      <c r="I2478"/>
      <c r="J2478"/>
      <c r="K2478"/>
      <c r="L2478"/>
      <c r="M2478"/>
      <c r="S2478" s="54"/>
    </row>
    <row r="2479" spans="1:19" s="15" customFormat="1" x14ac:dyDescent="0.3">
      <c r="A2479" s="17"/>
      <c r="B2479"/>
      <c r="C2479"/>
      <c r="D2479"/>
      <c r="E2479"/>
      <c r="F2479"/>
      <c r="G2479"/>
      <c r="H2479"/>
      <c r="I2479"/>
      <c r="J2479"/>
      <c r="K2479"/>
      <c r="L2479"/>
      <c r="M2479"/>
      <c r="S2479" s="54"/>
    </row>
    <row r="2480" spans="1:19" s="15" customFormat="1" x14ac:dyDescent="0.3">
      <c r="A2480" s="17"/>
      <c r="B2480"/>
      <c r="C2480"/>
      <c r="D2480"/>
      <c r="E2480"/>
      <c r="F2480"/>
      <c r="G2480"/>
      <c r="H2480"/>
      <c r="I2480"/>
      <c r="J2480"/>
      <c r="K2480"/>
      <c r="L2480"/>
      <c r="M2480"/>
      <c r="S2480" s="54"/>
    </row>
    <row r="2481" spans="1:19" s="15" customFormat="1" x14ac:dyDescent="0.3">
      <c r="A2481" s="17"/>
      <c r="B2481"/>
      <c r="C2481"/>
      <c r="D2481"/>
      <c r="E2481"/>
      <c r="F2481"/>
      <c r="G2481"/>
      <c r="H2481"/>
      <c r="I2481"/>
      <c r="J2481"/>
      <c r="K2481"/>
      <c r="L2481"/>
      <c r="M2481"/>
      <c r="S2481" s="54"/>
    </row>
    <row r="2482" spans="1:19" s="15" customFormat="1" x14ac:dyDescent="0.3">
      <c r="A2482" s="17"/>
      <c r="B2482"/>
      <c r="C2482"/>
      <c r="D2482"/>
      <c r="E2482"/>
      <c r="F2482"/>
      <c r="G2482"/>
      <c r="H2482"/>
      <c r="I2482"/>
      <c r="J2482"/>
      <c r="K2482"/>
      <c r="L2482"/>
      <c r="M2482"/>
      <c r="S2482" s="54"/>
    </row>
    <row r="2483" spans="1:19" s="15" customFormat="1" x14ac:dyDescent="0.3">
      <c r="A2483" s="17"/>
      <c r="B2483"/>
      <c r="C2483"/>
      <c r="D2483"/>
      <c r="E2483"/>
      <c r="F2483"/>
      <c r="G2483"/>
      <c r="H2483"/>
      <c r="I2483"/>
      <c r="J2483"/>
      <c r="K2483"/>
      <c r="L2483"/>
      <c r="M2483"/>
      <c r="S2483" s="54"/>
    </row>
    <row r="2484" spans="1:19" s="15" customFormat="1" x14ac:dyDescent="0.3">
      <c r="A2484" s="17"/>
      <c r="B2484"/>
      <c r="C2484"/>
      <c r="D2484"/>
      <c r="E2484"/>
      <c r="F2484"/>
      <c r="G2484"/>
      <c r="H2484"/>
      <c r="I2484"/>
      <c r="J2484"/>
      <c r="K2484"/>
      <c r="L2484"/>
      <c r="M2484"/>
      <c r="S2484" s="54"/>
    </row>
    <row r="2485" spans="1:19" s="15" customFormat="1" x14ac:dyDescent="0.3">
      <c r="A2485" s="17"/>
      <c r="B2485"/>
      <c r="C2485"/>
      <c r="D2485"/>
      <c r="E2485"/>
      <c r="F2485"/>
      <c r="G2485"/>
      <c r="H2485"/>
      <c r="I2485"/>
      <c r="J2485"/>
      <c r="K2485"/>
      <c r="L2485"/>
      <c r="M2485"/>
      <c r="S2485" s="54"/>
    </row>
    <row r="2486" spans="1:19" s="15" customFormat="1" x14ac:dyDescent="0.3">
      <c r="A2486" s="17"/>
      <c r="B2486"/>
      <c r="C2486"/>
      <c r="D2486"/>
      <c r="E2486"/>
      <c r="F2486"/>
      <c r="G2486"/>
      <c r="H2486"/>
      <c r="I2486"/>
      <c r="J2486"/>
      <c r="K2486"/>
      <c r="L2486"/>
      <c r="M2486"/>
      <c r="S2486" s="54"/>
    </row>
    <row r="2487" spans="1:19" s="15" customFormat="1" x14ac:dyDescent="0.3">
      <c r="A2487" s="17"/>
      <c r="B2487"/>
      <c r="C2487"/>
      <c r="D2487"/>
      <c r="E2487"/>
      <c r="F2487"/>
      <c r="G2487"/>
      <c r="H2487"/>
      <c r="I2487"/>
      <c r="J2487"/>
      <c r="K2487"/>
      <c r="L2487"/>
      <c r="M2487"/>
      <c r="S2487" s="54"/>
    </row>
    <row r="2488" spans="1:19" s="15" customFormat="1" x14ac:dyDescent="0.3">
      <c r="A2488" s="17"/>
      <c r="B2488"/>
      <c r="C2488"/>
      <c r="D2488"/>
      <c r="E2488"/>
      <c r="F2488"/>
      <c r="G2488"/>
      <c r="H2488"/>
      <c r="I2488"/>
      <c r="J2488"/>
      <c r="K2488"/>
      <c r="L2488"/>
      <c r="M2488"/>
      <c r="S2488" s="54"/>
    </row>
    <row r="2489" spans="1:19" s="15" customFormat="1" x14ac:dyDescent="0.3">
      <c r="A2489" s="17"/>
      <c r="B2489"/>
      <c r="C2489"/>
      <c r="D2489"/>
      <c r="E2489"/>
      <c r="F2489"/>
      <c r="G2489"/>
      <c r="H2489"/>
      <c r="I2489"/>
      <c r="J2489"/>
      <c r="K2489"/>
      <c r="L2489"/>
      <c r="M2489"/>
      <c r="S2489" s="54"/>
    </row>
    <row r="2490" spans="1:19" s="15" customFormat="1" x14ac:dyDescent="0.3">
      <c r="A2490" s="17"/>
      <c r="B2490"/>
      <c r="C2490"/>
      <c r="D2490"/>
      <c r="E2490"/>
      <c r="F2490"/>
      <c r="G2490"/>
      <c r="H2490"/>
      <c r="I2490"/>
      <c r="J2490"/>
      <c r="K2490"/>
      <c r="L2490"/>
      <c r="M2490"/>
      <c r="S2490" s="54"/>
    </row>
    <row r="2491" spans="1:19" s="15" customFormat="1" x14ac:dyDescent="0.3">
      <c r="A2491" s="17"/>
      <c r="B2491"/>
      <c r="C2491"/>
      <c r="D2491"/>
      <c r="E2491"/>
      <c r="F2491"/>
      <c r="G2491"/>
      <c r="H2491"/>
      <c r="I2491"/>
      <c r="J2491"/>
      <c r="K2491"/>
      <c r="L2491"/>
      <c r="M2491"/>
      <c r="S2491" s="54"/>
    </row>
    <row r="2492" spans="1:19" s="15" customFormat="1" x14ac:dyDescent="0.3">
      <c r="A2492" s="17"/>
      <c r="B2492"/>
      <c r="C2492"/>
      <c r="D2492"/>
      <c r="E2492"/>
      <c r="F2492"/>
      <c r="G2492"/>
      <c r="H2492"/>
      <c r="I2492"/>
      <c r="J2492"/>
      <c r="K2492"/>
      <c r="L2492"/>
      <c r="M2492"/>
      <c r="S2492" s="54"/>
    </row>
    <row r="2493" spans="1:19" s="15" customFormat="1" x14ac:dyDescent="0.3">
      <c r="A2493" s="17"/>
      <c r="B2493"/>
      <c r="C2493"/>
      <c r="D2493"/>
      <c r="E2493"/>
      <c r="F2493"/>
      <c r="G2493"/>
      <c r="H2493"/>
      <c r="I2493"/>
      <c r="J2493"/>
      <c r="K2493"/>
      <c r="L2493"/>
      <c r="M2493"/>
      <c r="S2493" s="54"/>
    </row>
    <row r="2494" spans="1:19" s="15" customFormat="1" x14ac:dyDescent="0.3">
      <c r="A2494" s="17"/>
      <c r="B2494"/>
      <c r="C2494"/>
      <c r="D2494"/>
      <c r="E2494"/>
      <c r="F2494"/>
      <c r="G2494"/>
      <c r="H2494"/>
      <c r="I2494"/>
      <c r="J2494"/>
      <c r="K2494"/>
      <c r="L2494"/>
      <c r="M2494"/>
      <c r="S2494" s="54"/>
    </row>
    <row r="2495" spans="1:19" s="15" customFormat="1" x14ac:dyDescent="0.3">
      <c r="A2495" s="17"/>
      <c r="B2495"/>
      <c r="C2495"/>
      <c r="D2495"/>
      <c r="E2495"/>
      <c r="F2495"/>
      <c r="G2495"/>
      <c r="H2495"/>
      <c r="I2495"/>
      <c r="J2495"/>
      <c r="K2495"/>
      <c r="L2495"/>
      <c r="M2495"/>
      <c r="S2495" s="54"/>
    </row>
    <row r="2496" spans="1:19" s="15" customFormat="1" x14ac:dyDescent="0.3">
      <c r="A2496" s="17"/>
      <c r="B2496"/>
      <c r="C2496"/>
      <c r="D2496"/>
      <c r="E2496"/>
      <c r="F2496"/>
      <c r="G2496"/>
      <c r="H2496"/>
      <c r="I2496"/>
      <c r="J2496"/>
      <c r="K2496"/>
      <c r="L2496"/>
      <c r="M2496"/>
      <c r="S2496" s="54"/>
    </row>
    <row r="2497" spans="1:19" s="15" customFormat="1" x14ac:dyDescent="0.3">
      <c r="A2497" s="17"/>
      <c r="B2497"/>
      <c r="C2497"/>
      <c r="D2497"/>
      <c r="E2497"/>
      <c r="F2497"/>
      <c r="G2497"/>
      <c r="H2497"/>
      <c r="I2497"/>
      <c r="J2497"/>
      <c r="K2497"/>
      <c r="L2497"/>
      <c r="M2497"/>
      <c r="S2497" s="54"/>
    </row>
    <row r="2498" spans="1:19" s="15" customFormat="1" x14ac:dyDescent="0.3">
      <c r="A2498" s="17"/>
      <c r="B2498"/>
      <c r="C2498"/>
      <c r="D2498"/>
      <c r="E2498"/>
      <c r="F2498"/>
      <c r="G2498"/>
      <c r="H2498"/>
      <c r="I2498"/>
      <c r="J2498"/>
      <c r="K2498"/>
      <c r="L2498"/>
      <c r="M2498"/>
      <c r="S2498" s="54"/>
    </row>
    <row r="2499" spans="1:19" s="15" customFormat="1" x14ac:dyDescent="0.3">
      <c r="A2499" s="17"/>
      <c r="B2499"/>
      <c r="C2499"/>
      <c r="D2499"/>
      <c r="E2499"/>
      <c r="F2499"/>
      <c r="G2499"/>
      <c r="H2499"/>
      <c r="I2499"/>
      <c r="J2499"/>
      <c r="K2499"/>
      <c r="L2499"/>
      <c r="M2499"/>
      <c r="S2499" s="54"/>
    </row>
    <row r="2500" spans="1:19" s="15" customFormat="1" x14ac:dyDescent="0.3">
      <c r="A2500" s="17"/>
      <c r="B2500"/>
      <c r="C2500"/>
      <c r="D2500"/>
      <c r="E2500"/>
      <c r="F2500"/>
      <c r="G2500"/>
      <c r="H2500"/>
      <c r="I2500"/>
      <c r="J2500"/>
      <c r="K2500"/>
      <c r="L2500"/>
      <c r="M2500"/>
      <c r="S2500" s="54"/>
    </row>
    <row r="2501" spans="1:19" s="15" customFormat="1" x14ac:dyDescent="0.3">
      <c r="A2501" s="17"/>
      <c r="B2501"/>
      <c r="C2501"/>
      <c r="D2501"/>
      <c r="E2501"/>
      <c r="F2501"/>
      <c r="G2501"/>
      <c r="H2501"/>
      <c r="I2501"/>
      <c r="J2501"/>
      <c r="K2501"/>
      <c r="L2501"/>
      <c r="M2501"/>
      <c r="S2501" s="54"/>
    </row>
    <row r="2502" spans="1:19" s="15" customFormat="1" x14ac:dyDescent="0.3">
      <c r="A2502" s="17"/>
      <c r="B2502"/>
      <c r="C2502"/>
      <c r="D2502"/>
      <c r="E2502"/>
      <c r="F2502"/>
      <c r="G2502"/>
      <c r="H2502"/>
      <c r="I2502"/>
      <c r="J2502"/>
      <c r="K2502"/>
      <c r="L2502"/>
      <c r="M2502"/>
      <c r="S2502" s="54"/>
    </row>
    <row r="2503" spans="1:19" s="15" customFormat="1" x14ac:dyDescent="0.3">
      <c r="A2503" s="17"/>
      <c r="B2503"/>
      <c r="C2503"/>
      <c r="D2503"/>
      <c r="E2503"/>
      <c r="F2503"/>
      <c r="G2503"/>
      <c r="H2503"/>
      <c r="I2503"/>
      <c r="J2503"/>
      <c r="K2503"/>
      <c r="L2503"/>
      <c r="M2503"/>
      <c r="S2503" s="54"/>
    </row>
    <row r="2504" spans="1:19" s="15" customFormat="1" x14ac:dyDescent="0.3">
      <c r="A2504" s="17"/>
      <c r="B2504"/>
      <c r="C2504"/>
      <c r="D2504"/>
      <c r="E2504"/>
      <c r="F2504"/>
      <c r="G2504"/>
      <c r="H2504"/>
      <c r="I2504"/>
      <c r="J2504"/>
      <c r="K2504"/>
      <c r="L2504"/>
      <c r="M2504"/>
      <c r="S2504" s="54"/>
    </row>
    <row r="2505" spans="1:19" s="15" customFormat="1" x14ac:dyDescent="0.3">
      <c r="A2505" s="17"/>
      <c r="B2505"/>
      <c r="C2505"/>
      <c r="D2505"/>
      <c r="E2505"/>
      <c r="F2505"/>
      <c r="G2505"/>
      <c r="H2505"/>
      <c r="I2505"/>
      <c r="J2505"/>
      <c r="K2505"/>
      <c r="L2505"/>
      <c r="M2505"/>
      <c r="S2505" s="54"/>
    </row>
    <row r="2506" spans="1:19" s="15" customFormat="1" x14ac:dyDescent="0.3">
      <c r="A2506" s="17"/>
      <c r="B2506"/>
      <c r="C2506"/>
      <c r="D2506"/>
      <c r="E2506"/>
      <c r="F2506"/>
      <c r="G2506"/>
      <c r="H2506"/>
      <c r="I2506"/>
      <c r="J2506"/>
      <c r="K2506"/>
      <c r="L2506"/>
      <c r="M2506"/>
      <c r="S2506" s="54"/>
    </row>
    <row r="2507" spans="1:19" s="15" customFormat="1" x14ac:dyDescent="0.3">
      <c r="A2507" s="17"/>
      <c r="B2507"/>
      <c r="C2507"/>
      <c r="D2507"/>
      <c r="E2507"/>
      <c r="F2507"/>
      <c r="G2507"/>
      <c r="H2507"/>
      <c r="I2507"/>
      <c r="J2507"/>
      <c r="K2507"/>
      <c r="L2507"/>
      <c r="M2507"/>
      <c r="S2507" s="54"/>
    </row>
    <row r="2508" spans="1:19" s="15" customFormat="1" x14ac:dyDescent="0.3">
      <c r="A2508" s="17"/>
      <c r="B2508"/>
      <c r="C2508"/>
      <c r="D2508"/>
      <c r="E2508"/>
      <c r="F2508"/>
      <c r="G2508"/>
      <c r="H2508"/>
      <c r="I2508"/>
      <c r="J2508"/>
      <c r="K2508"/>
      <c r="L2508"/>
      <c r="M2508"/>
      <c r="S2508" s="54"/>
    </row>
    <row r="2509" spans="1:19" s="15" customFormat="1" x14ac:dyDescent="0.3">
      <c r="A2509" s="17"/>
      <c r="B2509"/>
      <c r="C2509"/>
      <c r="D2509"/>
      <c r="E2509"/>
      <c r="F2509"/>
      <c r="G2509"/>
      <c r="H2509"/>
      <c r="I2509"/>
      <c r="J2509"/>
      <c r="K2509"/>
      <c r="L2509"/>
      <c r="M2509"/>
      <c r="S2509" s="54"/>
    </row>
    <row r="2510" spans="1:19" s="15" customFormat="1" x14ac:dyDescent="0.3">
      <c r="A2510" s="17"/>
      <c r="B2510"/>
      <c r="C2510"/>
      <c r="D2510"/>
      <c r="E2510"/>
      <c r="F2510"/>
      <c r="G2510"/>
      <c r="H2510"/>
      <c r="I2510"/>
      <c r="J2510"/>
      <c r="K2510"/>
      <c r="L2510"/>
      <c r="M2510"/>
      <c r="S2510" s="54"/>
    </row>
    <row r="2511" spans="1:19" s="15" customFormat="1" x14ac:dyDescent="0.3">
      <c r="A2511" s="17"/>
      <c r="B2511"/>
      <c r="C2511"/>
      <c r="D2511"/>
      <c r="E2511"/>
      <c r="F2511"/>
      <c r="G2511"/>
      <c r="H2511"/>
      <c r="I2511"/>
      <c r="J2511"/>
      <c r="K2511"/>
      <c r="L2511"/>
      <c r="M2511"/>
      <c r="S2511" s="54"/>
    </row>
    <row r="2512" spans="1:19" s="15" customFormat="1" x14ac:dyDescent="0.3">
      <c r="A2512" s="17"/>
      <c r="B2512"/>
      <c r="C2512"/>
      <c r="D2512"/>
      <c r="E2512"/>
      <c r="F2512"/>
      <c r="G2512"/>
      <c r="H2512"/>
      <c r="I2512"/>
      <c r="J2512"/>
      <c r="K2512"/>
      <c r="L2512"/>
      <c r="M2512"/>
      <c r="S2512" s="54"/>
    </row>
    <row r="2513" spans="1:19" s="15" customFormat="1" x14ac:dyDescent="0.3">
      <c r="A2513" s="17"/>
      <c r="B2513"/>
      <c r="C2513"/>
      <c r="D2513"/>
      <c r="E2513"/>
      <c r="F2513"/>
      <c r="G2513"/>
      <c r="H2513"/>
      <c r="I2513"/>
      <c r="J2513"/>
      <c r="K2513"/>
      <c r="L2513"/>
      <c r="M2513"/>
      <c r="S2513" s="54"/>
    </row>
    <row r="2514" spans="1:19" s="15" customFormat="1" x14ac:dyDescent="0.3">
      <c r="A2514" s="17"/>
      <c r="B2514"/>
      <c r="C2514"/>
      <c r="D2514"/>
      <c r="E2514"/>
      <c r="F2514"/>
      <c r="G2514"/>
      <c r="H2514"/>
      <c r="I2514"/>
      <c r="J2514"/>
      <c r="K2514"/>
      <c r="L2514"/>
      <c r="M2514"/>
      <c r="S2514" s="54"/>
    </row>
    <row r="2515" spans="1:19" s="15" customFormat="1" x14ac:dyDescent="0.3">
      <c r="A2515" s="17"/>
      <c r="B2515"/>
      <c r="C2515"/>
      <c r="D2515"/>
      <c r="E2515"/>
      <c r="F2515"/>
      <c r="G2515"/>
      <c r="H2515"/>
      <c r="I2515"/>
      <c r="J2515"/>
      <c r="K2515"/>
      <c r="L2515"/>
      <c r="M2515"/>
      <c r="S2515" s="54"/>
    </row>
    <row r="2516" spans="1:19" s="15" customFormat="1" x14ac:dyDescent="0.3">
      <c r="A2516" s="17"/>
      <c r="B2516"/>
      <c r="C2516"/>
      <c r="D2516"/>
      <c r="E2516"/>
      <c r="F2516"/>
      <c r="G2516"/>
      <c r="H2516"/>
      <c r="I2516"/>
      <c r="J2516"/>
      <c r="K2516"/>
      <c r="L2516"/>
      <c r="M2516"/>
      <c r="S2516" s="54"/>
    </row>
    <row r="2517" spans="1:19" s="15" customFormat="1" x14ac:dyDescent="0.3">
      <c r="A2517" s="17"/>
      <c r="B2517"/>
      <c r="C2517"/>
      <c r="D2517"/>
      <c r="E2517"/>
      <c r="F2517"/>
      <c r="G2517"/>
      <c r="H2517"/>
      <c r="I2517"/>
      <c r="J2517"/>
      <c r="K2517"/>
      <c r="L2517"/>
      <c r="M2517"/>
      <c r="S2517" s="54"/>
    </row>
    <row r="2518" spans="1:19" s="15" customFormat="1" x14ac:dyDescent="0.3">
      <c r="A2518" s="17"/>
      <c r="B2518"/>
      <c r="C2518"/>
      <c r="D2518"/>
      <c r="E2518"/>
      <c r="F2518"/>
      <c r="G2518"/>
      <c r="H2518"/>
      <c r="I2518"/>
      <c r="J2518"/>
      <c r="K2518"/>
      <c r="L2518"/>
      <c r="M2518"/>
      <c r="S2518" s="54"/>
    </row>
    <row r="2519" spans="1:19" s="15" customFormat="1" x14ac:dyDescent="0.3">
      <c r="A2519" s="17"/>
      <c r="B2519"/>
      <c r="C2519"/>
      <c r="D2519"/>
      <c r="E2519"/>
      <c r="F2519"/>
      <c r="G2519"/>
      <c r="H2519"/>
      <c r="I2519"/>
      <c r="J2519"/>
      <c r="K2519"/>
      <c r="L2519"/>
      <c r="M2519"/>
      <c r="S2519" s="54"/>
    </row>
    <row r="2520" spans="1:19" s="15" customFormat="1" x14ac:dyDescent="0.3">
      <c r="A2520" s="17"/>
      <c r="B2520"/>
      <c r="C2520"/>
      <c r="D2520"/>
      <c r="E2520"/>
      <c r="F2520"/>
      <c r="G2520"/>
      <c r="H2520"/>
      <c r="I2520"/>
      <c r="J2520"/>
      <c r="K2520"/>
      <c r="L2520"/>
      <c r="M2520"/>
      <c r="S2520" s="54"/>
    </row>
    <row r="2521" spans="1:19" s="15" customFormat="1" x14ac:dyDescent="0.3">
      <c r="A2521" s="17"/>
      <c r="B2521"/>
      <c r="C2521"/>
      <c r="D2521"/>
      <c r="E2521"/>
      <c r="F2521"/>
      <c r="G2521"/>
      <c r="H2521"/>
      <c r="I2521"/>
      <c r="J2521"/>
      <c r="K2521"/>
      <c r="L2521"/>
      <c r="M2521"/>
      <c r="S2521" s="54"/>
    </row>
    <row r="2522" spans="1:19" s="15" customFormat="1" x14ac:dyDescent="0.3">
      <c r="A2522" s="17"/>
      <c r="B2522"/>
      <c r="C2522"/>
      <c r="D2522"/>
      <c r="E2522"/>
      <c r="F2522"/>
      <c r="G2522"/>
      <c r="H2522"/>
      <c r="I2522"/>
      <c r="J2522"/>
      <c r="K2522"/>
      <c r="L2522"/>
      <c r="M2522"/>
      <c r="S2522" s="54"/>
    </row>
    <row r="2523" spans="1:19" s="15" customFormat="1" x14ac:dyDescent="0.3">
      <c r="A2523" s="17"/>
      <c r="B2523"/>
      <c r="C2523"/>
      <c r="D2523"/>
      <c r="E2523"/>
      <c r="F2523"/>
      <c r="G2523"/>
      <c r="H2523"/>
      <c r="I2523"/>
      <c r="J2523"/>
      <c r="K2523"/>
      <c r="L2523"/>
      <c r="M2523"/>
      <c r="S2523" s="54"/>
    </row>
    <row r="2524" spans="1:19" s="15" customFormat="1" x14ac:dyDescent="0.3">
      <c r="A2524" s="17"/>
      <c r="B2524"/>
      <c r="C2524"/>
      <c r="D2524"/>
      <c r="E2524"/>
      <c r="F2524"/>
      <c r="G2524"/>
      <c r="H2524"/>
      <c r="I2524"/>
      <c r="J2524"/>
      <c r="K2524"/>
      <c r="L2524"/>
      <c r="M2524"/>
      <c r="S2524" s="54"/>
    </row>
    <row r="2525" spans="1:19" s="15" customFormat="1" x14ac:dyDescent="0.3">
      <c r="A2525" s="17"/>
      <c r="B2525"/>
      <c r="C2525"/>
      <c r="D2525"/>
      <c r="E2525"/>
      <c r="F2525"/>
      <c r="G2525"/>
      <c r="H2525"/>
      <c r="I2525"/>
      <c r="J2525"/>
      <c r="K2525"/>
      <c r="L2525"/>
      <c r="M2525"/>
      <c r="S2525" s="54"/>
    </row>
    <row r="2526" spans="1:19" s="15" customFormat="1" x14ac:dyDescent="0.3">
      <c r="A2526" s="17"/>
      <c r="B2526"/>
      <c r="C2526"/>
      <c r="D2526"/>
      <c r="E2526"/>
      <c r="F2526"/>
      <c r="G2526"/>
      <c r="H2526"/>
      <c r="I2526"/>
      <c r="J2526"/>
      <c r="K2526"/>
      <c r="L2526"/>
      <c r="M2526"/>
      <c r="S2526" s="54"/>
    </row>
    <row r="2527" spans="1:19" s="15" customFormat="1" x14ac:dyDescent="0.3">
      <c r="A2527" s="17"/>
      <c r="B2527"/>
      <c r="C2527"/>
      <c r="D2527"/>
      <c r="E2527"/>
      <c r="F2527"/>
      <c r="G2527"/>
      <c r="H2527"/>
      <c r="I2527"/>
      <c r="J2527"/>
      <c r="K2527"/>
      <c r="L2527"/>
      <c r="M2527"/>
      <c r="S2527" s="54"/>
    </row>
    <row r="2528" spans="1:19" s="15" customFormat="1" x14ac:dyDescent="0.3">
      <c r="A2528" s="17"/>
      <c r="B2528"/>
      <c r="C2528"/>
      <c r="D2528"/>
      <c r="E2528"/>
      <c r="F2528"/>
      <c r="G2528"/>
      <c r="H2528"/>
      <c r="I2528"/>
      <c r="J2528"/>
      <c r="K2528"/>
      <c r="L2528"/>
      <c r="M2528"/>
      <c r="S2528" s="54"/>
    </row>
    <row r="2529" spans="1:19" s="15" customFormat="1" x14ac:dyDescent="0.3">
      <c r="A2529" s="17"/>
      <c r="B2529"/>
      <c r="C2529"/>
      <c r="D2529"/>
      <c r="E2529"/>
      <c r="F2529"/>
      <c r="G2529"/>
      <c r="H2529"/>
      <c r="I2529"/>
      <c r="J2529"/>
      <c r="K2529"/>
      <c r="L2529"/>
      <c r="M2529"/>
      <c r="S2529" s="54"/>
    </row>
    <row r="2530" spans="1:19" s="15" customFormat="1" x14ac:dyDescent="0.3">
      <c r="A2530" s="17"/>
      <c r="B2530"/>
      <c r="C2530"/>
      <c r="D2530"/>
      <c r="E2530"/>
      <c r="F2530"/>
      <c r="G2530"/>
      <c r="H2530"/>
      <c r="I2530"/>
      <c r="J2530"/>
      <c r="K2530"/>
      <c r="L2530"/>
      <c r="M2530"/>
      <c r="S2530" s="54"/>
    </row>
    <row r="2531" spans="1:19" s="15" customFormat="1" x14ac:dyDescent="0.3">
      <c r="A2531" s="17"/>
      <c r="B2531"/>
      <c r="C2531"/>
      <c r="D2531"/>
      <c r="E2531"/>
      <c r="F2531"/>
      <c r="G2531"/>
      <c r="H2531"/>
      <c r="I2531"/>
      <c r="J2531"/>
      <c r="K2531"/>
      <c r="L2531"/>
      <c r="M2531"/>
      <c r="S2531" s="54"/>
    </row>
    <row r="2532" spans="1:19" s="15" customFormat="1" x14ac:dyDescent="0.3">
      <c r="A2532" s="17"/>
      <c r="B2532"/>
      <c r="C2532"/>
      <c r="D2532"/>
      <c r="E2532"/>
      <c r="F2532"/>
      <c r="G2532"/>
      <c r="H2532"/>
      <c r="I2532"/>
      <c r="J2532"/>
      <c r="K2532"/>
      <c r="L2532"/>
      <c r="M2532"/>
      <c r="S2532" s="54"/>
    </row>
    <row r="2533" spans="1:19" s="15" customFormat="1" x14ac:dyDescent="0.3">
      <c r="A2533" s="17"/>
      <c r="B2533"/>
      <c r="C2533"/>
      <c r="D2533"/>
      <c r="E2533"/>
      <c r="F2533"/>
      <c r="G2533"/>
      <c r="H2533"/>
      <c r="I2533"/>
      <c r="J2533"/>
      <c r="K2533"/>
      <c r="L2533"/>
      <c r="M2533"/>
      <c r="S2533" s="54"/>
    </row>
    <row r="2534" spans="1:19" s="15" customFormat="1" x14ac:dyDescent="0.3">
      <c r="A2534" s="17"/>
      <c r="B2534"/>
      <c r="C2534"/>
      <c r="D2534"/>
      <c r="E2534"/>
      <c r="F2534"/>
      <c r="G2534"/>
      <c r="H2534"/>
      <c r="I2534"/>
      <c r="J2534"/>
      <c r="K2534"/>
      <c r="L2534"/>
      <c r="M2534"/>
      <c r="S2534" s="54"/>
    </row>
    <row r="2535" spans="1:19" s="15" customFormat="1" x14ac:dyDescent="0.3">
      <c r="A2535" s="17"/>
      <c r="B2535"/>
      <c r="C2535"/>
      <c r="D2535"/>
      <c r="E2535"/>
      <c r="F2535"/>
      <c r="G2535"/>
      <c r="H2535"/>
      <c r="I2535"/>
      <c r="J2535"/>
      <c r="K2535"/>
      <c r="L2535"/>
      <c r="M2535"/>
      <c r="S2535" s="54"/>
    </row>
    <row r="2536" spans="1:19" s="15" customFormat="1" x14ac:dyDescent="0.3">
      <c r="A2536" s="17"/>
      <c r="B2536"/>
      <c r="C2536"/>
      <c r="D2536"/>
      <c r="E2536"/>
      <c r="F2536"/>
      <c r="G2536"/>
      <c r="H2536"/>
      <c r="I2536"/>
      <c r="J2536"/>
      <c r="K2536"/>
      <c r="L2536"/>
      <c r="M2536"/>
      <c r="S2536" s="54"/>
    </row>
    <row r="2537" spans="1:19" s="15" customFormat="1" x14ac:dyDescent="0.3">
      <c r="A2537" s="17"/>
      <c r="B2537"/>
      <c r="C2537"/>
      <c r="D2537"/>
      <c r="E2537"/>
      <c r="F2537"/>
      <c r="G2537"/>
      <c r="H2537"/>
      <c r="I2537"/>
      <c r="J2537"/>
      <c r="K2537"/>
      <c r="L2537"/>
      <c r="M2537"/>
      <c r="S2537" s="54"/>
    </row>
    <row r="2538" spans="1:19" s="15" customFormat="1" x14ac:dyDescent="0.3">
      <c r="A2538" s="17"/>
      <c r="B2538"/>
      <c r="C2538"/>
      <c r="D2538"/>
      <c r="E2538"/>
      <c r="F2538"/>
      <c r="G2538"/>
      <c r="H2538"/>
      <c r="I2538"/>
      <c r="J2538"/>
      <c r="K2538"/>
      <c r="L2538"/>
      <c r="M2538"/>
      <c r="S2538" s="54"/>
    </row>
    <row r="2539" spans="1:19" s="15" customFormat="1" x14ac:dyDescent="0.3">
      <c r="A2539" s="17"/>
      <c r="B2539"/>
      <c r="C2539"/>
      <c r="D2539"/>
      <c r="E2539"/>
      <c r="F2539"/>
      <c r="G2539"/>
      <c r="H2539"/>
      <c r="I2539"/>
      <c r="J2539"/>
      <c r="K2539"/>
      <c r="L2539"/>
      <c r="M2539"/>
      <c r="S2539" s="54"/>
    </row>
    <row r="2540" spans="1:19" s="15" customFormat="1" x14ac:dyDescent="0.3">
      <c r="A2540" s="17"/>
      <c r="B2540"/>
      <c r="C2540"/>
      <c r="D2540"/>
      <c r="E2540"/>
      <c r="F2540"/>
      <c r="G2540"/>
      <c r="H2540"/>
      <c r="I2540"/>
      <c r="J2540"/>
      <c r="K2540"/>
      <c r="L2540"/>
      <c r="M2540"/>
      <c r="S2540" s="54"/>
    </row>
    <row r="2541" spans="1:19" s="15" customFormat="1" x14ac:dyDescent="0.3">
      <c r="A2541" s="17"/>
      <c r="B2541"/>
      <c r="C2541"/>
      <c r="D2541"/>
      <c r="E2541"/>
      <c r="F2541"/>
      <c r="G2541"/>
      <c r="H2541"/>
      <c r="I2541"/>
      <c r="J2541"/>
      <c r="K2541"/>
      <c r="L2541"/>
      <c r="M2541"/>
      <c r="S2541" s="54"/>
    </row>
    <row r="2542" spans="1:19" s="15" customFormat="1" x14ac:dyDescent="0.3">
      <c r="A2542" s="17"/>
      <c r="B2542"/>
      <c r="C2542"/>
      <c r="D2542"/>
      <c r="E2542"/>
      <c r="F2542"/>
      <c r="G2542"/>
      <c r="H2542"/>
      <c r="I2542"/>
      <c r="J2542"/>
      <c r="K2542"/>
      <c r="L2542"/>
      <c r="M2542"/>
      <c r="S2542" s="54"/>
    </row>
    <row r="2543" spans="1:19" s="15" customFormat="1" x14ac:dyDescent="0.3">
      <c r="A2543" s="17"/>
      <c r="B2543"/>
      <c r="C2543"/>
      <c r="D2543"/>
      <c r="E2543"/>
      <c r="F2543"/>
      <c r="G2543"/>
      <c r="H2543"/>
      <c r="I2543"/>
      <c r="J2543"/>
      <c r="K2543"/>
      <c r="L2543"/>
      <c r="M2543"/>
      <c r="S2543" s="54"/>
    </row>
    <row r="2544" spans="1:19" s="15" customFormat="1" x14ac:dyDescent="0.3">
      <c r="A2544" s="17"/>
      <c r="B2544"/>
      <c r="C2544"/>
      <c r="D2544"/>
      <c r="E2544"/>
      <c r="F2544"/>
      <c r="G2544"/>
      <c r="H2544"/>
      <c r="I2544"/>
      <c r="J2544"/>
      <c r="K2544"/>
      <c r="L2544"/>
      <c r="M2544"/>
      <c r="S2544" s="54"/>
    </row>
    <row r="2545" spans="1:19" s="15" customFormat="1" x14ac:dyDescent="0.3">
      <c r="A2545" s="17"/>
      <c r="B2545"/>
      <c r="C2545"/>
      <c r="D2545"/>
      <c r="E2545"/>
      <c r="F2545"/>
      <c r="G2545"/>
      <c r="H2545"/>
      <c r="I2545"/>
      <c r="J2545"/>
      <c r="K2545"/>
      <c r="L2545"/>
      <c r="M2545"/>
      <c r="S2545" s="54"/>
    </row>
    <row r="2546" spans="1:19" s="15" customFormat="1" x14ac:dyDescent="0.3">
      <c r="A2546" s="17"/>
      <c r="B2546"/>
      <c r="C2546"/>
      <c r="D2546"/>
      <c r="E2546"/>
      <c r="F2546"/>
      <c r="G2546"/>
      <c r="H2546"/>
      <c r="I2546"/>
      <c r="J2546"/>
      <c r="K2546"/>
      <c r="L2546"/>
      <c r="M2546"/>
      <c r="S2546" s="54"/>
    </row>
    <row r="2547" spans="1:19" s="15" customFormat="1" x14ac:dyDescent="0.3">
      <c r="A2547" s="17"/>
      <c r="B2547"/>
      <c r="C2547"/>
      <c r="D2547"/>
      <c r="E2547"/>
      <c r="F2547"/>
      <c r="G2547"/>
      <c r="H2547"/>
      <c r="I2547"/>
      <c r="J2547"/>
      <c r="K2547"/>
      <c r="L2547"/>
      <c r="M2547"/>
      <c r="S2547" s="54"/>
    </row>
    <row r="2548" spans="1:19" s="15" customFormat="1" x14ac:dyDescent="0.3">
      <c r="A2548" s="17"/>
      <c r="B2548"/>
      <c r="C2548"/>
      <c r="D2548"/>
      <c r="E2548"/>
      <c r="F2548"/>
      <c r="G2548"/>
      <c r="H2548"/>
      <c r="I2548"/>
      <c r="J2548"/>
      <c r="K2548"/>
      <c r="L2548"/>
      <c r="M2548"/>
      <c r="S2548" s="54"/>
    </row>
    <row r="2549" spans="1:19" s="15" customFormat="1" x14ac:dyDescent="0.3">
      <c r="A2549" s="17"/>
      <c r="B2549"/>
      <c r="C2549"/>
      <c r="D2549"/>
      <c r="E2549"/>
      <c r="F2549"/>
      <c r="G2549"/>
      <c r="H2549"/>
      <c r="I2549"/>
      <c r="J2549"/>
      <c r="K2549"/>
      <c r="L2549"/>
      <c r="M2549"/>
      <c r="S2549" s="54"/>
    </row>
    <row r="2550" spans="1:19" s="15" customFormat="1" x14ac:dyDescent="0.3">
      <c r="A2550" s="17"/>
      <c r="B2550"/>
      <c r="C2550"/>
      <c r="D2550"/>
      <c r="E2550"/>
      <c r="F2550"/>
      <c r="G2550"/>
      <c r="H2550"/>
      <c r="I2550"/>
      <c r="J2550"/>
      <c r="K2550"/>
      <c r="L2550"/>
      <c r="M2550"/>
      <c r="S2550" s="54"/>
    </row>
    <row r="2551" spans="1:19" s="15" customFormat="1" x14ac:dyDescent="0.3">
      <c r="A2551" s="17"/>
      <c r="B2551"/>
      <c r="C2551"/>
      <c r="D2551"/>
      <c r="E2551"/>
      <c r="F2551"/>
      <c r="G2551"/>
      <c r="H2551"/>
      <c r="I2551"/>
      <c r="J2551"/>
      <c r="K2551"/>
      <c r="L2551"/>
      <c r="M2551"/>
      <c r="S2551" s="54"/>
    </row>
    <row r="2552" spans="1:19" s="15" customFormat="1" x14ac:dyDescent="0.3">
      <c r="A2552" s="17"/>
      <c r="B2552"/>
      <c r="C2552"/>
      <c r="D2552"/>
      <c r="E2552"/>
      <c r="F2552"/>
      <c r="G2552"/>
      <c r="H2552"/>
      <c r="I2552"/>
      <c r="J2552"/>
      <c r="K2552"/>
      <c r="L2552"/>
      <c r="M2552"/>
      <c r="S2552" s="54"/>
    </row>
    <row r="2553" spans="1:19" s="15" customFormat="1" x14ac:dyDescent="0.3">
      <c r="A2553" s="17"/>
      <c r="B2553"/>
      <c r="C2553"/>
      <c r="D2553"/>
      <c r="E2553"/>
      <c r="F2553"/>
      <c r="G2553"/>
      <c r="H2553"/>
      <c r="I2553"/>
      <c r="J2553"/>
      <c r="K2553"/>
      <c r="L2553"/>
      <c r="M2553"/>
      <c r="S2553" s="54"/>
    </row>
    <row r="2554" spans="1:19" s="15" customFormat="1" x14ac:dyDescent="0.3">
      <c r="A2554" s="17"/>
      <c r="B2554"/>
      <c r="C2554"/>
      <c r="D2554"/>
      <c r="E2554"/>
      <c r="F2554"/>
      <c r="G2554"/>
      <c r="H2554"/>
      <c r="I2554"/>
      <c r="J2554"/>
      <c r="K2554"/>
      <c r="L2554"/>
      <c r="M2554"/>
      <c r="S2554" s="54"/>
    </row>
    <row r="2555" spans="1:19" s="15" customFormat="1" x14ac:dyDescent="0.3">
      <c r="A2555" s="17"/>
      <c r="B2555"/>
      <c r="C2555"/>
      <c r="D2555"/>
      <c r="E2555"/>
      <c r="F2555"/>
      <c r="G2555"/>
      <c r="H2555"/>
      <c r="I2555"/>
      <c r="J2555"/>
      <c r="K2555"/>
      <c r="L2555"/>
      <c r="M2555"/>
      <c r="S2555" s="54"/>
    </row>
    <row r="2556" spans="1:19" s="15" customFormat="1" x14ac:dyDescent="0.3">
      <c r="A2556" s="17"/>
      <c r="B2556"/>
      <c r="C2556"/>
      <c r="D2556"/>
      <c r="E2556"/>
      <c r="F2556"/>
      <c r="G2556"/>
      <c r="H2556"/>
      <c r="I2556"/>
      <c r="J2556"/>
      <c r="K2556"/>
      <c r="L2556"/>
      <c r="M2556"/>
      <c r="S2556" s="54"/>
    </row>
    <row r="2557" spans="1:19" s="15" customFormat="1" x14ac:dyDescent="0.3">
      <c r="A2557" s="17"/>
      <c r="B2557"/>
      <c r="C2557"/>
      <c r="D2557"/>
      <c r="E2557"/>
      <c r="F2557"/>
      <c r="G2557"/>
      <c r="H2557"/>
      <c r="I2557"/>
      <c r="J2557"/>
      <c r="K2557"/>
      <c r="L2557"/>
      <c r="M2557"/>
      <c r="S2557" s="54"/>
    </row>
    <row r="2558" spans="1:19" s="15" customFormat="1" x14ac:dyDescent="0.3">
      <c r="A2558" s="17"/>
      <c r="B2558"/>
      <c r="C2558"/>
      <c r="D2558"/>
      <c r="E2558"/>
      <c r="F2558"/>
      <c r="G2558"/>
      <c r="H2558"/>
      <c r="I2558"/>
      <c r="J2558"/>
      <c r="K2558"/>
      <c r="L2558"/>
      <c r="M2558"/>
      <c r="S2558" s="54"/>
    </row>
    <row r="2559" spans="1:19" s="15" customFormat="1" x14ac:dyDescent="0.3">
      <c r="A2559" s="17"/>
      <c r="B2559"/>
      <c r="C2559"/>
      <c r="D2559"/>
      <c r="E2559"/>
      <c r="F2559"/>
      <c r="G2559"/>
      <c r="H2559"/>
      <c r="I2559"/>
      <c r="J2559"/>
      <c r="K2559"/>
      <c r="L2559"/>
      <c r="M2559"/>
      <c r="S2559" s="54"/>
    </row>
    <row r="2560" spans="1:19" s="15" customFormat="1" x14ac:dyDescent="0.3">
      <c r="A2560" s="17"/>
      <c r="B2560"/>
      <c r="C2560"/>
      <c r="D2560"/>
      <c r="E2560"/>
      <c r="F2560"/>
      <c r="G2560"/>
      <c r="H2560"/>
      <c r="I2560"/>
      <c r="J2560"/>
      <c r="K2560"/>
      <c r="L2560"/>
      <c r="M2560"/>
      <c r="S2560" s="54"/>
    </row>
    <row r="2561" spans="1:19" s="15" customFormat="1" x14ac:dyDescent="0.3">
      <c r="A2561" s="17"/>
      <c r="B2561"/>
      <c r="C2561"/>
      <c r="D2561"/>
      <c r="E2561"/>
      <c r="F2561"/>
      <c r="G2561"/>
      <c r="H2561"/>
      <c r="I2561"/>
      <c r="J2561"/>
      <c r="K2561"/>
      <c r="L2561"/>
      <c r="M2561"/>
      <c r="S2561" s="54"/>
    </row>
    <row r="2562" spans="1:19" s="15" customFormat="1" x14ac:dyDescent="0.3">
      <c r="A2562" s="17"/>
      <c r="B2562"/>
      <c r="C2562"/>
      <c r="D2562"/>
      <c r="E2562"/>
      <c r="F2562"/>
      <c r="G2562"/>
      <c r="H2562"/>
      <c r="I2562"/>
      <c r="J2562"/>
      <c r="K2562"/>
      <c r="L2562"/>
      <c r="M2562"/>
      <c r="S2562" s="54"/>
    </row>
    <row r="2563" spans="1:19" s="15" customFormat="1" x14ac:dyDescent="0.3">
      <c r="A2563" s="17"/>
      <c r="B2563"/>
      <c r="C2563"/>
      <c r="D2563"/>
      <c r="E2563"/>
      <c r="F2563"/>
      <c r="G2563"/>
      <c r="H2563"/>
      <c r="I2563"/>
      <c r="J2563"/>
      <c r="K2563"/>
      <c r="L2563"/>
      <c r="M2563"/>
      <c r="S2563" s="54"/>
    </row>
    <row r="2564" spans="1:19" s="15" customFormat="1" x14ac:dyDescent="0.3">
      <c r="A2564" s="17"/>
      <c r="B2564"/>
      <c r="C2564"/>
      <c r="D2564"/>
      <c r="E2564"/>
      <c r="F2564"/>
      <c r="G2564"/>
      <c r="H2564"/>
      <c r="I2564"/>
      <c r="J2564"/>
      <c r="K2564"/>
      <c r="L2564"/>
      <c r="M2564"/>
      <c r="S2564" s="54"/>
    </row>
    <row r="2565" spans="1:19" s="15" customFormat="1" x14ac:dyDescent="0.3">
      <c r="A2565" s="17"/>
      <c r="B2565"/>
      <c r="C2565"/>
      <c r="D2565"/>
      <c r="E2565"/>
      <c r="F2565"/>
      <c r="G2565"/>
      <c r="H2565"/>
      <c r="I2565"/>
      <c r="J2565"/>
      <c r="K2565"/>
      <c r="L2565"/>
      <c r="M2565"/>
      <c r="S2565" s="54"/>
    </row>
    <row r="2566" spans="1:19" s="15" customFormat="1" x14ac:dyDescent="0.3">
      <c r="A2566" s="17"/>
      <c r="B2566"/>
      <c r="C2566"/>
      <c r="D2566"/>
      <c r="E2566"/>
      <c r="F2566"/>
      <c r="G2566"/>
      <c r="H2566"/>
      <c r="I2566"/>
      <c r="J2566"/>
      <c r="K2566"/>
      <c r="L2566"/>
      <c r="M2566"/>
      <c r="S2566" s="54"/>
    </row>
    <row r="2567" spans="1:19" s="15" customFormat="1" x14ac:dyDescent="0.3">
      <c r="A2567" s="17"/>
      <c r="B2567"/>
      <c r="C2567"/>
      <c r="D2567"/>
      <c r="E2567"/>
      <c r="F2567"/>
      <c r="G2567"/>
      <c r="H2567"/>
      <c r="I2567"/>
      <c r="J2567"/>
      <c r="K2567"/>
      <c r="L2567"/>
      <c r="M2567"/>
      <c r="S2567" s="54"/>
    </row>
    <row r="2568" spans="1:19" s="15" customFormat="1" x14ac:dyDescent="0.3">
      <c r="A2568" s="17"/>
      <c r="B2568"/>
      <c r="C2568"/>
      <c r="D2568"/>
      <c r="E2568"/>
      <c r="F2568"/>
      <c r="G2568"/>
      <c r="H2568"/>
      <c r="I2568"/>
      <c r="J2568"/>
      <c r="K2568"/>
      <c r="L2568"/>
      <c r="M2568"/>
      <c r="S2568" s="54"/>
    </row>
    <row r="2569" spans="1:19" s="15" customFormat="1" x14ac:dyDescent="0.3">
      <c r="A2569" s="17"/>
      <c r="B2569"/>
      <c r="C2569"/>
      <c r="D2569"/>
      <c r="E2569"/>
      <c r="F2569"/>
      <c r="G2569"/>
      <c r="H2569"/>
      <c r="I2569"/>
      <c r="J2569"/>
      <c r="K2569"/>
      <c r="L2569"/>
      <c r="M2569"/>
      <c r="S2569" s="54"/>
    </row>
    <row r="2570" spans="1:19" s="15" customFormat="1" x14ac:dyDescent="0.3">
      <c r="A2570" s="17"/>
      <c r="B2570"/>
      <c r="C2570"/>
      <c r="D2570"/>
      <c r="E2570"/>
      <c r="F2570"/>
      <c r="G2570"/>
      <c r="H2570"/>
      <c r="I2570"/>
      <c r="J2570"/>
      <c r="K2570"/>
      <c r="L2570"/>
      <c r="M2570"/>
      <c r="S2570" s="54"/>
    </row>
    <row r="2571" spans="1:19" s="15" customFormat="1" x14ac:dyDescent="0.3">
      <c r="A2571" s="17"/>
      <c r="B2571"/>
      <c r="C2571"/>
      <c r="D2571"/>
      <c r="E2571"/>
      <c r="F2571"/>
      <c r="G2571"/>
      <c r="H2571"/>
      <c r="I2571"/>
      <c r="J2571"/>
      <c r="K2571"/>
      <c r="L2571"/>
      <c r="M2571"/>
      <c r="S2571" s="54"/>
    </row>
    <row r="2572" spans="1:19" s="15" customFormat="1" x14ac:dyDescent="0.3">
      <c r="A2572" s="17"/>
      <c r="B2572"/>
      <c r="C2572"/>
      <c r="D2572"/>
      <c r="E2572"/>
      <c r="F2572"/>
      <c r="G2572"/>
      <c r="H2572"/>
      <c r="I2572"/>
      <c r="J2572"/>
      <c r="K2572"/>
      <c r="L2572"/>
      <c r="M2572"/>
      <c r="S2572" s="54"/>
    </row>
    <row r="2573" spans="1:19" s="15" customFormat="1" x14ac:dyDescent="0.3">
      <c r="A2573" s="17"/>
      <c r="B2573"/>
      <c r="C2573"/>
      <c r="D2573"/>
      <c r="E2573"/>
      <c r="F2573"/>
      <c r="G2573"/>
      <c r="H2573"/>
      <c r="I2573"/>
      <c r="J2573"/>
      <c r="K2573"/>
      <c r="L2573"/>
      <c r="M2573"/>
      <c r="S2573" s="54"/>
    </row>
    <row r="2574" spans="1:19" s="15" customFormat="1" x14ac:dyDescent="0.3">
      <c r="A2574" s="17"/>
      <c r="B2574"/>
      <c r="C2574"/>
      <c r="D2574"/>
      <c r="E2574"/>
      <c r="F2574"/>
      <c r="G2574"/>
      <c r="H2574"/>
      <c r="I2574"/>
      <c r="J2574"/>
      <c r="K2574"/>
      <c r="L2574"/>
      <c r="M2574"/>
      <c r="S2574" s="54"/>
    </row>
    <row r="2575" spans="1:19" s="15" customFormat="1" x14ac:dyDescent="0.3">
      <c r="A2575" s="17"/>
      <c r="B2575"/>
      <c r="C2575"/>
      <c r="D2575"/>
      <c r="E2575"/>
      <c r="F2575"/>
      <c r="G2575"/>
      <c r="H2575"/>
      <c r="I2575"/>
      <c r="J2575"/>
      <c r="K2575"/>
      <c r="L2575"/>
      <c r="M2575"/>
      <c r="S2575" s="54"/>
    </row>
    <row r="2576" spans="1:19" s="15" customFormat="1" x14ac:dyDescent="0.3">
      <c r="A2576" s="17"/>
      <c r="B2576"/>
      <c r="C2576"/>
      <c r="D2576"/>
      <c r="E2576"/>
      <c r="F2576"/>
      <c r="G2576"/>
      <c r="H2576"/>
      <c r="I2576"/>
      <c r="J2576"/>
      <c r="K2576"/>
      <c r="L2576"/>
      <c r="M2576"/>
      <c r="S2576" s="54"/>
    </row>
    <row r="2577" spans="1:19" s="15" customFormat="1" x14ac:dyDescent="0.3">
      <c r="A2577" s="17"/>
      <c r="B2577"/>
      <c r="C2577"/>
      <c r="D2577"/>
      <c r="E2577"/>
      <c r="F2577"/>
      <c r="G2577"/>
      <c r="H2577"/>
      <c r="I2577"/>
      <c r="J2577"/>
      <c r="K2577"/>
      <c r="L2577"/>
      <c r="M2577"/>
      <c r="S2577" s="54"/>
    </row>
    <row r="2578" spans="1:19" s="15" customFormat="1" x14ac:dyDescent="0.3">
      <c r="A2578" s="17"/>
      <c r="B2578"/>
      <c r="C2578"/>
      <c r="D2578"/>
      <c r="E2578"/>
      <c r="F2578"/>
      <c r="G2578"/>
      <c r="H2578"/>
      <c r="I2578"/>
      <c r="J2578"/>
      <c r="K2578"/>
      <c r="L2578"/>
      <c r="M2578"/>
      <c r="S2578" s="54"/>
    </row>
    <row r="2579" spans="1:19" s="15" customFormat="1" x14ac:dyDescent="0.3">
      <c r="A2579" s="17"/>
      <c r="B2579"/>
      <c r="C2579"/>
      <c r="D2579"/>
      <c r="E2579"/>
      <c r="F2579"/>
      <c r="G2579"/>
      <c r="H2579"/>
      <c r="I2579"/>
      <c r="J2579"/>
      <c r="K2579"/>
      <c r="L2579"/>
      <c r="M2579"/>
      <c r="S2579" s="54"/>
    </row>
    <row r="2580" spans="1:19" s="15" customFormat="1" x14ac:dyDescent="0.3">
      <c r="A2580" s="17"/>
      <c r="B2580"/>
      <c r="C2580"/>
      <c r="D2580"/>
      <c r="E2580"/>
      <c r="F2580"/>
      <c r="G2580"/>
      <c r="H2580"/>
      <c r="I2580"/>
      <c r="J2580"/>
      <c r="K2580"/>
      <c r="L2580"/>
      <c r="M2580"/>
      <c r="S2580" s="54"/>
    </row>
    <row r="2581" spans="1:19" s="15" customFormat="1" x14ac:dyDescent="0.3">
      <c r="A2581" s="17"/>
      <c r="B2581"/>
      <c r="C2581"/>
      <c r="D2581"/>
      <c r="E2581"/>
      <c r="F2581"/>
      <c r="G2581"/>
      <c r="H2581"/>
      <c r="I2581"/>
      <c r="J2581"/>
      <c r="K2581"/>
      <c r="L2581"/>
      <c r="M2581"/>
      <c r="S2581" s="54"/>
    </row>
    <row r="2582" spans="1:19" s="15" customFormat="1" x14ac:dyDescent="0.3">
      <c r="A2582" s="17"/>
      <c r="B2582"/>
      <c r="C2582"/>
      <c r="D2582"/>
      <c r="E2582"/>
      <c r="F2582"/>
      <c r="G2582"/>
      <c r="H2582"/>
      <c r="I2582"/>
      <c r="J2582"/>
      <c r="K2582"/>
      <c r="L2582"/>
      <c r="M2582"/>
      <c r="S2582" s="54"/>
    </row>
    <row r="2583" spans="1:19" s="15" customFormat="1" x14ac:dyDescent="0.3">
      <c r="A2583" s="17"/>
      <c r="B2583"/>
      <c r="C2583"/>
      <c r="D2583"/>
      <c r="E2583"/>
      <c r="F2583"/>
      <c r="G2583"/>
      <c r="H2583"/>
      <c r="I2583"/>
      <c r="J2583"/>
      <c r="K2583"/>
      <c r="L2583"/>
      <c r="M2583"/>
      <c r="S2583" s="54"/>
    </row>
    <row r="2584" spans="1:19" s="15" customFormat="1" x14ac:dyDescent="0.3">
      <c r="A2584" s="17"/>
      <c r="B2584"/>
      <c r="C2584"/>
      <c r="D2584"/>
      <c r="E2584"/>
      <c r="F2584"/>
      <c r="G2584"/>
      <c r="H2584"/>
      <c r="I2584"/>
      <c r="J2584"/>
      <c r="K2584"/>
      <c r="L2584"/>
      <c r="M2584"/>
      <c r="S2584" s="54"/>
    </row>
    <row r="2585" spans="1:19" s="15" customFormat="1" x14ac:dyDescent="0.3">
      <c r="A2585" s="17"/>
      <c r="B2585"/>
      <c r="C2585"/>
      <c r="D2585"/>
      <c r="E2585"/>
      <c r="F2585"/>
      <c r="G2585"/>
      <c r="H2585"/>
      <c r="I2585"/>
      <c r="J2585"/>
      <c r="K2585"/>
      <c r="L2585"/>
      <c r="M2585"/>
      <c r="S2585" s="54"/>
    </row>
    <row r="2586" spans="1:19" s="15" customFormat="1" x14ac:dyDescent="0.3">
      <c r="A2586" s="17"/>
      <c r="B2586"/>
      <c r="C2586"/>
      <c r="D2586"/>
      <c r="E2586"/>
      <c r="F2586"/>
      <c r="G2586"/>
      <c r="H2586"/>
      <c r="I2586"/>
      <c r="J2586"/>
      <c r="K2586"/>
      <c r="L2586"/>
      <c r="M2586"/>
      <c r="S2586" s="54"/>
    </row>
    <row r="2587" spans="1:19" s="15" customFormat="1" x14ac:dyDescent="0.3">
      <c r="A2587" s="17"/>
      <c r="B2587"/>
      <c r="C2587"/>
      <c r="D2587"/>
      <c r="E2587"/>
      <c r="F2587"/>
      <c r="G2587"/>
      <c r="H2587"/>
      <c r="I2587"/>
      <c r="J2587"/>
      <c r="K2587"/>
      <c r="L2587"/>
      <c r="M2587"/>
      <c r="S2587" s="54"/>
    </row>
    <row r="2588" spans="1:19" s="15" customFormat="1" x14ac:dyDescent="0.3">
      <c r="A2588" s="17"/>
      <c r="B2588"/>
      <c r="C2588"/>
      <c r="D2588"/>
      <c r="E2588"/>
      <c r="F2588"/>
      <c r="G2588"/>
      <c r="H2588"/>
      <c r="I2588"/>
      <c r="J2588"/>
      <c r="K2588"/>
      <c r="L2588"/>
      <c r="M2588"/>
      <c r="S2588" s="54"/>
    </row>
    <row r="2589" spans="1:19" s="15" customFormat="1" x14ac:dyDescent="0.3">
      <c r="A2589" s="17"/>
      <c r="B2589"/>
      <c r="C2589"/>
      <c r="D2589"/>
      <c r="E2589"/>
      <c r="F2589"/>
      <c r="G2589"/>
      <c r="H2589"/>
      <c r="I2589"/>
      <c r="J2589"/>
      <c r="K2589"/>
      <c r="L2589"/>
      <c r="M2589"/>
      <c r="S2589" s="54"/>
    </row>
    <row r="2590" spans="1:19" s="15" customFormat="1" x14ac:dyDescent="0.3">
      <c r="A2590" s="17"/>
      <c r="B2590"/>
      <c r="C2590"/>
      <c r="D2590"/>
      <c r="E2590"/>
      <c r="F2590"/>
      <c r="G2590"/>
      <c r="H2590"/>
      <c r="I2590"/>
      <c r="J2590"/>
      <c r="K2590"/>
      <c r="L2590"/>
      <c r="M2590"/>
      <c r="S2590" s="54"/>
    </row>
    <row r="2591" spans="1:19" s="15" customFormat="1" x14ac:dyDescent="0.3">
      <c r="A2591" s="17"/>
      <c r="B2591"/>
      <c r="C2591"/>
      <c r="D2591"/>
      <c r="E2591"/>
      <c r="F2591"/>
      <c r="G2591"/>
      <c r="H2591"/>
      <c r="I2591"/>
      <c r="J2591"/>
      <c r="K2591"/>
      <c r="L2591"/>
      <c r="M2591"/>
      <c r="S2591" s="54"/>
    </row>
    <row r="2592" spans="1:19" s="15" customFormat="1" x14ac:dyDescent="0.3">
      <c r="A2592" s="17"/>
      <c r="B2592"/>
      <c r="C2592"/>
      <c r="D2592"/>
      <c r="E2592"/>
      <c r="F2592"/>
      <c r="G2592"/>
      <c r="H2592"/>
      <c r="I2592"/>
      <c r="J2592"/>
      <c r="K2592"/>
      <c r="L2592"/>
      <c r="M2592"/>
      <c r="S2592" s="54"/>
    </row>
    <row r="2593" spans="1:19" s="15" customFormat="1" x14ac:dyDescent="0.3">
      <c r="A2593" s="17"/>
      <c r="B2593"/>
      <c r="C2593"/>
      <c r="D2593"/>
      <c r="E2593"/>
      <c r="F2593"/>
      <c r="G2593"/>
      <c r="H2593"/>
      <c r="I2593"/>
      <c r="J2593"/>
      <c r="K2593"/>
      <c r="L2593"/>
      <c r="M2593"/>
      <c r="S2593" s="54"/>
    </row>
    <row r="2594" spans="1:19" s="15" customFormat="1" x14ac:dyDescent="0.3">
      <c r="A2594" s="17"/>
      <c r="B2594"/>
      <c r="C2594"/>
      <c r="D2594"/>
      <c r="E2594"/>
      <c r="F2594"/>
      <c r="G2594"/>
      <c r="H2594"/>
      <c r="I2594"/>
      <c r="J2594"/>
      <c r="K2594"/>
      <c r="L2594"/>
      <c r="M2594"/>
      <c r="S2594" s="54"/>
    </row>
    <row r="2595" spans="1:19" s="15" customFormat="1" x14ac:dyDescent="0.3">
      <c r="A2595" s="17"/>
      <c r="B2595"/>
      <c r="C2595"/>
      <c r="D2595"/>
      <c r="E2595"/>
      <c r="F2595"/>
      <c r="G2595"/>
      <c r="H2595"/>
      <c r="I2595"/>
      <c r="J2595"/>
      <c r="K2595"/>
      <c r="L2595"/>
      <c r="M2595"/>
      <c r="S2595" s="54"/>
    </row>
    <row r="2596" spans="1:19" s="15" customFormat="1" x14ac:dyDescent="0.3">
      <c r="A2596" s="17"/>
      <c r="B2596"/>
      <c r="C2596"/>
      <c r="D2596"/>
      <c r="E2596"/>
      <c r="F2596"/>
      <c r="G2596"/>
      <c r="H2596"/>
      <c r="I2596"/>
      <c r="J2596"/>
      <c r="K2596"/>
      <c r="L2596"/>
      <c r="M2596"/>
      <c r="S2596" s="54"/>
    </row>
    <row r="2597" spans="1:19" s="15" customFormat="1" x14ac:dyDescent="0.3">
      <c r="A2597" s="17"/>
      <c r="B2597"/>
      <c r="C2597"/>
      <c r="D2597"/>
      <c r="E2597"/>
      <c r="F2597"/>
      <c r="G2597"/>
      <c r="H2597"/>
      <c r="I2597"/>
      <c r="J2597"/>
      <c r="K2597"/>
      <c r="L2597"/>
      <c r="M2597"/>
      <c r="S2597" s="54"/>
    </row>
    <row r="2598" spans="1:19" s="15" customFormat="1" x14ac:dyDescent="0.3">
      <c r="A2598" s="17"/>
      <c r="B2598"/>
      <c r="C2598"/>
      <c r="D2598"/>
      <c r="E2598"/>
      <c r="F2598"/>
      <c r="G2598"/>
      <c r="H2598"/>
      <c r="I2598"/>
      <c r="J2598"/>
      <c r="K2598"/>
      <c r="L2598"/>
      <c r="M2598"/>
      <c r="S2598" s="54"/>
    </row>
    <row r="2599" spans="1:19" s="15" customFormat="1" x14ac:dyDescent="0.3">
      <c r="A2599" s="17"/>
      <c r="B2599"/>
      <c r="C2599"/>
      <c r="D2599"/>
      <c r="E2599"/>
      <c r="F2599"/>
      <c r="G2599"/>
      <c r="H2599"/>
      <c r="I2599"/>
      <c r="J2599"/>
      <c r="K2599"/>
      <c r="L2599"/>
      <c r="M2599"/>
      <c r="S2599" s="54"/>
    </row>
    <row r="2600" spans="1:19" s="15" customFormat="1" x14ac:dyDescent="0.3">
      <c r="A2600" s="17"/>
      <c r="B2600"/>
      <c r="C2600"/>
      <c r="D2600"/>
      <c r="E2600"/>
      <c r="F2600"/>
      <c r="G2600"/>
      <c r="H2600"/>
      <c r="I2600"/>
      <c r="J2600"/>
      <c r="K2600"/>
      <c r="L2600"/>
      <c r="M2600"/>
      <c r="S2600" s="54"/>
    </row>
    <row r="2601" spans="1:19" s="15" customFormat="1" x14ac:dyDescent="0.3">
      <c r="A2601" s="17"/>
      <c r="B2601"/>
      <c r="C2601"/>
      <c r="D2601"/>
      <c r="E2601"/>
      <c r="F2601"/>
      <c r="G2601"/>
      <c r="H2601"/>
      <c r="I2601"/>
      <c r="J2601"/>
      <c r="K2601"/>
      <c r="L2601"/>
      <c r="M2601"/>
      <c r="S2601" s="54"/>
    </row>
    <row r="2602" spans="1:19" s="15" customFormat="1" x14ac:dyDescent="0.3">
      <c r="A2602" s="17"/>
      <c r="B2602"/>
      <c r="C2602"/>
      <c r="D2602"/>
      <c r="E2602"/>
      <c r="F2602"/>
      <c r="G2602"/>
      <c r="H2602"/>
      <c r="I2602"/>
      <c r="J2602"/>
      <c r="K2602"/>
      <c r="L2602"/>
      <c r="M2602"/>
      <c r="S2602" s="54"/>
    </row>
    <row r="2603" spans="1:19" s="15" customFormat="1" x14ac:dyDescent="0.3">
      <c r="A2603" s="17"/>
      <c r="B2603"/>
      <c r="C2603"/>
      <c r="D2603"/>
      <c r="E2603"/>
      <c r="F2603"/>
      <c r="G2603"/>
      <c r="H2603"/>
      <c r="I2603"/>
      <c r="J2603"/>
      <c r="K2603"/>
      <c r="L2603"/>
      <c r="M2603"/>
      <c r="S2603" s="54"/>
    </row>
    <row r="2604" spans="1:19" s="15" customFormat="1" x14ac:dyDescent="0.3">
      <c r="A2604" s="17"/>
      <c r="B2604"/>
      <c r="C2604"/>
      <c r="D2604"/>
      <c r="E2604"/>
      <c r="F2604"/>
      <c r="G2604"/>
      <c r="H2604"/>
      <c r="I2604"/>
      <c r="J2604"/>
      <c r="K2604"/>
      <c r="L2604"/>
      <c r="M2604"/>
      <c r="S2604" s="54"/>
    </row>
    <row r="2605" spans="1:19" s="15" customFormat="1" x14ac:dyDescent="0.3">
      <c r="A2605" s="17"/>
      <c r="B2605"/>
      <c r="C2605"/>
      <c r="D2605"/>
      <c r="E2605"/>
      <c r="F2605"/>
      <c r="G2605"/>
      <c r="H2605"/>
      <c r="I2605"/>
      <c r="J2605"/>
      <c r="K2605"/>
      <c r="L2605"/>
      <c r="M2605"/>
      <c r="S2605" s="54"/>
    </row>
    <row r="2606" spans="1:19" s="15" customFormat="1" x14ac:dyDescent="0.3">
      <c r="A2606" s="17"/>
      <c r="B2606"/>
      <c r="C2606"/>
      <c r="D2606"/>
      <c r="E2606"/>
      <c r="F2606"/>
      <c r="G2606"/>
      <c r="H2606"/>
      <c r="I2606"/>
      <c r="J2606"/>
      <c r="K2606"/>
      <c r="L2606"/>
      <c r="M2606"/>
      <c r="S2606" s="54"/>
    </row>
    <row r="2607" spans="1:19" s="15" customFormat="1" x14ac:dyDescent="0.3">
      <c r="A2607" s="17"/>
      <c r="B2607"/>
      <c r="C2607"/>
      <c r="D2607"/>
      <c r="E2607"/>
      <c r="F2607"/>
      <c r="G2607"/>
      <c r="H2607"/>
      <c r="I2607"/>
      <c r="J2607"/>
      <c r="K2607"/>
      <c r="L2607"/>
      <c r="M2607"/>
      <c r="S2607" s="54"/>
    </row>
    <row r="2608" spans="1:19" s="15" customFormat="1" x14ac:dyDescent="0.3">
      <c r="A2608" s="17"/>
      <c r="B2608"/>
      <c r="C2608"/>
      <c r="D2608"/>
      <c r="E2608"/>
      <c r="F2608"/>
      <c r="G2608"/>
      <c r="H2608"/>
      <c r="I2608"/>
      <c r="J2608"/>
      <c r="K2608"/>
      <c r="L2608"/>
      <c r="M2608"/>
      <c r="S2608" s="54"/>
    </row>
    <row r="2609" spans="1:19" s="15" customFormat="1" x14ac:dyDescent="0.3">
      <c r="A2609" s="17"/>
      <c r="B2609"/>
      <c r="C2609"/>
      <c r="D2609"/>
      <c r="E2609"/>
      <c r="F2609"/>
      <c r="G2609"/>
      <c r="H2609"/>
      <c r="I2609"/>
      <c r="J2609"/>
      <c r="K2609"/>
      <c r="L2609"/>
      <c r="M2609"/>
      <c r="S2609" s="54"/>
    </row>
    <row r="2610" spans="1:19" s="15" customFormat="1" x14ac:dyDescent="0.3">
      <c r="A2610" s="17"/>
      <c r="B2610"/>
      <c r="C2610"/>
      <c r="D2610"/>
      <c r="E2610"/>
      <c r="F2610"/>
      <c r="G2610"/>
      <c r="H2610"/>
      <c r="I2610"/>
      <c r="J2610"/>
      <c r="K2610"/>
      <c r="L2610"/>
      <c r="M2610"/>
      <c r="S2610" s="54"/>
    </row>
    <row r="2611" spans="1:19" s="15" customFormat="1" x14ac:dyDescent="0.3">
      <c r="A2611" s="17"/>
      <c r="B2611"/>
      <c r="C2611"/>
      <c r="D2611"/>
      <c r="E2611"/>
      <c r="F2611"/>
      <c r="G2611"/>
      <c r="H2611"/>
      <c r="I2611"/>
      <c r="J2611"/>
      <c r="K2611"/>
      <c r="L2611"/>
      <c r="M2611"/>
      <c r="S2611" s="54"/>
    </row>
    <row r="2612" spans="1:19" s="15" customFormat="1" x14ac:dyDescent="0.3">
      <c r="A2612" s="17"/>
      <c r="B2612"/>
      <c r="C2612"/>
      <c r="D2612"/>
      <c r="E2612"/>
      <c r="F2612"/>
      <c r="G2612"/>
      <c r="H2612"/>
      <c r="I2612"/>
      <c r="J2612"/>
      <c r="K2612"/>
      <c r="L2612"/>
      <c r="M2612"/>
      <c r="S2612" s="54"/>
    </row>
    <row r="2613" spans="1:19" s="15" customFormat="1" x14ac:dyDescent="0.3">
      <c r="A2613" s="17"/>
      <c r="B2613"/>
      <c r="C2613"/>
      <c r="D2613"/>
      <c r="E2613"/>
      <c r="F2613"/>
      <c r="G2613"/>
      <c r="H2613"/>
      <c r="I2613"/>
      <c r="J2613"/>
      <c r="K2613"/>
      <c r="L2613"/>
      <c r="M2613"/>
      <c r="S2613" s="54"/>
    </row>
    <row r="2614" spans="1:19" s="15" customFormat="1" x14ac:dyDescent="0.3">
      <c r="A2614" s="17"/>
      <c r="B2614"/>
      <c r="C2614"/>
      <c r="D2614"/>
      <c r="E2614"/>
      <c r="F2614"/>
      <c r="G2614"/>
      <c r="H2614"/>
      <c r="I2614"/>
      <c r="J2614"/>
      <c r="K2614"/>
      <c r="L2614"/>
      <c r="M2614"/>
      <c r="S2614" s="54"/>
    </row>
    <row r="2615" spans="1:19" s="15" customFormat="1" x14ac:dyDescent="0.3">
      <c r="A2615" s="17"/>
      <c r="B2615"/>
      <c r="C2615"/>
      <c r="D2615"/>
      <c r="E2615"/>
      <c r="F2615"/>
      <c r="G2615"/>
      <c r="H2615"/>
      <c r="I2615"/>
      <c r="J2615"/>
      <c r="K2615"/>
      <c r="L2615"/>
      <c r="M2615"/>
      <c r="S2615" s="54"/>
    </row>
    <row r="2616" spans="1:19" s="15" customFormat="1" x14ac:dyDescent="0.3">
      <c r="A2616" s="17"/>
      <c r="B2616"/>
      <c r="C2616"/>
      <c r="D2616"/>
      <c r="E2616"/>
      <c r="F2616"/>
      <c r="G2616"/>
      <c r="H2616"/>
      <c r="I2616"/>
      <c r="J2616"/>
      <c r="K2616"/>
      <c r="L2616"/>
      <c r="M2616"/>
      <c r="S2616" s="54"/>
    </row>
    <row r="2617" spans="1:19" s="15" customFormat="1" x14ac:dyDescent="0.3">
      <c r="A2617" s="17"/>
      <c r="B2617"/>
      <c r="C2617"/>
      <c r="D2617"/>
      <c r="E2617"/>
      <c r="F2617"/>
      <c r="G2617"/>
      <c r="H2617"/>
      <c r="I2617"/>
      <c r="J2617"/>
      <c r="K2617"/>
      <c r="L2617"/>
      <c r="M2617"/>
      <c r="S2617" s="54"/>
    </row>
    <row r="2618" spans="1:19" s="15" customFormat="1" x14ac:dyDescent="0.3">
      <c r="A2618" s="17"/>
      <c r="B2618"/>
      <c r="C2618"/>
      <c r="D2618"/>
      <c r="E2618"/>
      <c r="F2618"/>
      <c r="G2618"/>
      <c r="H2618"/>
      <c r="I2618"/>
      <c r="J2618"/>
      <c r="K2618"/>
      <c r="L2618"/>
      <c r="M2618"/>
      <c r="S2618" s="54"/>
    </row>
    <row r="2619" spans="1:19" s="15" customFormat="1" x14ac:dyDescent="0.3">
      <c r="A2619" s="17"/>
      <c r="B2619"/>
      <c r="C2619"/>
      <c r="D2619"/>
      <c r="E2619"/>
      <c r="F2619"/>
      <c r="G2619"/>
      <c r="H2619"/>
      <c r="I2619"/>
      <c r="J2619"/>
      <c r="K2619"/>
      <c r="L2619"/>
      <c r="M2619"/>
      <c r="S2619" s="54"/>
    </row>
    <row r="2620" spans="1:19" s="15" customFormat="1" x14ac:dyDescent="0.3">
      <c r="A2620" s="17"/>
      <c r="B2620"/>
      <c r="C2620"/>
      <c r="D2620"/>
      <c r="E2620"/>
      <c r="F2620"/>
      <c r="G2620"/>
      <c r="H2620"/>
      <c r="I2620"/>
      <c r="J2620"/>
      <c r="K2620"/>
      <c r="L2620"/>
      <c r="M2620"/>
      <c r="S2620" s="54"/>
    </row>
    <row r="2621" spans="1:19" s="15" customFormat="1" x14ac:dyDescent="0.3">
      <c r="A2621" s="17"/>
      <c r="B2621"/>
      <c r="C2621"/>
      <c r="D2621"/>
      <c r="E2621"/>
      <c r="F2621"/>
      <c r="G2621"/>
      <c r="H2621"/>
      <c r="I2621"/>
      <c r="J2621"/>
      <c r="K2621"/>
      <c r="L2621"/>
      <c r="M2621"/>
      <c r="S2621" s="54"/>
    </row>
    <row r="2622" spans="1:19" s="15" customFormat="1" x14ac:dyDescent="0.3">
      <c r="A2622" s="17"/>
      <c r="B2622"/>
      <c r="C2622"/>
      <c r="D2622"/>
      <c r="E2622"/>
      <c r="F2622"/>
      <c r="G2622"/>
      <c r="H2622"/>
      <c r="I2622"/>
      <c r="J2622"/>
      <c r="K2622"/>
      <c r="L2622"/>
      <c r="M2622"/>
      <c r="S2622" s="54"/>
    </row>
    <row r="2623" spans="1:19" s="15" customFormat="1" x14ac:dyDescent="0.3">
      <c r="A2623" s="17"/>
      <c r="B2623"/>
      <c r="C2623"/>
      <c r="D2623"/>
      <c r="E2623"/>
      <c r="F2623"/>
      <c r="G2623"/>
      <c r="H2623"/>
      <c r="I2623"/>
      <c r="J2623"/>
      <c r="K2623"/>
      <c r="L2623"/>
      <c r="M2623"/>
      <c r="S2623" s="54"/>
    </row>
    <row r="2624" spans="1:19" s="15" customFormat="1" x14ac:dyDescent="0.3">
      <c r="A2624" s="17"/>
      <c r="B2624"/>
      <c r="C2624"/>
      <c r="D2624"/>
      <c r="E2624"/>
      <c r="F2624"/>
      <c r="G2624"/>
      <c r="H2624"/>
      <c r="I2624"/>
      <c r="J2624"/>
      <c r="K2624"/>
      <c r="L2624"/>
      <c r="M2624"/>
      <c r="S2624" s="54"/>
    </row>
    <row r="2625" spans="1:19" s="15" customFormat="1" x14ac:dyDescent="0.3">
      <c r="A2625" s="17"/>
      <c r="B2625"/>
      <c r="C2625"/>
      <c r="D2625"/>
      <c r="E2625"/>
      <c r="F2625"/>
      <c r="G2625"/>
      <c r="H2625"/>
      <c r="I2625"/>
      <c r="J2625"/>
      <c r="K2625"/>
      <c r="L2625"/>
      <c r="M2625"/>
      <c r="S2625" s="54"/>
    </row>
    <row r="2626" spans="1:19" s="15" customFormat="1" x14ac:dyDescent="0.3">
      <c r="A2626" s="17"/>
      <c r="B2626"/>
      <c r="C2626"/>
      <c r="D2626"/>
      <c r="E2626"/>
      <c r="F2626"/>
      <c r="G2626"/>
      <c r="H2626"/>
      <c r="I2626"/>
      <c r="J2626"/>
      <c r="K2626"/>
      <c r="L2626"/>
      <c r="M2626"/>
      <c r="S2626" s="54"/>
    </row>
    <row r="2627" spans="1:19" s="15" customFormat="1" x14ac:dyDescent="0.3">
      <c r="A2627" s="17"/>
      <c r="B2627"/>
      <c r="C2627"/>
      <c r="D2627"/>
      <c r="E2627"/>
      <c r="F2627"/>
      <c r="G2627"/>
      <c r="H2627"/>
      <c r="I2627"/>
      <c r="J2627"/>
      <c r="K2627"/>
      <c r="L2627"/>
      <c r="M2627"/>
      <c r="S2627" s="54"/>
    </row>
    <row r="2628" spans="1:19" s="15" customFormat="1" x14ac:dyDescent="0.3">
      <c r="A2628" s="17"/>
      <c r="B2628"/>
      <c r="C2628"/>
      <c r="D2628"/>
      <c r="E2628"/>
      <c r="F2628"/>
      <c r="G2628"/>
      <c r="H2628"/>
      <c r="I2628"/>
      <c r="J2628"/>
      <c r="K2628"/>
      <c r="L2628"/>
      <c r="M2628"/>
      <c r="S2628" s="54"/>
    </row>
    <row r="2629" spans="1:19" s="15" customFormat="1" x14ac:dyDescent="0.3">
      <c r="A2629" s="17"/>
      <c r="B2629"/>
      <c r="C2629"/>
      <c r="D2629"/>
      <c r="E2629"/>
      <c r="F2629"/>
      <c r="G2629"/>
      <c r="H2629"/>
      <c r="I2629"/>
      <c r="J2629"/>
      <c r="K2629"/>
      <c r="L2629"/>
      <c r="M2629"/>
      <c r="S2629" s="54"/>
    </row>
    <row r="2630" spans="1:19" s="15" customFormat="1" x14ac:dyDescent="0.3">
      <c r="A2630" s="17"/>
      <c r="B2630"/>
      <c r="C2630"/>
      <c r="D2630"/>
      <c r="E2630"/>
      <c r="F2630"/>
      <c r="G2630"/>
      <c r="H2630"/>
      <c r="I2630"/>
      <c r="J2630"/>
      <c r="K2630"/>
      <c r="L2630"/>
      <c r="M2630"/>
      <c r="S2630" s="54"/>
    </row>
    <row r="2631" spans="1:19" s="15" customFormat="1" x14ac:dyDescent="0.3">
      <c r="A2631" s="17"/>
      <c r="B2631"/>
      <c r="C2631"/>
      <c r="D2631"/>
      <c r="E2631"/>
      <c r="F2631"/>
      <c r="G2631"/>
      <c r="H2631"/>
      <c r="I2631"/>
      <c r="J2631"/>
      <c r="K2631"/>
      <c r="L2631"/>
      <c r="M2631"/>
      <c r="S2631" s="54"/>
    </row>
    <row r="2632" spans="1:19" s="15" customFormat="1" x14ac:dyDescent="0.3">
      <c r="A2632" s="17"/>
      <c r="B2632"/>
      <c r="C2632"/>
      <c r="D2632"/>
      <c r="E2632"/>
      <c r="F2632"/>
      <c r="G2632"/>
      <c r="H2632"/>
      <c r="I2632"/>
      <c r="J2632"/>
      <c r="K2632"/>
      <c r="L2632"/>
      <c r="M2632"/>
      <c r="S2632" s="54"/>
    </row>
    <row r="2633" spans="1:19" s="15" customFormat="1" x14ac:dyDescent="0.3">
      <c r="A2633" s="17"/>
      <c r="B2633"/>
      <c r="C2633"/>
      <c r="D2633"/>
      <c r="E2633"/>
      <c r="F2633"/>
      <c r="G2633"/>
      <c r="H2633"/>
      <c r="I2633"/>
      <c r="J2633"/>
      <c r="K2633"/>
      <c r="L2633"/>
      <c r="M2633"/>
      <c r="S2633" s="54"/>
    </row>
    <row r="2634" spans="1:19" s="15" customFormat="1" x14ac:dyDescent="0.3">
      <c r="A2634" s="17"/>
      <c r="B2634"/>
      <c r="C2634"/>
      <c r="D2634"/>
      <c r="E2634"/>
      <c r="F2634"/>
      <c r="G2634"/>
      <c r="H2634"/>
      <c r="I2634"/>
      <c r="J2634"/>
      <c r="K2634"/>
      <c r="L2634"/>
      <c r="M2634"/>
      <c r="S2634" s="54"/>
    </row>
    <row r="2635" spans="1:19" s="15" customFormat="1" x14ac:dyDescent="0.3">
      <c r="A2635" s="17"/>
      <c r="B2635"/>
      <c r="C2635"/>
      <c r="D2635"/>
      <c r="E2635"/>
      <c r="F2635"/>
      <c r="G2635"/>
      <c r="H2635"/>
      <c r="I2635"/>
      <c r="J2635"/>
      <c r="K2635"/>
      <c r="L2635"/>
      <c r="M2635"/>
      <c r="S2635" s="54"/>
    </row>
    <row r="2636" spans="1:19" s="15" customFormat="1" x14ac:dyDescent="0.3">
      <c r="A2636" s="17"/>
      <c r="B2636"/>
      <c r="C2636"/>
      <c r="D2636"/>
      <c r="E2636"/>
      <c r="F2636"/>
      <c r="G2636"/>
      <c r="H2636"/>
      <c r="I2636"/>
      <c r="J2636"/>
      <c r="K2636"/>
      <c r="L2636"/>
      <c r="M2636"/>
      <c r="S2636" s="54"/>
    </row>
    <row r="2637" spans="1:19" s="15" customFormat="1" x14ac:dyDescent="0.3">
      <c r="A2637" s="17"/>
      <c r="B2637"/>
      <c r="C2637"/>
      <c r="D2637"/>
      <c r="E2637"/>
      <c r="F2637"/>
      <c r="G2637"/>
      <c r="H2637"/>
      <c r="I2637"/>
      <c r="J2637"/>
      <c r="K2637"/>
      <c r="L2637"/>
      <c r="M2637"/>
      <c r="S2637" s="54"/>
    </row>
    <row r="2638" spans="1:19" s="15" customFormat="1" x14ac:dyDescent="0.3">
      <c r="A2638" s="17"/>
      <c r="B2638"/>
      <c r="C2638"/>
      <c r="D2638"/>
      <c r="E2638"/>
      <c r="F2638"/>
      <c r="G2638"/>
      <c r="H2638"/>
      <c r="I2638"/>
      <c r="J2638"/>
      <c r="K2638"/>
      <c r="L2638"/>
      <c r="M2638"/>
      <c r="S2638" s="54"/>
    </row>
    <row r="2639" spans="1:19" s="15" customFormat="1" x14ac:dyDescent="0.3">
      <c r="A2639" s="17"/>
      <c r="B2639"/>
      <c r="C2639"/>
      <c r="D2639"/>
      <c r="E2639"/>
      <c r="F2639"/>
      <c r="G2639"/>
      <c r="H2639"/>
      <c r="I2639"/>
      <c r="J2639"/>
      <c r="K2639"/>
      <c r="L2639"/>
      <c r="M2639"/>
      <c r="S2639" s="54"/>
    </row>
    <row r="2640" spans="1:19" s="15" customFormat="1" x14ac:dyDescent="0.3">
      <c r="A2640" s="17"/>
      <c r="B2640"/>
      <c r="C2640"/>
      <c r="D2640"/>
      <c r="E2640"/>
      <c r="F2640"/>
      <c r="G2640"/>
      <c r="H2640"/>
      <c r="I2640"/>
      <c r="J2640"/>
      <c r="K2640"/>
      <c r="L2640"/>
      <c r="M2640"/>
      <c r="S2640" s="54"/>
    </row>
    <row r="2641" spans="1:19" s="15" customFormat="1" x14ac:dyDescent="0.3">
      <c r="A2641" s="17"/>
      <c r="B2641"/>
      <c r="C2641"/>
      <c r="D2641"/>
      <c r="E2641"/>
      <c r="F2641"/>
      <c r="G2641"/>
      <c r="H2641"/>
      <c r="I2641"/>
      <c r="J2641"/>
      <c r="K2641"/>
      <c r="L2641"/>
      <c r="M2641"/>
      <c r="S2641" s="54"/>
    </row>
    <row r="2642" spans="1:19" s="15" customFormat="1" x14ac:dyDescent="0.3">
      <c r="A2642" s="17"/>
      <c r="B2642"/>
      <c r="C2642"/>
      <c r="D2642"/>
      <c r="E2642"/>
      <c r="F2642"/>
      <c r="G2642"/>
      <c r="H2642"/>
      <c r="I2642"/>
      <c r="J2642"/>
      <c r="K2642"/>
      <c r="L2642"/>
      <c r="M2642"/>
      <c r="S2642" s="54"/>
    </row>
    <row r="2643" spans="1:19" s="15" customFormat="1" x14ac:dyDescent="0.3">
      <c r="A2643" s="17"/>
      <c r="B2643"/>
      <c r="C2643"/>
      <c r="D2643"/>
      <c r="E2643"/>
      <c r="F2643"/>
      <c r="G2643"/>
      <c r="H2643"/>
      <c r="I2643"/>
      <c r="J2643"/>
      <c r="K2643"/>
      <c r="L2643"/>
      <c r="M2643"/>
      <c r="S2643" s="54"/>
    </row>
    <row r="2644" spans="1:19" s="15" customFormat="1" x14ac:dyDescent="0.3">
      <c r="A2644" s="17"/>
      <c r="B2644"/>
      <c r="C2644"/>
      <c r="D2644"/>
      <c r="E2644"/>
      <c r="F2644"/>
      <c r="G2644"/>
      <c r="H2644"/>
      <c r="I2644"/>
      <c r="J2644"/>
      <c r="K2644"/>
      <c r="L2644"/>
      <c r="M2644"/>
      <c r="S2644" s="54"/>
    </row>
    <row r="2645" spans="1:19" s="15" customFormat="1" x14ac:dyDescent="0.3">
      <c r="A2645" s="17"/>
      <c r="B2645"/>
      <c r="C2645"/>
      <c r="D2645"/>
      <c r="E2645"/>
      <c r="F2645"/>
      <c r="G2645"/>
      <c r="H2645"/>
      <c r="I2645"/>
      <c r="J2645"/>
      <c r="K2645"/>
      <c r="L2645"/>
      <c r="M2645"/>
      <c r="S2645" s="54"/>
    </row>
    <row r="2646" spans="1:19" s="15" customFormat="1" x14ac:dyDescent="0.3">
      <c r="A2646" s="17"/>
      <c r="B2646"/>
      <c r="C2646"/>
      <c r="D2646"/>
      <c r="E2646"/>
      <c r="F2646"/>
      <c r="G2646"/>
      <c r="H2646"/>
      <c r="I2646"/>
      <c r="J2646"/>
      <c r="K2646"/>
      <c r="L2646"/>
      <c r="M2646"/>
      <c r="S2646" s="54"/>
    </row>
    <row r="2647" spans="1:19" s="15" customFormat="1" x14ac:dyDescent="0.3">
      <c r="A2647" s="17"/>
      <c r="B2647"/>
      <c r="C2647"/>
      <c r="D2647"/>
      <c r="E2647"/>
      <c r="F2647"/>
      <c r="G2647"/>
      <c r="H2647"/>
      <c r="I2647"/>
      <c r="J2647"/>
      <c r="K2647"/>
      <c r="L2647"/>
      <c r="M2647"/>
      <c r="S2647" s="54"/>
    </row>
    <row r="2648" spans="1:19" s="15" customFormat="1" x14ac:dyDescent="0.3">
      <c r="A2648" s="17"/>
      <c r="B2648"/>
      <c r="C2648"/>
      <c r="D2648"/>
      <c r="E2648"/>
      <c r="F2648"/>
      <c r="G2648"/>
      <c r="H2648"/>
      <c r="I2648"/>
      <c r="J2648"/>
      <c r="K2648"/>
      <c r="L2648"/>
      <c r="M2648"/>
      <c r="S2648" s="54"/>
    </row>
    <row r="2649" spans="1:19" s="15" customFormat="1" x14ac:dyDescent="0.3">
      <c r="A2649" s="17"/>
      <c r="B2649"/>
      <c r="C2649"/>
      <c r="D2649"/>
      <c r="E2649"/>
      <c r="F2649"/>
      <c r="G2649"/>
      <c r="H2649"/>
      <c r="I2649"/>
      <c r="J2649"/>
      <c r="K2649"/>
      <c r="L2649"/>
      <c r="M2649"/>
      <c r="S2649" s="54"/>
    </row>
    <row r="2650" spans="1:19" s="15" customFormat="1" x14ac:dyDescent="0.3">
      <c r="A2650" s="17"/>
      <c r="B2650"/>
      <c r="C2650"/>
      <c r="D2650"/>
      <c r="E2650"/>
      <c r="F2650"/>
      <c r="G2650"/>
      <c r="H2650"/>
      <c r="I2650"/>
      <c r="J2650"/>
      <c r="K2650"/>
      <c r="L2650"/>
      <c r="M2650"/>
      <c r="S2650" s="54"/>
    </row>
    <row r="2651" spans="1:19" s="15" customFormat="1" x14ac:dyDescent="0.3">
      <c r="A2651" s="17"/>
      <c r="B2651"/>
      <c r="C2651"/>
      <c r="D2651"/>
      <c r="E2651"/>
      <c r="F2651"/>
      <c r="G2651"/>
      <c r="H2651"/>
      <c r="I2651"/>
      <c r="J2651"/>
      <c r="K2651"/>
      <c r="L2651"/>
      <c r="M2651"/>
      <c r="S2651" s="54"/>
    </row>
    <row r="2652" spans="1:19" s="15" customFormat="1" x14ac:dyDescent="0.3">
      <c r="A2652" s="17"/>
      <c r="B2652"/>
      <c r="C2652"/>
      <c r="D2652"/>
      <c r="E2652"/>
      <c r="F2652"/>
      <c r="G2652"/>
      <c r="H2652"/>
      <c r="I2652"/>
      <c r="J2652"/>
      <c r="K2652"/>
      <c r="L2652"/>
      <c r="M2652"/>
      <c r="S2652" s="54"/>
    </row>
    <row r="2653" spans="1:19" s="15" customFormat="1" x14ac:dyDescent="0.3">
      <c r="A2653" s="17"/>
      <c r="B2653"/>
      <c r="C2653"/>
      <c r="D2653"/>
      <c r="E2653"/>
      <c r="F2653"/>
      <c r="G2653"/>
      <c r="H2653"/>
      <c r="I2653"/>
      <c r="J2653"/>
      <c r="K2653"/>
      <c r="L2653"/>
      <c r="M2653"/>
      <c r="S2653" s="54"/>
    </row>
    <row r="2654" spans="1:19" s="15" customFormat="1" x14ac:dyDescent="0.3">
      <c r="A2654" s="17"/>
      <c r="B2654"/>
      <c r="C2654"/>
      <c r="D2654"/>
      <c r="E2654"/>
      <c r="F2654"/>
      <c r="G2654"/>
      <c r="H2654"/>
      <c r="I2654"/>
      <c r="J2654"/>
      <c r="K2654"/>
      <c r="L2654"/>
      <c r="M2654"/>
      <c r="S2654" s="54"/>
    </row>
    <row r="2655" spans="1:19" s="15" customFormat="1" x14ac:dyDescent="0.3">
      <c r="A2655" s="17"/>
      <c r="B2655"/>
      <c r="C2655"/>
      <c r="D2655"/>
      <c r="E2655"/>
      <c r="F2655"/>
      <c r="G2655"/>
      <c r="H2655"/>
      <c r="I2655"/>
      <c r="J2655"/>
      <c r="K2655"/>
      <c r="L2655"/>
      <c r="M2655"/>
      <c r="S2655" s="54"/>
    </row>
    <row r="2656" spans="1:19" s="15" customFormat="1" x14ac:dyDescent="0.3">
      <c r="A2656" s="17"/>
      <c r="B2656"/>
      <c r="C2656"/>
      <c r="D2656"/>
      <c r="E2656"/>
      <c r="F2656"/>
      <c r="G2656"/>
      <c r="H2656"/>
      <c r="I2656"/>
      <c r="J2656"/>
      <c r="K2656"/>
      <c r="L2656"/>
      <c r="M2656"/>
      <c r="S2656" s="54"/>
    </row>
    <row r="2657" spans="1:19" s="15" customFormat="1" x14ac:dyDescent="0.3">
      <c r="A2657" s="17"/>
      <c r="B2657"/>
      <c r="C2657"/>
      <c r="D2657"/>
      <c r="E2657"/>
      <c r="F2657"/>
      <c r="G2657"/>
      <c r="H2657"/>
      <c r="I2657"/>
      <c r="J2657"/>
      <c r="K2657"/>
      <c r="L2657"/>
      <c r="M2657"/>
      <c r="S2657" s="54"/>
    </row>
    <row r="2658" spans="1:19" s="15" customFormat="1" x14ac:dyDescent="0.3">
      <c r="A2658" s="17"/>
      <c r="B2658"/>
      <c r="C2658"/>
      <c r="D2658"/>
      <c r="E2658"/>
      <c r="F2658"/>
      <c r="G2658"/>
      <c r="H2658"/>
      <c r="I2658"/>
      <c r="J2658"/>
      <c r="K2658"/>
      <c r="L2658"/>
      <c r="M2658"/>
      <c r="S2658" s="54"/>
    </row>
    <row r="2659" spans="1:19" s="15" customFormat="1" x14ac:dyDescent="0.3">
      <c r="A2659" s="17"/>
      <c r="B2659"/>
      <c r="C2659"/>
      <c r="D2659"/>
      <c r="E2659"/>
      <c r="F2659"/>
      <c r="G2659"/>
      <c r="H2659"/>
      <c r="I2659"/>
      <c r="J2659"/>
      <c r="K2659"/>
      <c r="L2659"/>
      <c r="M2659"/>
      <c r="S2659" s="54"/>
    </row>
    <row r="2660" spans="1:19" s="15" customFormat="1" x14ac:dyDescent="0.3">
      <c r="A2660" s="17"/>
      <c r="B2660"/>
      <c r="C2660"/>
      <c r="D2660"/>
      <c r="E2660"/>
      <c r="F2660"/>
      <c r="G2660"/>
      <c r="H2660"/>
      <c r="I2660"/>
      <c r="J2660"/>
      <c r="K2660"/>
      <c r="L2660"/>
      <c r="M2660"/>
      <c r="S2660" s="54"/>
    </row>
    <row r="2661" spans="1:19" s="15" customFormat="1" x14ac:dyDescent="0.3">
      <c r="A2661" s="17"/>
      <c r="B2661"/>
      <c r="C2661"/>
      <c r="D2661"/>
      <c r="E2661"/>
      <c r="F2661"/>
      <c r="G2661"/>
      <c r="H2661"/>
      <c r="I2661"/>
      <c r="J2661"/>
      <c r="K2661"/>
      <c r="L2661"/>
      <c r="M2661"/>
      <c r="S2661" s="54"/>
    </row>
    <row r="2662" spans="1:19" s="15" customFormat="1" x14ac:dyDescent="0.3">
      <c r="A2662" s="17"/>
      <c r="B2662"/>
      <c r="C2662"/>
      <c r="D2662"/>
      <c r="E2662"/>
      <c r="F2662"/>
      <c r="G2662"/>
      <c r="H2662"/>
      <c r="I2662"/>
      <c r="J2662"/>
      <c r="K2662"/>
      <c r="L2662"/>
      <c r="M2662"/>
      <c r="S2662" s="54"/>
    </row>
    <row r="2663" spans="1:19" s="15" customFormat="1" x14ac:dyDescent="0.3">
      <c r="A2663" s="17"/>
      <c r="B2663"/>
      <c r="C2663"/>
      <c r="D2663"/>
      <c r="E2663"/>
      <c r="F2663"/>
      <c r="G2663"/>
      <c r="H2663"/>
      <c r="I2663"/>
      <c r="J2663"/>
      <c r="K2663"/>
      <c r="L2663"/>
      <c r="M2663"/>
      <c r="S2663" s="54"/>
    </row>
    <row r="2664" spans="1:19" s="15" customFormat="1" x14ac:dyDescent="0.3">
      <c r="A2664" s="17"/>
      <c r="B2664"/>
      <c r="C2664"/>
      <c r="D2664"/>
      <c r="E2664"/>
      <c r="F2664"/>
      <c r="G2664"/>
      <c r="H2664"/>
      <c r="I2664"/>
      <c r="J2664"/>
      <c r="K2664"/>
      <c r="L2664"/>
      <c r="M2664"/>
      <c r="S2664" s="54"/>
    </row>
    <row r="2665" spans="1:19" s="15" customFormat="1" x14ac:dyDescent="0.3">
      <c r="A2665" s="17"/>
      <c r="B2665"/>
      <c r="C2665"/>
      <c r="D2665"/>
      <c r="E2665"/>
      <c r="F2665"/>
      <c r="G2665"/>
      <c r="H2665"/>
      <c r="I2665"/>
      <c r="J2665"/>
      <c r="K2665"/>
      <c r="L2665"/>
      <c r="M2665"/>
      <c r="S2665" s="54"/>
    </row>
    <row r="2666" spans="1:19" s="15" customFormat="1" x14ac:dyDescent="0.3">
      <c r="A2666" s="17"/>
      <c r="B2666"/>
      <c r="C2666"/>
      <c r="D2666"/>
      <c r="E2666"/>
      <c r="F2666"/>
      <c r="G2666"/>
      <c r="H2666"/>
      <c r="I2666"/>
      <c r="J2666"/>
      <c r="K2666"/>
      <c r="L2666"/>
      <c r="M2666"/>
      <c r="S2666" s="54"/>
    </row>
    <row r="2667" spans="1:19" s="15" customFormat="1" x14ac:dyDescent="0.3">
      <c r="A2667" s="17"/>
      <c r="B2667"/>
      <c r="C2667"/>
      <c r="D2667"/>
      <c r="E2667"/>
      <c r="F2667"/>
      <c r="G2667"/>
      <c r="H2667"/>
      <c r="I2667"/>
      <c r="J2667"/>
      <c r="K2667"/>
      <c r="L2667"/>
      <c r="M2667"/>
      <c r="S2667" s="54"/>
    </row>
    <row r="2668" spans="1:19" s="15" customFormat="1" x14ac:dyDescent="0.3">
      <c r="A2668" s="17"/>
      <c r="B2668"/>
      <c r="C2668"/>
      <c r="D2668"/>
      <c r="E2668"/>
      <c r="F2668"/>
      <c r="G2668"/>
      <c r="H2668"/>
      <c r="I2668"/>
      <c r="J2668"/>
      <c r="K2668"/>
      <c r="L2668"/>
      <c r="M2668"/>
      <c r="S2668" s="54"/>
    </row>
    <row r="2669" spans="1:19" s="15" customFormat="1" x14ac:dyDescent="0.3">
      <c r="A2669" s="17"/>
      <c r="B2669"/>
      <c r="C2669"/>
      <c r="D2669"/>
      <c r="E2669"/>
      <c r="F2669"/>
      <c r="G2669"/>
      <c r="H2669"/>
      <c r="I2669"/>
      <c r="J2669"/>
      <c r="K2669"/>
      <c r="L2669"/>
      <c r="M2669"/>
      <c r="S2669" s="54"/>
    </row>
    <row r="2670" spans="1:19" s="15" customFormat="1" x14ac:dyDescent="0.3">
      <c r="A2670" s="17"/>
      <c r="B2670"/>
      <c r="C2670"/>
      <c r="D2670"/>
      <c r="E2670"/>
      <c r="F2670"/>
      <c r="G2670"/>
      <c r="H2670"/>
      <c r="I2670"/>
      <c r="J2670"/>
      <c r="K2670"/>
      <c r="L2670"/>
      <c r="M2670"/>
      <c r="S2670" s="54"/>
    </row>
    <row r="2671" spans="1:19" s="15" customFormat="1" x14ac:dyDescent="0.3">
      <c r="A2671" s="17"/>
      <c r="B2671"/>
      <c r="C2671"/>
      <c r="D2671"/>
      <c r="E2671"/>
      <c r="F2671"/>
      <c r="G2671"/>
      <c r="H2671"/>
      <c r="I2671"/>
      <c r="J2671"/>
      <c r="K2671"/>
      <c r="L2671"/>
      <c r="M2671"/>
      <c r="S2671" s="54"/>
    </row>
    <row r="2672" spans="1:19" s="15" customFormat="1" x14ac:dyDescent="0.3">
      <c r="A2672" s="17"/>
      <c r="B2672"/>
      <c r="C2672"/>
      <c r="D2672"/>
      <c r="E2672"/>
      <c r="F2672"/>
      <c r="G2672"/>
      <c r="H2672"/>
      <c r="I2672"/>
      <c r="J2672"/>
      <c r="K2672"/>
      <c r="L2672"/>
      <c r="M2672"/>
      <c r="S2672" s="54"/>
    </row>
    <row r="2673" spans="1:19" s="15" customFormat="1" x14ac:dyDescent="0.3">
      <c r="A2673" s="17"/>
      <c r="B2673"/>
      <c r="C2673"/>
      <c r="D2673"/>
      <c r="E2673"/>
      <c r="F2673"/>
      <c r="G2673"/>
      <c r="H2673"/>
      <c r="I2673"/>
      <c r="J2673"/>
      <c r="K2673"/>
      <c r="L2673"/>
      <c r="M2673"/>
      <c r="S2673" s="54"/>
    </row>
    <row r="2674" spans="1:19" s="15" customFormat="1" x14ac:dyDescent="0.3">
      <c r="A2674" s="17"/>
      <c r="B2674"/>
      <c r="C2674"/>
      <c r="D2674"/>
      <c r="E2674"/>
      <c r="F2674"/>
      <c r="G2674"/>
      <c r="H2674"/>
      <c r="I2674"/>
      <c r="J2674"/>
      <c r="K2674"/>
      <c r="L2674"/>
      <c r="M2674"/>
      <c r="S2674" s="54"/>
    </row>
    <row r="2675" spans="1:19" s="15" customFormat="1" x14ac:dyDescent="0.3">
      <c r="A2675" s="17"/>
      <c r="B2675"/>
      <c r="C2675"/>
      <c r="D2675"/>
      <c r="E2675"/>
      <c r="F2675"/>
      <c r="G2675"/>
      <c r="H2675"/>
      <c r="I2675"/>
      <c r="J2675"/>
      <c r="K2675"/>
      <c r="L2675"/>
      <c r="M2675"/>
      <c r="S2675" s="54"/>
    </row>
    <row r="2676" spans="1:19" s="15" customFormat="1" x14ac:dyDescent="0.3">
      <c r="A2676" s="17"/>
      <c r="B2676"/>
      <c r="C2676"/>
      <c r="D2676"/>
      <c r="E2676"/>
      <c r="F2676"/>
      <c r="G2676"/>
      <c r="H2676"/>
      <c r="I2676"/>
      <c r="J2676"/>
      <c r="K2676"/>
      <c r="L2676"/>
      <c r="M2676"/>
      <c r="S2676" s="54"/>
    </row>
    <row r="2677" spans="1:19" s="15" customFormat="1" x14ac:dyDescent="0.3">
      <c r="A2677" s="17"/>
      <c r="B2677"/>
      <c r="C2677"/>
      <c r="D2677"/>
      <c r="E2677"/>
      <c r="F2677"/>
      <c r="G2677"/>
      <c r="H2677"/>
      <c r="I2677"/>
      <c r="J2677"/>
      <c r="K2677"/>
      <c r="L2677"/>
      <c r="M2677"/>
      <c r="S2677" s="54"/>
    </row>
    <row r="2678" spans="1:19" s="15" customFormat="1" x14ac:dyDescent="0.3">
      <c r="A2678" s="17"/>
      <c r="B2678"/>
      <c r="C2678"/>
      <c r="D2678"/>
      <c r="E2678"/>
      <c r="F2678"/>
      <c r="G2678"/>
      <c r="H2678"/>
      <c r="I2678"/>
      <c r="J2678"/>
      <c r="K2678"/>
      <c r="L2678"/>
      <c r="M2678"/>
      <c r="S2678" s="54"/>
    </row>
    <row r="2679" spans="1:19" s="15" customFormat="1" x14ac:dyDescent="0.3">
      <c r="A2679" s="17"/>
      <c r="B2679"/>
      <c r="C2679"/>
      <c r="D2679"/>
      <c r="E2679"/>
      <c r="F2679"/>
      <c r="G2679"/>
      <c r="H2679"/>
      <c r="I2679"/>
      <c r="J2679"/>
      <c r="K2679"/>
      <c r="L2679"/>
      <c r="M2679"/>
      <c r="S2679" s="54"/>
    </row>
    <row r="2680" spans="1:19" s="15" customFormat="1" x14ac:dyDescent="0.3">
      <c r="A2680" s="17"/>
      <c r="B2680"/>
      <c r="C2680"/>
      <c r="D2680"/>
      <c r="E2680"/>
      <c r="F2680"/>
      <c r="G2680"/>
      <c r="H2680"/>
      <c r="I2680"/>
      <c r="J2680"/>
      <c r="K2680"/>
      <c r="L2680"/>
      <c r="M2680"/>
      <c r="S2680" s="54"/>
    </row>
    <row r="2681" spans="1:19" s="15" customFormat="1" x14ac:dyDescent="0.3">
      <c r="A2681" s="17"/>
      <c r="B2681"/>
      <c r="C2681"/>
      <c r="D2681"/>
      <c r="E2681"/>
      <c r="F2681"/>
      <c r="G2681"/>
      <c r="H2681"/>
      <c r="I2681"/>
      <c r="J2681"/>
      <c r="K2681"/>
      <c r="L2681"/>
      <c r="M2681"/>
      <c r="S2681" s="54"/>
    </row>
    <row r="2682" spans="1:19" s="15" customFormat="1" x14ac:dyDescent="0.3">
      <c r="A2682" s="17"/>
      <c r="B2682"/>
      <c r="C2682"/>
      <c r="D2682"/>
      <c r="E2682"/>
      <c r="F2682"/>
      <c r="G2682"/>
      <c r="H2682"/>
      <c r="I2682"/>
      <c r="J2682"/>
      <c r="K2682"/>
      <c r="L2682"/>
      <c r="M2682"/>
      <c r="S2682" s="54"/>
    </row>
    <row r="2683" spans="1:19" s="15" customFormat="1" x14ac:dyDescent="0.3">
      <c r="A2683" s="17"/>
      <c r="B2683"/>
      <c r="C2683"/>
      <c r="D2683"/>
      <c r="E2683"/>
      <c r="F2683"/>
      <c r="G2683"/>
      <c r="H2683"/>
      <c r="I2683"/>
      <c r="J2683"/>
      <c r="K2683"/>
      <c r="L2683"/>
      <c r="M2683"/>
      <c r="S2683" s="54"/>
    </row>
    <row r="2684" spans="1:19" s="15" customFormat="1" x14ac:dyDescent="0.3">
      <c r="A2684" s="17"/>
      <c r="B2684"/>
      <c r="C2684"/>
      <c r="D2684"/>
      <c r="E2684"/>
      <c r="F2684"/>
      <c r="G2684"/>
      <c r="H2684"/>
      <c r="I2684"/>
      <c r="J2684"/>
      <c r="K2684"/>
      <c r="L2684"/>
      <c r="M2684"/>
      <c r="S2684" s="54"/>
    </row>
    <row r="2685" spans="1:19" s="15" customFormat="1" x14ac:dyDescent="0.3">
      <c r="A2685" s="17"/>
      <c r="B2685"/>
      <c r="C2685"/>
      <c r="D2685"/>
      <c r="E2685"/>
      <c r="F2685"/>
      <c r="G2685"/>
      <c r="H2685"/>
      <c r="I2685"/>
      <c r="J2685"/>
      <c r="K2685"/>
      <c r="L2685"/>
      <c r="M2685"/>
      <c r="S2685" s="54"/>
    </row>
    <row r="2686" spans="1:19" s="15" customFormat="1" x14ac:dyDescent="0.3">
      <c r="A2686" s="17"/>
      <c r="B2686"/>
      <c r="C2686"/>
      <c r="D2686"/>
      <c r="E2686"/>
      <c r="F2686"/>
      <c r="G2686"/>
      <c r="H2686"/>
      <c r="I2686"/>
      <c r="J2686"/>
      <c r="K2686"/>
      <c r="L2686"/>
      <c r="M2686"/>
      <c r="S2686" s="54"/>
    </row>
    <row r="2687" spans="1:19" s="15" customFormat="1" x14ac:dyDescent="0.3">
      <c r="A2687" s="17"/>
      <c r="B2687"/>
      <c r="C2687"/>
      <c r="D2687"/>
      <c r="E2687"/>
      <c r="F2687"/>
      <c r="G2687"/>
      <c r="H2687"/>
      <c r="I2687"/>
      <c r="J2687"/>
      <c r="K2687"/>
      <c r="L2687"/>
      <c r="M2687"/>
      <c r="S2687" s="54"/>
    </row>
    <row r="2688" spans="1:19" s="15" customFormat="1" x14ac:dyDescent="0.3">
      <c r="A2688" s="17"/>
      <c r="B2688"/>
      <c r="C2688"/>
      <c r="D2688"/>
      <c r="E2688"/>
      <c r="F2688"/>
      <c r="G2688"/>
      <c r="H2688"/>
      <c r="I2688"/>
      <c r="J2688"/>
      <c r="K2688"/>
      <c r="L2688"/>
      <c r="M2688"/>
      <c r="S2688" s="54"/>
    </row>
    <row r="2689" spans="1:19" s="15" customFormat="1" x14ac:dyDescent="0.3">
      <c r="A2689" s="17"/>
      <c r="B2689"/>
      <c r="C2689"/>
      <c r="D2689"/>
      <c r="E2689"/>
      <c r="F2689"/>
      <c r="G2689"/>
      <c r="H2689"/>
      <c r="I2689"/>
      <c r="J2689"/>
      <c r="K2689"/>
      <c r="L2689"/>
      <c r="M2689"/>
      <c r="S2689" s="54"/>
    </row>
    <row r="2690" spans="1:19" s="15" customFormat="1" x14ac:dyDescent="0.3">
      <c r="A2690" s="17"/>
      <c r="B2690"/>
      <c r="C2690"/>
      <c r="D2690"/>
      <c r="E2690"/>
      <c r="F2690"/>
      <c r="G2690"/>
      <c r="H2690"/>
      <c r="I2690"/>
      <c r="J2690"/>
      <c r="K2690"/>
      <c r="L2690"/>
      <c r="M2690"/>
      <c r="S2690" s="54"/>
    </row>
    <row r="2691" spans="1:19" s="15" customFormat="1" x14ac:dyDescent="0.3">
      <c r="A2691" s="17"/>
      <c r="B2691"/>
      <c r="C2691"/>
      <c r="D2691"/>
      <c r="E2691"/>
      <c r="F2691"/>
      <c r="G2691"/>
      <c r="H2691"/>
      <c r="I2691"/>
      <c r="J2691"/>
      <c r="K2691"/>
      <c r="L2691"/>
      <c r="M2691"/>
      <c r="S2691" s="54"/>
    </row>
    <row r="2692" spans="1:19" s="15" customFormat="1" x14ac:dyDescent="0.3">
      <c r="A2692" s="17"/>
      <c r="B2692"/>
      <c r="C2692"/>
      <c r="D2692"/>
      <c r="E2692"/>
      <c r="F2692"/>
      <c r="G2692"/>
      <c r="H2692"/>
      <c r="I2692"/>
      <c r="J2692"/>
      <c r="K2692"/>
      <c r="L2692"/>
      <c r="M2692"/>
      <c r="S2692" s="54"/>
    </row>
    <row r="2693" spans="1:19" s="15" customFormat="1" x14ac:dyDescent="0.3">
      <c r="A2693" s="17"/>
      <c r="B2693"/>
      <c r="C2693"/>
      <c r="D2693"/>
      <c r="E2693"/>
      <c r="F2693"/>
      <c r="G2693"/>
      <c r="H2693"/>
      <c r="I2693"/>
      <c r="J2693"/>
      <c r="K2693"/>
      <c r="L2693"/>
      <c r="M2693"/>
      <c r="S2693" s="54"/>
    </row>
    <row r="2694" spans="1:19" s="15" customFormat="1" x14ac:dyDescent="0.3">
      <c r="A2694" s="17"/>
      <c r="B2694"/>
      <c r="C2694"/>
      <c r="D2694"/>
      <c r="E2694"/>
      <c r="F2694"/>
      <c r="G2694"/>
      <c r="H2694"/>
      <c r="I2694"/>
      <c r="J2694"/>
      <c r="K2694"/>
      <c r="L2694"/>
      <c r="M2694"/>
      <c r="S2694" s="54"/>
    </row>
    <row r="2695" spans="1:19" s="15" customFormat="1" x14ac:dyDescent="0.3">
      <c r="A2695" s="17"/>
      <c r="B2695"/>
      <c r="C2695"/>
      <c r="D2695"/>
      <c r="E2695"/>
      <c r="F2695"/>
      <c r="G2695"/>
      <c r="H2695"/>
      <c r="I2695"/>
      <c r="J2695"/>
      <c r="K2695"/>
      <c r="L2695"/>
      <c r="M2695"/>
      <c r="S2695" s="54"/>
    </row>
    <row r="2696" spans="1:19" s="15" customFormat="1" x14ac:dyDescent="0.3">
      <c r="A2696" s="17"/>
      <c r="B2696"/>
      <c r="C2696"/>
      <c r="D2696"/>
      <c r="E2696"/>
      <c r="F2696"/>
      <c r="G2696"/>
      <c r="H2696"/>
      <c r="I2696"/>
      <c r="J2696"/>
      <c r="K2696"/>
      <c r="L2696"/>
      <c r="M2696"/>
      <c r="S2696" s="54"/>
    </row>
    <row r="2697" spans="1:19" s="15" customFormat="1" x14ac:dyDescent="0.3">
      <c r="A2697" s="17"/>
      <c r="B2697"/>
      <c r="C2697"/>
      <c r="D2697"/>
      <c r="E2697"/>
      <c r="F2697"/>
      <c r="G2697"/>
      <c r="H2697"/>
      <c r="I2697"/>
      <c r="J2697"/>
      <c r="K2697"/>
      <c r="L2697"/>
      <c r="M2697"/>
      <c r="S2697" s="54"/>
    </row>
    <row r="2698" spans="1:19" s="15" customFormat="1" x14ac:dyDescent="0.3">
      <c r="A2698" s="17"/>
      <c r="B2698"/>
      <c r="C2698"/>
      <c r="D2698"/>
      <c r="E2698"/>
      <c r="F2698"/>
      <c r="G2698"/>
      <c r="H2698"/>
      <c r="I2698"/>
      <c r="J2698"/>
      <c r="K2698"/>
      <c r="L2698"/>
      <c r="M2698"/>
      <c r="S2698" s="54"/>
    </row>
    <row r="2699" spans="1:19" s="15" customFormat="1" x14ac:dyDescent="0.3">
      <c r="A2699" s="17"/>
      <c r="B2699"/>
      <c r="C2699"/>
      <c r="D2699"/>
      <c r="E2699"/>
      <c r="F2699"/>
      <c r="G2699"/>
      <c r="H2699"/>
      <c r="I2699"/>
      <c r="J2699"/>
      <c r="K2699"/>
      <c r="L2699"/>
      <c r="M2699"/>
      <c r="S2699" s="54"/>
    </row>
    <row r="2700" spans="1:19" s="15" customFormat="1" x14ac:dyDescent="0.3">
      <c r="A2700" s="17"/>
      <c r="B2700"/>
      <c r="C2700"/>
      <c r="D2700"/>
      <c r="E2700"/>
      <c r="F2700"/>
      <c r="G2700"/>
      <c r="H2700"/>
      <c r="I2700"/>
      <c r="J2700"/>
      <c r="K2700"/>
      <c r="L2700"/>
      <c r="M2700"/>
      <c r="S2700" s="54"/>
    </row>
    <row r="2701" spans="1:19" s="15" customFormat="1" x14ac:dyDescent="0.3">
      <c r="A2701" s="17"/>
      <c r="B2701"/>
      <c r="C2701"/>
      <c r="D2701"/>
      <c r="E2701"/>
      <c r="F2701"/>
      <c r="G2701"/>
      <c r="H2701"/>
      <c r="I2701"/>
      <c r="J2701"/>
      <c r="K2701"/>
      <c r="L2701"/>
      <c r="M2701"/>
      <c r="S2701" s="54"/>
    </row>
    <row r="2702" spans="1:19" s="15" customFormat="1" x14ac:dyDescent="0.3">
      <c r="A2702" s="17"/>
      <c r="B2702"/>
      <c r="C2702"/>
      <c r="D2702"/>
      <c r="E2702"/>
      <c r="F2702"/>
      <c r="G2702"/>
      <c r="H2702"/>
      <c r="I2702"/>
      <c r="J2702"/>
      <c r="K2702"/>
      <c r="L2702"/>
      <c r="M2702"/>
      <c r="S2702" s="54"/>
    </row>
    <row r="2703" spans="1:19" s="15" customFormat="1" x14ac:dyDescent="0.3">
      <c r="A2703" s="17"/>
      <c r="B2703"/>
      <c r="C2703"/>
      <c r="D2703"/>
      <c r="E2703"/>
      <c r="F2703"/>
      <c r="G2703"/>
      <c r="H2703"/>
      <c r="I2703"/>
      <c r="J2703"/>
      <c r="K2703"/>
      <c r="L2703"/>
      <c r="M2703"/>
      <c r="S2703" s="54"/>
    </row>
    <row r="2704" spans="1:19" s="15" customFormat="1" x14ac:dyDescent="0.3">
      <c r="A2704" s="17"/>
      <c r="B2704"/>
      <c r="C2704"/>
      <c r="D2704"/>
      <c r="E2704"/>
      <c r="F2704"/>
      <c r="G2704"/>
      <c r="H2704"/>
      <c r="I2704"/>
      <c r="J2704"/>
      <c r="K2704"/>
      <c r="L2704"/>
      <c r="M2704"/>
      <c r="S2704" s="54"/>
    </row>
    <row r="2705" spans="1:19" s="15" customFormat="1" x14ac:dyDescent="0.3">
      <c r="A2705" s="17"/>
      <c r="B2705"/>
      <c r="C2705"/>
      <c r="D2705"/>
      <c r="E2705"/>
      <c r="F2705"/>
      <c r="G2705"/>
      <c r="H2705"/>
      <c r="I2705"/>
      <c r="J2705"/>
      <c r="K2705"/>
      <c r="L2705"/>
      <c r="M2705"/>
      <c r="S2705" s="54"/>
    </row>
    <row r="2706" spans="1:19" s="15" customFormat="1" x14ac:dyDescent="0.3">
      <c r="A2706" s="17"/>
      <c r="B2706"/>
      <c r="C2706"/>
      <c r="D2706"/>
      <c r="E2706"/>
      <c r="F2706"/>
      <c r="G2706"/>
      <c r="H2706"/>
      <c r="I2706"/>
      <c r="J2706"/>
      <c r="K2706"/>
      <c r="L2706"/>
      <c r="M2706"/>
      <c r="S2706" s="54"/>
    </row>
    <row r="2707" spans="1:19" s="15" customFormat="1" x14ac:dyDescent="0.3">
      <c r="A2707" s="17"/>
      <c r="B2707"/>
      <c r="C2707"/>
      <c r="D2707"/>
      <c r="E2707"/>
      <c r="F2707"/>
      <c r="G2707"/>
      <c r="H2707"/>
      <c r="I2707"/>
      <c r="J2707"/>
      <c r="K2707"/>
      <c r="L2707"/>
      <c r="M2707"/>
      <c r="S2707" s="54"/>
    </row>
    <row r="2708" spans="1:19" s="15" customFormat="1" x14ac:dyDescent="0.3">
      <c r="A2708" s="17"/>
      <c r="B2708"/>
      <c r="C2708"/>
      <c r="D2708"/>
      <c r="E2708"/>
      <c r="F2708"/>
      <c r="G2708"/>
      <c r="H2708"/>
      <c r="I2708"/>
      <c r="J2708"/>
      <c r="K2708"/>
      <c r="L2708"/>
      <c r="M2708"/>
      <c r="S2708" s="54"/>
    </row>
    <row r="2709" spans="1:19" s="15" customFormat="1" x14ac:dyDescent="0.3">
      <c r="A2709" s="17"/>
      <c r="B2709"/>
      <c r="C2709"/>
      <c r="D2709"/>
      <c r="E2709"/>
      <c r="F2709"/>
      <c r="G2709"/>
      <c r="H2709"/>
      <c r="I2709"/>
      <c r="J2709"/>
      <c r="K2709"/>
      <c r="L2709"/>
      <c r="M2709"/>
      <c r="S2709" s="54"/>
    </row>
    <row r="2710" spans="1:19" s="15" customFormat="1" x14ac:dyDescent="0.3">
      <c r="A2710" s="17"/>
      <c r="B2710"/>
      <c r="C2710"/>
      <c r="D2710"/>
      <c r="E2710"/>
      <c r="F2710"/>
      <c r="G2710"/>
      <c r="H2710"/>
      <c r="I2710"/>
      <c r="J2710"/>
      <c r="K2710"/>
      <c r="L2710"/>
      <c r="M2710"/>
      <c r="S2710" s="54"/>
    </row>
    <row r="2711" spans="1:19" s="15" customFormat="1" x14ac:dyDescent="0.3">
      <c r="A2711" s="17"/>
      <c r="B2711"/>
      <c r="C2711"/>
      <c r="D2711"/>
      <c r="E2711"/>
      <c r="F2711"/>
      <c r="G2711"/>
      <c r="H2711"/>
      <c r="I2711"/>
      <c r="J2711"/>
      <c r="K2711"/>
      <c r="L2711"/>
      <c r="M2711"/>
      <c r="S2711" s="54"/>
    </row>
    <row r="2712" spans="1:19" s="15" customFormat="1" x14ac:dyDescent="0.3">
      <c r="A2712" s="17"/>
      <c r="B2712"/>
      <c r="C2712"/>
      <c r="D2712"/>
      <c r="E2712"/>
      <c r="F2712"/>
      <c r="G2712"/>
      <c r="H2712"/>
      <c r="I2712"/>
      <c r="J2712"/>
      <c r="K2712"/>
      <c r="L2712"/>
      <c r="M2712"/>
      <c r="S2712" s="54"/>
    </row>
    <row r="2713" spans="1:19" s="15" customFormat="1" x14ac:dyDescent="0.3">
      <c r="A2713" s="17"/>
      <c r="B2713"/>
      <c r="C2713"/>
      <c r="D2713"/>
      <c r="E2713"/>
      <c r="F2713"/>
      <c r="G2713"/>
      <c r="H2713"/>
      <c r="I2713"/>
      <c r="J2713"/>
      <c r="K2713"/>
      <c r="L2713"/>
      <c r="M2713"/>
      <c r="S2713" s="54"/>
    </row>
    <row r="2714" spans="1:19" s="15" customFormat="1" x14ac:dyDescent="0.3">
      <c r="A2714" s="17"/>
      <c r="B2714"/>
      <c r="C2714"/>
      <c r="D2714"/>
      <c r="E2714"/>
      <c r="F2714"/>
      <c r="G2714"/>
      <c r="H2714"/>
      <c r="I2714"/>
      <c r="J2714"/>
      <c r="K2714"/>
      <c r="L2714"/>
      <c r="M2714"/>
      <c r="S2714" s="54"/>
    </row>
    <row r="2715" spans="1:19" s="15" customFormat="1" x14ac:dyDescent="0.3">
      <c r="A2715" s="17"/>
      <c r="B2715"/>
      <c r="C2715"/>
      <c r="D2715"/>
      <c r="E2715"/>
      <c r="F2715"/>
      <c r="G2715"/>
      <c r="H2715"/>
      <c r="I2715"/>
      <c r="J2715"/>
      <c r="K2715"/>
      <c r="L2715"/>
      <c r="M2715"/>
      <c r="S2715" s="54"/>
    </row>
    <row r="2716" spans="1:19" s="15" customFormat="1" x14ac:dyDescent="0.3">
      <c r="A2716" s="17"/>
      <c r="B2716"/>
      <c r="C2716"/>
      <c r="D2716"/>
      <c r="E2716"/>
      <c r="F2716"/>
      <c r="G2716"/>
      <c r="H2716"/>
      <c r="I2716"/>
      <c r="J2716"/>
      <c r="K2716"/>
      <c r="L2716"/>
      <c r="M2716"/>
      <c r="S2716" s="54"/>
    </row>
    <row r="2717" spans="1:19" s="15" customFormat="1" x14ac:dyDescent="0.3">
      <c r="A2717" s="17"/>
      <c r="B2717"/>
      <c r="C2717"/>
      <c r="D2717"/>
      <c r="E2717"/>
      <c r="F2717"/>
      <c r="G2717"/>
      <c r="H2717"/>
      <c r="I2717"/>
      <c r="J2717"/>
      <c r="K2717"/>
      <c r="L2717"/>
      <c r="M2717"/>
      <c r="S2717" s="54"/>
    </row>
    <row r="2718" spans="1:19" s="15" customFormat="1" x14ac:dyDescent="0.3">
      <c r="A2718" s="17"/>
      <c r="B2718"/>
      <c r="C2718"/>
      <c r="D2718"/>
      <c r="E2718"/>
      <c r="F2718"/>
      <c r="G2718"/>
      <c r="H2718"/>
      <c r="I2718"/>
      <c r="J2718"/>
      <c r="K2718"/>
      <c r="L2718"/>
      <c r="M2718"/>
      <c r="S2718" s="54"/>
    </row>
    <row r="2719" spans="1:19" s="15" customFormat="1" x14ac:dyDescent="0.3">
      <c r="A2719" s="17"/>
      <c r="B2719"/>
      <c r="C2719"/>
      <c r="D2719"/>
      <c r="E2719"/>
      <c r="F2719"/>
      <c r="G2719"/>
      <c r="H2719"/>
      <c r="I2719"/>
      <c r="J2719"/>
      <c r="K2719"/>
      <c r="L2719"/>
      <c r="M2719"/>
      <c r="S2719" s="54"/>
    </row>
    <row r="2720" spans="1:19" s="15" customFormat="1" x14ac:dyDescent="0.3">
      <c r="A2720" s="17"/>
      <c r="B2720"/>
      <c r="C2720"/>
      <c r="D2720"/>
      <c r="E2720"/>
      <c r="F2720"/>
      <c r="G2720"/>
      <c r="H2720"/>
      <c r="I2720"/>
      <c r="J2720"/>
      <c r="K2720"/>
      <c r="L2720"/>
      <c r="M2720"/>
      <c r="S2720" s="54"/>
    </row>
    <row r="2721" spans="1:19" s="15" customFormat="1" x14ac:dyDescent="0.3">
      <c r="A2721" s="17"/>
      <c r="B2721"/>
      <c r="C2721"/>
      <c r="D2721"/>
      <c r="E2721"/>
      <c r="F2721"/>
      <c r="G2721"/>
      <c r="H2721"/>
      <c r="I2721"/>
      <c r="J2721"/>
      <c r="K2721"/>
      <c r="L2721"/>
      <c r="M2721"/>
      <c r="S2721" s="54"/>
    </row>
    <row r="2722" spans="1:19" s="15" customFormat="1" x14ac:dyDescent="0.3">
      <c r="A2722" s="17"/>
      <c r="B2722"/>
      <c r="C2722"/>
      <c r="D2722"/>
      <c r="E2722"/>
      <c r="F2722"/>
      <c r="G2722"/>
      <c r="H2722"/>
      <c r="I2722"/>
      <c r="J2722"/>
      <c r="K2722"/>
      <c r="L2722"/>
      <c r="M2722"/>
      <c r="S2722" s="54"/>
    </row>
    <row r="2723" spans="1:19" s="15" customFormat="1" x14ac:dyDescent="0.3">
      <c r="A2723" s="17"/>
      <c r="B2723"/>
      <c r="C2723"/>
      <c r="D2723"/>
      <c r="E2723"/>
      <c r="F2723"/>
      <c r="G2723"/>
      <c r="H2723"/>
      <c r="I2723"/>
      <c r="J2723"/>
      <c r="K2723"/>
      <c r="L2723"/>
      <c r="M2723"/>
      <c r="S2723" s="54"/>
    </row>
    <row r="2724" spans="1:19" s="15" customFormat="1" x14ac:dyDescent="0.3">
      <c r="A2724" s="17"/>
      <c r="B2724"/>
      <c r="C2724"/>
      <c r="D2724"/>
      <c r="E2724"/>
      <c r="F2724"/>
      <c r="G2724"/>
      <c r="H2724"/>
      <c r="I2724"/>
      <c r="J2724"/>
      <c r="K2724"/>
      <c r="L2724"/>
      <c r="M2724"/>
      <c r="S2724" s="54"/>
    </row>
    <row r="2725" spans="1:19" s="15" customFormat="1" x14ac:dyDescent="0.3">
      <c r="A2725" s="17"/>
      <c r="B2725"/>
      <c r="C2725"/>
      <c r="D2725"/>
      <c r="E2725"/>
      <c r="F2725"/>
      <c r="G2725"/>
      <c r="H2725"/>
      <c r="I2725"/>
      <c r="J2725"/>
      <c r="K2725"/>
      <c r="L2725"/>
      <c r="M2725"/>
      <c r="S2725" s="54"/>
    </row>
    <row r="2726" spans="1:19" s="15" customFormat="1" x14ac:dyDescent="0.3">
      <c r="A2726" s="17"/>
      <c r="B2726"/>
      <c r="C2726"/>
      <c r="D2726"/>
      <c r="E2726"/>
      <c r="F2726"/>
      <c r="G2726"/>
      <c r="H2726"/>
      <c r="I2726"/>
      <c r="J2726"/>
      <c r="K2726"/>
      <c r="L2726"/>
      <c r="M2726"/>
      <c r="S2726" s="54"/>
    </row>
    <row r="2727" spans="1:19" s="15" customFormat="1" x14ac:dyDescent="0.3">
      <c r="A2727" s="17"/>
      <c r="B2727"/>
      <c r="C2727"/>
      <c r="D2727"/>
      <c r="E2727"/>
      <c r="F2727"/>
      <c r="G2727"/>
      <c r="H2727"/>
      <c r="I2727"/>
      <c r="J2727"/>
      <c r="K2727"/>
      <c r="L2727"/>
      <c r="M2727"/>
      <c r="S2727" s="54"/>
    </row>
    <row r="2728" spans="1:19" s="15" customFormat="1" x14ac:dyDescent="0.3">
      <c r="A2728" s="17"/>
      <c r="B2728"/>
      <c r="C2728"/>
      <c r="D2728"/>
      <c r="E2728"/>
      <c r="F2728"/>
      <c r="G2728"/>
      <c r="H2728"/>
      <c r="I2728"/>
      <c r="J2728"/>
      <c r="K2728"/>
      <c r="L2728"/>
      <c r="M2728"/>
      <c r="S2728" s="54"/>
    </row>
    <row r="2729" spans="1:19" s="15" customFormat="1" x14ac:dyDescent="0.3">
      <c r="A2729" s="17"/>
      <c r="B2729"/>
      <c r="C2729"/>
      <c r="D2729"/>
      <c r="E2729"/>
      <c r="F2729"/>
      <c r="G2729"/>
      <c r="H2729"/>
      <c r="I2729"/>
      <c r="J2729"/>
      <c r="K2729"/>
      <c r="L2729"/>
      <c r="M2729"/>
      <c r="S2729" s="54"/>
    </row>
    <row r="2730" spans="1:19" s="15" customFormat="1" x14ac:dyDescent="0.3">
      <c r="A2730" s="17"/>
      <c r="B2730"/>
      <c r="C2730"/>
      <c r="D2730"/>
      <c r="E2730"/>
      <c r="F2730"/>
      <c r="G2730"/>
      <c r="H2730"/>
      <c r="I2730"/>
      <c r="J2730"/>
      <c r="K2730"/>
      <c r="L2730"/>
      <c r="M2730"/>
      <c r="S2730" s="54"/>
    </row>
    <row r="2731" spans="1:19" s="15" customFormat="1" x14ac:dyDescent="0.3">
      <c r="A2731" s="17"/>
      <c r="B2731"/>
      <c r="C2731"/>
      <c r="D2731"/>
      <c r="E2731"/>
      <c r="F2731"/>
      <c r="G2731"/>
      <c r="H2731"/>
      <c r="I2731"/>
      <c r="J2731"/>
      <c r="K2731"/>
      <c r="L2731"/>
      <c r="M2731"/>
      <c r="S2731" s="54"/>
    </row>
    <row r="2732" spans="1:19" s="15" customFormat="1" x14ac:dyDescent="0.3">
      <c r="A2732" s="17"/>
      <c r="B2732"/>
      <c r="C2732"/>
      <c r="D2732"/>
      <c r="E2732"/>
      <c r="F2732"/>
      <c r="G2732"/>
      <c r="H2732"/>
      <c r="I2732"/>
      <c r="J2732"/>
      <c r="K2732"/>
      <c r="L2732"/>
      <c r="M2732"/>
      <c r="S2732" s="54"/>
    </row>
    <row r="2733" spans="1:19" s="15" customFormat="1" x14ac:dyDescent="0.3">
      <c r="A2733" s="17"/>
      <c r="B2733"/>
      <c r="C2733"/>
      <c r="D2733"/>
      <c r="E2733"/>
      <c r="F2733"/>
      <c r="G2733"/>
      <c r="H2733"/>
      <c r="I2733"/>
      <c r="J2733"/>
      <c r="K2733"/>
      <c r="L2733"/>
      <c r="M2733"/>
      <c r="S2733" s="54"/>
    </row>
    <row r="2734" spans="1:19" s="15" customFormat="1" x14ac:dyDescent="0.3">
      <c r="A2734" s="17"/>
      <c r="B2734"/>
      <c r="C2734"/>
      <c r="D2734"/>
      <c r="E2734"/>
      <c r="F2734"/>
      <c r="G2734"/>
      <c r="H2734"/>
      <c r="I2734"/>
      <c r="J2734"/>
      <c r="K2734"/>
      <c r="L2734"/>
      <c r="M2734"/>
      <c r="S2734" s="54"/>
    </row>
    <row r="2735" spans="1:19" s="15" customFormat="1" x14ac:dyDescent="0.3">
      <c r="A2735" s="17"/>
      <c r="B2735"/>
      <c r="C2735"/>
      <c r="D2735"/>
      <c r="E2735"/>
      <c r="F2735"/>
      <c r="G2735"/>
      <c r="H2735"/>
      <c r="I2735"/>
      <c r="J2735"/>
      <c r="K2735"/>
      <c r="L2735"/>
      <c r="M2735"/>
      <c r="S2735" s="54"/>
    </row>
    <row r="2736" spans="1:19" s="15" customFormat="1" x14ac:dyDescent="0.3">
      <c r="A2736" s="17"/>
      <c r="B2736"/>
      <c r="C2736"/>
      <c r="D2736"/>
      <c r="E2736"/>
      <c r="F2736"/>
      <c r="G2736"/>
      <c r="H2736"/>
      <c r="I2736"/>
      <c r="J2736"/>
      <c r="K2736"/>
      <c r="L2736"/>
      <c r="M2736"/>
      <c r="S2736" s="54"/>
    </row>
    <row r="2737" spans="1:19" s="15" customFormat="1" x14ac:dyDescent="0.3">
      <c r="A2737" s="17"/>
      <c r="B2737"/>
      <c r="C2737"/>
      <c r="D2737"/>
      <c r="E2737"/>
      <c r="F2737"/>
      <c r="G2737"/>
      <c r="H2737"/>
      <c r="I2737"/>
      <c r="J2737"/>
      <c r="K2737"/>
      <c r="L2737"/>
      <c r="M2737"/>
      <c r="S2737" s="54"/>
    </row>
    <row r="2738" spans="1:19" s="15" customFormat="1" x14ac:dyDescent="0.3">
      <c r="A2738" s="17"/>
      <c r="B2738"/>
      <c r="C2738"/>
      <c r="D2738"/>
      <c r="E2738"/>
      <c r="F2738"/>
      <c r="G2738"/>
      <c r="H2738"/>
      <c r="I2738"/>
      <c r="J2738"/>
      <c r="K2738"/>
      <c r="L2738"/>
      <c r="M2738"/>
      <c r="S2738" s="54"/>
    </row>
    <row r="2739" spans="1:19" s="15" customFormat="1" x14ac:dyDescent="0.3">
      <c r="A2739" s="17"/>
      <c r="B2739"/>
      <c r="C2739"/>
      <c r="D2739"/>
      <c r="E2739"/>
      <c r="F2739"/>
      <c r="G2739"/>
      <c r="H2739"/>
      <c r="I2739"/>
      <c r="J2739"/>
      <c r="K2739"/>
      <c r="L2739"/>
      <c r="M2739"/>
      <c r="S2739" s="54"/>
    </row>
    <row r="2740" spans="1:19" s="15" customFormat="1" x14ac:dyDescent="0.3">
      <c r="A2740" s="17"/>
      <c r="B2740"/>
      <c r="C2740"/>
      <c r="D2740"/>
      <c r="E2740"/>
      <c r="F2740"/>
      <c r="G2740"/>
      <c r="H2740"/>
      <c r="I2740"/>
      <c r="J2740"/>
      <c r="K2740"/>
      <c r="L2740"/>
      <c r="M2740"/>
      <c r="S2740" s="54"/>
    </row>
    <row r="2741" spans="1:19" s="15" customFormat="1" x14ac:dyDescent="0.3">
      <c r="A2741" s="17"/>
      <c r="B2741"/>
      <c r="C2741"/>
      <c r="D2741"/>
      <c r="E2741"/>
      <c r="F2741"/>
      <c r="G2741"/>
      <c r="H2741"/>
      <c r="I2741"/>
      <c r="J2741"/>
      <c r="K2741"/>
      <c r="L2741"/>
      <c r="M2741"/>
      <c r="S2741" s="54"/>
    </row>
    <row r="2742" spans="1:19" s="15" customFormat="1" x14ac:dyDescent="0.3">
      <c r="A2742" s="17"/>
      <c r="B2742"/>
      <c r="C2742"/>
      <c r="D2742"/>
      <c r="E2742"/>
      <c r="F2742"/>
      <c r="G2742"/>
      <c r="H2742"/>
      <c r="I2742"/>
      <c r="J2742"/>
      <c r="K2742"/>
      <c r="L2742"/>
      <c r="M2742"/>
      <c r="S2742" s="54"/>
    </row>
    <row r="2743" spans="1:19" s="15" customFormat="1" x14ac:dyDescent="0.3">
      <c r="A2743" s="17"/>
      <c r="B2743"/>
      <c r="C2743"/>
      <c r="D2743"/>
      <c r="E2743"/>
      <c r="F2743"/>
      <c r="G2743"/>
      <c r="H2743"/>
      <c r="I2743"/>
      <c r="J2743"/>
      <c r="K2743"/>
      <c r="L2743"/>
      <c r="M2743"/>
      <c r="S2743" s="54"/>
    </row>
    <row r="2744" spans="1:19" s="15" customFormat="1" x14ac:dyDescent="0.3">
      <c r="A2744" s="17"/>
      <c r="B2744"/>
      <c r="C2744"/>
      <c r="D2744"/>
      <c r="E2744"/>
      <c r="F2744"/>
      <c r="G2744"/>
      <c r="H2744"/>
      <c r="I2744"/>
      <c r="J2744"/>
      <c r="K2744"/>
      <c r="L2744"/>
      <c r="M2744"/>
      <c r="S2744" s="54"/>
    </row>
    <row r="2745" spans="1:19" s="15" customFormat="1" x14ac:dyDescent="0.3">
      <c r="A2745" s="17"/>
      <c r="B2745"/>
      <c r="C2745"/>
      <c r="D2745"/>
      <c r="E2745"/>
      <c r="F2745"/>
      <c r="G2745"/>
      <c r="H2745"/>
      <c r="I2745"/>
      <c r="J2745"/>
      <c r="K2745"/>
      <c r="L2745"/>
      <c r="M2745"/>
      <c r="S2745" s="54"/>
    </row>
    <row r="2746" spans="1:19" s="15" customFormat="1" x14ac:dyDescent="0.3">
      <c r="A2746" s="17"/>
      <c r="B2746"/>
      <c r="C2746"/>
      <c r="D2746"/>
      <c r="E2746"/>
      <c r="F2746"/>
      <c r="G2746"/>
      <c r="H2746"/>
      <c r="I2746"/>
      <c r="J2746"/>
      <c r="K2746"/>
      <c r="L2746"/>
      <c r="M2746"/>
      <c r="S2746" s="54"/>
    </row>
    <row r="2747" spans="1:19" s="15" customFormat="1" x14ac:dyDescent="0.3">
      <c r="A2747" s="17"/>
      <c r="B2747"/>
      <c r="C2747"/>
      <c r="D2747"/>
      <c r="E2747"/>
      <c r="F2747"/>
      <c r="G2747"/>
      <c r="H2747"/>
      <c r="I2747"/>
      <c r="J2747"/>
      <c r="K2747"/>
      <c r="L2747"/>
      <c r="M2747"/>
      <c r="S2747" s="54"/>
    </row>
    <row r="2748" spans="1:19" s="15" customFormat="1" x14ac:dyDescent="0.3">
      <c r="A2748" s="17"/>
      <c r="B2748"/>
      <c r="C2748"/>
      <c r="D2748"/>
      <c r="E2748"/>
      <c r="F2748"/>
      <c r="G2748"/>
      <c r="H2748"/>
      <c r="I2748"/>
      <c r="J2748"/>
      <c r="K2748"/>
      <c r="L2748"/>
      <c r="M2748"/>
      <c r="S2748" s="54"/>
    </row>
    <row r="2749" spans="1:19" s="15" customFormat="1" x14ac:dyDescent="0.3">
      <c r="A2749" s="17"/>
      <c r="B2749"/>
      <c r="C2749"/>
      <c r="D2749"/>
      <c r="E2749"/>
      <c r="F2749"/>
      <c r="G2749"/>
      <c r="H2749"/>
      <c r="I2749"/>
      <c r="J2749"/>
      <c r="K2749"/>
      <c r="L2749"/>
      <c r="M2749"/>
      <c r="S2749" s="54"/>
    </row>
    <row r="2750" spans="1:19" s="15" customFormat="1" x14ac:dyDescent="0.3">
      <c r="A2750" s="17"/>
      <c r="B2750"/>
      <c r="C2750"/>
      <c r="D2750"/>
      <c r="E2750"/>
      <c r="F2750"/>
      <c r="G2750"/>
      <c r="H2750"/>
      <c r="I2750"/>
      <c r="J2750"/>
      <c r="K2750"/>
      <c r="L2750"/>
      <c r="M2750"/>
      <c r="S2750" s="54"/>
    </row>
    <row r="2751" spans="1:19" s="15" customFormat="1" x14ac:dyDescent="0.3">
      <c r="A2751" s="17"/>
      <c r="B2751"/>
      <c r="C2751"/>
      <c r="D2751"/>
      <c r="E2751"/>
      <c r="F2751"/>
      <c r="G2751"/>
      <c r="H2751"/>
      <c r="I2751"/>
      <c r="J2751"/>
      <c r="K2751"/>
      <c r="L2751"/>
      <c r="M2751"/>
      <c r="S2751" s="54"/>
    </row>
    <row r="2752" spans="1:19" s="15" customFormat="1" x14ac:dyDescent="0.3">
      <c r="A2752" s="17"/>
      <c r="B2752"/>
      <c r="C2752"/>
      <c r="D2752"/>
      <c r="E2752"/>
      <c r="F2752"/>
      <c r="G2752"/>
      <c r="H2752"/>
      <c r="I2752"/>
      <c r="J2752"/>
      <c r="K2752"/>
      <c r="L2752"/>
      <c r="M2752"/>
      <c r="S2752" s="54"/>
    </row>
    <row r="2753" spans="1:19" s="15" customFormat="1" x14ac:dyDescent="0.3">
      <c r="A2753" s="17"/>
      <c r="B2753"/>
      <c r="C2753"/>
      <c r="D2753"/>
      <c r="E2753"/>
      <c r="F2753"/>
      <c r="G2753"/>
      <c r="H2753"/>
      <c r="I2753"/>
      <c r="J2753"/>
      <c r="K2753"/>
      <c r="L2753"/>
      <c r="M2753"/>
      <c r="S2753" s="54"/>
    </row>
    <row r="2754" spans="1:19" s="15" customFormat="1" x14ac:dyDescent="0.3">
      <c r="A2754" s="17"/>
      <c r="B2754"/>
      <c r="C2754"/>
      <c r="D2754"/>
      <c r="E2754"/>
      <c r="F2754"/>
      <c r="G2754"/>
      <c r="H2754"/>
      <c r="I2754"/>
      <c r="J2754"/>
      <c r="K2754"/>
      <c r="L2754"/>
      <c r="M2754"/>
      <c r="S2754" s="54"/>
    </row>
    <row r="2755" spans="1:19" s="15" customFormat="1" x14ac:dyDescent="0.3">
      <c r="A2755" s="17"/>
      <c r="B2755"/>
      <c r="C2755"/>
      <c r="D2755"/>
      <c r="E2755"/>
      <c r="F2755"/>
      <c r="G2755"/>
      <c r="H2755"/>
      <c r="I2755"/>
      <c r="J2755"/>
      <c r="K2755"/>
      <c r="L2755"/>
      <c r="M2755"/>
      <c r="S2755" s="54"/>
    </row>
    <row r="2756" spans="1:19" s="15" customFormat="1" x14ac:dyDescent="0.3">
      <c r="A2756" s="17"/>
      <c r="B2756"/>
      <c r="C2756"/>
      <c r="D2756"/>
      <c r="E2756"/>
      <c r="F2756"/>
      <c r="G2756"/>
      <c r="H2756"/>
      <c r="I2756"/>
      <c r="J2756"/>
      <c r="K2756"/>
      <c r="L2756"/>
      <c r="M2756"/>
      <c r="S2756" s="54"/>
    </row>
    <row r="2757" spans="1:19" s="15" customFormat="1" x14ac:dyDescent="0.3">
      <c r="A2757" s="17"/>
      <c r="B2757"/>
      <c r="C2757"/>
      <c r="D2757"/>
      <c r="E2757"/>
      <c r="F2757"/>
      <c r="G2757"/>
      <c r="H2757"/>
      <c r="I2757"/>
      <c r="J2757"/>
      <c r="K2757"/>
      <c r="L2757"/>
      <c r="M2757"/>
      <c r="S2757" s="54"/>
    </row>
    <row r="2758" spans="1:19" s="15" customFormat="1" x14ac:dyDescent="0.3">
      <c r="A2758" s="17"/>
      <c r="B2758"/>
      <c r="C2758"/>
      <c r="D2758"/>
      <c r="E2758"/>
      <c r="F2758"/>
      <c r="G2758"/>
      <c r="H2758"/>
      <c r="I2758"/>
      <c r="J2758"/>
      <c r="K2758"/>
      <c r="L2758"/>
      <c r="M2758"/>
      <c r="S2758" s="54"/>
    </row>
    <row r="2759" spans="1:19" s="15" customFormat="1" x14ac:dyDescent="0.3">
      <c r="A2759" s="17"/>
      <c r="B2759"/>
      <c r="C2759"/>
      <c r="D2759"/>
      <c r="E2759"/>
      <c r="F2759"/>
      <c r="G2759"/>
      <c r="H2759"/>
      <c r="I2759"/>
      <c r="J2759"/>
      <c r="K2759"/>
      <c r="L2759"/>
      <c r="M2759"/>
      <c r="S2759" s="54"/>
    </row>
    <row r="2760" spans="1:19" s="15" customFormat="1" x14ac:dyDescent="0.3">
      <c r="A2760" s="17"/>
      <c r="B2760"/>
      <c r="C2760"/>
      <c r="D2760"/>
      <c r="E2760"/>
      <c r="F2760"/>
      <c r="G2760"/>
      <c r="H2760"/>
      <c r="I2760"/>
      <c r="J2760"/>
      <c r="K2760"/>
      <c r="L2760"/>
      <c r="M2760"/>
      <c r="S2760" s="54"/>
    </row>
    <row r="2761" spans="1:19" s="15" customFormat="1" x14ac:dyDescent="0.3">
      <c r="A2761" s="17"/>
      <c r="B2761"/>
      <c r="C2761"/>
      <c r="D2761"/>
      <c r="E2761"/>
      <c r="F2761"/>
      <c r="G2761"/>
      <c r="H2761"/>
      <c r="I2761"/>
      <c r="J2761"/>
      <c r="K2761"/>
      <c r="L2761"/>
      <c r="M2761"/>
      <c r="S2761" s="54"/>
    </row>
    <row r="2762" spans="1:19" s="15" customFormat="1" x14ac:dyDescent="0.3">
      <c r="A2762" s="17"/>
      <c r="B2762"/>
      <c r="C2762"/>
      <c r="D2762"/>
      <c r="E2762"/>
      <c r="F2762"/>
      <c r="G2762"/>
      <c r="H2762"/>
      <c r="I2762"/>
      <c r="J2762"/>
      <c r="K2762"/>
      <c r="L2762"/>
      <c r="M2762"/>
      <c r="S2762" s="54"/>
    </row>
    <row r="2763" spans="1:19" s="15" customFormat="1" x14ac:dyDescent="0.3">
      <c r="A2763" s="17"/>
      <c r="B2763"/>
      <c r="C2763"/>
      <c r="D2763"/>
      <c r="E2763"/>
      <c r="F2763"/>
      <c r="G2763"/>
      <c r="H2763"/>
      <c r="I2763"/>
      <c r="J2763"/>
      <c r="K2763"/>
      <c r="L2763"/>
      <c r="M2763"/>
      <c r="S2763" s="54"/>
    </row>
    <row r="2764" spans="1:19" s="15" customFormat="1" x14ac:dyDescent="0.3">
      <c r="A2764" s="17"/>
      <c r="B2764"/>
      <c r="C2764"/>
      <c r="D2764"/>
      <c r="E2764"/>
      <c r="F2764"/>
      <c r="G2764"/>
      <c r="H2764"/>
      <c r="I2764"/>
      <c r="J2764"/>
      <c r="K2764"/>
      <c r="L2764"/>
      <c r="M2764"/>
      <c r="S2764" s="54"/>
    </row>
    <row r="2765" spans="1:19" s="15" customFormat="1" x14ac:dyDescent="0.3">
      <c r="A2765" s="17"/>
      <c r="B2765"/>
      <c r="C2765"/>
      <c r="D2765"/>
      <c r="E2765"/>
      <c r="F2765"/>
      <c r="G2765"/>
      <c r="H2765"/>
      <c r="I2765"/>
      <c r="J2765"/>
      <c r="K2765"/>
      <c r="L2765"/>
      <c r="M2765"/>
      <c r="S2765" s="54"/>
    </row>
    <row r="2766" spans="1:19" s="15" customFormat="1" x14ac:dyDescent="0.3">
      <c r="A2766" s="17"/>
      <c r="B2766"/>
      <c r="C2766"/>
      <c r="D2766"/>
      <c r="E2766"/>
      <c r="F2766"/>
      <c r="G2766"/>
      <c r="H2766"/>
      <c r="I2766"/>
      <c r="J2766"/>
      <c r="K2766"/>
      <c r="L2766"/>
      <c r="M2766"/>
      <c r="S2766" s="54"/>
    </row>
    <row r="2767" spans="1:19" s="15" customFormat="1" x14ac:dyDescent="0.3">
      <c r="A2767" s="17"/>
      <c r="B2767"/>
      <c r="C2767"/>
      <c r="D2767"/>
      <c r="E2767"/>
      <c r="F2767"/>
      <c r="G2767"/>
      <c r="H2767"/>
      <c r="I2767"/>
      <c r="J2767"/>
      <c r="K2767"/>
      <c r="L2767"/>
      <c r="M2767"/>
      <c r="S2767" s="54"/>
    </row>
    <row r="2768" spans="1:19" s="15" customFormat="1" x14ac:dyDescent="0.3">
      <c r="A2768" s="17"/>
      <c r="B2768"/>
      <c r="C2768"/>
      <c r="D2768"/>
      <c r="E2768"/>
      <c r="F2768"/>
      <c r="G2768"/>
      <c r="H2768"/>
      <c r="I2768"/>
      <c r="J2768"/>
      <c r="K2768"/>
      <c r="L2768"/>
      <c r="M2768"/>
      <c r="S2768" s="54"/>
    </row>
    <row r="2769" spans="1:19" s="15" customFormat="1" x14ac:dyDescent="0.3">
      <c r="A2769" s="17"/>
      <c r="B2769"/>
      <c r="C2769"/>
      <c r="D2769"/>
      <c r="E2769"/>
      <c r="F2769"/>
      <c r="G2769"/>
      <c r="H2769"/>
      <c r="I2769"/>
      <c r="J2769"/>
      <c r="K2769"/>
      <c r="L2769"/>
      <c r="M2769"/>
      <c r="S2769" s="54"/>
    </row>
    <row r="2770" spans="1:19" s="15" customFormat="1" x14ac:dyDescent="0.3">
      <c r="A2770" s="17"/>
      <c r="B2770"/>
      <c r="C2770"/>
      <c r="D2770"/>
      <c r="E2770"/>
      <c r="F2770"/>
      <c r="G2770"/>
      <c r="H2770"/>
      <c r="I2770"/>
      <c r="J2770"/>
      <c r="K2770"/>
      <c r="L2770"/>
      <c r="M2770"/>
      <c r="S2770" s="54"/>
    </row>
    <row r="2771" spans="1:19" s="15" customFormat="1" x14ac:dyDescent="0.3">
      <c r="A2771" s="17"/>
      <c r="B2771"/>
      <c r="C2771"/>
      <c r="D2771"/>
      <c r="E2771"/>
      <c r="F2771"/>
      <c r="G2771"/>
      <c r="H2771"/>
      <c r="I2771"/>
      <c r="J2771"/>
      <c r="K2771"/>
      <c r="L2771"/>
      <c r="M2771"/>
      <c r="S2771" s="54"/>
    </row>
    <row r="2772" spans="1:19" s="15" customFormat="1" x14ac:dyDescent="0.3">
      <c r="A2772" s="17"/>
      <c r="B2772"/>
      <c r="C2772"/>
      <c r="D2772"/>
      <c r="E2772"/>
      <c r="F2772"/>
      <c r="G2772"/>
      <c r="H2772"/>
      <c r="I2772"/>
      <c r="J2772"/>
      <c r="K2772"/>
      <c r="L2772"/>
      <c r="M2772"/>
      <c r="S2772" s="54"/>
    </row>
    <row r="2773" spans="1:19" s="15" customFormat="1" x14ac:dyDescent="0.3">
      <c r="A2773" s="17"/>
      <c r="B2773"/>
      <c r="C2773"/>
      <c r="D2773"/>
      <c r="E2773"/>
      <c r="F2773"/>
      <c r="G2773"/>
      <c r="H2773"/>
      <c r="I2773"/>
      <c r="J2773"/>
      <c r="K2773"/>
      <c r="L2773"/>
      <c r="M2773"/>
      <c r="S2773" s="54"/>
    </row>
    <row r="2774" spans="1:19" s="15" customFormat="1" x14ac:dyDescent="0.3">
      <c r="A2774" s="17"/>
      <c r="B2774"/>
      <c r="C2774"/>
      <c r="D2774"/>
      <c r="E2774"/>
      <c r="F2774"/>
      <c r="G2774"/>
      <c r="H2774"/>
      <c r="I2774"/>
      <c r="J2774"/>
      <c r="K2774"/>
      <c r="L2774"/>
      <c r="M2774"/>
      <c r="S2774" s="54"/>
    </row>
    <row r="2775" spans="1:19" s="15" customFormat="1" x14ac:dyDescent="0.3">
      <c r="A2775" s="17"/>
      <c r="B2775"/>
      <c r="C2775"/>
      <c r="D2775"/>
      <c r="E2775"/>
      <c r="F2775"/>
      <c r="G2775"/>
      <c r="H2775"/>
      <c r="I2775"/>
      <c r="J2775"/>
      <c r="K2775"/>
      <c r="L2775"/>
      <c r="M2775"/>
      <c r="S2775" s="54"/>
    </row>
    <row r="2776" spans="1:19" s="15" customFormat="1" x14ac:dyDescent="0.3">
      <c r="A2776" s="17"/>
      <c r="B2776"/>
      <c r="C2776"/>
      <c r="D2776"/>
      <c r="E2776"/>
      <c r="F2776"/>
      <c r="G2776"/>
      <c r="H2776"/>
      <c r="I2776"/>
      <c r="J2776"/>
      <c r="K2776"/>
      <c r="L2776"/>
      <c r="M2776"/>
      <c r="S2776" s="54"/>
    </row>
    <row r="2777" spans="1:19" s="15" customFormat="1" x14ac:dyDescent="0.3">
      <c r="A2777" s="17"/>
      <c r="B2777"/>
      <c r="C2777"/>
      <c r="D2777"/>
      <c r="E2777"/>
      <c r="F2777"/>
      <c r="G2777"/>
      <c r="H2777"/>
      <c r="I2777"/>
      <c r="J2777"/>
      <c r="K2777"/>
      <c r="L2777"/>
      <c r="M2777"/>
      <c r="S2777" s="54"/>
    </row>
    <row r="2778" spans="1:19" s="15" customFormat="1" x14ac:dyDescent="0.3">
      <c r="A2778" s="17"/>
      <c r="B2778"/>
      <c r="C2778"/>
      <c r="D2778"/>
      <c r="E2778"/>
      <c r="F2778"/>
      <c r="G2778"/>
      <c r="H2778"/>
      <c r="I2778"/>
      <c r="J2778"/>
      <c r="K2778"/>
      <c r="L2778"/>
      <c r="M2778"/>
      <c r="S2778" s="54"/>
    </row>
    <row r="2779" spans="1:19" s="15" customFormat="1" x14ac:dyDescent="0.3">
      <c r="A2779" s="17"/>
      <c r="B2779"/>
      <c r="C2779"/>
      <c r="D2779"/>
      <c r="E2779"/>
      <c r="F2779"/>
      <c r="G2779"/>
      <c r="H2779"/>
      <c r="I2779"/>
      <c r="J2779"/>
      <c r="K2779"/>
      <c r="L2779"/>
      <c r="M2779"/>
      <c r="S2779" s="54"/>
    </row>
    <row r="2780" spans="1:19" s="15" customFormat="1" x14ac:dyDescent="0.3">
      <c r="A2780" s="17"/>
      <c r="B2780"/>
      <c r="C2780"/>
      <c r="D2780"/>
      <c r="E2780"/>
      <c r="F2780"/>
      <c r="G2780"/>
      <c r="H2780"/>
      <c r="I2780"/>
      <c r="J2780"/>
      <c r="K2780"/>
      <c r="L2780"/>
      <c r="M2780"/>
      <c r="S2780" s="54"/>
    </row>
    <row r="2781" spans="1:19" s="15" customFormat="1" x14ac:dyDescent="0.3">
      <c r="A2781" s="17"/>
      <c r="B2781"/>
      <c r="C2781"/>
      <c r="D2781"/>
      <c r="E2781"/>
      <c r="F2781"/>
      <c r="G2781"/>
      <c r="H2781"/>
      <c r="I2781"/>
      <c r="J2781"/>
      <c r="K2781"/>
      <c r="L2781"/>
      <c r="M2781"/>
      <c r="S2781" s="54"/>
    </row>
    <row r="2782" spans="1:19" s="15" customFormat="1" x14ac:dyDescent="0.3">
      <c r="A2782" s="17"/>
      <c r="B2782"/>
      <c r="C2782"/>
      <c r="D2782"/>
      <c r="E2782"/>
      <c r="F2782"/>
      <c r="G2782"/>
      <c r="H2782"/>
      <c r="I2782"/>
      <c r="J2782"/>
      <c r="K2782"/>
      <c r="L2782"/>
      <c r="M2782"/>
      <c r="S2782" s="54"/>
    </row>
    <row r="2783" spans="1:19" s="15" customFormat="1" x14ac:dyDescent="0.3">
      <c r="A2783" s="17"/>
      <c r="B2783"/>
      <c r="C2783"/>
      <c r="D2783"/>
      <c r="E2783"/>
      <c r="F2783"/>
      <c r="G2783"/>
      <c r="H2783"/>
      <c r="I2783"/>
      <c r="J2783"/>
      <c r="K2783"/>
      <c r="L2783"/>
      <c r="M2783"/>
      <c r="S2783" s="54"/>
    </row>
    <row r="2784" spans="1:19" s="15" customFormat="1" x14ac:dyDescent="0.3">
      <c r="A2784" s="17"/>
      <c r="B2784"/>
      <c r="C2784"/>
      <c r="D2784"/>
      <c r="E2784"/>
      <c r="F2784"/>
      <c r="G2784"/>
      <c r="H2784"/>
      <c r="I2784"/>
      <c r="J2784"/>
      <c r="K2784"/>
      <c r="L2784"/>
      <c r="M2784"/>
      <c r="S2784" s="54"/>
    </row>
    <row r="2785" spans="1:19" s="15" customFormat="1" x14ac:dyDescent="0.3">
      <c r="A2785" s="17"/>
      <c r="B2785"/>
      <c r="C2785"/>
      <c r="D2785"/>
      <c r="E2785"/>
      <c r="F2785"/>
      <c r="G2785"/>
      <c r="H2785"/>
      <c r="I2785"/>
      <c r="J2785"/>
      <c r="K2785"/>
      <c r="L2785"/>
      <c r="M2785"/>
      <c r="S2785" s="54"/>
    </row>
    <row r="2786" spans="1:19" s="15" customFormat="1" x14ac:dyDescent="0.3">
      <c r="A2786" s="17"/>
      <c r="B2786"/>
      <c r="C2786"/>
      <c r="D2786"/>
      <c r="E2786"/>
      <c r="F2786"/>
      <c r="G2786"/>
      <c r="H2786"/>
      <c r="I2786"/>
      <c r="J2786"/>
      <c r="K2786"/>
      <c r="L2786"/>
      <c r="M2786"/>
      <c r="S2786" s="54"/>
    </row>
    <row r="2787" spans="1:19" s="15" customFormat="1" x14ac:dyDescent="0.3">
      <c r="A2787" s="17"/>
      <c r="B2787"/>
      <c r="C2787"/>
      <c r="D2787"/>
      <c r="E2787"/>
      <c r="F2787"/>
      <c r="G2787"/>
      <c r="H2787"/>
      <c r="I2787"/>
      <c r="J2787"/>
      <c r="K2787"/>
      <c r="L2787"/>
      <c r="M2787"/>
      <c r="S2787" s="54"/>
    </row>
    <row r="2788" spans="1:19" s="15" customFormat="1" x14ac:dyDescent="0.3">
      <c r="A2788" s="17"/>
      <c r="B2788"/>
      <c r="C2788"/>
      <c r="D2788"/>
      <c r="E2788"/>
      <c r="F2788"/>
      <c r="G2788"/>
      <c r="H2788"/>
      <c r="I2788"/>
      <c r="J2788"/>
      <c r="K2788"/>
      <c r="L2788"/>
      <c r="M2788"/>
      <c r="S2788" s="54"/>
    </row>
    <row r="2789" spans="1:19" s="15" customFormat="1" x14ac:dyDescent="0.3">
      <c r="A2789" s="17"/>
      <c r="B2789"/>
      <c r="C2789"/>
      <c r="D2789"/>
      <c r="E2789"/>
      <c r="F2789"/>
      <c r="G2789"/>
      <c r="H2789"/>
      <c r="I2789"/>
      <c r="J2789"/>
      <c r="K2789"/>
      <c r="L2789"/>
      <c r="M2789"/>
      <c r="S2789" s="54"/>
    </row>
    <row r="2790" spans="1:19" s="15" customFormat="1" x14ac:dyDescent="0.3">
      <c r="A2790" s="17"/>
      <c r="B2790"/>
      <c r="C2790"/>
      <c r="D2790"/>
      <c r="E2790"/>
      <c r="F2790"/>
      <c r="G2790"/>
      <c r="H2790"/>
      <c r="I2790"/>
      <c r="J2790"/>
      <c r="K2790"/>
      <c r="L2790"/>
      <c r="M2790"/>
      <c r="S2790" s="54"/>
    </row>
    <row r="2791" spans="1:19" s="15" customFormat="1" x14ac:dyDescent="0.3">
      <c r="A2791" s="17"/>
      <c r="B2791"/>
      <c r="C2791"/>
      <c r="D2791"/>
      <c r="E2791"/>
      <c r="F2791"/>
      <c r="G2791"/>
      <c r="H2791"/>
      <c r="I2791"/>
      <c r="J2791"/>
      <c r="K2791"/>
      <c r="L2791"/>
      <c r="M2791"/>
      <c r="S2791" s="54"/>
    </row>
    <row r="2792" spans="1:19" s="15" customFormat="1" x14ac:dyDescent="0.3">
      <c r="A2792" s="17"/>
      <c r="B2792"/>
      <c r="C2792"/>
      <c r="D2792"/>
      <c r="E2792"/>
      <c r="F2792"/>
      <c r="G2792"/>
      <c r="H2792"/>
      <c r="I2792"/>
      <c r="J2792"/>
      <c r="K2792"/>
      <c r="L2792"/>
      <c r="M2792"/>
      <c r="S2792" s="54"/>
    </row>
    <row r="2793" spans="1:19" s="15" customFormat="1" x14ac:dyDescent="0.3">
      <c r="A2793" s="17"/>
      <c r="B2793"/>
      <c r="C2793"/>
      <c r="D2793"/>
      <c r="E2793"/>
      <c r="F2793"/>
      <c r="G2793"/>
      <c r="H2793"/>
      <c r="I2793"/>
      <c r="J2793"/>
      <c r="K2793"/>
      <c r="L2793"/>
      <c r="M2793"/>
      <c r="S2793" s="54"/>
    </row>
    <row r="2794" spans="1:19" s="15" customFormat="1" x14ac:dyDescent="0.3">
      <c r="A2794" s="17"/>
      <c r="B2794"/>
      <c r="C2794"/>
      <c r="D2794"/>
      <c r="E2794"/>
      <c r="F2794"/>
      <c r="G2794"/>
      <c r="H2794"/>
      <c r="I2794"/>
      <c r="J2794"/>
      <c r="K2794"/>
      <c r="L2794"/>
      <c r="M2794"/>
      <c r="S2794" s="54"/>
    </row>
    <row r="2795" spans="1:19" s="15" customFormat="1" x14ac:dyDescent="0.3">
      <c r="A2795" s="17"/>
      <c r="B2795"/>
      <c r="C2795"/>
      <c r="D2795"/>
      <c r="E2795"/>
      <c r="F2795"/>
      <c r="G2795"/>
      <c r="H2795"/>
      <c r="I2795"/>
      <c r="J2795"/>
      <c r="K2795"/>
      <c r="L2795"/>
      <c r="M2795"/>
      <c r="S2795" s="54"/>
    </row>
    <row r="2796" spans="1:19" s="15" customFormat="1" x14ac:dyDescent="0.3">
      <c r="A2796" s="17"/>
      <c r="B2796"/>
      <c r="C2796"/>
      <c r="D2796"/>
      <c r="E2796"/>
      <c r="F2796"/>
      <c r="G2796"/>
      <c r="H2796"/>
      <c r="I2796"/>
      <c r="J2796"/>
      <c r="K2796"/>
      <c r="L2796"/>
      <c r="M2796"/>
      <c r="S2796" s="54"/>
    </row>
    <row r="2797" spans="1:19" s="15" customFormat="1" x14ac:dyDescent="0.3">
      <c r="A2797" s="17"/>
      <c r="B2797"/>
      <c r="C2797"/>
      <c r="D2797"/>
      <c r="E2797"/>
      <c r="F2797"/>
      <c r="G2797"/>
      <c r="H2797"/>
      <c r="I2797"/>
      <c r="J2797"/>
      <c r="K2797"/>
      <c r="L2797"/>
      <c r="M2797"/>
      <c r="S2797" s="54"/>
    </row>
    <row r="2798" spans="1:19" s="15" customFormat="1" x14ac:dyDescent="0.3">
      <c r="A2798" s="17"/>
      <c r="B2798"/>
      <c r="C2798"/>
      <c r="D2798"/>
      <c r="E2798"/>
      <c r="F2798"/>
      <c r="G2798"/>
      <c r="H2798"/>
      <c r="I2798"/>
      <c r="J2798"/>
      <c r="K2798"/>
      <c r="L2798"/>
      <c r="M2798"/>
      <c r="S2798" s="54"/>
    </row>
    <row r="2799" spans="1:19" s="15" customFormat="1" x14ac:dyDescent="0.3">
      <c r="A2799" s="17"/>
      <c r="B2799"/>
      <c r="C2799"/>
      <c r="D2799"/>
      <c r="E2799"/>
      <c r="F2799"/>
      <c r="G2799"/>
      <c r="H2799"/>
      <c r="I2799"/>
      <c r="J2799"/>
      <c r="K2799"/>
      <c r="L2799"/>
      <c r="M2799"/>
      <c r="S2799" s="54"/>
    </row>
    <row r="2800" spans="1:19" s="15" customFormat="1" x14ac:dyDescent="0.3">
      <c r="A2800" s="17"/>
      <c r="B2800"/>
      <c r="C2800"/>
      <c r="D2800"/>
      <c r="E2800"/>
      <c r="F2800"/>
      <c r="G2800"/>
      <c r="H2800"/>
      <c r="I2800"/>
      <c r="J2800"/>
      <c r="K2800"/>
      <c r="L2800"/>
      <c r="M2800"/>
      <c r="S2800" s="54"/>
    </row>
    <row r="2801" spans="1:19" s="15" customFormat="1" x14ac:dyDescent="0.3">
      <c r="A2801" s="17"/>
      <c r="B2801"/>
      <c r="C2801"/>
      <c r="D2801"/>
      <c r="E2801"/>
      <c r="F2801"/>
      <c r="G2801"/>
      <c r="H2801"/>
      <c r="I2801"/>
      <c r="J2801"/>
      <c r="K2801"/>
      <c r="L2801"/>
      <c r="M2801"/>
      <c r="S2801" s="54"/>
    </row>
    <row r="2802" spans="1:19" s="15" customFormat="1" x14ac:dyDescent="0.3">
      <c r="A2802" s="17"/>
      <c r="B2802"/>
      <c r="C2802"/>
      <c r="D2802"/>
      <c r="E2802"/>
      <c r="F2802"/>
      <c r="G2802"/>
      <c r="H2802"/>
      <c r="I2802"/>
      <c r="J2802"/>
      <c r="K2802"/>
      <c r="L2802"/>
      <c r="M2802"/>
      <c r="S2802" s="54"/>
    </row>
    <row r="2803" spans="1:19" s="15" customFormat="1" x14ac:dyDescent="0.3">
      <c r="A2803" s="17"/>
      <c r="B2803"/>
      <c r="C2803"/>
      <c r="D2803"/>
      <c r="E2803"/>
      <c r="F2803"/>
      <c r="G2803"/>
      <c r="H2803"/>
      <c r="I2803"/>
      <c r="J2803"/>
      <c r="K2803"/>
      <c r="L2803"/>
      <c r="M2803"/>
      <c r="S2803" s="54"/>
    </row>
    <row r="2804" spans="1:19" s="15" customFormat="1" x14ac:dyDescent="0.3">
      <c r="A2804" s="17"/>
      <c r="B2804"/>
      <c r="C2804"/>
      <c r="D2804"/>
      <c r="E2804"/>
      <c r="F2804"/>
      <c r="G2804"/>
      <c r="H2804"/>
      <c r="I2804"/>
      <c r="J2804"/>
      <c r="K2804"/>
      <c r="L2804"/>
      <c r="M2804"/>
      <c r="S2804" s="54"/>
    </row>
    <row r="2805" spans="1:19" s="15" customFormat="1" x14ac:dyDescent="0.3">
      <c r="A2805" s="17"/>
      <c r="B2805"/>
      <c r="C2805"/>
      <c r="D2805"/>
      <c r="E2805"/>
      <c r="F2805"/>
      <c r="G2805"/>
      <c r="H2805"/>
      <c r="I2805"/>
      <c r="J2805"/>
      <c r="K2805"/>
      <c r="L2805"/>
      <c r="M2805"/>
      <c r="S2805" s="54"/>
    </row>
    <row r="2806" spans="1:19" s="15" customFormat="1" x14ac:dyDescent="0.3">
      <c r="A2806" s="17"/>
      <c r="B2806"/>
      <c r="C2806"/>
      <c r="D2806"/>
      <c r="E2806"/>
      <c r="F2806"/>
      <c r="G2806"/>
      <c r="H2806"/>
      <c r="I2806"/>
      <c r="J2806"/>
      <c r="K2806"/>
      <c r="L2806"/>
      <c r="M2806"/>
      <c r="S2806" s="54"/>
    </row>
    <row r="2807" spans="1:19" s="15" customFormat="1" x14ac:dyDescent="0.3">
      <c r="A2807" s="17"/>
      <c r="B2807"/>
      <c r="C2807"/>
      <c r="D2807"/>
      <c r="E2807"/>
      <c r="F2807"/>
      <c r="G2807"/>
      <c r="H2807"/>
      <c r="I2807"/>
      <c r="J2807"/>
      <c r="K2807"/>
      <c r="L2807"/>
      <c r="M2807"/>
      <c r="S2807" s="54"/>
    </row>
    <row r="2808" spans="1:19" s="15" customFormat="1" x14ac:dyDescent="0.3">
      <c r="A2808" s="17"/>
      <c r="B2808"/>
      <c r="C2808"/>
      <c r="D2808"/>
      <c r="E2808"/>
      <c r="F2808"/>
      <c r="G2808"/>
      <c r="H2808"/>
      <c r="I2808"/>
      <c r="J2808"/>
      <c r="K2808"/>
      <c r="L2808"/>
      <c r="M2808"/>
      <c r="S2808" s="54"/>
    </row>
    <row r="2809" spans="1:19" s="15" customFormat="1" x14ac:dyDescent="0.3">
      <c r="A2809" s="17"/>
      <c r="B2809"/>
      <c r="C2809"/>
      <c r="D2809"/>
      <c r="E2809"/>
      <c r="F2809"/>
      <c r="G2809"/>
      <c r="H2809"/>
      <c r="I2809"/>
      <c r="J2809"/>
      <c r="K2809"/>
      <c r="L2809"/>
      <c r="M2809"/>
      <c r="S2809" s="54"/>
    </row>
    <row r="2810" spans="1:19" s="15" customFormat="1" x14ac:dyDescent="0.3">
      <c r="A2810" s="17"/>
      <c r="B2810"/>
      <c r="C2810"/>
      <c r="D2810"/>
      <c r="E2810"/>
      <c r="F2810"/>
      <c r="G2810"/>
      <c r="H2810"/>
      <c r="I2810"/>
      <c r="J2810"/>
      <c r="K2810"/>
      <c r="L2810"/>
      <c r="M2810"/>
      <c r="S2810" s="54"/>
    </row>
    <row r="2811" spans="1:19" s="15" customFormat="1" x14ac:dyDescent="0.3">
      <c r="A2811" s="17"/>
      <c r="B2811"/>
      <c r="C2811"/>
      <c r="D2811"/>
      <c r="E2811"/>
      <c r="F2811"/>
      <c r="G2811"/>
      <c r="H2811"/>
      <c r="I2811"/>
      <c r="J2811"/>
      <c r="K2811"/>
      <c r="L2811"/>
      <c r="M2811"/>
      <c r="S2811" s="54"/>
    </row>
    <row r="2812" spans="1:19" s="15" customFormat="1" x14ac:dyDescent="0.3">
      <c r="A2812" s="17"/>
      <c r="B2812"/>
      <c r="C2812"/>
      <c r="D2812"/>
      <c r="E2812"/>
      <c r="F2812"/>
      <c r="G2812"/>
      <c r="H2812"/>
      <c r="I2812"/>
      <c r="J2812"/>
      <c r="K2812"/>
      <c r="L2812"/>
      <c r="M2812"/>
      <c r="S2812" s="54"/>
    </row>
    <row r="2813" spans="1:19" s="15" customFormat="1" x14ac:dyDescent="0.3">
      <c r="A2813" s="17"/>
      <c r="B2813"/>
      <c r="C2813"/>
      <c r="D2813"/>
      <c r="E2813"/>
      <c r="F2813"/>
      <c r="G2813"/>
      <c r="H2813"/>
      <c r="I2813"/>
      <c r="J2813"/>
      <c r="K2813"/>
      <c r="L2813"/>
      <c r="M2813"/>
      <c r="S2813" s="54"/>
    </row>
    <row r="2814" spans="1:19" s="15" customFormat="1" x14ac:dyDescent="0.3">
      <c r="A2814" s="17"/>
      <c r="B2814"/>
      <c r="C2814"/>
      <c r="D2814"/>
      <c r="E2814"/>
      <c r="F2814"/>
      <c r="G2814"/>
      <c r="H2814"/>
      <c r="I2814"/>
      <c r="J2814"/>
      <c r="K2814"/>
      <c r="L2814"/>
      <c r="M2814"/>
      <c r="S2814" s="54"/>
    </row>
    <row r="2815" spans="1:19" s="15" customFormat="1" x14ac:dyDescent="0.3">
      <c r="A2815" s="17"/>
      <c r="B2815"/>
      <c r="C2815"/>
      <c r="D2815"/>
      <c r="E2815"/>
      <c r="F2815"/>
      <c r="G2815"/>
      <c r="H2815"/>
      <c r="I2815"/>
      <c r="J2815"/>
      <c r="K2815"/>
      <c r="L2815"/>
      <c r="M2815"/>
      <c r="S2815" s="54"/>
    </row>
    <row r="2816" spans="1:19" s="15" customFormat="1" x14ac:dyDescent="0.3">
      <c r="A2816" s="17"/>
      <c r="B2816"/>
      <c r="C2816"/>
      <c r="D2816"/>
      <c r="E2816"/>
      <c r="F2816"/>
      <c r="G2816"/>
      <c r="H2816"/>
      <c r="I2816"/>
      <c r="J2816"/>
      <c r="K2816"/>
      <c r="L2816"/>
      <c r="M2816"/>
      <c r="S2816" s="54"/>
    </row>
    <row r="2817" spans="1:19" s="15" customFormat="1" x14ac:dyDescent="0.3">
      <c r="A2817" s="17"/>
      <c r="B2817"/>
      <c r="C2817"/>
      <c r="D2817"/>
      <c r="E2817"/>
      <c r="F2817"/>
      <c r="G2817"/>
      <c r="H2817"/>
      <c r="I2817"/>
      <c r="J2817"/>
      <c r="K2817"/>
      <c r="L2817"/>
      <c r="M2817"/>
      <c r="S2817" s="54"/>
    </row>
    <row r="2818" spans="1:19" s="15" customFormat="1" x14ac:dyDescent="0.3">
      <c r="A2818" s="17"/>
      <c r="B2818"/>
      <c r="C2818"/>
      <c r="D2818"/>
      <c r="E2818"/>
      <c r="F2818"/>
      <c r="G2818"/>
      <c r="H2818"/>
      <c r="I2818"/>
      <c r="J2818"/>
      <c r="K2818"/>
      <c r="L2818"/>
      <c r="M2818"/>
      <c r="S2818" s="54"/>
    </row>
    <row r="2819" spans="1:19" s="15" customFormat="1" x14ac:dyDescent="0.3">
      <c r="A2819" s="17"/>
      <c r="B2819"/>
      <c r="C2819"/>
      <c r="D2819"/>
      <c r="E2819"/>
      <c r="F2819"/>
      <c r="G2819"/>
      <c r="H2819"/>
      <c r="I2819"/>
      <c r="J2819"/>
      <c r="K2819"/>
      <c r="L2819"/>
      <c r="M2819"/>
      <c r="S2819" s="54"/>
    </row>
    <row r="2820" spans="1:19" s="15" customFormat="1" x14ac:dyDescent="0.3">
      <c r="A2820" s="17"/>
      <c r="B2820"/>
      <c r="C2820"/>
      <c r="D2820"/>
      <c r="E2820"/>
      <c r="F2820"/>
      <c r="G2820"/>
      <c r="H2820"/>
      <c r="I2820"/>
      <c r="J2820"/>
      <c r="K2820"/>
      <c r="L2820"/>
      <c r="M2820"/>
      <c r="S2820" s="54"/>
    </row>
    <row r="2821" spans="1:19" s="15" customFormat="1" x14ac:dyDescent="0.3">
      <c r="A2821" s="17"/>
      <c r="B2821"/>
      <c r="C2821"/>
      <c r="D2821"/>
      <c r="E2821"/>
      <c r="F2821"/>
      <c r="G2821"/>
      <c r="H2821"/>
      <c r="I2821"/>
      <c r="J2821"/>
      <c r="K2821"/>
      <c r="L2821"/>
      <c r="M2821"/>
      <c r="S2821" s="54"/>
    </row>
    <row r="2822" spans="1:19" s="15" customFormat="1" x14ac:dyDescent="0.3">
      <c r="A2822" s="17"/>
      <c r="B2822"/>
      <c r="C2822"/>
      <c r="D2822"/>
      <c r="E2822"/>
      <c r="F2822"/>
      <c r="G2822"/>
      <c r="H2822"/>
      <c r="I2822"/>
      <c r="J2822"/>
      <c r="K2822"/>
      <c r="L2822"/>
      <c r="M2822"/>
      <c r="S2822" s="54"/>
    </row>
    <row r="2823" spans="1:19" s="15" customFormat="1" x14ac:dyDescent="0.3">
      <c r="A2823" s="17"/>
      <c r="B2823"/>
      <c r="C2823"/>
      <c r="D2823"/>
      <c r="E2823"/>
      <c r="F2823"/>
      <c r="G2823"/>
      <c r="H2823"/>
      <c r="I2823"/>
      <c r="J2823"/>
      <c r="K2823"/>
      <c r="L2823"/>
      <c r="M2823"/>
      <c r="S2823" s="54"/>
    </row>
    <row r="2824" spans="1:19" s="15" customFormat="1" x14ac:dyDescent="0.3">
      <c r="A2824" s="17"/>
      <c r="B2824"/>
      <c r="C2824"/>
      <c r="D2824"/>
      <c r="E2824"/>
      <c r="F2824"/>
      <c r="G2824"/>
      <c r="H2824"/>
      <c r="I2824"/>
      <c r="J2824"/>
      <c r="K2824"/>
      <c r="L2824"/>
      <c r="M2824"/>
      <c r="S2824" s="54"/>
    </row>
    <row r="2825" spans="1:19" s="15" customFormat="1" x14ac:dyDescent="0.3">
      <c r="A2825" s="17"/>
      <c r="B2825"/>
      <c r="C2825"/>
      <c r="D2825"/>
      <c r="E2825"/>
      <c r="F2825"/>
      <c r="G2825"/>
      <c r="H2825"/>
      <c r="I2825"/>
      <c r="J2825"/>
      <c r="K2825"/>
      <c r="L2825"/>
      <c r="M2825"/>
      <c r="S2825" s="54"/>
    </row>
    <row r="2826" spans="1:19" s="15" customFormat="1" x14ac:dyDescent="0.3">
      <c r="A2826" s="17"/>
      <c r="B2826"/>
      <c r="C2826"/>
      <c r="D2826"/>
      <c r="E2826"/>
      <c r="F2826"/>
      <c r="G2826"/>
      <c r="H2826"/>
      <c r="I2826"/>
      <c r="J2826"/>
      <c r="K2826"/>
      <c r="L2826"/>
      <c r="M2826"/>
      <c r="S2826" s="54"/>
    </row>
    <row r="2827" spans="1:19" s="15" customFormat="1" x14ac:dyDescent="0.3">
      <c r="A2827" s="17"/>
      <c r="B2827"/>
      <c r="C2827"/>
      <c r="D2827"/>
      <c r="E2827"/>
      <c r="F2827"/>
      <c r="G2827"/>
      <c r="H2827"/>
      <c r="I2827"/>
      <c r="J2827"/>
      <c r="K2827"/>
      <c r="L2827"/>
      <c r="M2827"/>
      <c r="S2827" s="54"/>
    </row>
    <row r="2828" spans="1:19" s="15" customFormat="1" x14ac:dyDescent="0.3">
      <c r="A2828" s="17"/>
      <c r="B2828"/>
      <c r="C2828"/>
      <c r="D2828"/>
      <c r="E2828"/>
      <c r="F2828"/>
      <c r="G2828"/>
      <c r="H2828"/>
      <c r="I2828"/>
      <c r="J2828"/>
      <c r="K2828"/>
      <c r="L2828"/>
      <c r="M2828"/>
      <c r="S2828" s="54"/>
    </row>
    <row r="2829" spans="1:19" s="15" customFormat="1" x14ac:dyDescent="0.3">
      <c r="A2829" s="17"/>
      <c r="B2829"/>
      <c r="C2829"/>
      <c r="D2829"/>
      <c r="E2829"/>
      <c r="F2829"/>
      <c r="G2829"/>
      <c r="H2829"/>
      <c r="I2829"/>
      <c r="J2829"/>
      <c r="K2829"/>
      <c r="L2829"/>
      <c r="M2829"/>
      <c r="S2829" s="54"/>
    </row>
    <row r="2830" spans="1:19" s="15" customFormat="1" x14ac:dyDescent="0.3">
      <c r="A2830" s="17"/>
      <c r="B2830"/>
      <c r="C2830"/>
      <c r="D2830"/>
      <c r="E2830"/>
      <c r="F2830"/>
      <c r="G2830"/>
      <c r="H2830"/>
      <c r="I2830"/>
      <c r="J2830"/>
      <c r="K2830"/>
      <c r="L2830"/>
      <c r="M2830"/>
      <c r="S2830" s="54"/>
    </row>
    <row r="2831" spans="1:19" s="15" customFormat="1" x14ac:dyDescent="0.3">
      <c r="A2831" s="17"/>
      <c r="B2831"/>
      <c r="C2831"/>
      <c r="D2831"/>
      <c r="E2831"/>
      <c r="F2831"/>
      <c r="G2831"/>
      <c r="H2831"/>
      <c r="I2831"/>
      <c r="J2831"/>
      <c r="K2831"/>
      <c r="L2831"/>
      <c r="M2831"/>
      <c r="S2831" s="54"/>
    </row>
    <row r="2832" spans="1:19" s="15" customFormat="1" x14ac:dyDescent="0.3">
      <c r="A2832" s="17"/>
      <c r="B2832"/>
      <c r="C2832"/>
      <c r="D2832"/>
      <c r="E2832"/>
      <c r="F2832"/>
      <c r="G2832"/>
      <c r="H2832"/>
      <c r="I2832"/>
      <c r="J2832"/>
      <c r="K2832"/>
      <c r="L2832"/>
      <c r="M2832"/>
      <c r="S2832" s="54"/>
    </row>
    <row r="2833" spans="1:19" s="15" customFormat="1" x14ac:dyDescent="0.3">
      <c r="A2833" s="17"/>
      <c r="B2833"/>
      <c r="C2833"/>
      <c r="D2833"/>
      <c r="E2833"/>
      <c r="F2833"/>
      <c r="G2833"/>
      <c r="H2833"/>
      <c r="I2833"/>
      <c r="J2833"/>
      <c r="K2833"/>
      <c r="L2833"/>
      <c r="M2833"/>
      <c r="S2833" s="54"/>
    </row>
    <row r="2834" spans="1:19" s="15" customFormat="1" x14ac:dyDescent="0.3">
      <c r="A2834" s="17"/>
      <c r="B2834"/>
      <c r="C2834"/>
      <c r="D2834"/>
      <c r="E2834"/>
      <c r="F2834"/>
      <c r="G2834"/>
      <c r="H2834"/>
      <c r="I2834"/>
      <c r="J2834"/>
      <c r="K2834"/>
      <c r="L2834"/>
      <c r="M2834"/>
      <c r="S2834" s="54"/>
    </row>
    <row r="2835" spans="1:19" s="15" customFormat="1" x14ac:dyDescent="0.3">
      <c r="A2835" s="17"/>
      <c r="B2835"/>
      <c r="C2835"/>
      <c r="D2835"/>
      <c r="E2835"/>
      <c r="F2835"/>
      <c r="G2835"/>
      <c r="H2835"/>
      <c r="I2835"/>
      <c r="J2835"/>
      <c r="K2835"/>
      <c r="L2835"/>
      <c r="M2835"/>
      <c r="S2835" s="54"/>
    </row>
    <row r="2836" spans="1:19" s="15" customFormat="1" x14ac:dyDescent="0.3">
      <c r="A2836" s="17"/>
      <c r="B2836"/>
      <c r="C2836"/>
      <c r="D2836"/>
      <c r="E2836"/>
      <c r="F2836"/>
      <c r="G2836"/>
      <c r="H2836"/>
      <c r="I2836"/>
      <c r="J2836"/>
      <c r="K2836"/>
      <c r="L2836"/>
      <c r="M2836"/>
      <c r="S2836" s="54"/>
    </row>
    <row r="2837" spans="1:19" s="15" customFormat="1" x14ac:dyDescent="0.3">
      <c r="A2837" s="17"/>
      <c r="B2837"/>
      <c r="C2837"/>
      <c r="D2837"/>
      <c r="E2837"/>
      <c r="F2837"/>
      <c r="G2837"/>
      <c r="H2837"/>
      <c r="I2837"/>
      <c r="J2837"/>
      <c r="K2837"/>
      <c r="L2837"/>
      <c r="M2837"/>
      <c r="S2837" s="54"/>
    </row>
    <row r="2838" spans="1:19" s="15" customFormat="1" x14ac:dyDescent="0.3">
      <c r="A2838" s="17"/>
      <c r="B2838"/>
      <c r="C2838"/>
      <c r="D2838"/>
      <c r="E2838"/>
      <c r="F2838"/>
      <c r="G2838"/>
      <c r="H2838"/>
      <c r="I2838"/>
      <c r="J2838"/>
      <c r="K2838"/>
      <c r="L2838"/>
      <c r="M2838"/>
      <c r="S2838" s="54"/>
    </row>
    <row r="2839" spans="1:19" s="15" customFormat="1" x14ac:dyDescent="0.3">
      <c r="A2839" s="17"/>
      <c r="B2839"/>
      <c r="C2839"/>
      <c r="D2839"/>
      <c r="E2839"/>
      <c r="F2839"/>
      <c r="G2839"/>
      <c r="H2839"/>
      <c r="I2839"/>
      <c r="J2839"/>
      <c r="K2839"/>
      <c r="L2839"/>
      <c r="M2839"/>
      <c r="S2839" s="54"/>
    </row>
    <row r="2840" spans="1:19" s="15" customFormat="1" x14ac:dyDescent="0.3">
      <c r="A2840" s="17"/>
      <c r="B2840"/>
      <c r="C2840"/>
      <c r="D2840"/>
      <c r="E2840"/>
      <c r="F2840"/>
      <c r="G2840"/>
      <c r="H2840"/>
      <c r="I2840"/>
      <c r="J2840"/>
      <c r="K2840"/>
      <c r="L2840"/>
      <c r="M2840"/>
      <c r="S2840" s="54"/>
    </row>
    <row r="2841" spans="1:19" s="15" customFormat="1" x14ac:dyDescent="0.3">
      <c r="A2841" s="17"/>
      <c r="B2841"/>
      <c r="C2841"/>
      <c r="D2841"/>
      <c r="E2841"/>
      <c r="F2841"/>
      <c r="G2841"/>
      <c r="H2841"/>
      <c r="I2841"/>
      <c r="J2841"/>
      <c r="K2841"/>
      <c r="L2841"/>
      <c r="M2841"/>
      <c r="S2841" s="54"/>
    </row>
    <row r="2842" spans="1:19" s="15" customFormat="1" x14ac:dyDescent="0.3">
      <c r="A2842" s="17"/>
      <c r="B2842"/>
      <c r="C2842"/>
      <c r="D2842"/>
      <c r="E2842"/>
      <c r="F2842"/>
      <c r="G2842"/>
      <c r="H2842"/>
      <c r="I2842"/>
      <c r="J2842"/>
      <c r="K2842"/>
      <c r="L2842"/>
      <c r="M2842"/>
      <c r="S2842" s="54"/>
    </row>
    <row r="2843" spans="1:19" s="15" customFormat="1" x14ac:dyDescent="0.3">
      <c r="A2843" s="17"/>
      <c r="B2843"/>
      <c r="C2843"/>
      <c r="D2843"/>
      <c r="E2843"/>
      <c r="F2843"/>
      <c r="G2843"/>
      <c r="H2843"/>
      <c r="I2843"/>
      <c r="J2843"/>
      <c r="K2843"/>
      <c r="L2843"/>
      <c r="M2843"/>
      <c r="S2843" s="54"/>
    </row>
    <row r="2844" spans="1:19" s="15" customFormat="1" x14ac:dyDescent="0.3">
      <c r="A2844" s="17"/>
      <c r="B2844"/>
      <c r="C2844"/>
      <c r="D2844"/>
      <c r="E2844"/>
      <c r="F2844"/>
      <c r="G2844"/>
      <c r="H2844"/>
      <c r="I2844"/>
      <c r="J2844"/>
      <c r="K2844"/>
      <c r="L2844"/>
      <c r="M2844"/>
      <c r="S2844" s="54"/>
    </row>
    <row r="2845" spans="1:19" s="15" customFormat="1" x14ac:dyDescent="0.3">
      <c r="A2845" s="17"/>
      <c r="B2845"/>
      <c r="C2845"/>
      <c r="D2845"/>
      <c r="E2845"/>
      <c r="F2845"/>
      <c r="G2845"/>
      <c r="H2845"/>
      <c r="I2845"/>
      <c r="J2845"/>
      <c r="K2845"/>
      <c r="L2845"/>
      <c r="M2845"/>
      <c r="S2845" s="54"/>
    </row>
    <row r="2846" spans="1:19" s="15" customFormat="1" x14ac:dyDescent="0.3">
      <c r="A2846" s="17"/>
      <c r="B2846"/>
      <c r="C2846"/>
      <c r="D2846"/>
      <c r="E2846"/>
      <c r="F2846"/>
      <c r="G2846"/>
      <c r="H2846"/>
      <c r="I2846"/>
      <c r="J2846"/>
      <c r="K2846"/>
      <c r="L2846"/>
      <c r="M2846"/>
      <c r="S2846" s="54"/>
    </row>
    <row r="2847" spans="1:19" s="15" customFormat="1" x14ac:dyDescent="0.3">
      <c r="A2847" s="17"/>
      <c r="B2847"/>
      <c r="C2847"/>
      <c r="D2847"/>
      <c r="E2847"/>
      <c r="F2847"/>
      <c r="G2847"/>
      <c r="H2847"/>
      <c r="I2847"/>
      <c r="J2847"/>
      <c r="K2847"/>
      <c r="L2847"/>
      <c r="M2847"/>
      <c r="S2847" s="54"/>
    </row>
    <row r="2848" spans="1:19" s="15" customFormat="1" x14ac:dyDescent="0.3">
      <c r="A2848" s="17"/>
      <c r="B2848"/>
      <c r="C2848"/>
      <c r="D2848"/>
      <c r="E2848"/>
      <c r="F2848"/>
      <c r="G2848"/>
      <c r="H2848"/>
      <c r="I2848"/>
      <c r="J2848"/>
      <c r="K2848"/>
      <c r="L2848"/>
      <c r="M2848"/>
      <c r="S2848" s="54"/>
    </row>
    <row r="2849" spans="1:19" s="15" customFormat="1" x14ac:dyDescent="0.3">
      <c r="A2849" s="17"/>
      <c r="B2849"/>
      <c r="C2849"/>
      <c r="D2849"/>
      <c r="E2849"/>
      <c r="F2849"/>
      <c r="G2849"/>
      <c r="H2849"/>
      <c r="I2849"/>
      <c r="J2849"/>
      <c r="K2849"/>
      <c r="L2849"/>
      <c r="M2849"/>
      <c r="S2849" s="54"/>
    </row>
    <row r="2850" spans="1:19" s="15" customFormat="1" x14ac:dyDescent="0.3">
      <c r="A2850" s="17"/>
      <c r="B2850"/>
      <c r="C2850"/>
      <c r="D2850"/>
      <c r="E2850"/>
      <c r="F2850"/>
      <c r="G2850"/>
      <c r="H2850"/>
      <c r="I2850"/>
      <c r="J2850"/>
      <c r="K2850"/>
      <c r="L2850"/>
      <c r="M2850"/>
      <c r="S2850" s="54"/>
    </row>
    <row r="2851" spans="1:19" s="15" customFormat="1" x14ac:dyDescent="0.3">
      <c r="A2851" s="17"/>
      <c r="B2851"/>
      <c r="C2851"/>
      <c r="D2851"/>
      <c r="E2851"/>
      <c r="F2851"/>
      <c r="G2851"/>
      <c r="H2851"/>
      <c r="I2851"/>
      <c r="J2851"/>
      <c r="K2851"/>
      <c r="L2851"/>
      <c r="M2851"/>
      <c r="S2851" s="54"/>
    </row>
    <row r="2852" spans="1:19" s="15" customFormat="1" x14ac:dyDescent="0.3">
      <c r="A2852" s="17"/>
      <c r="B2852"/>
      <c r="C2852"/>
      <c r="D2852"/>
      <c r="E2852"/>
      <c r="F2852"/>
      <c r="G2852"/>
      <c r="H2852"/>
      <c r="I2852"/>
      <c r="J2852"/>
      <c r="K2852"/>
      <c r="L2852"/>
      <c r="M2852"/>
      <c r="S2852" s="54"/>
    </row>
    <row r="2853" spans="1:19" s="15" customFormat="1" x14ac:dyDescent="0.3">
      <c r="A2853" s="17"/>
      <c r="B2853"/>
      <c r="C2853"/>
      <c r="D2853"/>
      <c r="E2853"/>
      <c r="F2853"/>
      <c r="G2853"/>
      <c r="H2853"/>
      <c r="I2853"/>
      <c r="J2853"/>
      <c r="K2853"/>
      <c r="L2853"/>
      <c r="M2853"/>
      <c r="S2853" s="54"/>
    </row>
    <row r="2854" spans="1:19" s="15" customFormat="1" x14ac:dyDescent="0.3">
      <c r="A2854" s="17"/>
      <c r="B2854"/>
      <c r="C2854"/>
      <c r="D2854"/>
      <c r="E2854"/>
      <c r="F2854"/>
      <c r="G2854"/>
      <c r="H2854"/>
      <c r="I2854"/>
      <c r="J2854"/>
      <c r="K2854"/>
      <c r="L2854"/>
      <c r="M2854"/>
      <c r="S2854" s="54"/>
    </row>
    <row r="2855" spans="1:19" s="15" customFormat="1" x14ac:dyDescent="0.3">
      <c r="A2855" s="17"/>
      <c r="B2855"/>
      <c r="C2855"/>
      <c r="D2855"/>
      <c r="E2855"/>
      <c r="F2855"/>
      <c r="G2855"/>
      <c r="H2855"/>
      <c r="I2855"/>
      <c r="J2855"/>
      <c r="K2855"/>
      <c r="L2855"/>
      <c r="M2855"/>
      <c r="S2855" s="54"/>
    </row>
    <row r="2856" spans="1:19" s="15" customFormat="1" x14ac:dyDescent="0.3">
      <c r="A2856" s="17"/>
      <c r="B2856"/>
      <c r="C2856"/>
      <c r="D2856"/>
      <c r="E2856"/>
      <c r="F2856"/>
      <c r="G2856"/>
      <c r="H2856"/>
      <c r="I2856"/>
      <c r="J2856"/>
      <c r="K2856"/>
      <c r="L2856"/>
      <c r="M2856"/>
      <c r="S2856" s="54"/>
    </row>
    <row r="2857" spans="1:19" s="15" customFormat="1" x14ac:dyDescent="0.3">
      <c r="A2857" s="17"/>
      <c r="B2857"/>
      <c r="C2857"/>
      <c r="D2857"/>
      <c r="E2857"/>
      <c r="F2857"/>
      <c r="G2857"/>
      <c r="H2857"/>
      <c r="I2857"/>
      <c r="J2857"/>
      <c r="K2857"/>
      <c r="L2857"/>
      <c r="M2857"/>
      <c r="S2857" s="54"/>
    </row>
    <row r="2858" spans="1:19" s="15" customFormat="1" x14ac:dyDescent="0.3">
      <c r="A2858" s="17"/>
      <c r="B2858"/>
      <c r="C2858"/>
      <c r="D2858"/>
      <c r="E2858"/>
      <c r="F2858"/>
      <c r="G2858"/>
      <c r="H2858"/>
      <c r="I2858"/>
      <c r="J2858"/>
      <c r="K2858"/>
      <c r="L2858"/>
      <c r="M2858"/>
      <c r="S2858" s="54"/>
    </row>
    <row r="2859" spans="1:19" s="15" customFormat="1" x14ac:dyDescent="0.3">
      <c r="A2859" s="17"/>
      <c r="B2859"/>
      <c r="C2859"/>
      <c r="D2859"/>
      <c r="E2859"/>
      <c r="F2859"/>
      <c r="G2859"/>
      <c r="H2859"/>
      <c r="I2859"/>
      <c r="J2859"/>
      <c r="K2859"/>
      <c r="L2859"/>
      <c r="M2859"/>
      <c r="S2859" s="54"/>
    </row>
    <row r="2860" spans="1:19" s="15" customFormat="1" x14ac:dyDescent="0.3">
      <c r="A2860" s="17"/>
      <c r="B2860"/>
      <c r="C2860"/>
      <c r="D2860"/>
      <c r="E2860"/>
      <c r="F2860"/>
      <c r="G2860"/>
      <c r="H2860"/>
      <c r="I2860"/>
      <c r="J2860"/>
      <c r="K2860"/>
      <c r="L2860"/>
      <c r="M2860"/>
      <c r="S2860" s="54"/>
    </row>
    <row r="2861" spans="1:19" s="15" customFormat="1" x14ac:dyDescent="0.3">
      <c r="A2861" s="17"/>
      <c r="B2861"/>
      <c r="C2861"/>
      <c r="D2861"/>
      <c r="E2861"/>
      <c r="F2861"/>
      <c r="G2861"/>
      <c r="H2861"/>
      <c r="I2861"/>
      <c r="J2861"/>
      <c r="K2861"/>
      <c r="L2861"/>
      <c r="M2861"/>
      <c r="S2861" s="54"/>
    </row>
    <row r="2862" spans="1:19" s="15" customFormat="1" x14ac:dyDescent="0.3">
      <c r="A2862" s="17"/>
      <c r="B2862"/>
      <c r="C2862"/>
      <c r="D2862"/>
      <c r="E2862"/>
      <c r="F2862"/>
      <c r="G2862"/>
      <c r="H2862"/>
      <c r="I2862"/>
      <c r="J2862"/>
      <c r="K2862"/>
      <c r="L2862"/>
      <c r="M2862"/>
      <c r="S2862" s="54"/>
    </row>
    <row r="2863" spans="1:19" s="15" customFormat="1" x14ac:dyDescent="0.3">
      <c r="A2863" s="17"/>
      <c r="B2863"/>
      <c r="C2863"/>
      <c r="D2863"/>
      <c r="E2863"/>
      <c r="F2863"/>
      <c r="G2863"/>
      <c r="H2863"/>
      <c r="I2863"/>
      <c r="J2863"/>
      <c r="K2863"/>
      <c r="L2863"/>
      <c r="M2863"/>
      <c r="S2863" s="54"/>
    </row>
    <row r="2864" spans="1:19" s="15" customFormat="1" x14ac:dyDescent="0.3">
      <c r="A2864" s="17"/>
      <c r="B2864"/>
      <c r="C2864"/>
      <c r="D2864"/>
      <c r="E2864"/>
      <c r="F2864"/>
      <c r="G2864"/>
      <c r="H2864"/>
      <c r="I2864"/>
      <c r="J2864"/>
      <c r="K2864"/>
      <c r="L2864"/>
      <c r="M2864"/>
      <c r="S2864" s="54"/>
    </row>
    <row r="2865" spans="1:19" s="15" customFormat="1" x14ac:dyDescent="0.3">
      <c r="A2865" s="17"/>
      <c r="B2865"/>
      <c r="C2865"/>
      <c r="D2865"/>
      <c r="E2865"/>
      <c r="F2865"/>
      <c r="G2865"/>
      <c r="H2865"/>
      <c r="I2865"/>
      <c r="J2865"/>
      <c r="K2865"/>
      <c r="L2865"/>
      <c r="M2865"/>
      <c r="S2865" s="54"/>
    </row>
    <row r="2866" spans="1:19" s="15" customFormat="1" x14ac:dyDescent="0.3">
      <c r="A2866" s="17"/>
      <c r="B2866"/>
      <c r="C2866"/>
      <c r="D2866"/>
      <c r="E2866"/>
      <c r="F2866"/>
      <c r="G2866"/>
      <c r="H2866"/>
      <c r="I2866"/>
      <c r="J2866"/>
      <c r="K2866"/>
      <c r="L2866"/>
      <c r="M2866"/>
      <c r="S2866" s="54"/>
    </row>
    <row r="2867" spans="1:19" s="15" customFormat="1" x14ac:dyDescent="0.3">
      <c r="A2867" s="17"/>
      <c r="B2867"/>
      <c r="C2867"/>
      <c r="D2867"/>
      <c r="E2867"/>
      <c r="F2867"/>
      <c r="G2867"/>
      <c r="H2867"/>
      <c r="I2867"/>
      <c r="J2867"/>
      <c r="K2867"/>
      <c r="L2867"/>
      <c r="M2867"/>
      <c r="S2867" s="54"/>
    </row>
    <row r="2868" spans="1:19" s="15" customFormat="1" x14ac:dyDescent="0.3">
      <c r="A2868" s="17"/>
      <c r="B2868"/>
      <c r="C2868"/>
      <c r="D2868"/>
      <c r="E2868"/>
      <c r="F2868"/>
      <c r="G2868"/>
      <c r="H2868"/>
      <c r="I2868"/>
      <c r="J2868"/>
      <c r="K2868"/>
      <c r="L2868"/>
      <c r="M2868"/>
      <c r="S2868" s="54"/>
    </row>
    <row r="2869" spans="1:19" s="15" customFormat="1" x14ac:dyDescent="0.3">
      <c r="A2869" s="17"/>
      <c r="B2869"/>
      <c r="C2869"/>
      <c r="D2869"/>
      <c r="E2869"/>
      <c r="F2869"/>
      <c r="G2869"/>
      <c r="H2869"/>
      <c r="I2869"/>
      <c r="J2869"/>
      <c r="K2869"/>
      <c r="L2869"/>
      <c r="M2869"/>
      <c r="S2869" s="54"/>
    </row>
    <row r="2870" spans="1:19" s="15" customFormat="1" x14ac:dyDescent="0.3">
      <c r="A2870" s="17"/>
      <c r="B2870"/>
      <c r="C2870"/>
      <c r="D2870"/>
      <c r="E2870"/>
      <c r="F2870"/>
      <c r="G2870"/>
      <c r="H2870"/>
      <c r="I2870"/>
      <c r="J2870"/>
      <c r="K2870"/>
      <c r="L2870"/>
      <c r="M2870"/>
      <c r="S2870" s="54"/>
    </row>
    <row r="2871" spans="1:19" s="15" customFormat="1" x14ac:dyDescent="0.3">
      <c r="A2871" s="17"/>
      <c r="B2871"/>
      <c r="C2871"/>
      <c r="D2871"/>
      <c r="E2871"/>
      <c r="F2871"/>
      <c r="G2871"/>
      <c r="H2871"/>
      <c r="I2871"/>
      <c r="J2871"/>
      <c r="K2871"/>
      <c r="L2871"/>
      <c r="M2871"/>
      <c r="S2871" s="54"/>
    </row>
    <row r="2872" spans="1:19" s="15" customFormat="1" x14ac:dyDescent="0.3">
      <c r="A2872" s="17"/>
      <c r="B2872"/>
      <c r="C2872"/>
      <c r="D2872"/>
      <c r="E2872"/>
      <c r="F2872"/>
      <c r="G2872"/>
      <c r="H2872"/>
      <c r="I2872"/>
      <c r="J2872"/>
      <c r="K2872"/>
      <c r="L2872"/>
      <c r="M2872"/>
      <c r="S2872" s="54"/>
    </row>
    <row r="2873" spans="1:19" s="15" customFormat="1" x14ac:dyDescent="0.3">
      <c r="A2873" s="17"/>
      <c r="B2873"/>
      <c r="C2873"/>
      <c r="D2873"/>
      <c r="E2873"/>
      <c r="F2873"/>
      <c r="G2873"/>
      <c r="H2873"/>
      <c r="I2873"/>
      <c r="J2873"/>
      <c r="K2873"/>
      <c r="L2873"/>
      <c r="M2873"/>
      <c r="S2873" s="54"/>
    </row>
    <row r="2874" spans="1:19" s="15" customFormat="1" x14ac:dyDescent="0.3">
      <c r="A2874" s="17"/>
      <c r="B2874"/>
      <c r="C2874"/>
      <c r="D2874"/>
      <c r="E2874"/>
      <c r="F2874"/>
      <c r="G2874"/>
      <c r="H2874"/>
      <c r="I2874"/>
      <c r="J2874"/>
      <c r="K2874"/>
      <c r="L2874"/>
      <c r="M2874"/>
      <c r="S2874" s="54"/>
    </row>
    <row r="2875" spans="1:19" s="15" customFormat="1" x14ac:dyDescent="0.3">
      <c r="A2875" s="17"/>
      <c r="B2875"/>
      <c r="C2875"/>
      <c r="D2875"/>
      <c r="E2875"/>
      <c r="F2875"/>
      <c r="G2875"/>
      <c r="H2875"/>
      <c r="I2875"/>
      <c r="J2875"/>
      <c r="K2875"/>
      <c r="L2875"/>
      <c r="M2875"/>
      <c r="S2875" s="54"/>
    </row>
    <row r="2876" spans="1:19" s="15" customFormat="1" x14ac:dyDescent="0.3">
      <c r="A2876" s="17"/>
      <c r="B2876"/>
      <c r="C2876"/>
      <c r="D2876"/>
      <c r="E2876"/>
      <c r="F2876"/>
      <c r="G2876"/>
      <c r="H2876"/>
      <c r="I2876"/>
      <c r="J2876"/>
      <c r="K2876"/>
      <c r="L2876"/>
      <c r="M2876"/>
      <c r="S2876" s="54"/>
    </row>
    <row r="2877" spans="1:19" s="15" customFormat="1" x14ac:dyDescent="0.3">
      <c r="A2877" s="17"/>
      <c r="B2877"/>
      <c r="C2877"/>
      <c r="D2877"/>
      <c r="E2877"/>
      <c r="F2877"/>
      <c r="G2877"/>
      <c r="H2877"/>
      <c r="I2877"/>
      <c r="J2877"/>
      <c r="K2877"/>
      <c r="L2877"/>
      <c r="M2877"/>
      <c r="S2877" s="54"/>
    </row>
    <row r="2878" spans="1:19" s="15" customFormat="1" x14ac:dyDescent="0.3">
      <c r="A2878" s="17"/>
      <c r="B2878"/>
      <c r="C2878"/>
      <c r="D2878"/>
      <c r="E2878"/>
      <c r="F2878"/>
      <c r="G2878"/>
      <c r="H2878"/>
      <c r="I2878"/>
      <c r="J2878"/>
      <c r="K2878"/>
      <c r="L2878"/>
      <c r="M2878"/>
      <c r="S2878" s="54"/>
    </row>
    <row r="2879" spans="1:19" s="15" customFormat="1" x14ac:dyDescent="0.3">
      <c r="A2879" s="17"/>
      <c r="B2879"/>
      <c r="C2879"/>
      <c r="D2879"/>
      <c r="E2879"/>
      <c r="F2879"/>
      <c r="G2879"/>
      <c r="H2879"/>
      <c r="I2879"/>
      <c r="J2879"/>
      <c r="K2879"/>
      <c r="L2879"/>
      <c r="M2879"/>
      <c r="S2879" s="54"/>
    </row>
    <row r="2880" spans="1:19" s="15" customFormat="1" x14ac:dyDescent="0.3">
      <c r="A2880" s="17"/>
      <c r="B2880"/>
      <c r="C2880"/>
      <c r="D2880"/>
      <c r="E2880"/>
      <c r="F2880"/>
      <c r="G2880"/>
      <c r="H2880"/>
      <c r="I2880"/>
      <c r="J2880"/>
      <c r="K2880"/>
      <c r="L2880"/>
      <c r="M2880"/>
      <c r="S2880" s="54"/>
    </row>
    <row r="2881" spans="1:19" s="15" customFormat="1" x14ac:dyDescent="0.3">
      <c r="A2881" s="17"/>
      <c r="B2881"/>
      <c r="C2881"/>
      <c r="D2881"/>
      <c r="E2881"/>
      <c r="F2881"/>
      <c r="G2881"/>
      <c r="H2881"/>
      <c r="I2881"/>
      <c r="J2881"/>
      <c r="K2881"/>
      <c r="L2881"/>
      <c r="M2881"/>
      <c r="S2881" s="54"/>
    </row>
    <row r="2882" spans="1:19" s="15" customFormat="1" x14ac:dyDescent="0.3">
      <c r="A2882" s="17"/>
      <c r="B2882"/>
      <c r="C2882"/>
      <c r="D2882"/>
      <c r="E2882"/>
      <c r="F2882"/>
      <c r="G2882"/>
      <c r="H2882"/>
      <c r="I2882"/>
      <c r="J2882"/>
      <c r="K2882"/>
      <c r="L2882"/>
      <c r="M2882"/>
      <c r="S2882" s="54"/>
    </row>
    <row r="2883" spans="1:19" s="15" customFormat="1" x14ac:dyDescent="0.3">
      <c r="A2883" s="17"/>
      <c r="B2883"/>
      <c r="C2883"/>
      <c r="D2883"/>
      <c r="E2883"/>
      <c r="F2883"/>
      <c r="G2883"/>
      <c r="H2883"/>
      <c r="I2883"/>
      <c r="J2883"/>
      <c r="K2883"/>
      <c r="L2883"/>
      <c r="M2883"/>
      <c r="S2883" s="54"/>
    </row>
    <row r="2884" spans="1:19" s="15" customFormat="1" x14ac:dyDescent="0.3">
      <c r="A2884" s="17"/>
      <c r="B2884"/>
      <c r="C2884"/>
      <c r="D2884"/>
      <c r="E2884"/>
      <c r="F2884"/>
      <c r="G2884"/>
      <c r="H2884"/>
      <c r="I2884"/>
      <c r="J2884"/>
      <c r="K2884"/>
      <c r="L2884"/>
      <c r="M2884"/>
      <c r="S2884" s="54"/>
    </row>
    <row r="2885" spans="1:19" s="15" customFormat="1" x14ac:dyDescent="0.3">
      <c r="A2885" s="17"/>
      <c r="B2885"/>
      <c r="C2885"/>
      <c r="D2885"/>
      <c r="E2885"/>
      <c r="F2885"/>
      <c r="G2885"/>
      <c r="H2885"/>
      <c r="I2885"/>
      <c r="J2885"/>
      <c r="K2885"/>
      <c r="L2885"/>
      <c r="M2885"/>
      <c r="S2885" s="54"/>
    </row>
    <row r="2886" spans="1:19" s="15" customFormat="1" x14ac:dyDescent="0.3">
      <c r="A2886" s="17"/>
      <c r="B2886"/>
      <c r="C2886"/>
      <c r="D2886"/>
      <c r="E2886"/>
      <c r="F2886"/>
      <c r="G2886"/>
      <c r="H2886"/>
      <c r="I2886"/>
      <c r="J2886"/>
      <c r="K2886"/>
      <c r="L2886"/>
      <c r="M2886"/>
      <c r="S2886" s="54"/>
    </row>
    <row r="2887" spans="1:19" s="15" customFormat="1" x14ac:dyDescent="0.3">
      <c r="A2887" s="17"/>
      <c r="B2887"/>
      <c r="C2887"/>
      <c r="D2887"/>
      <c r="E2887"/>
      <c r="F2887"/>
      <c r="G2887"/>
      <c r="H2887"/>
      <c r="I2887"/>
      <c r="J2887"/>
      <c r="K2887"/>
      <c r="L2887"/>
      <c r="M2887"/>
      <c r="S2887" s="54"/>
    </row>
    <row r="2888" spans="1:19" s="15" customFormat="1" x14ac:dyDescent="0.3">
      <c r="A2888" s="17"/>
      <c r="B2888"/>
      <c r="C2888"/>
      <c r="D2888"/>
      <c r="E2888"/>
      <c r="F2888"/>
      <c r="G2888"/>
      <c r="H2888"/>
      <c r="I2888"/>
      <c r="J2888"/>
      <c r="K2888"/>
      <c r="L2888"/>
      <c r="M2888"/>
      <c r="S2888" s="54"/>
    </row>
    <row r="2889" spans="1:19" s="15" customFormat="1" x14ac:dyDescent="0.3">
      <c r="A2889" s="17"/>
      <c r="B2889"/>
      <c r="C2889"/>
      <c r="D2889"/>
      <c r="E2889"/>
      <c r="F2889"/>
      <c r="G2889"/>
      <c r="H2889"/>
      <c r="I2889"/>
      <c r="J2889"/>
      <c r="K2889"/>
      <c r="L2889"/>
      <c r="M2889"/>
      <c r="S2889" s="54"/>
    </row>
    <row r="2890" spans="1:19" s="15" customFormat="1" x14ac:dyDescent="0.3">
      <c r="A2890" s="17"/>
      <c r="B2890"/>
      <c r="C2890"/>
      <c r="D2890"/>
      <c r="E2890"/>
      <c r="F2890"/>
      <c r="G2890"/>
      <c r="H2890"/>
      <c r="I2890"/>
      <c r="J2890"/>
      <c r="K2890"/>
      <c r="L2890"/>
      <c r="M2890"/>
      <c r="S2890" s="54"/>
    </row>
    <row r="2891" spans="1:19" s="15" customFormat="1" x14ac:dyDescent="0.3">
      <c r="A2891" s="17"/>
      <c r="B2891"/>
      <c r="C2891"/>
      <c r="D2891"/>
      <c r="E2891"/>
      <c r="F2891"/>
      <c r="G2891"/>
      <c r="H2891"/>
      <c r="I2891"/>
      <c r="J2891"/>
      <c r="K2891"/>
      <c r="L2891"/>
      <c r="M2891"/>
      <c r="S2891" s="54"/>
    </row>
    <row r="2892" spans="1:19" s="15" customFormat="1" x14ac:dyDescent="0.3">
      <c r="A2892" s="17"/>
      <c r="B2892"/>
      <c r="C2892"/>
      <c r="D2892"/>
      <c r="E2892"/>
      <c r="F2892"/>
      <c r="G2892"/>
      <c r="H2892"/>
      <c r="I2892"/>
      <c r="J2892"/>
      <c r="K2892"/>
      <c r="L2892"/>
      <c r="M2892"/>
      <c r="S2892" s="54"/>
    </row>
    <row r="2893" spans="1:19" s="15" customFormat="1" x14ac:dyDescent="0.3">
      <c r="A2893" s="17"/>
      <c r="B2893"/>
      <c r="C2893"/>
      <c r="D2893"/>
      <c r="E2893"/>
      <c r="F2893"/>
      <c r="G2893"/>
      <c r="H2893"/>
      <c r="I2893"/>
      <c r="J2893"/>
      <c r="K2893"/>
      <c r="L2893"/>
      <c r="M2893"/>
      <c r="S2893" s="54"/>
    </row>
    <row r="2894" spans="1:19" s="15" customFormat="1" x14ac:dyDescent="0.3">
      <c r="A2894" s="17"/>
      <c r="B2894"/>
      <c r="C2894"/>
      <c r="D2894"/>
      <c r="E2894"/>
      <c r="F2894"/>
      <c r="G2894"/>
      <c r="H2894"/>
      <c r="I2894"/>
      <c r="J2894"/>
      <c r="K2894"/>
      <c r="L2894"/>
      <c r="M2894"/>
      <c r="S2894" s="54"/>
    </row>
    <row r="2895" spans="1:19" s="15" customFormat="1" x14ac:dyDescent="0.3">
      <c r="A2895" s="17"/>
      <c r="B2895"/>
      <c r="C2895"/>
      <c r="D2895"/>
      <c r="E2895"/>
      <c r="F2895"/>
      <c r="G2895"/>
      <c r="H2895"/>
      <c r="I2895"/>
      <c r="J2895"/>
      <c r="K2895"/>
      <c r="L2895"/>
      <c r="M2895"/>
      <c r="S2895" s="54"/>
    </row>
    <row r="2896" spans="1:19" s="15" customFormat="1" x14ac:dyDescent="0.3">
      <c r="A2896" s="17"/>
      <c r="B2896"/>
      <c r="C2896"/>
      <c r="D2896"/>
      <c r="E2896"/>
      <c r="F2896"/>
      <c r="G2896"/>
      <c r="H2896"/>
      <c r="I2896"/>
      <c r="J2896"/>
      <c r="K2896"/>
      <c r="L2896"/>
      <c r="M2896"/>
      <c r="S2896" s="54"/>
    </row>
    <row r="2897" spans="1:19" s="15" customFormat="1" x14ac:dyDescent="0.3">
      <c r="A2897" s="17"/>
      <c r="B2897"/>
      <c r="C2897"/>
      <c r="D2897"/>
      <c r="E2897"/>
      <c r="F2897"/>
      <c r="G2897"/>
      <c r="H2897"/>
      <c r="I2897"/>
      <c r="J2897"/>
      <c r="K2897"/>
      <c r="L2897"/>
      <c r="M2897"/>
      <c r="S2897" s="54"/>
    </row>
    <row r="2898" spans="1:19" s="15" customFormat="1" x14ac:dyDescent="0.3">
      <c r="A2898" s="17"/>
      <c r="B2898"/>
      <c r="C2898"/>
      <c r="D2898"/>
      <c r="E2898"/>
      <c r="F2898"/>
      <c r="G2898"/>
      <c r="H2898"/>
      <c r="I2898"/>
      <c r="J2898"/>
      <c r="K2898"/>
      <c r="L2898"/>
      <c r="M2898"/>
      <c r="S2898" s="54"/>
    </row>
    <row r="2899" spans="1:19" s="15" customFormat="1" x14ac:dyDescent="0.3">
      <c r="A2899" s="17"/>
      <c r="B2899"/>
      <c r="C2899"/>
      <c r="D2899"/>
      <c r="E2899"/>
      <c r="F2899"/>
      <c r="G2899"/>
      <c r="H2899"/>
      <c r="I2899"/>
      <c r="J2899"/>
      <c r="K2899"/>
      <c r="L2899"/>
      <c r="M2899"/>
      <c r="S2899" s="54"/>
    </row>
    <row r="2900" spans="1:19" s="15" customFormat="1" x14ac:dyDescent="0.3">
      <c r="A2900" s="17"/>
      <c r="B2900"/>
      <c r="C2900"/>
      <c r="D2900"/>
      <c r="E2900"/>
      <c r="F2900"/>
      <c r="G2900"/>
      <c r="H2900"/>
      <c r="I2900"/>
      <c r="J2900"/>
      <c r="K2900"/>
      <c r="L2900"/>
      <c r="M2900"/>
      <c r="S2900" s="54"/>
    </row>
    <row r="2901" spans="1:19" s="15" customFormat="1" x14ac:dyDescent="0.3">
      <c r="A2901" s="17"/>
      <c r="B2901"/>
      <c r="C2901"/>
      <c r="D2901"/>
      <c r="E2901"/>
      <c r="F2901"/>
      <c r="G2901"/>
      <c r="H2901"/>
      <c r="I2901"/>
      <c r="J2901"/>
      <c r="K2901"/>
      <c r="L2901"/>
      <c r="M2901"/>
      <c r="S2901" s="54"/>
    </row>
    <row r="2902" spans="1:19" s="15" customFormat="1" x14ac:dyDescent="0.3">
      <c r="A2902" s="17"/>
      <c r="B2902"/>
      <c r="C2902"/>
      <c r="D2902"/>
      <c r="E2902"/>
      <c r="F2902"/>
      <c r="G2902"/>
      <c r="H2902"/>
      <c r="I2902"/>
      <c r="J2902"/>
      <c r="K2902"/>
      <c r="L2902"/>
      <c r="M2902"/>
      <c r="S2902" s="54"/>
    </row>
    <row r="2903" spans="1:19" s="15" customFormat="1" x14ac:dyDescent="0.3">
      <c r="A2903" s="17"/>
      <c r="B2903"/>
      <c r="C2903"/>
      <c r="D2903"/>
      <c r="E2903"/>
      <c r="F2903"/>
      <c r="G2903"/>
      <c r="H2903"/>
      <c r="I2903"/>
      <c r="J2903"/>
      <c r="K2903"/>
      <c r="L2903"/>
      <c r="M2903"/>
      <c r="S2903" s="54"/>
    </row>
    <row r="2904" spans="1:19" s="15" customFormat="1" x14ac:dyDescent="0.3">
      <c r="A2904" s="17"/>
      <c r="B2904"/>
      <c r="C2904"/>
      <c r="D2904"/>
      <c r="E2904"/>
      <c r="F2904"/>
      <c r="G2904"/>
      <c r="H2904"/>
      <c r="I2904"/>
      <c r="J2904"/>
      <c r="K2904"/>
      <c r="L2904"/>
      <c r="M2904"/>
      <c r="S2904" s="54"/>
    </row>
    <row r="2905" spans="1:19" s="15" customFormat="1" x14ac:dyDescent="0.3">
      <c r="A2905" s="17"/>
      <c r="B2905"/>
      <c r="C2905"/>
      <c r="D2905"/>
      <c r="E2905"/>
      <c r="F2905"/>
      <c r="G2905"/>
      <c r="H2905"/>
      <c r="I2905"/>
      <c r="J2905"/>
      <c r="K2905"/>
      <c r="L2905"/>
      <c r="M2905"/>
      <c r="S2905" s="54"/>
    </row>
    <row r="2906" spans="1:19" s="15" customFormat="1" x14ac:dyDescent="0.3">
      <c r="A2906" s="17"/>
      <c r="B2906"/>
      <c r="C2906"/>
      <c r="D2906"/>
      <c r="E2906"/>
      <c r="F2906"/>
      <c r="G2906"/>
      <c r="H2906"/>
      <c r="I2906"/>
      <c r="J2906"/>
      <c r="K2906"/>
      <c r="L2906"/>
      <c r="M2906"/>
      <c r="S2906" s="54"/>
    </row>
    <row r="2907" spans="1:19" s="15" customFormat="1" x14ac:dyDescent="0.3">
      <c r="A2907" s="17"/>
      <c r="B2907"/>
      <c r="C2907"/>
      <c r="D2907"/>
      <c r="E2907"/>
      <c r="F2907"/>
      <c r="G2907"/>
      <c r="H2907"/>
      <c r="I2907"/>
      <c r="J2907"/>
      <c r="K2907"/>
      <c r="L2907"/>
      <c r="M2907"/>
      <c r="S2907" s="54"/>
    </row>
    <row r="2908" spans="1:19" s="15" customFormat="1" x14ac:dyDescent="0.3">
      <c r="A2908" s="17"/>
      <c r="B2908"/>
      <c r="C2908"/>
      <c r="D2908"/>
      <c r="E2908"/>
      <c r="F2908"/>
      <c r="G2908"/>
      <c r="H2908"/>
      <c r="I2908"/>
      <c r="J2908"/>
      <c r="K2908"/>
      <c r="L2908"/>
      <c r="M2908"/>
      <c r="S2908" s="54"/>
    </row>
    <row r="2909" spans="1:19" s="15" customFormat="1" x14ac:dyDescent="0.3">
      <c r="A2909" s="17"/>
      <c r="B2909"/>
      <c r="C2909"/>
      <c r="D2909"/>
      <c r="E2909"/>
      <c r="F2909"/>
      <c r="G2909"/>
      <c r="H2909"/>
      <c r="I2909"/>
      <c r="J2909"/>
      <c r="K2909"/>
      <c r="L2909"/>
      <c r="M2909"/>
      <c r="S2909" s="54"/>
    </row>
    <row r="2910" spans="1:19" s="15" customFormat="1" x14ac:dyDescent="0.3">
      <c r="A2910" s="17"/>
      <c r="B2910"/>
      <c r="C2910"/>
      <c r="D2910"/>
      <c r="E2910"/>
      <c r="F2910"/>
      <c r="G2910"/>
      <c r="H2910"/>
      <c r="I2910"/>
      <c r="J2910"/>
      <c r="K2910"/>
      <c r="L2910"/>
      <c r="M2910"/>
      <c r="S2910" s="54"/>
    </row>
    <row r="2911" spans="1:19" s="15" customFormat="1" x14ac:dyDescent="0.3">
      <c r="A2911" s="17"/>
      <c r="B2911"/>
      <c r="C2911"/>
      <c r="D2911"/>
      <c r="E2911"/>
      <c r="F2911"/>
      <c r="G2911"/>
      <c r="H2911"/>
      <c r="I2911"/>
      <c r="J2911"/>
      <c r="K2911"/>
      <c r="L2911"/>
      <c r="M2911"/>
      <c r="S2911" s="54"/>
    </row>
    <row r="2912" spans="1:19" s="15" customFormat="1" x14ac:dyDescent="0.3">
      <c r="A2912" s="17"/>
      <c r="B2912"/>
      <c r="C2912"/>
      <c r="D2912"/>
      <c r="E2912"/>
      <c r="F2912"/>
      <c r="G2912"/>
      <c r="H2912"/>
      <c r="I2912"/>
      <c r="J2912"/>
      <c r="K2912"/>
      <c r="L2912"/>
      <c r="M2912"/>
      <c r="S2912" s="54"/>
    </row>
    <row r="2913" spans="1:19" s="15" customFormat="1" x14ac:dyDescent="0.3">
      <c r="A2913" s="17"/>
      <c r="B2913"/>
      <c r="C2913"/>
      <c r="D2913"/>
      <c r="E2913"/>
      <c r="F2913"/>
      <c r="G2913"/>
      <c r="H2913"/>
      <c r="I2913"/>
      <c r="J2913"/>
      <c r="K2913"/>
      <c r="L2913"/>
      <c r="M2913"/>
      <c r="S2913" s="54"/>
    </row>
    <row r="2914" spans="1:19" s="15" customFormat="1" x14ac:dyDescent="0.3">
      <c r="A2914" s="17"/>
      <c r="B2914"/>
      <c r="C2914"/>
      <c r="D2914"/>
      <c r="E2914"/>
      <c r="F2914"/>
      <c r="G2914"/>
      <c r="H2914"/>
      <c r="I2914"/>
      <c r="J2914"/>
      <c r="K2914"/>
      <c r="L2914"/>
      <c r="M2914"/>
      <c r="S2914" s="54"/>
    </row>
    <row r="2915" spans="1:19" s="15" customFormat="1" x14ac:dyDescent="0.3">
      <c r="A2915" s="17"/>
      <c r="B2915"/>
      <c r="C2915"/>
      <c r="D2915"/>
      <c r="E2915"/>
      <c r="F2915"/>
      <c r="G2915"/>
      <c r="H2915"/>
      <c r="I2915"/>
      <c r="J2915"/>
      <c r="K2915"/>
      <c r="L2915"/>
      <c r="M2915"/>
      <c r="S2915" s="54"/>
    </row>
    <row r="2916" spans="1:19" s="15" customFormat="1" x14ac:dyDescent="0.3">
      <c r="A2916" s="17"/>
      <c r="B2916"/>
      <c r="C2916"/>
      <c r="D2916"/>
      <c r="E2916"/>
      <c r="F2916"/>
      <c r="G2916"/>
      <c r="H2916"/>
      <c r="I2916"/>
      <c r="J2916"/>
      <c r="K2916"/>
      <c r="L2916"/>
      <c r="M2916"/>
      <c r="S2916" s="54"/>
    </row>
    <row r="2917" spans="1:19" s="15" customFormat="1" x14ac:dyDescent="0.3">
      <c r="A2917" s="17"/>
      <c r="B2917"/>
      <c r="C2917"/>
      <c r="D2917"/>
      <c r="E2917"/>
      <c r="F2917"/>
      <c r="G2917"/>
      <c r="H2917"/>
      <c r="I2917"/>
      <c r="J2917"/>
      <c r="K2917"/>
      <c r="L2917"/>
      <c r="M2917"/>
      <c r="S2917" s="54"/>
    </row>
    <row r="2918" spans="1:19" s="15" customFormat="1" x14ac:dyDescent="0.3">
      <c r="A2918" s="17"/>
      <c r="B2918"/>
      <c r="C2918"/>
      <c r="D2918"/>
      <c r="E2918"/>
      <c r="F2918"/>
      <c r="G2918"/>
      <c r="H2918"/>
      <c r="I2918"/>
      <c r="J2918"/>
      <c r="K2918"/>
      <c r="L2918"/>
      <c r="M2918"/>
      <c r="S2918" s="54"/>
    </row>
    <row r="2919" spans="1:19" s="15" customFormat="1" x14ac:dyDescent="0.3">
      <c r="A2919" s="17"/>
      <c r="B2919"/>
      <c r="C2919"/>
      <c r="D2919"/>
      <c r="E2919"/>
      <c r="F2919"/>
      <c r="G2919"/>
      <c r="H2919"/>
      <c r="I2919"/>
      <c r="J2919"/>
      <c r="K2919"/>
      <c r="L2919"/>
      <c r="M2919"/>
      <c r="S2919" s="54"/>
    </row>
    <row r="2920" spans="1:19" s="15" customFormat="1" x14ac:dyDescent="0.3">
      <c r="A2920" s="17"/>
      <c r="B2920"/>
      <c r="C2920"/>
      <c r="D2920"/>
      <c r="E2920"/>
      <c r="F2920"/>
      <c r="G2920"/>
      <c r="H2920"/>
      <c r="I2920"/>
      <c r="J2920"/>
      <c r="K2920"/>
      <c r="L2920"/>
      <c r="M2920"/>
      <c r="S2920" s="54"/>
    </row>
    <row r="2921" spans="1:19" s="15" customFormat="1" x14ac:dyDescent="0.3">
      <c r="A2921" s="17"/>
      <c r="B2921"/>
      <c r="C2921"/>
      <c r="D2921"/>
      <c r="E2921"/>
      <c r="F2921"/>
      <c r="G2921"/>
      <c r="H2921"/>
      <c r="I2921"/>
      <c r="J2921"/>
      <c r="K2921"/>
      <c r="L2921"/>
      <c r="M2921"/>
      <c r="S2921" s="54"/>
    </row>
    <row r="2922" spans="1:19" s="15" customFormat="1" x14ac:dyDescent="0.3">
      <c r="A2922" s="17"/>
      <c r="B2922"/>
      <c r="C2922"/>
      <c r="D2922"/>
      <c r="E2922"/>
      <c r="F2922"/>
      <c r="G2922"/>
      <c r="H2922"/>
      <c r="I2922"/>
      <c r="J2922"/>
      <c r="K2922"/>
      <c r="L2922"/>
      <c r="M2922"/>
      <c r="S2922" s="54"/>
    </row>
    <row r="2923" spans="1:19" s="15" customFormat="1" x14ac:dyDescent="0.3">
      <c r="A2923" s="17"/>
      <c r="B2923"/>
      <c r="C2923"/>
      <c r="D2923"/>
      <c r="E2923"/>
      <c r="F2923"/>
      <c r="G2923"/>
      <c r="H2923"/>
      <c r="I2923"/>
      <c r="J2923"/>
      <c r="K2923"/>
      <c r="L2923"/>
      <c r="M2923"/>
      <c r="S2923" s="54"/>
    </row>
    <row r="2924" spans="1:19" s="15" customFormat="1" x14ac:dyDescent="0.3">
      <c r="A2924" s="17"/>
      <c r="B2924"/>
      <c r="C2924"/>
      <c r="D2924"/>
      <c r="E2924"/>
      <c r="F2924"/>
      <c r="G2924"/>
      <c r="H2924"/>
      <c r="I2924"/>
      <c r="J2924"/>
      <c r="K2924"/>
      <c r="L2924"/>
      <c r="M2924"/>
      <c r="S2924" s="54"/>
    </row>
    <row r="2925" spans="1:19" s="15" customFormat="1" x14ac:dyDescent="0.3">
      <c r="A2925" s="17"/>
      <c r="B2925"/>
      <c r="C2925"/>
      <c r="D2925"/>
      <c r="E2925"/>
      <c r="F2925"/>
      <c r="G2925"/>
      <c r="H2925"/>
      <c r="I2925"/>
      <c r="J2925"/>
      <c r="K2925"/>
      <c r="L2925"/>
      <c r="M2925"/>
      <c r="S2925" s="54"/>
    </row>
    <row r="2926" spans="1:19" s="15" customFormat="1" x14ac:dyDescent="0.3">
      <c r="A2926" s="17"/>
      <c r="B2926"/>
      <c r="C2926"/>
      <c r="D2926"/>
      <c r="E2926"/>
      <c r="F2926"/>
      <c r="G2926"/>
      <c r="H2926"/>
      <c r="I2926"/>
      <c r="J2926"/>
      <c r="K2926"/>
      <c r="L2926"/>
      <c r="M2926"/>
      <c r="S2926" s="54"/>
    </row>
    <row r="2927" spans="1:19" s="15" customFormat="1" x14ac:dyDescent="0.3">
      <c r="A2927" s="17"/>
      <c r="B2927"/>
      <c r="C2927"/>
      <c r="D2927"/>
      <c r="E2927"/>
      <c r="F2927"/>
      <c r="G2927"/>
      <c r="H2927"/>
      <c r="I2927"/>
      <c r="J2927"/>
      <c r="K2927"/>
      <c r="L2927"/>
      <c r="M2927"/>
      <c r="S2927" s="54"/>
    </row>
    <row r="2928" spans="1:19" s="15" customFormat="1" x14ac:dyDescent="0.3">
      <c r="A2928" s="17"/>
      <c r="B2928"/>
      <c r="C2928"/>
      <c r="D2928"/>
      <c r="E2928"/>
      <c r="F2928"/>
      <c r="G2928"/>
      <c r="H2928"/>
      <c r="I2928"/>
      <c r="J2928"/>
      <c r="K2928"/>
      <c r="L2928"/>
      <c r="M2928"/>
      <c r="S2928" s="54"/>
    </row>
    <row r="2929" spans="1:19" s="15" customFormat="1" x14ac:dyDescent="0.3">
      <c r="A2929" s="17"/>
      <c r="B2929"/>
      <c r="C2929"/>
      <c r="D2929"/>
      <c r="E2929"/>
      <c r="F2929"/>
      <c r="G2929"/>
      <c r="H2929"/>
      <c r="I2929"/>
      <c r="J2929"/>
      <c r="K2929"/>
      <c r="L2929"/>
      <c r="M2929"/>
      <c r="S2929" s="54"/>
    </row>
    <row r="2930" spans="1:19" s="15" customFormat="1" x14ac:dyDescent="0.3">
      <c r="A2930" s="17"/>
      <c r="B2930"/>
      <c r="C2930"/>
      <c r="D2930"/>
      <c r="E2930"/>
      <c r="F2930"/>
      <c r="G2930"/>
      <c r="H2930"/>
      <c r="I2930"/>
      <c r="J2930"/>
      <c r="K2930"/>
      <c r="L2930"/>
      <c r="M2930"/>
      <c r="S2930" s="54"/>
    </row>
    <row r="2931" spans="1:19" s="15" customFormat="1" x14ac:dyDescent="0.3">
      <c r="A2931" s="17"/>
      <c r="B2931"/>
      <c r="C2931"/>
      <c r="D2931"/>
      <c r="E2931"/>
      <c r="F2931"/>
      <c r="G2931"/>
      <c r="H2931"/>
      <c r="I2931"/>
      <c r="J2931"/>
      <c r="K2931"/>
      <c r="L2931"/>
      <c r="M2931"/>
      <c r="S2931" s="54"/>
    </row>
    <row r="2932" spans="1:19" s="15" customFormat="1" x14ac:dyDescent="0.3">
      <c r="A2932" s="17"/>
      <c r="B2932"/>
      <c r="C2932"/>
      <c r="D2932"/>
      <c r="E2932"/>
      <c r="F2932"/>
      <c r="G2932"/>
      <c r="H2932"/>
      <c r="I2932"/>
      <c r="J2932"/>
      <c r="K2932"/>
      <c r="L2932"/>
      <c r="M2932"/>
      <c r="S2932" s="54"/>
    </row>
    <row r="2933" spans="1:19" s="15" customFormat="1" x14ac:dyDescent="0.3">
      <c r="A2933" s="17"/>
      <c r="B2933"/>
      <c r="C2933"/>
      <c r="D2933"/>
      <c r="E2933"/>
      <c r="F2933"/>
      <c r="G2933"/>
      <c r="H2933"/>
      <c r="I2933"/>
      <c r="J2933"/>
      <c r="K2933"/>
      <c r="L2933"/>
      <c r="M2933"/>
      <c r="S2933" s="54"/>
    </row>
    <row r="2934" spans="1:19" s="15" customFormat="1" x14ac:dyDescent="0.3">
      <c r="A2934" s="17"/>
      <c r="B2934"/>
      <c r="C2934"/>
      <c r="D2934"/>
      <c r="E2934"/>
      <c r="F2934"/>
      <c r="G2934"/>
      <c r="H2934"/>
      <c r="I2934"/>
      <c r="J2934"/>
      <c r="K2934"/>
      <c r="L2934"/>
      <c r="M2934"/>
      <c r="S2934" s="54"/>
    </row>
    <row r="2935" spans="1:19" s="15" customFormat="1" x14ac:dyDescent="0.3">
      <c r="A2935" s="17"/>
      <c r="B2935"/>
      <c r="C2935"/>
      <c r="D2935"/>
      <c r="E2935"/>
      <c r="F2935"/>
      <c r="G2935"/>
      <c r="H2935"/>
      <c r="I2935"/>
      <c r="J2935"/>
      <c r="K2935"/>
      <c r="L2935"/>
      <c r="M2935"/>
      <c r="S2935" s="54"/>
    </row>
    <row r="2936" spans="1:19" s="15" customFormat="1" x14ac:dyDescent="0.3">
      <c r="A2936" s="17"/>
      <c r="B2936"/>
      <c r="C2936"/>
      <c r="D2936"/>
      <c r="E2936"/>
      <c r="F2936"/>
      <c r="G2936"/>
      <c r="H2936"/>
      <c r="I2936"/>
      <c r="J2936"/>
      <c r="K2936"/>
      <c r="L2936"/>
      <c r="M2936"/>
      <c r="S2936" s="54"/>
    </row>
    <row r="2937" spans="1:19" s="15" customFormat="1" x14ac:dyDescent="0.3">
      <c r="A2937" s="17"/>
      <c r="B2937"/>
      <c r="C2937"/>
      <c r="D2937"/>
      <c r="E2937"/>
      <c r="F2937"/>
      <c r="G2937"/>
      <c r="H2937"/>
      <c r="I2937"/>
      <c r="J2937"/>
      <c r="K2937"/>
      <c r="L2937"/>
      <c r="M2937"/>
      <c r="S2937" s="54"/>
    </row>
    <row r="2938" spans="1:19" s="15" customFormat="1" x14ac:dyDescent="0.3">
      <c r="A2938" s="17"/>
      <c r="B2938"/>
      <c r="C2938"/>
      <c r="D2938"/>
      <c r="E2938"/>
      <c r="F2938"/>
      <c r="G2938"/>
      <c r="H2938"/>
      <c r="I2938"/>
      <c r="J2938"/>
      <c r="K2938"/>
      <c r="L2938"/>
      <c r="M2938"/>
      <c r="S2938" s="54"/>
    </row>
    <row r="2939" spans="1:19" s="15" customFormat="1" x14ac:dyDescent="0.3">
      <c r="A2939" s="17"/>
      <c r="B2939"/>
      <c r="C2939"/>
      <c r="D2939"/>
      <c r="E2939"/>
      <c r="F2939"/>
      <c r="G2939"/>
      <c r="H2939"/>
      <c r="I2939"/>
      <c r="J2939"/>
      <c r="K2939"/>
      <c r="L2939"/>
      <c r="M2939"/>
      <c r="S2939" s="54"/>
    </row>
    <row r="2940" spans="1:19" s="15" customFormat="1" x14ac:dyDescent="0.3">
      <c r="A2940" s="17"/>
      <c r="B2940"/>
      <c r="C2940"/>
      <c r="D2940"/>
      <c r="E2940"/>
      <c r="F2940"/>
      <c r="G2940"/>
      <c r="H2940"/>
      <c r="I2940"/>
      <c r="J2940"/>
      <c r="K2940"/>
      <c r="L2940"/>
      <c r="M2940"/>
      <c r="S2940" s="54"/>
    </row>
    <row r="2941" spans="1:19" s="15" customFormat="1" x14ac:dyDescent="0.3">
      <c r="A2941" s="17"/>
      <c r="B2941"/>
      <c r="C2941"/>
      <c r="D2941"/>
      <c r="E2941"/>
      <c r="F2941"/>
      <c r="G2941"/>
      <c r="H2941"/>
      <c r="I2941"/>
      <c r="J2941"/>
      <c r="K2941"/>
      <c r="L2941"/>
      <c r="M2941"/>
      <c r="S2941" s="54"/>
    </row>
    <row r="2942" spans="1:19" s="15" customFormat="1" x14ac:dyDescent="0.3">
      <c r="A2942" s="17"/>
      <c r="B2942"/>
      <c r="C2942"/>
      <c r="D2942"/>
      <c r="E2942"/>
      <c r="F2942"/>
      <c r="G2942"/>
      <c r="H2942"/>
      <c r="I2942"/>
      <c r="J2942"/>
      <c r="K2942"/>
      <c r="L2942"/>
      <c r="M2942"/>
      <c r="S2942" s="54"/>
    </row>
    <row r="2943" spans="1:19" s="15" customFormat="1" x14ac:dyDescent="0.3">
      <c r="A2943" s="17"/>
      <c r="B2943"/>
      <c r="C2943"/>
      <c r="D2943"/>
      <c r="E2943"/>
      <c r="F2943"/>
      <c r="G2943"/>
      <c r="H2943"/>
      <c r="I2943"/>
      <c r="J2943"/>
      <c r="K2943"/>
      <c r="L2943"/>
      <c r="M2943"/>
      <c r="S2943" s="54"/>
    </row>
    <row r="2944" spans="1:19" s="15" customFormat="1" x14ac:dyDescent="0.3">
      <c r="A2944" s="17"/>
      <c r="B2944"/>
      <c r="C2944"/>
      <c r="D2944"/>
      <c r="E2944"/>
      <c r="F2944"/>
      <c r="G2944"/>
      <c r="H2944"/>
      <c r="I2944"/>
      <c r="J2944"/>
      <c r="K2944"/>
      <c r="L2944"/>
      <c r="M2944"/>
      <c r="S2944" s="54"/>
    </row>
    <row r="2945" spans="1:19" s="15" customFormat="1" x14ac:dyDescent="0.3">
      <c r="A2945" s="17"/>
      <c r="B2945"/>
      <c r="C2945"/>
      <c r="D2945"/>
      <c r="E2945"/>
      <c r="F2945"/>
      <c r="G2945"/>
      <c r="H2945"/>
      <c r="I2945"/>
      <c r="J2945"/>
      <c r="K2945"/>
      <c r="L2945"/>
      <c r="M2945"/>
      <c r="S2945" s="54"/>
    </row>
    <row r="2946" spans="1:19" s="15" customFormat="1" x14ac:dyDescent="0.3">
      <c r="A2946" s="17"/>
      <c r="B2946"/>
      <c r="C2946"/>
      <c r="D2946"/>
      <c r="E2946"/>
      <c r="F2946"/>
      <c r="G2946"/>
      <c r="H2946"/>
      <c r="I2946"/>
      <c r="J2946"/>
      <c r="K2946"/>
      <c r="L2946"/>
      <c r="M2946"/>
      <c r="S2946" s="54"/>
    </row>
    <row r="2947" spans="1:19" s="15" customFormat="1" x14ac:dyDescent="0.3">
      <c r="A2947" s="17"/>
      <c r="B2947"/>
      <c r="C2947"/>
      <c r="D2947"/>
      <c r="E2947"/>
      <c r="F2947"/>
      <c r="G2947"/>
      <c r="H2947"/>
      <c r="I2947"/>
      <c r="J2947"/>
      <c r="K2947"/>
      <c r="L2947"/>
      <c r="M2947"/>
      <c r="S2947" s="54"/>
    </row>
    <row r="2948" spans="1:19" s="15" customFormat="1" x14ac:dyDescent="0.3">
      <c r="A2948" s="17"/>
      <c r="B2948"/>
      <c r="C2948"/>
      <c r="D2948"/>
      <c r="E2948"/>
      <c r="F2948"/>
      <c r="G2948"/>
      <c r="H2948"/>
      <c r="I2948"/>
      <c r="J2948"/>
      <c r="K2948"/>
      <c r="L2948"/>
      <c r="M2948"/>
      <c r="S2948" s="54"/>
    </row>
    <row r="2949" spans="1:19" s="15" customFormat="1" x14ac:dyDescent="0.3">
      <c r="A2949" s="17"/>
      <c r="B2949"/>
      <c r="C2949"/>
      <c r="D2949"/>
      <c r="E2949"/>
      <c r="F2949"/>
      <c r="G2949"/>
      <c r="H2949"/>
      <c r="I2949"/>
      <c r="J2949"/>
      <c r="K2949"/>
      <c r="L2949"/>
      <c r="M2949"/>
      <c r="S2949" s="54"/>
    </row>
    <row r="2950" spans="1:19" s="15" customFormat="1" x14ac:dyDescent="0.3">
      <c r="A2950" s="17"/>
      <c r="B2950"/>
      <c r="C2950"/>
      <c r="D2950"/>
      <c r="E2950"/>
      <c r="F2950"/>
      <c r="G2950"/>
      <c r="H2950"/>
      <c r="I2950"/>
      <c r="J2950"/>
      <c r="K2950"/>
      <c r="L2950"/>
      <c r="M2950"/>
      <c r="S2950" s="54"/>
    </row>
    <row r="2951" spans="1:19" s="15" customFormat="1" x14ac:dyDescent="0.3">
      <c r="A2951" s="17"/>
      <c r="B2951"/>
      <c r="C2951"/>
      <c r="D2951"/>
      <c r="E2951"/>
      <c r="F2951"/>
      <c r="G2951"/>
      <c r="H2951"/>
      <c r="I2951"/>
      <c r="J2951"/>
      <c r="K2951"/>
      <c r="L2951"/>
      <c r="M2951"/>
      <c r="S2951" s="54"/>
    </row>
    <row r="2952" spans="1:19" s="15" customFormat="1" x14ac:dyDescent="0.3">
      <c r="A2952" s="17"/>
      <c r="B2952"/>
      <c r="C2952"/>
      <c r="D2952"/>
      <c r="E2952"/>
      <c r="F2952"/>
      <c r="G2952"/>
      <c r="H2952"/>
      <c r="I2952"/>
      <c r="J2952"/>
      <c r="K2952"/>
      <c r="L2952"/>
      <c r="M2952"/>
      <c r="S2952" s="54"/>
    </row>
    <row r="2953" spans="1:19" s="15" customFormat="1" x14ac:dyDescent="0.3">
      <c r="A2953" s="17"/>
      <c r="B2953"/>
      <c r="C2953"/>
      <c r="D2953"/>
      <c r="E2953"/>
      <c r="F2953"/>
      <c r="G2953"/>
      <c r="H2953"/>
      <c r="I2953"/>
      <c r="J2953"/>
      <c r="K2953"/>
      <c r="L2953"/>
      <c r="M2953"/>
      <c r="S2953" s="54"/>
    </row>
    <row r="2954" spans="1:19" s="15" customFormat="1" x14ac:dyDescent="0.3">
      <c r="A2954" s="17"/>
      <c r="B2954"/>
      <c r="C2954"/>
      <c r="D2954"/>
      <c r="E2954"/>
      <c r="F2954"/>
      <c r="G2954"/>
      <c r="H2954"/>
      <c r="I2954"/>
      <c r="J2954"/>
      <c r="K2954"/>
      <c r="L2954"/>
      <c r="M2954"/>
      <c r="S2954" s="54"/>
    </row>
    <row r="2955" spans="1:19" s="15" customFormat="1" x14ac:dyDescent="0.3">
      <c r="A2955" s="17"/>
      <c r="B2955"/>
      <c r="C2955"/>
      <c r="D2955"/>
      <c r="E2955"/>
      <c r="F2955"/>
      <c r="G2955"/>
      <c r="H2955"/>
      <c r="I2955"/>
      <c r="J2955"/>
      <c r="K2955"/>
      <c r="L2955"/>
      <c r="M2955"/>
      <c r="S2955" s="54"/>
    </row>
    <row r="2956" spans="1:19" s="15" customFormat="1" x14ac:dyDescent="0.3">
      <c r="A2956" s="17"/>
      <c r="B2956"/>
      <c r="C2956"/>
      <c r="D2956"/>
      <c r="E2956"/>
      <c r="F2956"/>
      <c r="G2956"/>
      <c r="H2956"/>
      <c r="I2956"/>
      <c r="J2956"/>
      <c r="K2956"/>
      <c r="L2956"/>
      <c r="M2956"/>
      <c r="S2956" s="54"/>
    </row>
    <row r="2957" spans="1:19" s="15" customFormat="1" x14ac:dyDescent="0.3">
      <c r="A2957" s="17"/>
      <c r="B2957"/>
      <c r="C2957"/>
      <c r="D2957"/>
      <c r="E2957"/>
      <c r="F2957"/>
      <c r="G2957"/>
      <c r="H2957"/>
      <c r="I2957"/>
      <c r="J2957"/>
      <c r="K2957"/>
      <c r="L2957"/>
      <c r="M2957"/>
      <c r="S2957" s="54"/>
    </row>
    <row r="2958" spans="1:19" s="15" customFormat="1" x14ac:dyDescent="0.3">
      <c r="A2958" s="17"/>
      <c r="B2958"/>
      <c r="C2958"/>
      <c r="D2958"/>
      <c r="E2958"/>
      <c r="F2958"/>
      <c r="G2958"/>
      <c r="H2958"/>
      <c r="I2958"/>
      <c r="J2958"/>
      <c r="K2958"/>
      <c r="L2958"/>
      <c r="M2958"/>
      <c r="S2958" s="54"/>
    </row>
    <row r="2959" spans="1:19" s="15" customFormat="1" x14ac:dyDescent="0.3">
      <c r="A2959" s="17"/>
      <c r="B2959"/>
      <c r="C2959"/>
      <c r="D2959"/>
      <c r="E2959"/>
      <c r="F2959"/>
      <c r="G2959"/>
      <c r="H2959"/>
      <c r="I2959"/>
      <c r="J2959"/>
      <c r="K2959"/>
      <c r="L2959"/>
      <c r="M2959"/>
      <c r="S2959" s="54"/>
    </row>
    <row r="2960" spans="1:19" s="15" customFormat="1" x14ac:dyDescent="0.3">
      <c r="A2960" s="17"/>
      <c r="B2960"/>
      <c r="C2960"/>
      <c r="D2960"/>
      <c r="E2960"/>
      <c r="F2960"/>
      <c r="G2960"/>
      <c r="H2960"/>
      <c r="I2960"/>
      <c r="J2960"/>
      <c r="K2960"/>
      <c r="L2960"/>
      <c r="M2960"/>
      <c r="S2960" s="54"/>
    </row>
    <row r="2961" spans="1:19" s="15" customFormat="1" x14ac:dyDescent="0.3">
      <c r="A2961" s="17"/>
      <c r="B2961"/>
      <c r="C2961"/>
      <c r="D2961"/>
      <c r="E2961"/>
      <c r="F2961"/>
      <c r="G2961"/>
      <c r="H2961"/>
      <c r="I2961"/>
      <c r="J2961"/>
      <c r="K2961"/>
      <c r="L2961"/>
      <c r="M2961"/>
      <c r="S2961" s="54"/>
    </row>
    <row r="2962" spans="1:19" s="15" customFormat="1" x14ac:dyDescent="0.3">
      <c r="A2962" s="17"/>
      <c r="B2962"/>
      <c r="C2962"/>
      <c r="D2962"/>
      <c r="E2962"/>
      <c r="F2962"/>
      <c r="G2962"/>
      <c r="H2962"/>
      <c r="I2962"/>
      <c r="J2962"/>
      <c r="K2962"/>
      <c r="L2962"/>
      <c r="M2962"/>
      <c r="S2962" s="54"/>
    </row>
    <row r="2963" spans="1:19" s="15" customFormat="1" x14ac:dyDescent="0.3">
      <c r="A2963" s="17"/>
      <c r="B2963"/>
      <c r="C2963"/>
      <c r="D2963"/>
      <c r="E2963"/>
      <c r="F2963"/>
      <c r="G2963"/>
      <c r="H2963"/>
      <c r="I2963"/>
      <c r="J2963"/>
      <c r="K2963"/>
      <c r="L2963"/>
      <c r="M2963"/>
      <c r="S2963" s="54"/>
    </row>
    <row r="2964" spans="1:19" s="15" customFormat="1" x14ac:dyDescent="0.3">
      <c r="A2964" s="17"/>
      <c r="B2964"/>
      <c r="C2964"/>
      <c r="D2964"/>
      <c r="E2964"/>
      <c r="F2964"/>
      <c r="G2964"/>
      <c r="H2964"/>
      <c r="I2964"/>
      <c r="J2964"/>
      <c r="K2964"/>
      <c r="L2964"/>
      <c r="M2964"/>
      <c r="S2964" s="54"/>
    </row>
    <row r="2965" spans="1:19" s="15" customFormat="1" x14ac:dyDescent="0.3">
      <c r="A2965" s="17"/>
      <c r="B2965"/>
      <c r="C2965"/>
      <c r="D2965"/>
      <c r="E2965"/>
      <c r="F2965"/>
      <c r="G2965"/>
      <c r="H2965"/>
      <c r="I2965"/>
      <c r="J2965"/>
      <c r="K2965"/>
      <c r="L2965"/>
      <c r="M2965"/>
      <c r="S2965" s="54"/>
    </row>
    <row r="2966" spans="1:19" s="15" customFormat="1" x14ac:dyDescent="0.3">
      <c r="A2966" s="17"/>
      <c r="B2966"/>
      <c r="C2966"/>
      <c r="D2966"/>
      <c r="E2966"/>
      <c r="F2966"/>
      <c r="G2966"/>
      <c r="H2966"/>
      <c r="I2966"/>
      <c r="J2966"/>
      <c r="K2966"/>
      <c r="L2966"/>
      <c r="M2966"/>
      <c r="S2966" s="54"/>
    </row>
    <row r="2967" spans="1:19" s="15" customFormat="1" x14ac:dyDescent="0.3">
      <c r="A2967" s="17"/>
      <c r="B2967"/>
      <c r="C2967"/>
      <c r="D2967"/>
      <c r="E2967"/>
      <c r="F2967"/>
      <c r="G2967"/>
      <c r="H2967"/>
      <c r="I2967"/>
      <c r="J2967"/>
      <c r="K2967"/>
      <c r="L2967"/>
      <c r="M2967"/>
      <c r="S2967" s="54"/>
    </row>
    <row r="2968" spans="1:19" s="15" customFormat="1" x14ac:dyDescent="0.3">
      <c r="A2968" s="17"/>
      <c r="B2968"/>
      <c r="C2968"/>
      <c r="D2968"/>
      <c r="E2968"/>
      <c r="F2968"/>
      <c r="G2968"/>
      <c r="H2968"/>
      <c r="I2968"/>
      <c r="J2968"/>
      <c r="K2968"/>
      <c r="L2968"/>
      <c r="M2968"/>
      <c r="S2968" s="54"/>
    </row>
    <row r="2969" spans="1:19" s="15" customFormat="1" x14ac:dyDescent="0.3">
      <c r="A2969" s="17"/>
      <c r="B2969"/>
      <c r="C2969"/>
      <c r="D2969"/>
      <c r="E2969"/>
      <c r="F2969"/>
      <c r="G2969"/>
      <c r="H2969"/>
      <c r="I2969"/>
      <c r="J2969"/>
      <c r="K2969"/>
      <c r="L2969"/>
      <c r="M2969"/>
      <c r="S2969" s="54"/>
    </row>
    <row r="2970" spans="1:19" s="15" customFormat="1" x14ac:dyDescent="0.3">
      <c r="A2970" s="17"/>
      <c r="B2970"/>
      <c r="C2970"/>
      <c r="D2970"/>
      <c r="E2970"/>
      <c r="F2970"/>
      <c r="G2970"/>
      <c r="H2970"/>
      <c r="I2970"/>
      <c r="J2970"/>
      <c r="K2970"/>
      <c r="L2970"/>
      <c r="M2970"/>
      <c r="S2970" s="54"/>
    </row>
    <row r="2971" spans="1:19" s="15" customFormat="1" x14ac:dyDescent="0.3">
      <c r="A2971" s="17"/>
      <c r="B2971"/>
      <c r="C2971"/>
      <c r="D2971"/>
      <c r="E2971"/>
      <c r="F2971"/>
      <c r="G2971"/>
      <c r="H2971"/>
      <c r="I2971"/>
      <c r="J2971"/>
      <c r="K2971"/>
      <c r="L2971"/>
      <c r="M2971"/>
      <c r="S2971" s="54"/>
    </row>
    <row r="2972" spans="1:19" s="15" customFormat="1" x14ac:dyDescent="0.3">
      <c r="A2972" s="17"/>
      <c r="B2972"/>
      <c r="C2972"/>
      <c r="D2972"/>
      <c r="E2972"/>
      <c r="F2972"/>
      <c r="G2972"/>
      <c r="H2972"/>
      <c r="I2972"/>
      <c r="J2972"/>
      <c r="K2972"/>
      <c r="L2972"/>
      <c r="M2972"/>
      <c r="S2972" s="54"/>
    </row>
    <row r="2973" spans="1:19" s="15" customFormat="1" x14ac:dyDescent="0.3">
      <c r="A2973" s="17"/>
      <c r="B2973"/>
      <c r="C2973"/>
      <c r="D2973"/>
      <c r="E2973"/>
      <c r="F2973"/>
      <c r="G2973"/>
      <c r="H2973"/>
      <c r="I2973"/>
      <c r="J2973"/>
      <c r="K2973"/>
      <c r="L2973"/>
      <c r="M2973"/>
      <c r="S2973" s="54"/>
    </row>
    <row r="2974" spans="1:19" s="15" customFormat="1" x14ac:dyDescent="0.3">
      <c r="A2974" s="17"/>
      <c r="B2974"/>
      <c r="C2974"/>
      <c r="D2974"/>
      <c r="E2974"/>
      <c r="F2974"/>
      <c r="G2974"/>
      <c r="H2974"/>
      <c r="I2974"/>
      <c r="J2974"/>
      <c r="K2974"/>
      <c r="L2974"/>
      <c r="M2974"/>
      <c r="S2974" s="54"/>
    </row>
    <row r="2975" spans="1:19" s="15" customFormat="1" x14ac:dyDescent="0.3">
      <c r="A2975" s="17"/>
      <c r="B2975"/>
      <c r="C2975"/>
      <c r="D2975"/>
      <c r="E2975"/>
      <c r="F2975"/>
      <c r="G2975"/>
      <c r="H2975"/>
      <c r="I2975"/>
      <c r="J2975"/>
      <c r="K2975"/>
      <c r="L2975"/>
      <c r="M2975"/>
      <c r="S2975" s="54"/>
    </row>
    <row r="2976" spans="1:19" s="15" customFormat="1" x14ac:dyDescent="0.3">
      <c r="A2976" s="17"/>
      <c r="B2976"/>
      <c r="C2976"/>
      <c r="D2976"/>
      <c r="E2976"/>
      <c r="F2976"/>
      <c r="G2976"/>
      <c r="H2976"/>
      <c r="I2976"/>
      <c r="J2976"/>
      <c r="K2976"/>
      <c r="L2976"/>
      <c r="M2976"/>
      <c r="S2976" s="54"/>
    </row>
    <row r="2977" spans="1:19" s="15" customFormat="1" x14ac:dyDescent="0.3">
      <c r="A2977" s="17"/>
      <c r="B2977"/>
      <c r="C2977"/>
      <c r="D2977"/>
      <c r="E2977"/>
      <c r="F2977"/>
      <c r="G2977"/>
      <c r="H2977"/>
      <c r="I2977"/>
      <c r="J2977"/>
      <c r="K2977"/>
      <c r="L2977"/>
      <c r="M2977"/>
      <c r="S2977" s="54"/>
    </row>
    <row r="2978" spans="1:19" s="15" customFormat="1" x14ac:dyDescent="0.3">
      <c r="A2978" s="17"/>
      <c r="B2978"/>
      <c r="C2978"/>
      <c r="D2978"/>
      <c r="E2978"/>
      <c r="F2978"/>
      <c r="G2978"/>
      <c r="H2978"/>
      <c r="I2978"/>
      <c r="J2978"/>
      <c r="K2978"/>
      <c r="L2978"/>
      <c r="M2978"/>
      <c r="S2978" s="54"/>
    </row>
    <row r="2979" spans="1:19" s="15" customFormat="1" x14ac:dyDescent="0.3">
      <c r="A2979" s="17"/>
      <c r="B2979"/>
      <c r="C2979"/>
      <c r="D2979"/>
      <c r="E2979"/>
      <c r="F2979"/>
      <c r="G2979"/>
      <c r="H2979"/>
      <c r="I2979"/>
      <c r="J2979"/>
      <c r="K2979"/>
      <c r="L2979"/>
      <c r="M2979"/>
      <c r="S2979" s="54"/>
    </row>
    <row r="2980" spans="1:19" s="15" customFormat="1" x14ac:dyDescent="0.3">
      <c r="A2980" s="17"/>
      <c r="B2980"/>
      <c r="C2980"/>
      <c r="D2980"/>
      <c r="E2980"/>
      <c r="F2980"/>
      <c r="G2980"/>
      <c r="H2980"/>
      <c r="I2980"/>
      <c r="J2980"/>
      <c r="K2980"/>
      <c r="L2980"/>
      <c r="M2980"/>
      <c r="S2980" s="54"/>
    </row>
    <row r="2981" spans="1:19" s="15" customFormat="1" x14ac:dyDescent="0.3">
      <c r="A2981" s="17"/>
      <c r="B2981"/>
      <c r="C2981"/>
      <c r="D2981"/>
      <c r="E2981"/>
      <c r="F2981"/>
      <c r="G2981"/>
      <c r="H2981"/>
      <c r="I2981"/>
      <c r="J2981"/>
      <c r="K2981"/>
      <c r="L2981"/>
      <c r="M2981"/>
      <c r="S2981" s="54"/>
    </row>
    <row r="2982" spans="1:19" s="15" customFormat="1" x14ac:dyDescent="0.3">
      <c r="A2982" s="17"/>
      <c r="B2982"/>
      <c r="C2982"/>
      <c r="D2982"/>
      <c r="E2982"/>
      <c r="F2982"/>
      <c r="G2982"/>
      <c r="H2982"/>
      <c r="I2982"/>
      <c r="J2982"/>
      <c r="K2982"/>
      <c r="L2982"/>
      <c r="M2982"/>
      <c r="S2982" s="54"/>
    </row>
    <row r="2983" spans="1:19" s="15" customFormat="1" x14ac:dyDescent="0.3">
      <c r="A2983" s="17"/>
      <c r="B2983"/>
      <c r="C2983"/>
      <c r="D2983"/>
      <c r="E2983"/>
      <c r="F2983"/>
      <c r="G2983"/>
      <c r="H2983"/>
      <c r="I2983"/>
      <c r="J2983"/>
      <c r="K2983"/>
      <c r="L2983"/>
      <c r="M2983"/>
      <c r="S2983" s="54"/>
    </row>
    <row r="2984" spans="1:19" s="15" customFormat="1" x14ac:dyDescent="0.3">
      <c r="A2984" s="17"/>
      <c r="B2984"/>
      <c r="C2984"/>
      <c r="D2984"/>
      <c r="E2984"/>
      <c r="F2984"/>
      <c r="G2984"/>
      <c r="H2984"/>
      <c r="I2984"/>
      <c r="J2984"/>
      <c r="K2984"/>
      <c r="L2984"/>
      <c r="M2984"/>
      <c r="S2984" s="54"/>
    </row>
    <row r="2985" spans="1:19" s="15" customFormat="1" x14ac:dyDescent="0.3">
      <c r="A2985" s="17"/>
      <c r="B2985"/>
      <c r="C2985"/>
      <c r="D2985"/>
      <c r="E2985"/>
      <c r="F2985"/>
      <c r="G2985"/>
      <c r="H2985"/>
      <c r="I2985"/>
      <c r="J2985"/>
      <c r="K2985"/>
      <c r="L2985"/>
      <c r="M2985"/>
      <c r="S2985" s="54"/>
    </row>
    <row r="2986" spans="1:19" s="15" customFormat="1" x14ac:dyDescent="0.3">
      <c r="A2986" s="17"/>
      <c r="B2986"/>
      <c r="C2986"/>
      <c r="D2986"/>
      <c r="E2986"/>
      <c r="F2986"/>
      <c r="G2986"/>
      <c r="H2986"/>
      <c r="I2986"/>
      <c r="J2986"/>
      <c r="K2986"/>
      <c r="L2986"/>
      <c r="M2986"/>
      <c r="S2986" s="54"/>
    </row>
    <row r="2987" spans="1:19" s="15" customFormat="1" x14ac:dyDescent="0.3">
      <c r="A2987" s="17"/>
      <c r="B2987"/>
      <c r="C2987"/>
      <c r="D2987"/>
      <c r="E2987"/>
      <c r="F2987"/>
      <c r="G2987"/>
      <c r="H2987"/>
      <c r="I2987"/>
      <c r="J2987"/>
      <c r="K2987"/>
      <c r="L2987"/>
      <c r="M2987"/>
      <c r="S2987" s="54"/>
    </row>
    <row r="2988" spans="1:19" s="15" customFormat="1" x14ac:dyDescent="0.3">
      <c r="A2988" s="17"/>
      <c r="B2988"/>
      <c r="C2988"/>
      <c r="D2988"/>
      <c r="E2988"/>
      <c r="F2988"/>
      <c r="G2988"/>
      <c r="H2988"/>
      <c r="I2988"/>
      <c r="J2988"/>
      <c r="K2988"/>
      <c r="L2988"/>
      <c r="M2988"/>
      <c r="S2988" s="54"/>
    </row>
    <row r="2989" spans="1:19" s="15" customFormat="1" x14ac:dyDescent="0.3">
      <c r="A2989" s="17"/>
      <c r="B2989"/>
      <c r="C2989"/>
      <c r="D2989"/>
      <c r="E2989"/>
      <c r="F2989"/>
      <c r="G2989"/>
      <c r="H2989"/>
      <c r="I2989"/>
      <c r="J2989"/>
      <c r="K2989"/>
      <c r="L2989"/>
      <c r="M2989"/>
      <c r="S2989" s="54"/>
    </row>
    <row r="2990" spans="1:19" s="15" customFormat="1" x14ac:dyDescent="0.3">
      <c r="A2990" s="17"/>
      <c r="B2990"/>
      <c r="C2990"/>
      <c r="D2990"/>
      <c r="E2990"/>
      <c r="F2990"/>
      <c r="G2990"/>
      <c r="H2990"/>
      <c r="I2990"/>
      <c r="J2990"/>
      <c r="K2990"/>
      <c r="L2990"/>
      <c r="M2990"/>
      <c r="S2990" s="54"/>
    </row>
    <row r="2991" spans="1:19" s="15" customFormat="1" x14ac:dyDescent="0.3">
      <c r="A2991" s="17"/>
      <c r="B2991"/>
      <c r="C2991"/>
      <c r="D2991"/>
      <c r="E2991"/>
      <c r="F2991"/>
      <c r="G2991"/>
      <c r="H2991"/>
      <c r="I2991"/>
      <c r="J2991"/>
      <c r="K2991"/>
      <c r="L2991"/>
      <c r="M2991"/>
      <c r="S2991" s="54"/>
    </row>
    <row r="2992" spans="1:19" s="15" customFormat="1" x14ac:dyDescent="0.3">
      <c r="A2992" s="17"/>
      <c r="B2992"/>
      <c r="C2992"/>
      <c r="D2992"/>
      <c r="E2992"/>
      <c r="F2992"/>
      <c r="G2992"/>
      <c r="H2992"/>
      <c r="I2992"/>
      <c r="J2992"/>
      <c r="K2992"/>
      <c r="L2992"/>
      <c r="M2992"/>
      <c r="S2992" s="54"/>
    </row>
    <row r="2993" spans="1:19" s="15" customFormat="1" x14ac:dyDescent="0.3">
      <c r="A2993" s="17"/>
      <c r="B2993"/>
      <c r="C2993"/>
      <c r="D2993"/>
      <c r="E2993"/>
      <c r="F2993"/>
      <c r="G2993"/>
      <c r="H2993"/>
      <c r="I2993"/>
      <c r="J2993"/>
      <c r="K2993"/>
      <c r="L2993"/>
      <c r="M2993"/>
      <c r="S2993" s="54"/>
    </row>
    <row r="2994" spans="1:19" s="15" customFormat="1" x14ac:dyDescent="0.3">
      <c r="A2994" s="17"/>
      <c r="B2994"/>
      <c r="C2994"/>
      <c r="D2994"/>
      <c r="E2994"/>
      <c r="F2994"/>
      <c r="G2994"/>
      <c r="H2994"/>
      <c r="I2994"/>
      <c r="J2994"/>
      <c r="K2994"/>
      <c r="L2994"/>
      <c r="M2994"/>
      <c r="S2994" s="54"/>
    </row>
    <row r="2995" spans="1:19" s="15" customFormat="1" x14ac:dyDescent="0.3">
      <c r="A2995" s="17"/>
      <c r="B2995"/>
      <c r="C2995"/>
      <c r="D2995"/>
      <c r="E2995"/>
      <c r="F2995"/>
      <c r="G2995"/>
      <c r="H2995"/>
      <c r="I2995"/>
      <c r="J2995"/>
      <c r="K2995"/>
      <c r="L2995"/>
      <c r="M2995"/>
      <c r="S2995" s="54"/>
    </row>
    <row r="2996" spans="1:19" s="15" customFormat="1" x14ac:dyDescent="0.3">
      <c r="A2996" s="17"/>
      <c r="B2996"/>
      <c r="C2996"/>
      <c r="D2996"/>
      <c r="E2996"/>
      <c r="F2996"/>
      <c r="G2996"/>
      <c r="H2996"/>
      <c r="I2996"/>
      <c r="J2996"/>
      <c r="K2996"/>
      <c r="L2996"/>
      <c r="M2996"/>
      <c r="S2996" s="54"/>
    </row>
    <row r="2997" spans="1:19" s="15" customFormat="1" x14ac:dyDescent="0.3">
      <c r="A2997" s="17"/>
      <c r="B2997"/>
      <c r="C2997"/>
      <c r="D2997"/>
      <c r="E2997"/>
      <c r="F2997"/>
      <c r="G2997"/>
      <c r="H2997"/>
      <c r="I2997"/>
      <c r="J2997"/>
      <c r="K2997"/>
      <c r="L2997"/>
      <c r="M2997"/>
      <c r="S2997" s="54"/>
    </row>
    <row r="2998" spans="1:19" s="15" customFormat="1" x14ac:dyDescent="0.3">
      <c r="A2998" s="17"/>
      <c r="B2998"/>
      <c r="C2998"/>
      <c r="D2998"/>
      <c r="E2998"/>
      <c r="F2998"/>
      <c r="G2998"/>
      <c r="H2998"/>
      <c r="I2998"/>
      <c r="J2998"/>
      <c r="K2998"/>
      <c r="L2998"/>
      <c r="M2998"/>
      <c r="S2998" s="54"/>
    </row>
    <row r="2999" spans="1:19" s="15" customFormat="1" x14ac:dyDescent="0.3">
      <c r="A2999" s="17"/>
      <c r="B2999"/>
      <c r="C2999"/>
      <c r="D2999"/>
      <c r="E2999"/>
      <c r="F2999"/>
      <c r="G2999"/>
      <c r="H2999"/>
      <c r="I2999"/>
      <c r="J2999"/>
      <c r="K2999"/>
      <c r="L2999"/>
      <c r="M2999"/>
      <c r="S2999" s="54"/>
    </row>
    <row r="3000" spans="1:19" s="15" customFormat="1" x14ac:dyDescent="0.3">
      <c r="A3000" s="17"/>
      <c r="B3000"/>
      <c r="C3000"/>
      <c r="D3000"/>
      <c r="E3000"/>
      <c r="F3000"/>
      <c r="G3000"/>
      <c r="H3000"/>
      <c r="I3000"/>
      <c r="J3000"/>
      <c r="K3000"/>
      <c r="L3000"/>
      <c r="M3000"/>
      <c r="S3000" s="54"/>
    </row>
    <row r="3001" spans="1:19" s="15" customFormat="1" x14ac:dyDescent="0.3">
      <c r="A3001" s="17"/>
      <c r="B3001"/>
      <c r="C3001"/>
      <c r="D3001"/>
      <c r="E3001"/>
      <c r="F3001"/>
      <c r="G3001"/>
      <c r="H3001"/>
      <c r="I3001"/>
      <c r="J3001"/>
      <c r="K3001"/>
      <c r="L3001"/>
      <c r="M3001"/>
      <c r="S3001" s="54"/>
    </row>
    <row r="3002" spans="1:19" s="15" customFormat="1" x14ac:dyDescent="0.3">
      <c r="A3002" s="17"/>
      <c r="B3002"/>
      <c r="C3002"/>
      <c r="D3002"/>
      <c r="E3002"/>
      <c r="F3002"/>
      <c r="G3002"/>
      <c r="H3002"/>
      <c r="I3002"/>
      <c r="J3002"/>
      <c r="K3002"/>
      <c r="L3002"/>
      <c r="M3002"/>
      <c r="S3002" s="54"/>
    </row>
    <row r="3003" spans="1:19" s="15" customFormat="1" x14ac:dyDescent="0.3">
      <c r="A3003" s="17"/>
      <c r="B3003"/>
      <c r="C3003"/>
      <c r="D3003"/>
      <c r="E3003"/>
      <c r="F3003"/>
      <c r="G3003"/>
      <c r="H3003"/>
      <c r="I3003"/>
      <c r="J3003"/>
      <c r="K3003"/>
      <c r="L3003"/>
      <c r="M3003"/>
      <c r="S3003" s="54"/>
    </row>
    <row r="3004" spans="1:19" s="15" customFormat="1" x14ac:dyDescent="0.3">
      <c r="A3004" s="17"/>
      <c r="B3004"/>
      <c r="C3004"/>
      <c r="D3004"/>
      <c r="E3004"/>
      <c r="F3004"/>
      <c r="G3004"/>
      <c r="H3004"/>
      <c r="I3004"/>
      <c r="J3004"/>
      <c r="K3004"/>
      <c r="L3004"/>
      <c r="M3004"/>
      <c r="S3004" s="54"/>
    </row>
    <row r="3005" spans="1:19" s="15" customFormat="1" x14ac:dyDescent="0.3">
      <c r="A3005" s="17"/>
      <c r="B3005"/>
      <c r="C3005"/>
      <c r="D3005"/>
      <c r="E3005"/>
      <c r="F3005"/>
      <c r="G3005"/>
      <c r="H3005"/>
      <c r="I3005"/>
      <c r="J3005"/>
      <c r="K3005"/>
      <c r="L3005"/>
      <c r="M3005"/>
      <c r="S3005" s="54"/>
    </row>
    <row r="3006" spans="1:19" s="15" customFormat="1" x14ac:dyDescent="0.3">
      <c r="A3006" s="17"/>
      <c r="B3006"/>
      <c r="C3006"/>
      <c r="D3006"/>
      <c r="E3006"/>
      <c r="F3006"/>
      <c r="G3006"/>
      <c r="H3006"/>
      <c r="I3006"/>
      <c r="J3006"/>
      <c r="K3006"/>
      <c r="L3006"/>
      <c r="M3006"/>
      <c r="S3006" s="54"/>
    </row>
    <row r="3007" spans="1:19" s="15" customFormat="1" x14ac:dyDescent="0.3">
      <c r="A3007" s="17"/>
      <c r="B3007"/>
      <c r="C3007"/>
      <c r="D3007"/>
      <c r="E3007"/>
      <c r="F3007"/>
      <c r="G3007"/>
      <c r="H3007"/>
      <c r="I3007"/>
      <c r="J3007"/>
      <c r="K3007"/>
      <c r="L3007"/>
      <c r="M3007"/>
      <c r="S3007" s="54"/>
    </row>
    <row r="3008" spans="1:19" s="15" customFormat="1" x14ac:dyDescent="0.3">
      <c r="A3008" s="17"/>
      <c r="B3008"/>
      <c r="C3008"/>
      <c r="D3008"/>
      <c r="E3008"/>
      <c r="F3008"/>
      <c r="G3008"/>
      <c r="H3008"/>
      <c r="I3008"/>
      <c r="J3008"/>
      <c r="K3008"/>
      <c r="L3008"/>
      <c r="M3008"/>
      <c r="S3008" s="54"/>
    </row>
    <row r="3009" spans="1:19" s="15" customFormat="1" x14ac:dyDescent="0.3">
      <c r="A3009" s="17"/>
      <c r="B3009"/>
      <c r="C3009"/>
      <c r="D3009"/>
      <c r="E3009"/>
      <c r="F3009"/>
      <c r="G3009"/>
      <c r="H3009"/>
      <c r="I3009"/>
      <c r="J3009"/>
      <c r="K3009"/>
      <c r="L3009"/>
      <c r="M3009"/>
      <c r="S3009" s="54"/>
    </row>
    <row r="3010" spans="1:19" s="15" customFormat="1" x14ac:dyDescent="0.3">
      <c r="A3010" s="17"/>
      <c r="B3010"/>
      <c r="C3010"/>
      <c r="D3010"/>
      <c r="E3010"/>
      <c r="F3010"/>
      <c r="G3010"/>
      <c r="H3010"/>
      <c r="I3010"/>
      <c r="J3010"/>
      <c r="K3010"/>
      <c r="L3010"/>
      <c r="M3010"/>
      <c r="S3010" s="54"/>
    </row>
    <row r="3011" spans="1:19" s="15" customFormat="1" x14ac:dyDescent="0.3">
      <c r="A3011" s="17"/>
      <c r="B3011"/>
      <c r="C3011"/>
      <c r="D3011"/>
      <c r="E3011"/>
      <c r="F3011"/>
      <c r="G3011"/>
      <c r="H3011"/>
      <c r="I3011"/>
      <c r="J3011"/>
      <c r="K3011"/>
      <c r="L3011"/>
      <c r="M3011"/>
      <c r="S3011" s="54"/>
    </row>
    <row r="3012" spans="1:19" s="15" customFormat="1" x14ac:dyDescent="0.3">
      <c r="A3012" s="17"/>
      <c r="B3012"/>
      <c r="C3012"/>
      <c r="D3012"/>
      <c r="E3012"/>
      <c r="F3012"/>
      <c r="G3012"/>
      <c r="H3012"/>
      <c r="I3012"/>
      <c r="J3012"/>
      <c r="K3012"/>
      <c r="L3012"/>
      <c r="M3012"/>
      <c r="S3012" s="54"/>
    </row>
    <row r="3013" spans="1:19" s="15" customFormat="1" x14ac:dyDescent="0.3">
      <c r="A3013" s="17"/>
      <c r="B3013"/>
      <c r="C3013"/>
      <c r="D3013"/>
      <c r="E3013"/>
      <c r="F3013"/>
      <c r="G3013"/>
      <c r="H3013"/>
      <c r="I3013"/>
      <c r="J3013"/>
      <c r="K3013"/>
      <c r="L3013"/>
      <c r="M3013"/>
      <c r="S3013" s="54"/>
    </row>
  </sheetData>
  <mergeCells count="1">
    <mergeCell ref="H11:L11"/>
  </mergeCells>
  <pageMargins left="0.511811024" right="0.511811024" top="0.78740157499999996" bottom="0.78740157499999996" header="0.31496062000000002" footer="0.3149606200000000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E08D2-4F10-497F-9AC1-9753F2394BB7}">
  <sheetPr>
    <tabColor theme="9" tint="0.59999389629810485"/>
  </sheetPr>
  <dimension ref="A1:Y3030"/>
  <sheetViews>
    <sheetView showGridLines="0" zoomScale="85" zoomScaleNormal="85" workbookViewId="0">
      <selection activeCell="C10" sqref="C10"/>
    </sheetView>
  </sheetViews>
  <sheetFormatPr defaultColWidth="8.85546875" defaultRowHeight="18.75" x14ac:dyDescent="0.3"/>
  <cols>
    <col min="1" max="1" width="25.28515625" style="17" customWidth="1"/>
    <col min="2" max="2" width="86.140625" customWidth="1"/>
    <col min="3" max="3" width="9.7109375" customWidth="1"/>
    <col min="4" max="4" width="8.85546875" customWidth="1"/>
    <col min="5" max="5" width="10" bestFit="1" customWidth="1"/>
    <col min="6" max="6" width="29.7109375" bestFit="1" customWidth="1"/>
    <col min="7" max="7" width="17.85546875" customWidth="1"/>
    <col min="8" max="11" width="14.28515625" customWidth="1"/>
    <col min="12" max="12" width="15.28515625" customWidth="1"/>
    <col min="14" max="14" width="12.5703125" style="15" bestFit="1" customWidth="1"/>
    <col min="15" max="15" width="8.85546875" style="15"/>
    <col min="16" max="16" width="12.5703125" style="15" bestFit="1" customWidth="1"/>
    <col min="17" max="17" width="8.85546875" style="15"/>
    <col min="18" max="18" width="10.5703125" style="15" bestFit="1" customWidth="1"/>
    <col min="19" max="19" width="27.5703125" style="15" bestFit="1" customWidth="1"/>
    <col min="20" max="22" width="8.85546875" style="15"/>
  </cols>
  <sheetData>
    <row r="1" spans="1:25" x14ac:dyDescent="0.3">
      <c r="A1" s="16" t="s">
        <v>831</v>
      </c>
      <c r="N1" s="14"/>
      <c r="O1" s="14"/>
      <c r="P1" s="14"/>
      <c r="Q1" s="14"/>
      <c r="R1" s="14"/>
      <c r="S1" s="14"/>
      <c r="T1" s="14"/>
      <c r="U1" s="14"/>
      <c r="V1" s="14"/>
    </row>
    <row r="2" spans="1:25" x14ac:dyDescent="0.3">
      <c r="A2" s="17" t="s">
        <v>845</v>
      </c>
      <c r="N2" s="14"/>
      <c r="O2" s="14"/>
      <c r="P2" s="14"/>
      <c r="Q2" s="14"/>
      <c r="R2" s="14"/>
      <c r="S2" s="14"/>
      <c r="T2" s="14"/>
      <c r="U2" s="14"/>
      <c r="V2" s="14"/>
    </row>
    <row r="3" spans="1:25" ht="15" x14ac:dyDescent="0.25">
      <c r="A3" s="120"/>
      <c r="N3" s="14"/>
      <c r="O3" s="14"/>
      <c r="P3" s="14"/>
      <c r="Q3" s="14"/>
      <c r="R3" s="14"/>
      <c r="S3" s="14"/>
      <c r="T3" s="14"/>
      <c r="U3" s="14"/>
      <c r="V3" s="14"/>
      <c r="W3" s="14"/>
      <c r="X3" s="14"/>
      <c r="Y3" s="14"/>
    </row>
    <row r="4" spans="1:25" x14ac:dyDescent="0.3">
      <c r="A4" s="17" t="s">
        <v>846</v>
      </c>
      <c r="N4" s="14"/>
      <c r="O4" s="14"/>
      <c r="P4" s="14"/>
      <c r="Q4" s="14"/>
      <c r="R4" s="14"/>
      <c r="S4" s="14"/>
      <c r="T4" s="14"/>
      <c r="U4" s="14"/>
      <c r="V4" s="14"/>
      <c r="W4" s="14"/>
      <c r="X4" s="14"/>
      <c r="Y4" s="14"/>
    </row>
    <row r="5" spans="1:25" x14ac:dyDescent="0.3">
      <c r="P5" s="27"/>
    </row>
    <row r="6" spans="1:25" ht="15.75" x14ac:dyDescent="0.25">
      <c r="A6" s="2" t="s">
        <v>15</v>
      </c>
      <c r="B6" s="2" t="s">
        <v>16</v>
      </c>
      <c r="C6" s="2"/>
      <c r="P6" s="27"/>
    </row>
    <row r="7" spans="1:25" ht="15.75" x14ac:dyDescent="0.25">
      <c r="A7" s="23" t="s">
        <v>22</v>
      </c>
      <c r="B7" s="26" t="s">
        <v>847</v>
      </c>
      <c r="C7" s="26"/>
      <c r="P7" s="27"/>
    </row>
    <row r="8" spans="1:25" ht="47.25" x14ac:dyDescent="0.25">
      <c r="A8" s="23" t="s">
        <v>840</v>
      </c>
      <c r="B8" s="26" t="s">
        <v>848</v>
      </c>
      <c r="C8" s="26"/>
      <c r="P8" s="27"/>
    </row>
    <row r="9" spans="1:25" ht="15.75" x14ac:dyDescent="0.25">
      <c r="A9" s="23" t="s">
        <v>841</v>
      </c>
      <c r="B9" s="26" t="s">
        <v>842</v>
      </c>
      <c r="C9" s="26"/>
      <c r="P9" s="27"/>
    </row>
    <row r="10" spans="1:25" ht="15.75" x14ac:dyDescent="0.25">
      <c r="A10" s="23" t="s">
        <v>827</v>
      </c>
      <c r="B10" s="26" t="s">
        <v>829</v>
      </c>
      <c r="C10" s="26"/>
      <c r="P10" s="27"/>
    </row>
    <row r="11" spans="1:25" ht="15.75" x14ac:dyDescent="0.25">
      <c r="A11" s="23" t="s">
        <v>828</v>
      </c>
      <c r="B11" s="26" t="s">
        <v>830</v>
      </c>
      <c r="C11" s="26"/>
      <c r="P11" s="27"/>
    </row>
    <row r="12" spans="1:25" ht="15.75" x14ac:dyDescent="0.25">
      <c r="A12" s="23" t="s">
        <v>599</v>
      </c>
      <c r="B12" s="26" t="s">
        <v>634</v>
      </c>
      <c r="C12" s="26"/>
      <c r="P12" s="27"/>
    </row>
    <row r="13" spans="1:25" ht="15.75" x14ac:dyDescent="0.25">
      <c r="A13" s="23" t="s">
        <v>600</v>
      </c>
      <c r="B13" s="26" t="s">
        <v>635</v>
      </c>
      <c r="C13" s="26"/>
      <c r="P13" s="27"/>
    </row>
    <row r="14" spans="1:25" ht="31.5" x14ac:dyDescent="0.25">
      <c r="A14" s="23" t="s">
        <v>601</v>
      </c>
      <c r="B14" s="26" t="s">
        <v>636</v>
      </c>
      <c r="C14" s="26"/>
      <c r="P14" s="27"/>
    </row>
    <row r="15" spans="1:25" ht="15.75" x14ac:dyDescent="0.25">
      <c r="A15" s="23"/>
      <c r="B15" s="26"/>
      <c r="C15" s="26"/>
      <c r="P15" s="27"/>
    </row>
    <row r="16" spans="1:25" ht="15.75" x14ac:dyDescent="0.25">
      <c r="A16" s="2" t="s">
        <v>321</v>
      </c>
      <c r="P16" s="27"/>
    </row>
    <row r="17" spans="1:19" ht="15.75" x14ac:dyDescent="0.25">
      <c r="A17" s="23" t="s">
        <v>593</v>
      </c>
      <c r="P17" s="27"/>
    </row>
    <row r="18" spans="1:19" ht="15.75" x14ac:dyDescent="0.25">
      <c r="A18" s="23"/>
      <c r="B18" s="26"/>
      <c r="C18" s="26"/>
      <c r="P18" s="27"/>
      <c r="R18" s="61"/>
      <c r="S18" s="61"/>
    </row>
    <row r="19" spans="1:19" ht="15.75" x14ac:dyDescent="0.25">
      <c r="A19" s="23"/>
      <c r="B19" s="26"/>
      <c r="C19" s="26"/>
      <c r="D19" s="1" t="s">
        <v>17</v>
      </c>
      <c r="F19" s="13" t="s">
        <v>844</v>
      </c>
      <c r="G19" s="12">
        <v>0</v>
      </c>
      <c r="P19" s="27"/>
      <c r="R19" s="61"/>
      <c r="S19" s="61"/>
    </row>
    <row r="20" spans="1:19" ht="15.75" x14ac:dyDescent="0.25">
      <c r="A20" s="23"/>
      <c r="B20" s="26"/>
      <c r="C20" s="26"/>
      <c r="F20" s="13" t="s">
        <v>843</v>
      </c>
      <c r="G20" s="12"/>
      <c r="P20" s="27"/>
      <c r="R20" s="61"/>
      <c r="S20" s="61"/>
    </row>
    <row r="21" spans="1:19" ht="15.75" x14ac:dyDescent="0.25">
      <c r="A21" s="23"/>
      <c r="B21" s="26"/>
      <c r="C21" s="26"/>
      <c r="F21" s="13" t="s">
        <v>825</v>
      </c>
      <c r="G21" s="12"/>
      <c r="P21" s="27"/>
      <c r="R21" s="61"/>
      <c r="S21" s="61"/>
    </row>
    <row r="22" spans="1:19" ht="15.75" x14ac:dyDescent="0.25">
      <c r="A22" s="23"/>
      <c r="B22" s="26"/>
      <c r="C22" s="26"/>
      <c r="F22" s="13" t="s">
        <v>826</v>
      </c>
      <c r="G22" s="12"/>
      <c r="P22" s="27"/>
      <c r="R22" s="61"/>
      <c r="S22" s="61"/>
    </row>
    <row r="23" spans="1:19" ht="15.75" x14ac:dyDescent="0.25">
      <c r="A23" s="23"/>
      <c r="B23" s="26"/>
      <c r="C23" s="26"/>
      <c r="F23" s="13" t="s">
        <v>589</v>
      </c>
      <c r="G23" s="12"/>
      <c r="P23" s="27"/>
      <c r="R23" s="61"/>
      <c r="S23" s="61"/>
    </row>
    <row r="24" spans="1:19" ht="15.75" x14ac:dyDescent="0.25">
      <c r="A24" s="23"/>
      <c r="B24" s="26"/>
      <c r="C24" s="26"/>
      <c r="F24" s="13" t="s">
        <v>590</v>
      </c>
      <c r="G24" s="12"/>
      <c r="P24" s="27"/>
      <c r="R24" s="61"/>
      <c r="S24" s="61"/>
    </row>
    <row r="25" spans="1:19" ht="15.75" x14ac:dyDescent="0.25">
      <c r="A25" s="23"/>
      <c r="B25" s="26"/>
      <c r="C25" s="26"/>
      <c r="F25" s="13" t="s">
        <v>591</v>
      </c>
      <c r="G25" s="12"/>
      <c r="P25" s="27"/>
      <c r="R25" s="61"/>
      <c r="S25" s="61"/>
    </row>
    <row r="26" spans="1:19" ht="15.75" x14ac:dyDescent="0.25">
      <c r="A26" s="23"/>
      <c r="B26" s="26"/>
      <c r="C26" s="26"/>
      <c r="P26" s="27"/>
      <c r="R26" s="61"/>
      <c r="S26" s="61"/>
    </row>
    <row r="27" spans="1:19" ht="15.75" x14ac:dyDescent="0.25">
      <c r="A27" s="23"/>
      <c r="B27" s="26"/>
      <c r="C27" s="26"/>
      <c r="P27" s="27"/>
      <c r="R27" s="61"/>
      <c r="S27" s="61"/>
    </row>
    <row r="28" spans="1:19" x14ac:dyDescent="0.3">
      <c r="H28" s="142" t="s">
        <v>22</v>
      </c>
      <c r="I28" s="142"/>
      <c r="J28" s="142"/>
      <c r="K28" s="142"/>
      <c r="L28" s="142"/>
      <c r="P28" s="27"/>
      <c r="S28" s="54"/>
    </row>
    <row r="29" spans="1:19" ht="36.75" customHeight="1" x14ac:dyDescent="0.3">
      <c r="F29" s="13" t="s">
        <v>678</v>
      </c>
      <c r="G29" s="125" t="s">
        <v>679</v>
      </c>
      <c r="H29" s="125" t="s">
        <v>680</v>
      </c>
      <c r="I29" s="125" t="s">
        <v>681</v>
      </c>
      <c r="J29" s="125" t="s">
        <v>682</v>
      </c>
      <c r="K29" s="125" t="s">
        <v>683</v>
      </c>
      <c r="L29" s="125" t="s">
        <v>684</v>
      </c>
      <c r="N29" s="15" t="s">
        <v>253</v>
      </c>
      <c r="O29" s="63"/>
      <c r="P29" s="63" t="s">
        <v>821</v>
      </c>
      <c r="Q29" s="63"/>
      <c r="S29" s="54"/>
    </row>
    <row r="30" spans="1:19" x14ac:dyDescent="0.3">
      <c r="F30" s="13" t="s">
        <v>685</v>
      </c>
      <c r="G30" s="13">
        <v>-1.1299999999999999</v>
      </c>
      <c r="H30" s="12">
        <v>-0.36</v>
      </c>
      <c r="I30" s="12">
        <v>2.63</v>
      </c>
      <c r="J30" s="12">
        <v>-0.33</v>
      </c>
      <c r="K30" s="12">
        <v>-0.24</v>
      </c>
      <c r="L30" s="12">
        <v>0.09</v>
      </c>
      <c r="N30" s="63" t="b" cm="1">
        <f t="array" ref="N30">_xlfn.LAMBDA(_xlpm.matrix,_xlop.returnTest,_xlop.maxInflationVarFactor,_xlop.minEigenvalueCondition,_xlop.maxConditionIndex,_xlop.eigenMin,_xlop.eigenMax,_xlop.eigenStep,
_xlfn.LET(
_xlpm.returnTest,IF(OR(_xlfn.ISOMITTED(_xlpm.returnTest),ISBLANK(_xlpm.returnTest)), 0, _xlpm.returnTest),
_xlpm.maxInflationVarFactor,IF(OR(_xlfn.ISOMITTED(_xlpm.maxInflationVarFactor),ISBLANK(_xlpm.maxInflationVarFactor)), 5, _xlpm.maxInflationVarFactor),
_xlpm.minEigenvalueCondition,IF(OR(_xlfn.ISOMITTED(_xlpm.minEigenvalueCondition),ISBLANK(_xlpm.minEigenvalueCondition)), 0.01, _xlpm.minEigenvalueCondition),
_xlpm.maxConditionIndex,IF(OR(_xlfn.ISOMITTED(_xlpm.maxConditionIndex),ISBLANK(_xlpm.maxConditionIndex)), 50, _xlpm.maxConditionIndex),
_xlpm.inflationFactors, VARINFLATIONFACTOR(INDEX(_xlpm.matrix,,1),_xlfn.DROP(_xlpm.matrix,0,1),TRUE),
_xlpm.corrcoef_matrix, CORRCOEF(_xlpm.matrix),
_xlpm.eigenvals_list, EIGENVALUES(_xlpm.corrcoef_matrix,_xlpm.eigenMin,_xlpm.eigenMax,_xlpm.eigenStep),
_xlpm.min_eigenval, MIN(_xlpm.eigenvals_list),
_xlpm.max_eigenval, MAX(_xlpm.eigenvals_list),
_xlpm.conditionIndex, SQRT(_xlpm.max_eigenval / _xlpm.min_eigenval),
_xlfn.SWITCH(_xlpm.returnTest, 0, MAX(_xlpm.inflationFactors) &gt;= _xlpm.maxInflationVarFactor, 1, _xlpm.min_eigenval &lt;= _xlpm.minEigenvalueCondition, 2, _xlpm.conditionIndex &gt;= _xlpm.maxConditionIndex, "# ReturnTest must be 0/omitted (Inflation Var Factor), 1 (Eigenvalue Condition) or 2 (Condition Index)")
))($H$30:$L$160,G19,G20,G21,G22,G23,G24,G25)</f>
        <v>0</v>
      </c>
      <c r="O30" s="63"/>
      <c r="P30" s="63" t="b" cm="1">
        <f t="array" ref="P30">ISMULTICOLLINEAR($H$30:$L$160,G19,G20,G21,G22,G23,G24,G25)</f>
        <v>0</v>
      </c>
      <c r="Q30" s="63"/>
      <c r="S30" s="54"/>
    </row>
    <row r="31" spans="1:19" x14ac:dyDescent="0.3">
      <c r="F31" s="13" t="s">
        <v>686</v>
      </c>
      <c r="G31" s="13">
        <v>7.38</v>
      </c>
      <c r="H31" s="12">
        <v>-0.35</v>
      </c>
      <c r="I31" s="12">
        <v>-0.9</v>
      </c>
      <c r="J31" s="12">
        <v>-0.23</v>
      </c>
      <c r="K31" s="12">
        <v>-0.34</v>
      </c>
      <c r="L31" s="12">
        <v>-0.65</v>
      </c>
      <c r="N31" s="63"/>
      <c r="O31" s="63"/>
      <c r="P31" s="63"/>
      <c r="Q31" s="63"/>
      <c r="S31" s="54"/>
    </row>
    <row r="32" spans="1:19" x14ac:dyDescent="0.3">
      <c r="F32" s="13" t="s">
        <v>687</v>
      </c>
      <c r="G32" s="13">
        <v>0.62</v>
      </c>
      <c r="H32" s="12">
        <v>1.43</v>
      </c>
      <c r="I32" s="12">
        <v>-0.19</v>
      </c>
      <c r="J32" s="12">
        <v>-0.13</v>
      </c>
      <c r="K32" s="12">
        <v>-0.31</v>
      </c>
      <c r="L32" s="12">
        <v>0.44</v>
      </c>
      <c r="N32" s="63"/>
      <c r="O32" s="63"/>
      <c r="P32" s="63"/>
      <c r="Q32" s="63"/>
      <c r="S32" s="54"/>
    </row>
    <row r="33" spans="1:22" s="21" customFormat="1" x14ac:dyDescent="0.3">
      <c r="A33" s="17"/>
      <c r="B33"/>
      <c r="C33"/>
      <c r="D33"/>
      <c r="E33"/>
      <c r="F33" s="13" t="s">
        <v>688</v>
      </c>
      <c r="G33" s="13">
        <v>1</v>
      </c>
      <c r="H33" s="12">
        <v>1.36</v>
      </c>
      <c r="I33" s="12">
        <v>0.09</v>
      </c>
      <c r="J33" s="12">
        <v>-0.57999999999999996</v>
      </c>
      <c r="K33" s="12">
        <v>-0.32</v>
      </c>
      <c r="L33" s="12">
        <v>0.51</v>
      </c>
      <c r="M33"/>
      <c r="N33" s="27"/>
      <c r="O33" s="15"/>
      <c r="P33" s="27"/>
      <c r="Q33" s="15"/>
      <c r="R33" s="15"/>
      <c r="S33" s="54"/>
      <c r="T33" s="15"/>
      <c r="U33" s="15"/>
      <c r="V33" s="15"/>
    </row>
    <row r="34" spans="1:22" s="21" customFormat="1" x14ac:dyDescent="0.3">
      <c r="A34" s="17"/>
      <c r="B34"/>
      <c r="C34"/>
      <c r="D34"/>
      <c r="E34"/>
      <c r="F34" s="13" t="s">
        <v>689</v>
      </c>
      <c r="G34" s="13">
        <v>1.37</v>
      </c>
      <c r="H34" s="12">
        <v>-0.27</v>
      </c>
      <c r="I34" s="12">
        <v>-0.56999999999999995</v>
      </c>
      <c r="J34" s="12">
        <v>-0.1</v>
      </c>
      <c r="K34" s="12">
        <v>-0.12</v>
      </c>
      <c r="L34" s="12">
        <v>-0.93</v>
      </c>
      <c r="M34"/>
      <c r="N34" s="27"/>
      <c r="O34" s="15"/>
      <c r="P34" s="27"/>
      <c r="Q34" s="15"/>
      <c r="R34" s="15"/>
      <c r="S34" s="54"/>
      <c r="T34" s="15"/>
      <c r="U34" s="15"/>
      <c r="V34" s="15"/>
    </row>
    <row r="35" spans="1:22" s="21" customFormat="1" x14ac:dyDescent="0.3">
      <c r="A35" s="17"/>
      <c r="B35"/>
      <c r="C35"/>
      <c r="D35"/>
      <c r="E35"/>
      <c r="F35" s="13" t="s">
        <v>690</v>
      </c>
      <c r="G35" s="13">
        <v>0.22</v>
      </c>
      <c r="H35" s="12">
        <v>1.07</v>
      </c>
      <c r="I35" s="12">
        <v>0.15</v>
      </c>
      <c r="J35" s="12">
        <v>-0.22</v>
      </c>
      <c r="K35" s="12">
        <v>-0.14000000000000001</v>
      </c>
      <c r="L35" s="12">
        <v>-0.37</v>
      </c>
      <c r="M35"/>
      <c r="N35" s="27"/>
      <c r="O35" s="15"/>
      <c r="P35" s="27"/>
      <c r="Q35" s="15"/>
      <c r="R35" s="15"/>
      <c r="S35" s="54"/>
      <c r="T35" s="15"/>
      <c r="U35" s="15"/>
      <c r="V35" s="15"/>
    </row>
    <row r="36" spans="1:22" s="21" customFormat="1" x14ac:dyDescent="0.3">
      <c r="A36" s="17"/>
      <c r="B36"/>
      <c r="C36"/>
      <c r="D36"/>
      <c r="E36"/>
      <c r="F36" s="13" t="s">
        <v>691</v>
      </c>
      <c r="G36" s="13">
        <v>7.03</v>
      </c>
      <c r="H36" s="12">
        <v>-0.97</v>
      </c>
      <c r="I36" s="12">
        <v>0.85</v>
      </c>
      <c r="J36" s="12">
        <v>-0.34</v>
      </c>
      <c r="K36" s="12">
        <v>0.42</v>
      </c>
      <c r="L36" s="12">
        <v>-1.69</v>
      </c>
      <c r="M36"/>
      <c r="N36" s="27"/>
      <c r="O36" s="15"/>
      <c r="P36" s="27"/>
      <c r="Q36" s="15"/>
      <c r="R36" s="15"/>
      <c r="S36" s="54"/>
      <c r="T36" s="15"/>
      <c r="U36" s="15"/>
      <c r="V36" s="15"/>
    </row>
    <row r="37" spans="1:22" s="21" customFormat="1" x14ac:dyDescent="0.3">
      <c r="A37" s="17"/>
      <c r="B37"/>
      <c r="C37"/>
      <c r="D37"/>
      <c r="E37"/>
      <c r="F37" s="13" t="s">
        <v>692</v>
      </c>
      <c r="G37" s="13">
        <v>-0.23</v>
      </c>
      <c r="H37" s="12">
        <v>0.63</v>
      </c>
      <c r="I37" s="12">
        <v>-1.1100000000000001</v>
      </c>
      <c r="J37" s="12">
        <v>-0.01</v>
      </c>
      <c r="K37" s="12">
        <v>0.15</v>
      </c>
      <c r="L37" s="12">
        <v>-0.84</v>
      </c>
      <c r="M37"/>
      <c r="N37" s="27"/>
      <c r="O37" s="15"/>
      <c r="P37" s="27"/>
      <c r="Q37" s="15"/>
      <c r="R37" s="15"/>
      <c r="S37" s="54"/>
      <c r="T37" s="15"/>
      <c r="U37" s="15"/>
      <c r="V37" s="15"/>
    </row>
    <row r="38" spans="1:22" s="21" customFormat="1" x14ac:dyDescent="0.3">
      <c r="A38" s="17"/>
      <c r="B38"/>
      <c r="C38"/>
      <c r="D38"/>
      <c r="E38"/>
      <c r="F38" s="13" t="s">
        <v>693</v>
      </c>
      <c r="G38" s="13">
        <v>1.4</v>
      </c>
      <c r="H38" s="12">
        <v>-7.0000000000000007E-2</v>
      </c>
      <c r="I38" s="12">
        <v>0.53</v>
      </c>
      <c r="J38" s="12">
        <v>-0.21</v>
      </c>
      <c r="K38" s="12">
        <v>0.42</v>
      </c>
      <c r="L38" s="12">
        <v>-0.09</v>
      </c>
      <c r="M38"/>
      <c r="N38" s="27"/>
      <c r="O38" s="15"/>
      <c r="P38" s="27"/>
      <c r="Q38" s="15"/>
      <c r="R38" s="15"/>
      <c r="S38" s="54"/>
      <c r="T38" s="15"/>
      <c r="U38" s="15"/>
      <c r="V38" s="15"/>
    </row>
    <row r="39" spans="1:22" s="21" customFormat="1" x14ac:dyDescent="0.3">
      <c r="A39" s="17"/>
      <c r="B39"/>
      <c r="C39"/>
      <c r="D39"/>
      <c r="E39"/>
      <c r="F39" s="13" t="s">
        <v>694</v>
      </c>
      <c r="G39" s="13">
        <v>1.24</v>
      </c>
      <c r="H39" s="12">
        <v>1.31</v>
      </c>
      <c r="I39" s="12">
        <v>0.03</v>
      </c>
      <c r="J39" s="12">
        <v>-0.92</v>
      </c>
      <c r="K39" s="12">
        <v>-0.34</v>
      </c>
      <c r="L39" s="12">
        <v>1.1100000000000001</v>
      </c>
      <c r="M39"/>
      <c r="N39" s="27"/>
      <c r="O39" s="15"/>
      <c r="P39" s="27"/>
      <c r="Q39" s="15"/>
      <c r="R39" s="15"/>
      <c r="S39" s="54"/>
      <c r="T39" s="15"/>
      <c r="U39" s="15"/>
      <c r="V39" s="15"/>
    </row>
    <row r="40" spans="1:22" s="21" customFormat="1" x14ac:dyDescent="0.3">
      <c r="A40" s="17"/>
      <c r="B40"/>
      <c r="C40"/>
      <c r="D40"/>
      <c r="E40"/>
      <c r="F40" s="13" t="s">
        <v>695</v>
      </c>
      <c r="G40" s="13">
        <v>4</v>
      </c>
      <c r="H40" s="12">
        <v>-1.18</v>
      </c>
      <c r="I40" s="12">
        <v>0.11</v>
      </c>
      <c r="J40" s="12">
        <v>-0.26</v>
      </c>
      <c r="K40" s="12">
        <v>-0.77</v>
      </c>
      <c r="L40" s="12">
        <v>-1.01</v>
      </c>
      <c r="M40"/>
      <c r="N40" s="63"/>
      <c r="O40" s="15"/>
      <c r="P40" s="27"/>
      <c r="Q40" s="15"/>
      <c r="R40" s="15"/>
      <c r="S40" s="54"/>
      <c r="T40" s="15"/>
      <c r="U40" s="15"/>
      <c r="V40" s="15"/>
    </row>
    <row r="41" spans="1:22" s="21" customFormat="1" x14ac:dyDescent="0.3">
      <c r="A41" s="17"/>
      <c r="B41"/>
      <c r="C41"/>
      <c r="D41"/>
      <c r="E41"/>
      <c r="F41" s="13" t="s">
        <v>696</v>
      </c>
      <c r="G41" s="13">
        <v>4.26</v>
      </c>
      <c r="H41" s="12">
        <v>-0.52</v>
      </c>
      <c r="I41" s="12">
        <v>1.63</v>
      </c>
      <c r="J41" s="12">
        <v>-0.35</v>
      </c>
      <c r="K41" s="12">
        <v>-0.1</v>
      </c>
      <c r="L41" s="12">
        <v>0.32</v>
      </c>
      <c r="M41"/>
      <c r="N41" s="27"/>
      <c r="O41" s="15"/>
      <c r="P41" s="27"/>
      <c r="Q41" s="15"/>
      <c r="R41" s="15"/>
      <c r="S41" s="54"/>
      <c r="T41" s="15"/>
      <c r="U41" s="15"/>
      <c r="V41" s="15"/>
    </row>
    <row r="42" spans="1:22" s="21" customFormat="1" x14ac:dyDescent="0.3">
      <c r="A42" s="17"/>
      <c r="B42"/>
      <c r="C42"/>
      <c r="D42"/>
      <c r="E42"/>
      <c r="F42" s="13" t="s">
        <v>697</v>
      </c>
      <c r="G42" s="13">
        <v>0.8</v>
      </c>
      <c r="H42" s="12">
        <v>-0.46</v>
      </c>
      <c r="I42" s="12">
        <v>-0.6</v>
      </c>
      <c r="J42" s="12">
        <v>-0.46</v>
      </c>
      <c r="K42" s="12">
        <v>-0.26</v>
      </c>
      <c r="L42" s="12">
        <v>0.28999999999999998</v>
      </c>
      <c r="M42"/>
      <c r="N42" s="27"/>
      <c r="O42" s="15"/>
      <c r="P42" s="27"/>
      <c r="Q42" s="15"/>
      <c r="R42" s="15"/>
      <c r="S42" s="54"/>
      <c r="T42" s="15"/>
      <c r="U42" s="15"/>
      <c r="V42" s="15"/>
    </row>
    <row r="43" spans="1:22" s="21" customFormat="1" x14ac:dyDescent="0.3">
      <c r="A43" s="17"/>
      <c r="B43"/>
      <c r="C43"/>
      <c r="D43"/>
      <c r="E43"/>
      <c r="F43" s="13" t="s">
        <v>698</v>
      </c>
      <c r="G43" s="13">
        <v>3.39</v>
      </c>
      <c r="H43" s="12">
        <v>-0.1</v>
      </c>
      <c r="I43" s="12">
        <v>-0.38</v>
      </c>
      <c r="J43" s="12">
        <v>-0.22</v>
      </c>
      <c r="K43" s="12">
        <v>-0.5</v>
      </c>
      <c r="L43" s="12">
        <v>0.51</v>
      </c>
      <c r="M43"/>
      <c r="N43" s="27"/>
      <c r="O43" s="15"/>
      <c r="P43" s="27"/>
      <c r="Q43" s="15"/>
      <c r="R43" s="15"/>
      <c r="S43" s="54"/>
      <c r="T43" s="15"/>
      <c r="U43" s="15"/>
      <c r="V43" s="15"/>
    </row>
    <row r="44" spans="1:22" s="21" customFormat="1" x14ac:dyDescent="0.3">
      <c r="A44" s="17"/>
      <c r="B44"/>
      <c r="C44"/>
      <c r="D44"/>
      <c r="E44"/>
      <c r="F44" s="13" t="s">
        <v>699</v>
      </c>
      <c r="G44" s="13">
        <v>0.75</v>
      </c>
      <c r="H44" s="12">
        <v>0.11</v>
      </c>
      <c r="I44" s="12">
        <v>1.25</v>
      </c>
      <c r="J44" s="12">
        <v>-0.27</v>
      </c>
      <c r="K44" s="12">
        <v>-0.09</v>
      </c>
      <c r="L44" s="12">
        <v>0.34</v>
      </c>
      <c r="M44"/>
      <c r="N44" s="27"/>
      <c r="O44" s="15"/>
      <c r="P44" s="27"/>
      <c r="Q44" s="15"/>
      <c r="R44" s="15"/>
      <c r="S44" s="54"/>
      <c r="T44" s="15"/>
      <c r="U44" s="15"/>
      <c r="V44" s="15"/>
    </row>
    <row r="45" spans="1:22" s="21" customFormat="1" x14ac:dyDescent="0.3">
      <c r="A45" s="17"/>
      <c r="B45"/>
      <c r="C45"/>
      <c r="D45"/>
      <c r="E45"/>
      <c r="F45" s="13" t="s">
        <v>700</v>
      </c>
      <c r="G45" s="13">
        <v>0.38</v>
      </c>
      <c r="H45" s="12">
        <v>0.17</v>
      </c>
      <c r="I45" s="12">
        <v>-1.19</v>
      </c>
      <c r="J45" s="12">
        <v>-0.04</v>
      </c>
      <c r="K45" s="12">
        <v>0.08</v>
      </c>
      <c r="L45" s="12">
        <v>0.65</v>
      </c>
      <c r="M45"/>
      <c r="N45" s="27"/>
      <c r="O45" s="15"/>
      <c r="P45" s="27"/>
      <c r="Q45" s="15"/>
      <c r="R45" s="15"/>
      <c r="S45" s="54"/>
      <c r="T45" s="15"/>
      <c r="U45" s="15"/>
      <c r="V45" s="15"/>
    </row>
    <row r="46" spans="1:22" s="21" customFormat="1" x14ac:dyDescent="0.3">
      <c r="A46" s="17"/>
      <c r="B46"/>
      <c r="C46"/>
      <c r="D46"/>
      <c r="E46"/>
      <c r="F46" s="13" t="s">
        <v>701</v>
      </c>
      <c r="G46" s="13">
        <v>2.83</v>
      </c>
      <c r="H46" s="12">
        <v>1.03</v>
      </c>
      <c r="I46" s="12">
        <v>1.72</v>
      </c>
      <c r="J46" s="12">
        <v>-0.14000000000000001</v>
      </c>
      <c r="K46" s="12">
        <v>-0.67</v>
      </c>
      <c r="L46" s="12">
        <v>1.44</v>
      </c>
      <c r="M46"/>
      <c r="N46" s="27"/>
      <c r="O46" s="15"/>
      <c r="P46" s="27"/>
      <c r="Q46" s="15"/>
      <c r="R46" s="15"/>
      <c r="S46" s="54"/>
      <c r="T46" s="15"/>
      <c r="U46" s="15"/>
      <c r="V46" s="15"/>
    </row>
    <row r="47" spans="1:22" s="21" customFormat="1" x14ac:dyDescent="0.3">
      <c r="A47" s="17"/>
      <c r="B47"/>
      <c r="C47"/>
      <c r="D47"/>
      <c r="E47"/>
      <c r="F47" s="13" t="s">
        <v>702</v>
      </c>
      <c r="G47" s="13">
        <v>4.43</v>
      </c>
      <c r="H47" s="12">
        <v>0.2</v>
      </c>
      <c r="I47" s="12">
        <v>-0.45</v>
      </c>
      <c r="J47" s="12">
        <v>-0.17</v>
      </c>
      <c r="K47" s="12">
        <v>-0.03</v>
      </c>
      <c r="L47" s="12">
        <v>7.0000000000000007E-2</v>
      </c>
      <c r="M47"/>
      <c r="N47" s="27"/>
      <c r="O47" s="15"/>
      <c r="P47" s="27"/>
      <c r="Q47" s="15"/>
      <c r="R47" s="15"/>
      <c r="S47" s="54"/>
      <c r="T47" s="15"/>
      <c r="U47" s="15"/>
      <c r="V47" s="15"/>
    </row>
    <row r="48" spans="1:22" s="21" customFormat="1" x14ac:dyDescent="0.3">
      <c r="A48" s="17"/>
      <c r="B48"/>
      <c r="C48"/>
      <c r="D48"/>
      <c r="E48"/>
      <c r="F48" s="13" t="s">
        <v>703</v>
      </c>
      <c r="G48" s="13">
        <v>2.74</v>
      </c>
      <c r="H48" s="12">
        <v>-1.47</v>
      </c>
      <c r="I48" s="12">
        <v>-0.22</v>
      </c>
      <c r="J48" s="12">
        <v>-0.31</v>
      </c>
      <c r="K48" s="12">
        <v>-1.19</v>
      </c>
      <c r="L48" s="12">
        <v>0.44</v>
      </c>
      <c r="M48"/>
      <c r="N48" s="27"/>
      <c r="O48" s="15"/>
      <c r="P48" s="27"/>
      <c r="Q48" s="15"/>
      <c r="R48" s="15"/>
      <c r="S48" s="54"/>
      <c r="T48" s="15"/>
      <c r="U48" s="15"/>
      <c r="V48" s="15"/>
    </row>
    <row r="49" spans="1:22" s="21" customFormat="1" x14ac:dyDescent="0.3">
      <c r="A49" s="17"/>
      <c r="B49"/>
      <c r="C49"/>
      <c r="D49"/>
      <c r="E49"/>
      <c r="F49" s="13" t="s">
        <v>704</v>
      </c>
      <c r="G49" s="13">
        <v>-1.29</v>
      </c>
      <c r="H49" s="12">
        <v>-2.2200000000000002</v>
      </c>
      <c r="I49" s="12">
        <v>-1.54</v>
      </c>
      <c r="J49" s="12">
        <v>-0.4</v>
      </c>
      <c r="K49" s="12">
        <v>-0.73</v>
      </c>
      <c r="L49" s="12">
        <v>1.87</v>
      </c>
      <c r="M49"/>
      <c r="N49" s="27"/>
      <c r="O49" s="15"/>
      <c r="P49" s="27"/>
      <c r="Q49" s="15"/>
      <c r="R49" s="15"/>
      <c r="S49" s="54"/>
      <c r="T49" s="15"/>
      <c r="U49" s="15"/>
      <c r="V49" s="15"/>
    </row>
    <row r="50" spans="1:22" s="21" customFormat="1" x14ac:dyDescent="0.3">
      <c r="A50" s="17"/>
      <c r="B50"/>
      <c r="C50"/>
      <c r="D50"/>
      <c r="E50"/>
      <c r="F50" s="13" t="s">
        <v>705</v>
      </c>
      <c r="G50" s="13">
        <v>4.4800000000000004</v>
      </c>
      <c r="H50" s="12">
        <v>-0.45</v>
      </c>
      <c r="I50" s="12">
        <v>1.31</v>
      </c>
      <c r="J50" s="12">
        <v>0.11</v>
      </c>
      <c r="K50" s="12">
        <v>-0.4</v>
      </c>
      <c r="L50" s="12">
        <v>0.2</v>
      </c>
      <c r="M50"/>
      <c r="N50" s="27"/>
      <c r="O50" s="15"/>
      <c r="P50" s="27"/>
      <c r="Q50" s="15"/>
      <c r="R50" s="15"/>
      <c r="S50" s="54"/>
      <c r="T50" s="15"/>
      <c r="U50" s="15"/>
      <c r="V50" s="15"/>
    </row>
    <row r="51" spans="1:22" s="21" customFormat="1" x14ac:dyDescent="0.3">
      <c r="A51" s="17"/>
      <c r="B51"/>
      <c r="C51"/>
      <c r="D51"/>
      <c r="E51"/>
      <c r="F51" s="13" t="s">
        <v>706</v>
      </c>
      <c r="G51" s="13">
        <v>1.07</v>
      </c>
      <c r="H51" s="12">
        <v>-1.04</v>
      </c>
      <c r="I51" s="12">
        <v>-0.26</v>
      </c>
      <c r="J51" s="12">
        <v>-0.15</v>
      </c>
      <c r="K51" s="12">
        <v>-0.15</v>
      </c>
      <c r="L51" s="12">
        <v>-0.92</v>
      </c>
      <c r="M51"/>
      <c r="N51" s="27"/>
      <c r="O51" s="15"/>
      <c r="P51" s="27"/>
      <c r="Q51" s="15"/>
      <c r="R51" s="15"/>
      <c r="S51" s="54"/>
      <c r="T51" s="15"/>
      <c r="U51" s="15"/>
      <c r="V51" s="15"/>
    </row>
    <row r="52" spans="1:22" s="21" customFormat="1" x14ac:dyDescent="0.3">
      <c r="A52" s="17"/>
      <c r="B52"/>
      <c r="C52"/>
      <c r="D52"/>
      <c r="E52"/>
      <c r="F52" s="13" t="s">
        <v>707</v>
      </c>
      <c r="G52" s="13">
        <v>0.22</v>
      </c>
      <c r="H52" s="12">
        <v>1.29</v>
      </c>
      <c r="I52" s="12">
        <v>-0.25</v>
      </c>
      <c r="J52" s="12">
        <v>-0.15</v>
      </c>
      <c r="K52" s="12">
        <v>-0.24</v>
      </c>
      <c r="L52" s="12">
        <v>0.79</v>
      </c>
      <c r="M52"/>
      <c r="N52" s="27"/>
      <c r="O52" s="15"/>
      <c r="P52" s="27"/>
      <c r="Q52" s="15"/>
      <c r="R52" s="15"/>
      <c r="S52" s="54"/>
      <c r="T52" s="15"/>
      <c r="U52" s="15"/>
      <c r="V52" s="15"/>
    </row>
    <row r="53" spans="1:22" s="21" customFormat="1" x14ac:dyDescent="0.3">
      <c r="A53" s="17"/>
      <c r="B53"/>
      <c r="C53"/>
      <c r="D53"/>
      <c r="E53"/>
      <c r="F53" s="13" t="s">
        <v>708</v>
      </c>
      <c r="G53" s="13">
        <v>0.21</v>
      </c>
      <c r="H53" s="12">
        <v>-1.55</v>
      </c>
      <c r="I53" s="12">
        <v>-0.41</v>
      </c>
      <c r="J53" s="12">
        <v>0.08</v>
      </c>
      <c r="K53" s="12">
        <v>-0.78</v>
      </c>
      <c r="L53" s="12">
        <v>-2.13</v>
      </c>
      <c r="M53"/>
      <c r="N53" s="27"/>
      <c r="O53" s="15"/>
      <c r="P53" s="27"/>
      <c r="Q53" s="15"/>
      <c r="R53" s="15"/>
      <c r="S53" s="54"/>
      <c r="T53" s="15"/>
      <c r="U53" s="15"/>
      <c r="V53" s="15"/>
    </row>
    <row r="54" spans="1:22" s="21" customFormat="1" x14ac:dyDescent="0.3">
      <c r="A54" s="17"/>
      <c r="B54"/>
      <c r="C54"/>
      <c r="D54"/>
      <c r="E54"/>
      <c r="F54" s="13" t="s">
        <v>709</v>
      </c>
      <c r="G54" s="13">
        <v>-0.13</v>
      </c>
      <c r="H54" s="12">
        <v>0.56000000000000005</v>
      </c>
      <c r="I54" s="12">
        <v>-0.24</v>
      </c>
      <c r="J54" s="12">
        <v>0</v>
      </c>
      <c r="K54" s="12">
        <v>-0.13</v>
      </c>
      <c r="L54" s="12">
        <v>-0.3</v>
      </c>
      <c r="M54"/>
      <c r="N54" s="27"/>
      <c r="O54" s="15"/>
      <c r="P54" s="27"/>
      <c r="Q54" s="15"/>
      <c r="R54" s="15"/>
      <c r="S54" s="54"/>
      <c r="T54" s="15"/>
      <c r="U54" s="15"/>
      <c r="V54" s="15"/>
    </row>
    <row r="55" spans="1:22" s="21" customFormat="1" x14ac:dyDescent="0.3">
      <c r="A55" s="17"/>
      <c r="B55"/>
      <c r="C55"/>
      <c r="D55"/>
      <c r="E55"/>
      <c r="F55" s="13" t="s">
        <v>710</v>
      </c>
      <c r="G55" s="13">
        <v>5.57</v>
      </c>
      <c r="H55" s="12">
        <v>0.24</v>
      </c>
      <c r="I55" s="12">
        <v>2.29</v>
      </c>
      <c r="J55" s="12">
        <v>-0.3</v>
      </c>
      <c r="K55" s="12">
        <v>-7.0000000000000007E-2</v>
      </c>
      <c r="L55" s="12">
        <v>0.06</v>
      </c>
      <c r="M55"/>
      <c r="N55" s="27"/>
      <c r="O55" s="15"/>
      <c r="P55" s="27"/>
      <c r="Q55" s="15"/>
      <c r="R55" s="15"/>
      <c r="S55" s="54"/>
      <c r="T55" s="15"/>
      <c r="U55" s="15"/>
      <c r="V55" s="15"/>
    </row>
    <row r="56" spans="1:22" s="21" customFormat="1" x14ac:dyDescent="0.3">
      <c r="A56" s="17"/>
      <c r="B56"/>
      <c r="C56"/>
      <c r="D56"/>
      <c r="E56"/>
      <c r="F56" s="13" t="s">
        <v>711</v>
      </c>
      <c r="G56" s="13">
        <v>1.87</v>
      </c>
      <c r="H56" s="12">
        <v>-0.03</v>
      </c>
      <c r="I56" s="12">
        <v>-0.3</v>
      </c>
      <c r="J56" s="12">
        <v>0.02</v>
      </c>
      <c r="K56" s="12">
        <v>0.04</v>
      </c>
      <c r="L56" s="12">
        <v>-0.16</v>
      </c>
      <c r="M56"/>
      <c r="N56" s="27"/>
      <c r="O56" s="15"/>
      <c r="P56" s="27"/>
      <c r="Q56" s="15"/>
      <c r="R56" s="15"/>
      <c r="S56" s="54"/>
      <c r="T56" s="15"/>
      <c r="U56" s="15"/>
      <c r="V56" s="15"/>
    </row>
    <row r="57" spans="1:22" s="21" customFormat="1" x14ac:dyDescent="0.3">
      <c r="A57" s="17"/>
      <c r="B57"/>
      <c r="C57"/>
      <c r="D57"/>
      <c r="E57"/>
      <c r="F57" s="13" t="s">
        <v>712</v>
      </c>
      <c r="G57" s="13">
        <v>-5.98</v>
      </c>
      <c r="H57" s="12">
        <v>-0.68</v>
      </c>
      <c r="I57" s="12">
        <v>7.0000000000000007E-2</v>
      </c>
      <c r="J57" s="12">
        <v>2.23</v>
      </c>
      <c r="K57" s="12">
        <v>-0.2</v>
      </c>
      <c r="L57" s="12">
        <v>-0.69</v>
      </c>
      <c r="M57"/>
      <c r="N57" s="27"/>
      <c r="O57" s="15"/>
      <c r="P57" s="27"/>
      <c r="Q57" s="15"/>
      <c r="R57" s="15"/>
      <c r="S57" s="54"/>
      <c r="T57" s="15"/>
      <c r="U57" s="15"/>
      <c r="V57" s="15"/>
    </row>
    <row r="58" spans="1:22" s="21" customFormat="1" x14ac:dyDescent="0.3">
      <c r="A58" s="17"/>
      <c r="B58"/>
      <c r="C58"/>
      <c r="D58"/>
      <c r="E58"/>
      <c r="F58" s="13" t="s">
        <v>713</v>
      </c>
      <c r="G58" s="13">
        <v>1.1100000000000001</v>
      </c>
      <c r="H58" s="12">
        <v>0.37</v>
      </c>
      <c r="I58" s="12">
        <v>-0.87</v>
      </c>
      <c r="J58" s="12">
        <v>-0.01</v>
      </c>
      <c r="K58" s="12">
        <v>-0.22</v>
      </c>
      <c r="L58" s="12">
        <v>0.17</v>
      </c>
      <c r="M58"/>
      <c r="N58" s="27"/>
      <c r="O58" s="15"/>
      <c r="P58" s="27"/>
      <c r="Q58" s="15"/>
      <c r="R58" s="15"/>
      <c r="S58" s="54"/>
      <c r="T58" s="15"/>
      <c r="U58" s="15"/>
      <c r="V58" s="15"/>
    </row>
    <row r="59" spans="1:22" s="21" customFormat="1" x14ac:dyDescent="0.3">
      <c r="A59" s="17"/>
      <c r="B59"/>
      <c r="C59"/>
      <c r="D59"/>
      <c r="E59"/>
      <c r="F59" s="13" t="s">
        <v>714</v>
      </c>
      <c r="G59" s="13">
        <v>3.56</v>
      </c>
      <c r="H59" s="12">
        <v>-0.76</v>
      </c>
      <c r="I59" s="12">
        <v>-0.57999999999999996</v>
      </c>
      <c r="J59" s="12">
        <v>-0.24</v>
      </c>
      <c r="K59" s="12">
        <v>-0.8</v>
      </c>
      <c r="L59" s="12">
        <v>-1.05</v>
      </c>
      <c r="M59"/>
      <c r="N59" s="27"/>
      <c r="O59" s="15"/>
      <c r="P59" s="27"/>
      <c r="Q59" s="15"/>
      <c r="R59" s="15"/>
      <c r="S59" s="54"/>
      <c r="T59" s="15"/>
      <c r="U59" s="15"/>
      <c r="V59" s="15"/>
    </row>
    <row r="60" spans="1:22" s="21" customFormat="1" x14ac:dyDescent="0.3">
      <c r="A60" s="17"/>
      <c r="B60"/>
      <c r="C60"/>
      <c r="D60"/>
      <c r="E60"/>
      <c r="F60" s="13" t="s">
        <v>715</v>
      </c>
      <c r="G60" s="13">
        <v>3.37</v>
      </c>
      <c r="H60" s="12">
        <v>0.52</v>
      </c>
      <c r="I60" s="12">
        <v>-0.25</v>
      </c>
      <c r="J60" s="12">
        <v>-0.22</v>
      </c>
      <c r="K60" s="12">
        <v>-0.46</v>
      </c>
      <c r="L60" s="12">
        <v>0.56000000000000005</v>
      </c>
      <c r="M60"/>
      <c r="N60" s="27"/>
      <c r="O60" s="15"/>
      <c r="P60" s="27"/>
      <c r="Q60" s="15"/>
      <c r="R60" s="15"/>
      <c r="S60" s="54"/>
      <c r="T60" s="15"/>
      <c r="U60" s="15"/>
      <c r="V60" s="15"/>
    </row>
    <row r="61" spans="1:22" s="21" customFormat="1" x14ac:dyDescent="0.3">
      <c r="A61" s="17"/>
      <c r="B61"/>
      <c r="C61"/>
      <c r="D61"/>
      <c r="E61"/>
      <c r="F61" s="13" t="s">
        <v>716</v>
      </c>
      <c r="G61" s="13">
        <v>1.86</v>
      </c>
      <c r="H61" s="12">
        <v>0.96</v>
      </c>
      <c r="I61" s="12">
        <v>-0.6</v>
      </c>
      <c r="J61" s="12">
        <v>9.56</v>
      </c>
      <c r="K61" s="12">
        <v>-0.56000000000000005</v>
      </c>
      <c r="L61" s="12">
        <v>0.03</v>
      </c>
      <c r="M61"/>
      <c r="N61" s="27"/>
      <c r="O61" s="15"/>
      <c r="P61" s="27"/>
      <c r="Q61" s="15"/>
      <c r="R61" s="15"/>
      <c r="S61" s="54"/>
      <c r="T61" s="15"/>
      <c r="U61" s="15"/>
      <c r="V61" s="15"/>
    </row>
    <row r="62" spans="1:22" s="21" customFormat="1" x14ac:dyDescent="0.3">
      <c r="A62" s="17"/>
      <c r="B62"/>
      <c r="C62"/>
      <c r="D62"/>
      <c r="E62"/>
      <c r="F62" s="13" t="s">
        <v>717</v>
      </c>
      <c r="G62" s="13">
        <v>1.95</v>
      </c>
      <c r="H62" s="12">
        <v>0.82</v>
      </c>
      <c r="I62" s="12">
        <v>0.27</v>
      </c>
      <c r="J62" s="12">
        <v>-0.05</v>
      </c>
      <c r="K62" s="12">
        <v>-0.08</v>
      </c>
      <c r="L62" s="12">
        <v>0.56000000000000005</v>
      </c>
      <c r="M62"/>
      <c r="N62" s="27"/>
      <c r="O62" s="15"/>
      <c r="P62" s="27"/>
      <c r="Q62" s="15"/>
      <c r="R62" s="15"/>
      <c r="S62" s="54"/>
      <c r="T62" s="15"/>
      <c r="U62" s="15"/>
      <c r="V62" s="15"/>
    </row>
    <row r="63" spans="1:22" s="21" customFormat="1" x14ac:dyDescent="0.3">
      <c r="A63" s="17"/>
      <c r="B63"/>
      <c r="C63"/>
      <c r="D63"/>
      <c r="E63"/>
      <c r="F63" s="13" t="s">
        <v>718</v>
      </c>
      <c r="G63" s="13">
        <v>2.41</v>
      </c>
      <c r="H63" s="12">
        <v>1.48</v>
      </c>
      <c r="I63" s="12">
        <v>-0.25</v>
      </c>
      <c r="J63" s="12">
        <v>-0.61</v>
      </c>
      <c r="K63" s="12">
        <v>-0.46</v>
      </c>
      <c r="L63" s="12">
        <v>1.24</v>
      </c>
      <c r="M63"/>
      <c r="N63" s="27"/>
      <c r="O63" s="15"/>
      <c r="P63" s="27"/>
      <c r="Q63" s="15"/>
      <c r="R63" s="15"/>
      <c r="S63" s="54"/>
      <c r="T63" s="15"/>
      <c r="U63" s="15"/>
      <c r="V63" s="15"/>
    </row>
    <row r="64" spans="1:22" s="21" customFormat="1" x14ac:dyDescent="0.3">
      <c r="A64" s="17"/>
      <c r="B64"/>
      <c r="C64"/>
      <c r="D64"/>
      <c r="E64"/>
      <c r="F64" s="13" t="s">
        <v>719</v>
      </c>
      <c r="G64" s="13">
        <v>3.96</v>
      </c>
      <c r="H64" s="12">
        <v>0.1</v>
      </c>
      <c r="I64" s="12">
        <v>0.16</v>
      </c>
      <c r="J64" s="12">
        <v>-0.1</v>
      </c>
      <c r="K64" s="12">
        <v>-0.27</v>
      </c>
      <c r="L64" s="12">
        <v>-0.89</v>
      </c>
      <c r="M64"/>
      <c r="N64" s="27"/>
      <c r="O64" s="15"/>
      <c r="P64" s="27"/>
      <c r="Q64" s="15"/>
      <c r="R64" s="15"/>
      <c r="S64" s="54"/>
      <c r="T64" s="15"/>
      <c r="U64" s="15"/>
      <c r="V64" s="15"/>
    </row>
    <row r="65" spans="1:22" s="21" customFormat="1" x14ac:dyDescent="0.3">
      <c r="A65" s="17"/>
      <c r="B65"/>
      <c r="C65"/>
      <c r="D65"/>
      <c r="E65"/>
      <c r="F65" s="13" t="s">
        <v>720</v>
      </c>
      <c r="G65" s="13">
        <v>-1.61</v>
      </c>
      <c r="H65" s="12">
        <v>-7.0000000000000007E-2</v>
      </c>
      <c r="I65" s="12">
        <v>0.03</v>
      </c>
      <c r="J65" s="12">
        <v>-0.32</v>
      </c>
      <c r="K65" s="12">
        <v>-0.55000000000000004</v>
      </c>
      <c r="L65" s="12">
        <v>-0.31</v>
      </c>
      <c r="M65"/>
      <c r="N65" s="27"/>
      <c r="O65" s="15"/>
      <c r="P65" s="27"/>
      <c r="Q65" s="15"/>
      <c r="R65" s="15"/>
      <c r="S65" s="54"/>
      <c r="T65" s="15"/>
      <c r="U65" s="15"/>
      <c r="V65" s="15"/>
    </row>
    <row r="66" spans="1:22" s="21" customFormat="1" x14ac:dyDescent="0.3">
      <c r="A66" s="17"/>
      <c r="B66"/>
      <c r="C66"/>
      <c r="D66"/>
      <c r="E66"/>
      <c r="F66" s="13" t="s">
        <v>721</v>
      </c>
      <c r="G66" s="13">
        <v>1.86</v>
      </c>
      <c r="H66" s="12">
        <v>-0.37</v>
      </c>
      <c r="I66" s="12">
        <v>-0.69</v>
      </c>
      <c r="J66" s="12">
        <v>-0.15</v>
      </c>
      <c r="K66" s="12">
        <v>-0.59</v>
      </c>
      <c r="L66" s="12">
        <v>-7.0000000000000007E-2</v>
      </c>
      <c r="M66"/>
      <c r="N66" s="27"/>
      <c r="O66" s="15"/>
      <c r="P66" s="27"/>
      <c r="Q66" s="15"/>
      <c r="R66" s="15"/>
      <c r="S66" s="54"/>
      <c r="T66" s="15"/>
      <c r="U66" s="15"/>
      <c r="V66" s="15"/>
    </row>
    <row r="67" spans="1:22" s="21" customFormat="1" x14ac:dyDescent="0.3">
      <c r="A67" s="17"/>
      <c r="B67"/>
      <c r="C67"/>
      <c r="D67"/>
      <c r="E67"/>
      <c r="F67" s="13" t="s">
        <v>722</v>
      </c>
      <c r="G67" s="13">
        <v>-8.85</v>
      </c>
      <c r="H67" s="12">
        <v>0.25</v>
      </c>
      <c r="I67" s="12">
        <v>-1.42</v>
      </c>
      <c r="J67" s="12">
        <v>-0.01</v>
      </c>
      <c r="K67" s="12">
        <v>-0.37</v>
      </c>
      <c r="L67" s="12">
        <v>1.61</v>
      </c>
      <c r="M67"/>
      <c r="N67" s="27"/>
      <c r="O67" s="15"/>
      <c r="P67" s="27"/>
      <c r="Q67" s="15"/>
      <c r="R67" s="15"/>
      <c r="S67" s="54"/>
      <c r="T67" s="15"/>
      <c r="U67" s="15"/>
      <c r="V67" s="15"/>
    </row>
    <row r="68" spans="1:22" s="21" customFormat="1" x14ac:dyDescent="0.3">
      <c r="A68" s="17"/>
      <c r="B68"/>
      <c r="C68"/>
      <c r="D68"/>
      <c r="E68"/>
      <c r="F68" s="13" t="s">
        <v>723</v>
      </c>
      <c r="G68" s="13">
        <v>4.63</v>
      </c>
      <c r="H68" s="12">
        <v>0.82</v>
      </c>
      <c r="I68" s="12">
        <v>0.37</v>
      </c>
      <c r="J68" s="12">
        <v>0.5</v>
      </c>
      <c r="K68" s="12">
        <v>-0.18</v>
      </c>
      <c r="L68" s="12">
        <v>0.57999999999999996</v>
      </c>
      <c r="M68"/>
      <c r="N68" s="27"/>
      <c r="O68" s="15"/>
      <c r="P68" s="27"/>
      <c r="Q68" s="15"/>
      <c r="R68" s="15"/>
      <c r="S68" s="54"/>
      <c r="T68" s="15"/>
      <c r="U68" s="15"/>
      <c r="V68" s="15"/>
    </row>
    <row r="69" spans="1:22" s="21" customFormat="1" x14ac:dyDescent="0.3">
      <c r="A69" s="17"/>
      <c r="B69"/>
      <c r="C69"/>
      <c r="D69"/>
      <c r="E69"/>
      <c r="F69" s="13" t="s">
        <v>724</v>
      </c>
      <c r="G69" s="13">
        <v>1.18</v>
      </c>
      <c r="H69" s="12">
        <v>-0.36</v>
      </c>
      <c r="I69" s="12">
        <v>-1.39</v>
      </c>
      <c r="J69" s="12">
        <v>-0.13</v>
      </c>
      <c r="K69" s="12">
        <v>-0.13</v>
      </c>
      <c r="L69" s="12">
        <v>0.72</v>
      </c>
      <c r="M69"/>
      <c r="N69" s="27"/>
      <c r="O69" s="15"/>
      <c r="P69" s="27"/>
      <c r="Q69" s="15"/>
      <c r="R69" s="15"/>
      <c r="S69" s="54"/>
      <c r="T69" s="15"/>
      <c r="U69" s="15"/>
      <c r="V69" s="15"/>
    </row>
    <row r="70" spans="1:22" s="21" customFormat="1" x14ac:dyDescent="0.3">
      <c r="A70" s="17"/>
      <c r="B70"/>
      <c r="C70"/>
      <c r="D70"/>
      <c r="E70"/>
      <c r="F70" s="13" t="s">
        <v>725</v>
      </c>
      <c r="G70" s="13">
        <v>5.6</v>
      </c>
      <c r="H70" s="12">
        <v>-1.5</v>
      </c>
      <c r="I70" s="12">
        <v>1.3</v>
      </c>
      <c r="J70" s="12">
        <v>-0.15</v>
      </c>
      <c r="K70" s="12">
        <v>2.2999999999999998</v>
      </c>
      <c r="L70" s="12">
        <v>-1.2</v>
      </c>
      <c r="M70"/>
      <c r="N70" s="27"/>
      <c r="O70" s="15"/>
      <c r="P70" s="27"/>
      <c r="Q70" s="15"/>
      <c r="R70" s="15"/>
      <c r="S70" s="54"/>
      <c r="T70" s="15"/>
      <c r="U70" s="15"/>
      <c r="V70" s="15"/>
    </row>
    <row r="71" spans="1:22" s="21" customFormat="1" x14ac:dyDescent="0.3">
      <c r="A71" s="17"/>
      <c r="B71"/>
      <c r="C71"/>
      <c r="D71"/>
      <c r="E71"/>
      <c r="F71" s="13" t="s">
        <v>726</v>
      </c>
      <c r="G71" s="13">
        <v>1.06</v>
      </c>
      <c r="H71" s="12">
        <v>1.34</v>
      </c>
      <c r="I71" s="12">
        <v>-7.0000000000000007E-2</v>
      </c>
      <c r="J71" s="12">
        <v>0.16</v>
      </c>
      <c r="K71" s="12">
        <v>-0.41</v>
      </c>
      <c r="L71" s="12">
        <v>1.1000000000000001</v>
      </c>
      <c r="M71"/>
      <c r="N71" s="27"/>
      <c r="O71" s="15"/>
      <c r="P71" s="27"/>
      <c r="Q71" s="15"/>
      <c r="R71" s="15"/>
      <c r="S71" s="54"/>
      <c r="T71" s="15"/>
      <c r="U71" s="15"/>
      <c r="V71" s="15"/>
    </row>
    <row r="72" spans="1:22" s="21" customFormat="1" x14ac:dyDescent="0.3">
      <c r="A72" s="17"/>
      <c r="B72"/>
      <c r="C72"/>
      <c r="D72"/>
      <c r="E72"/>
      <c r="F72" s="13" t="s">
        <v>727</v>
      </c>
      <c r="G72" s="13">
        <v>1.37</v>
      </c>
      <c r="H72" s="12">
        <v>1.22</v>
      </c>
      <c r="I72" s="12">
        <v>-7.0000000000000007E-2</v>
      </c>
      <c r="J72" s="12">
        <v>-0.22</v>
      </c>
      <c r="K72" s="12">
        <v>-0.4</v>
      </c>
      <c r="L72" s="12">
        <v>1.1200000000000001</v>
      </c>
      <c r="M72"/>
      <c r="N72" s="27"/>
      <c r="O72" s="15"/>
      <c r="P72" s="27"/>
      <c r="Q72" s="15"/>
      <c r="R72" s="15"/>
      <c r="S72" s="54"/>
      <c r="T72" s="15"/>
      <c r="U72" s="15"/>
      <c r="V72" s="15"/>
    </row>
    <row r="73" spans="1:22" s="21" customFormat="1" x14ac:dyDescent="0.3">
      <c r="A73" s="17"/>
      <c r="B73"/>
      <c r="C73"/>
      <c r="D73"/>
      <c r="E73"/>
      <c r="F73" s="13" t="s">
        <v>728</v>
      </c>
      <c r="G73" s="13">
        <v>1.39</v>
      </c>
      <c r="H73" s="12">
        <v>0.09</v>
      </c>
      <c r="I73" s="12">
        <v>-0.31</v>
      </c>
      <c r="J73" s="12">
        <v>0.48</v>
      </c>
      <c r="K73" s="12">
        <v>-0.15</v>
      </c>
      <c r="L73" s="12">
        <v>-0.9</v>
      </c>
      <c r="M73"/>
      <c r="N73" s="27"/>
      <c r="O73" s="15"/>
      <c r="P73" s="27"/>
      <c r="Q73" s="15"/>
      <c r="R73" s="15"/>
      <c r="S73" s="54"/>
      <c r="T73" s="15"/>
      <c r="U73" s="15"/>
      <c r="V73" s="15"/>
    </row>
    <row r="74" spans="1:22" s="21" customFormat="1" x14ac:dyDescent="0.3">
      <c r="A74" s="17"/>
      <c r="B74"/>
      <c r="C74"/>
      <c r="D74"/>
      <c r="E74"/>
      <c r="F74" s="13" t="s">
        <v>729</v>
      </c>
      <c r="G74" s="13">
        <v>3</v>
      </c>
      <c r="H74" s="12">
        <v>-1.54</v>
      </c>
      <c r="I74" s="12">
        <v>-0.27</v>
      </c>
      <c r="J74" s="12">
        <v>-0.23</v>
      </c>
      <c r="K74" s="12">
        <v>0.7</v>
      </c>
      <c r="L74" s="12">
        <v>-1.37</v>
      </c>
      <c r="M74"/>
      <c r="N74" s="27"/>
      <c r="O74" s="15"/>
      <c r="P74" s="27"/>
      <c r="Q74" s="15"/>
      <c r="R74" s="15"/>
      <c r="S74" s="54"/>
      <c r="T74" s="15"/>
      <c r="U74" s="15"/>
      <c r="V74" s="15"/>
    </row>
    <row r="75" spans="1:22" s="21" customFormat="1" x14ac:dyDescent="0.3">
      <c r="A75" s="17"/>
      <c r="B75"/>
      <c r="C75"/>
      <c r="D75"/>
      <c r="E75"/>
      <c r="F75" s="13" t="s">
        <v>730</v>
      </c>
      <c r="G75" s="13">
        <v>5.16</v>
      </c>
      <c r="H75" s="12">
        <v>-0.27</v>
      </c>
      <c r="I75" s="12">
        <v>0.31</v>
      </c>
      <c r="J75" s="12">
        <v>0.33</v>
      </c>
      <c r="K75" s="12">
        <v>0.28999999999999998</v>
      </c>
      <c r="L75" s="12">
        <v>-0.56999999999999995</v>
      </c>
      <c r="M75"/>
      <c r="N75" s="27"/>
      <c r="O75" s="15"/>
      <c r="P75" s="27"/>
      <c r="Q75" s="15"/>
      <c r="R75" s="15"/>
      <c r="S75" s="54"/>
      <c r="T75" s="15"/>
      <c r="U75" s="15"/>
      <c r="V75" s="15"/>
    </row>
    <row r="76" spans="1:22" s="21" customFormat="1" x14ac:dyDescent="0.3">
      <c r="A76" s="17"/>
      <c r="B76"/>
      <c r="C76"/>
      <c r="D76"/>
      <c r="E76"/>
      <c r="F76" s="13" t="s">
        <v>731</v>
      </c>
      <c r="G76" s="13">
        <v>0.28000000000000003</v>
      </c>
      <c r="H76" s="12">
        <v>1.31</v>
      </c>
      <c r="I76" s="12">
        <v>-0.41</v>
      </c>
      <c r="J76" s="12">
        <v>-0.22</v>
      </c>
      <c r="K76" s="12">
        <v>-0.34</v>
      </c>
      <c r="L76" s="12">
        <v>0.67</v>
      </c>
      <c r="M76"/>
      <c r="N76" s="27"/>
      <c r="O76" s="15"/>
      <c r="P76" s="27"/>
      <c r="Q76" s="15"/>
      <c r="R76" s="15"/>
      <c r="S76" s="54"/>
      <c r="T76" s="15"/>
      <c r="U76" s="15"/>
      <c r="V76" s="15"/>
    </row>
    <row r="77" spans="1:22" s="21" customFormat="1" x14ac:dyDescent="0.3">
      <c r="A77" s="17"/>
      <c r="B77"/>
      <c r="C77"/>
      <c r="D77"/>
      <c r="E77"/>
      <c r="F77" s="13" t="s">
        <v>732</v>
      </c>
      <c r="G77" s="13">
        <v>4.2</v>
      </c>
      <c r="H77" s="12">
        <v>-0.79</v>
      </c>
      <c r="I77" s="12">
        <v>0.21</v>
      </c>
      <c r="J77" s="12">
        <v>0.15</v>
      </c>
      <c r="K77" s="12">
        <v>0.71</v>
      </c>
      <c r="L77" s="12">
        <v>-1.25</v>
      </c>
      <c r="M77"/>
      <c r="N77" s="27"/>
      <c r="O77" s="15"/>
      <c r="P77" s="27"/>
      <c r="Q77" s="15"/>
      <c r="R77" s="15"/>
      <c r="S77" s="54"/>
      <c r="T77" s="15"/>
      <c r="U77" s="15"/>
      <c r="V77" s="15"/>
    </row>
    <row r="78" spans="1:22" s="21" customFormat="1" x14ac:dyDescent="0.3">
      <c r="A78" s="17"/>
      <c r="B78"/>
      <c r="C78"/>
      <c r="D78"/>
      <c r="E78"/>
      <c r="F78" s="13" t="s">
        <v>733</v>
      </c>
      <c r="G78" s="13">
        <v>2.0299999999999998</v>
      </c>
      <c r="H78" s="12">
        <v>0.73</v>
      </c>
      <c r="I78" s="12">
        <v>-1.5</v>
      </c>
      <c r="J78" s="12">
        <v>-0.18</v>
      </c>
      <c r="K78" s="12">
        <v>-0.55000000000000004</v>
      </c>
      <c r="L78" s="12">
        <v>0.52</v>
      </c>
      <c r="M78"/>
      <c r="N78" s="27"/>
      <c r="O78" s="15"/>
      <c r="P78" s="27"/>
      <c r="Q78" s="15"/>
      <c r="R78" s="15"/>
      <c r="S78" s="54"/>
      <c r="T78" s="15"/>
      <c r="U78" s="15"/>
      <c r="V78" s="15"/>
    </row>
    <row r="79" spans="1:22" s="21" customFormat="1" x14ac:dyDescent="0.3">
      <c r="A79" s="17"/>
      <c r="B79"/>
      <c r="C79"/>
      <c r="D79"/>
      <c r="E79"/>
      <c r="F79" s="13" t="s">
        <v>734</v>
      </c>
      <c r="G79" s="13">
        <v>2.2400000000000002</v>
      </c>
      <c r="H79" s="12">
        <v>-0.31</v>
      </c>
      <c r="I79" s="12">
        <v>-1.26</v>
      </c>
      <c r="J79" s="12">
        <v>-0.28000000000000003</v>
      </c>
      <c r="K79" s="12">
        <v>0.08</v>
      </c>
      <c r="L79" s="12">
        <v>-0.89</v>
      </c>
      <c r="M79"/>
      <c r="N79" s="27"/>
      <c r="O79" s="15"/>
      <c r="P79" s="27"/>
      <c r="Q79" s="15"/>
      <c r="R79" s="15"/>
      <c r="S79" s="54"/>
      <c r="T79" s="15"/>
      <c r="U79" s="15"/>
      <c r="V79" s="15"/>
    </row>
    <row r="80" spans="1:22" s="21" customFormat="1" x14ac:dyDescent="0.3">
      <c r="A80" s="17"/>
      <c r="B80"/>
      <c r="C80"/>
      <c r="D80"/>
      <c r="E80"/>
      <c r="F80" s="13" t="s">
        <v>735</v>
      </c>
      <c r="G80" s="13">
        <v>2.65</v>
      </c>
      <c r="H80" s="12">
        <v>-1.42</v>
      </c>
      <c r="I80" s="12">
        <v>-0.63</v>
      </c>
      <c r="J80" s="12">
        <v>-0.37</v>
      </c>
      <c r="K80" s="12">
        <v>1.1299999999999999</v>
      </c>
      <c r="L80" s="12">
        <v>-0.26</v>
      </c>
      <c r="M80"/>
      <c r="N80" s="27"/>
      <c r="O80" s="15"/>
      <c r="P80" s="27"/>
      <c r="Q80" s="15"/>
      <c r="R80" s="15"/>
      <c r="S80" s="54"/>
      <c r="T80" s="15"/>
      <c r="U80" s="15"/>
      <c r="V80" s="15"/>
    </row>
    <row r="81" spans="1:22" s="21" customFormat="1" x14ac:dyDescent="0.3">
      <c r="A81" s="17"/>
      <c r="B81"/>
      <c r="C81"/>
      <c r="D81"/>
      <c r="E81"/>
      <c r="F81" s="13" t="s">
        <v>736</v>
      </c>
      <c r="G81" s="13">
        <v>-2.9</v>
      </c>
      <c r="H81" s="12">
        <v>-1.08</v>
      </c>
      <c r="I81" s="12">
        <v>-1.02</v>
      </c>
      <c r="J81" s="12">
        <v>-0.35</v>
      </c>
      <c r="K81" s="12">
        <v>2.82</v>
      </c>
      <c r="L81" s="12">
        <v>-1.48</v>
      </c>
      <c r="M81"/>
      <c r="N81" s="27"/>
      <c r="O81" s="15"/>
      <c r="P81" s="27"/>
      <c r="Q81" s="15"/>
      <c r="R81" s="15"/>
      <c r="S81" s="54"/>
      <c r="T81" s="15"/>
      <c r="U81" s="15"/>
      <c r="V81" s="15"/>
    </row>
    <row r="82" spans="1:22" s="21" customFormat="1" x14ac:dyDescent="0.3">
      <c r="A82" s="17"/>
      <c r="B82"/>
      <c r="C82"/>
      <c r="D82"/>
      <c r="E82"/>
      <c r="F82" s="13" t="s">
        <v>737</v>
      </c>
      <c r="G82" s="13">
        <v>0.98</v>
      </c>
      <c r="H82" s="12">
        <v>-0.7</v>
      </c>
      <c r="I82" s="12">
        <v>-0.3</v>
      </c>
      <c r="J82" s="12">
        <v>-0.04</v>
      </c>
      <c r="K82" s="12">
        <v>0.2</v>
      </c>
      <c r="L82" s="12">
        <v>-0.48</v>
      </c>
      <c r="M82"/>
      <c r="N82" s="27"/>
      <c r="O82" s="15"/>
      <c r="P82" s="27"/>
      <c r="Q82" s="15"/>
      <c r="R82" s="15"/>
      <c r="S82" s="54"/>
      <c r="T82" s="15"/>
      <c r="U82" s="15"/>
      <c r="V82" s="15"/>
    </row>
    <row r="83" spans="1:22" s="21" customFormat="1" x14ac:dyDescent="0.3">
      <c r="A83" s="17"/>
      <c r="B83"/>
      <c r="C83"/>
      <c r="D83"/>
      <c r="E83"/>
      <c r="F83" s="13" t="s">
        <v>738</v>
      </c>
      <c r="G83" s="13">
        <v>-1.99</v>
      </c>
      <c r="H83" s="12">
        <v>1.32</v>
      </c>
      <c r="I83" s="12">
        <v>-0.72</v>
      </c>
      <c r="J83" s="12">
        <v>1.1200000000000001</v>
      </c>
      <c r="K83" s="12">
        <v>-0.08</v>
      </c>
      <c r="L83" s="12">
        <v>-0.94</v>
      </c>
      <c r="M83"/>
      <c r="N83" s="27"/>
      <c r="O83" s="15"/>
      <c r="P83" s="27"/>
      <c r="Q83" s="15"/>
      <c r="R83" s="15"/>
      <c r="S83" s="54"/>
      <c r="T83" s="15"/>
      <c r="U83" s="15"/>
      <c r="V83" s="15"/>
    </row>
    <row r="84" spans="1:22" s="21" customFormat="1" x14ac:dyDescent="0.3">
      <c r="A84" s="17"/>
      <c r="B84"/>
      <c r="C84"/>
      <c r="D84"/>
      <c r="E84"/>
      <c r="F84" s="13" t="s">
        <v>739</v>
      </c>
      <c r="G84" s="13">
        <v>4.6399999999999997</v>
      </c>
      <c r="H84" s="12">
        <v>0.57999999999999996</v>
      </c>
      <c r="I84" s="12">
        <v>0.42</v>
      </c>
      <c r="J84" s="12">
        <v>1.48</v>
      </c>
      <c r="K84" s="12">
        <v>0.01</v>
      </c>
      <c r="L84" s="12">
        <v>0.54</v>
      </c>
      <c r="M84"/>
      <c r="N84" s="27"/>
      <c r="O84" s="15"/>
      <c r="P84" s="27"/>
      <c r="Q84" s="15"/>
      <c r="R84" s="15"/>
      <c r="S84" s="54"/>
      <c r="T84" s="15"/>
      <c r="U84" s="15"/>
      <c r="V84" s="15"/>
    </row>
    <row r="85" spans="1:22" s="21" customFormat="1" x14ac:dyDescent="0.3">
      <c r="A85" s="17"/>
      <c r="B85"/>
      <c r="C85"/>
      <c r="D85"/>
      <c r="E85"/>
      <c r="F85" s="13" t="s">
        <v>740</v>
      </c>
      <c r="G85" s="13">
        <v>-0.5</v>
      </c>
      <c r="H85" s="12">
        <v>1.6</v>
      </c>
      <c r="I85" s="12">
        <v>-0.56999999999999995</v>
      </c>
      <c r="J85" s="12">
        <v>-0.59</v>
      </c>
      <c r="K85" s="12">
        <v>-0.05</v>
      </c>
      <c r="L85" s="12">
        <v>1.32</v>
      </c>
      <c r="M85"/>
      <c r="N85" s="27"/>
      <c r="O85" s="15"/>
      <c r="P85" s="27"/>
      <c r="Q85" s="15"/>
      <c r="R85" s="15"/>
      <c r="S85" s="54"/>
      <c r="T85" s="15"/>
      <c r="U85" s="15"/>
      <c r="V85" s="15"/>
    </row>
    <row r="86" spans="1:22" s="21" customFormat="1" x14ac:dyDescent="0.3">
      <c r="A86" s="17"/>
      <c r="B86"/>
      <c r="C86"/>
      <c r="D86"/>
      <c r="E86"/>
      <c r="F86" s="13" t="s">
        <v>741</v>
      </c>
      <c r="G86" s="13">
        <v>3.13</v>
      </c>
      <c r="H86" s="12">
        <v>-0.85</v>
      </c>
      <c r="I86" s="12">
        <v>0.61</v>
      </c>
      <c r="J86" s="12">
        <v>-0.23</v>
      </c>
      <c r="K86" s="12">
        <v>0.8</v>
      </c>
      <c r="L86" s="12">
        <v>-0.73</v>
      </c>
      <c r="M86"/>
      <c r="N86" s="27"/>
      <c r="O86" s="15"/>
      <c r="P86" s="27"/>
      <c r="Q86" s="15"/>
      <c r="R86" s="15"/>
      <c r="S86" s="54"/>
      <c r="T86" s="15"/>
      <c r="U86" s="15"/>
      <c r="V86" s="15"/>
    </row>
    <row r="87" spans="1:22" s="21" customFormat="1" x14ac:dyDescent="0.3">
      <c r="A87" s="17"/>
      <c r="B87"/>
      <c r="C87"/>
      <c r="D87"/>
      <c r="E87"/>
      <c r="F87" s="13" t="s">
        <v>742</v>
      </c>
      <c r="G87" s="13">
        <v>3.88</v>
      </c>
      <c r="H87" s="12">
        <v>-0.4</v>
      </c>
      <c r="I87" s="12">
        <v>1.1200000000000001</v>
      </c>
      <c r="J87" s="12">
        <v>-0.19</v>
      </c>
      <c r="K87" s="12">
        <v>-0.05</v>
      </c>
      <c r="L87" s="12">
        <v>-1.27</v>
      </c>
      <c r="M87"/>
      <c r="N87" s="27"/>
      <c r="O87" s="15"/>
      <c r="P87" s="27"/>
      <c r="Q87" s="15"/>
      <c r="R87" s="15"/>
      <c r="S87" s="54"/>
      <c r="T87" s="15"/>
      <c r="U87" s="15"/>
      <c r="V87" s="15"/>
    </row>
    <row r="88" spans="1:22" s="21" customFormat="1" x14ac:dyDescent="0.3">
      <c r="A88" s="17"/>
      <c r="B88"/>
      <c r="C88"/>
      <c r="D88"/>
      <c r="E88"/>
      <c r="F88" s="13" t="s">
        <v>743</v>
      </c>
      <c r="G88" s="13">
        <v>3.97</v>
      </c>
      <c r="H88" s="12">
        <v>1.65</v>
      </c>
      <c r="I88" s="12">
        <v>2.36</v>
      </c>
      <c r="J88" s="12">
        <v>-1.55</v>
      </c>
      <c r="K88" s="12">
        <v>-0.43</v>
      </c>
      <c r="L88" s="12">
        <v>-0.74</v>
      </c>
      <c r="M88"/>
      <c r="N88" s="27"/>
      <c r="O88" s="15"/>
      <c r="P88" s="27"/>
      <c r="Q88" s="15"/>
      <c r="R88" s="15"/>
      <c r="S88" s="54"/>
      <c r="T88" s="15"/>
      <c r="U88" s="15"/>
      <c r="V88" s="15"/>
    </row>
    <row r="89" spans="1:22" s="21" customFormat="1" x14ac:dyDescent="0.3">
      <c r="A89" s="17"/>
      <c r="B89"/>
      <c r="C89"/>
      <c r="D89"/>
      <c r="E89"/>
      <c r="F89" s="13" t="s">
        <v>744</v>
      </c>
      <c r="G89" s="13">
        <v>1.52</v>
      </c>
      <c r="H89" s="12">
        <v>1.22</v>
      </c>
      <c r="I89" s="12">
        <v>-0.42</v>
      </c>
      <c r="J89" s="12">
        <v>0.06</v>
      </c>
      <c r="K89" s="12">
        <v>-0.45</v>
      </c>
      <c r="L89" s="12">
        <v>1.03</v>
      </c>
      <c r="M89"/>
      <c r="N89" s="27"/>
      <c r="O89" s="15"/>
      <c r="P89" s="27"/>
      <c r="Q89" s="15"/>
      <c r="R89" s="15"/>
      <c r="S89" s="54"/>
      <c r="T89" s="15"/>
      <c r="U89" s="15"/>
      <c r="V89" s="15"/>
    </row>
    <row r="90" spans="1:22" s="21" customFormat="1" x14ac:dyDescent="0.3">
      <c r="A90" s="17"/>
      <c r="B90"/>
      <c r="C90"/>
      <c r="D90"/>
      <c r="E90"/>
      <c r="F90" s="13" t="s">
        <v>745</v>
      </c>
      <c r="G90" s="13">
        <v>0.55000000000000004</v>
      </c>
      <c r="H90" s="12">
        <v>1.0900000000000001</v>
      </c>
      <c r="I90" s="12">
        <v>-0.82</v>
      </c>
      <c r="J90" s="12">
        <v>-0.25</v>
      </c>
      <c r="K90" s="12">
        <v>-0.49</v>
      </c>
      <c r="L90" s="12">
        <v>0.39</v>
      </c>
      <c r="M90"/>
      <c r="N90" s="27"/>
      <c r="O90" s="15"/>
      <c r="P90" s="27"/>
      <c r="Q90" s="15"/>
      <c r="R90" s="15"/>
      <c r="S90" s="54"/>
      <c r="T90" s="15"/>
      <c r="U90" s="15"/>
      <c r="V90" s="15"/>
    </row>
    <row r="91" spans="1:22" s="21" customFormat="1" x14ac:dyDescent="0.3">
      <c r="A91" s="17"/>
      <c r="B91"/>
      <c r="C91"/>
      <c r="D91"/>
      <c r="E91"/>
      <c r="F91" s="13" t="s">
        <v>746</v>
      </c>
      <c r="G91" s="13">
        <v>0.24</v>
      </c>
      <c r="H91" s="12">
        <v>-0.18</v>
      </c>
      <c r="I91" s="12">
        <v>-0.17</v>
      </c>
      <c r="J91" s="12">
        <v>-0.02</v>
      </c>
      <c r="K91" s="12">
        <v>0.11</v>
      </c>
      <c r="L91" s="12">
        <v>-0.49</v>
      </c>
      <c r="M91"/>
      <c r="N91" s="27"/>
      <c r="O91" s="15"/>
      <c r="P91" s="27"/>
      <c r="Q91" s="15"/>
      <c r="R91" s="15"/>
      <c r="S91" s="54"/>
      <c r="T91" s="15"/>
      <c r="U91" s="15"/>
      <c r="V91" s="15"/>
    </row>
    <row r="92" spans="1:22" s="21" customFormat="1" x14ac:dyDescent="0.3">
      <c r="A92" s="17"/>
      <c r="B92"/>
      <c r="C92"/>
      <c r="D92"/>
      <c r="E92"/>
      <c r="F92" s="13" t="s">
        <v>747</v>
      </c>
      <c r="G92" s="13">
        <v>0.49</v>
      </c>
      <c r="H92" s="12">
        <v>-0.33</v>
      </c>
      <c r="I92" s="12">
        <v>-0.76</v>
      </c>
      <c r="J92" s="12">
        <v>-0.23</v>
      </c>
      <c r="K92" s="12">
        <v>-0.46</v>
      </c>
      <c r="L92" s="12">
        <v>-0.23</v>
      </c>
      <c r="M92"/>
      <c r="N92" s="27"/>
      <c r="O92" s="15"/>
      <c r="P92" s="27"/>
      <c r="Q92" s="15"/>
      <c r="R92" s="15"/>
      <c r="S92" s="54"/>
      <c r="T92" s="15"/>
      <c r="U92" s="15"/>
      <c r="V92" s="15"/>
    </row>
    <row r="93" spans="1:22" s="21" customFormat="1" x14ac:dyDescent="0.3">
      <c r="A93" s="17"/>
      <c r="B93"/>
      <c r="C93"/>
      <c r="D93"/>
      <c r="E93"/>
      <c r="F93" s="13" t="s">
        <v>748</v>
      </c>
      <c r="G93" s="13">
        <v>1.84</v>
      </c>
      <c r="H93" s="12">
        <v>1.07</v>
      </c>
      <c r="I93" s="12">
        <v>0.82</v>
      </c>
      <c r="J93" s="12">
        <v>-0.34</v>
      </c>
      <c r="K93" s="12">
        <v>-0.53</v>
      </c>
      <c r="L93" s="12">
        <v>0.13</v>
      </c>
      <c r="M93"/>
      <c r="N93" s="27"/>
      <c r="O93" s="15"/>
      <c r="P93" s="27"/>
      <c r="Q93" s="15"/>
      <c r="R93" s="15"/>
      <c r="S93" s="54"/>
      <c r="T93" s="15"/>
      <c r="U93" s="15"/>
      <c r="V93" s="15"/>
    </row>
    <row r="94" spans="1:22" s="21" customFormat="1" x14ac:dyDescent="0.3">
      <c r="A94" s="17"/>
      <c r="B94"/>
      <c r="C94"/>
      <c r="D94"/>
      <c r="E94"/>
      <c r="F94" s="13" t="s">
        <v>749</v>
      </c>
      <c r="G94" s="13">
        <v>4.34</v>
      </c>
      <c r="H94" s="12">
        <v>-0.31</v>
      </c>
      <c r="I94" s="12">
        <v>0.67</v>
      </c>
      <c r="J94" s="12">
        <v>-0.06</v>
      </c>
      <c r="K94" s="12">
        <v>-0.11</v>
      </c>
      <c r="L94" s="12">
        <v>-0.37</v>
      </c>
      <c r="M94"/>
      <c r="N94" s="27"/>
      <c r="O94" s="15"/>
      <c r="P94" s="27"/>
      <c r="Q94" s="15"/>
      <c r="R94" s="15"/>
      <c r="S94" s="54"/>
      <c r="T94" s="15"/>
      <c r="U94" s="15"/>
      <c r="V94" s="15"/>
    </row>
    <row r="95" spans="1:22" s="21" customFormat="1" x14ac:dyDescent="0.3">
      <c r="A95" s="17"/>
      <c r="B95"/>
      <c r="C95"/>
      <c r="D95"/>
      <c r="E95"/>
      <c r="F95" s="13" t="s">
        <v>750</v>
      </c>
      <c r="G95" s="13">
        <v>2.34</v>
      </c>
      <c r="H95" s="12">
        <v>-1.1399999999999999</v>
      </c>
      <c r="I95" s="12">
        <v>1.01</v>
      </c>
      <c r="J95" s="12">
        <v>-0.09</v>
      </c>
      <c r="K95" s="12">
        <v>-0.39</v>
      </c>
      <c r="L95" s="12">
        <v>7.0000000000000007E-2</v>
      </c>
      <c r="M95"/>
      <c r="N95" s="27"/>
      <c r="O95" s="15"/>
      <c r="P95" s="27"/>
      <c r="Q95" s="15"/>
      <c r="R95" s="15"/>
      <c r="S95" s="54"/>
      <c r="T95" s="15"/>
      <c r="U95" s="15"/>
      <c r="V95" s="15"/>
    </row>
    <row r="96" spans="1:22" s="21" customFormat="1" x14ac:dyDescent="0.3">
      <c r="A96" s="17"/>
      <c r="B96"/>
      <c r="C96"/>
      <c r="D96"/>
      <c r="E96"/>
      <c r="F96" s="13" t="s">
        <v>751</v>
      </c>
      <c r="G96" s="13">
        <v>2.82</v>
      </c>
      <c r="H96" s="12">
        <v>0.64</v>
      </c>
      <c r="I96" s="12">
        <v>-0.28999999999999998</v>
      </c>
      <c r="J96" s="12">
        <v>-0.11</v>
      </c>
      <c r="K96" s="12">
        <v>-0.09</v>
      </c>
      <c r="L96" s="12">
        <v>0.44</v>
      </c>
      <c r="M96"/>
      <c r="N96" s="27"/>
      <c r="O96" s="15"/>
      <c r="P96" s="27"/>
      <c r="Q96" s="15"/>
      <c r="R96" s="15"/>
      <c r="S96" s="54"/>
      <c r="T96" s="15"/>
      <c r="U96" s="15"/>
      <c r="V96" s="15"/>
    </row>
    <row r="97" spans="1:22" s="21" customFormat="1" x14ac:dyDescent="0.3">
      <c r="A97" s="17"/>
      <c r="B97"/>
      <c r="C97"/>
      <c r="D97"/>
      <c r="E97"/>
      <c r="F97" s="13" t="s">
        <v>752</v>
      </c>
      <c r="G97" s="13">
        <v>-6.79</v>
      </c>
      <c r="H97" s="12">
        <v>0.09</v>
      </c>
      <c r="I97" s="12">
        <v>-0.77</v>
      </c>
      <c r="J97" s="12">
        <v>0.01</v>
      </c>
      <c r="K97" s="12">
        <v>-0.05</v>
      </c>
      <c r="L97" s="12">
        <v>-0.08</v>
      </c>
      <c r="M97"/>
      <c r="N97" s="27"/>
      <c r="O97" s="15"/>
      <c r="P97" s="27"/>
      <c r="Q97" s="15"/>
      <c r="R97" s="15"/>
      <c r="S97" s="54"/>
      <c r="T97" s="15"/>
      <c r="U97" s="15"/>
      <c r="V97" s="15"/>
    </row>
    <row r="98" spans="1:22" s="21" customFormat="1" x14ac:dyDescent="0.3">
      <c r="A98" s="17"/>
      <c r="B98"/>
      <c r="C98"/>
      <c r="D98"/>
      <c r="E98"/>
      <c r="F98" s="13" t="s">
        <v>753</v>
      </c>
      <c r="G98" s="13">
        <v>-1.61</v>
      </c>
      <c r="H98" s="12">
        <v>-1.19</v>
      </c>
      <c r="I98" s="12">
        <v>1.06</v>
      </c>
      <c r="J98" s="12">
        <v>7.0000000000000007E-2</v>
      </c>
      <c r="K98" s="12">
        <v>0.35</v>
      </c>
      <c r="L98" s="12">
        <v>3.87</v>
      </c>
      <c r="M98"/>
      <c r="N98" s="27"/>
      <c r="O98" s="15"/>
      <c r="P98" s="27"/>
      <c r="Q98" s="15"/>
      <c r="R98" s="15"/>
      <c r="S98" s="54"/>
      <c r="T98" s="15"/>
      <c r="U98" s="15"/>
      <c r="V98" s="15"/>
    </row>
    <row r="99" spans="1:22" s="21" customFormat="1" x14ac:dyDescent="0.3">
      <c r="A99" s="17"/>
      <c r="B99"/>
      <c r="C99"/>
      <c r="D99"/>
      <c r="E99"/>
      <c r="F99" s="13" t="s">
        <v>754</v>
      </c>
      <c r="G99" s="13">
        <v>4.8899999999999997</v>
      </c>
      <c r="H99" s="12">
        <v>0.69</v>
      </c>
      <c r="I99" s="12">
        <v>-0.9</v>
      </c>
      <c r="J99" s="12">
        <v>-0.13</v>
      </c>
      <c r="K99" s="12">
        <v>-0.17</v>
      </c>
      <c r="L99" s="12">
        <v>0.06</v>
      </c>
      <c r="M99"/>
      <c r="N99" s="27"/>
      <c r="O99" s="15"/>
      <c r="P99" s="27"/>
      <c r="Q99" s="15"/>
      <c r="R99" s="15"/>
      <c r="S99" s="54"/>
      <c r="T99" s="15"/>
      <c r="U99" s="15"/>
      <c r="V99" s="15"/>
    </row>
    <row r="100" spans="1:22" s="21" customFormat="1" x14ac:dyDescent="0.3">
      <c r="A100" s="17"/>
      <c r="B100"/>
      <c r="C100"/>
      <c r="D100"/>
      <c r="E100"/>
      <c r="F100" s="13" t="s">
        <v>755</v>
      </c>
      <c r="G100" s="13">
        <v>0.33</v>
      </c>
      <c r="H100" s="12">
        <v>1.92</v>
      </c>
      <c r="I100" s="12">
        <v>-0.9</v>
      </c>
      <c r="J100" s="12">
        <v>-1.94</v>
      </c>
      <c r="K100" s="12">
        <v>-0.28000000000000003</v>
      </c>
      <c r="L100" s="12">
        <v>0.12</v>
      </c>
      <c r="M100"/>
      <c r="N100" s="27"/>
      <c r="O100" s="15"/>
      <c r="P100" s="27"/>
      <c r="Q100" s="15"/>
      <c r="R100" s="15"/>
      <c r="S100" s="54"/>
      <c r="T100" s="15"/>
      <c r="U100" s="15"/>
      <c r="V100" s="15"/>
    </row>
    <row r="101" spans="1:22" s="21" customFormat="1" x14ac:dyDescent="0.3">
      <c r="A101" s="17"/>
      <c r="B101"/>
      <c r="C101"/>
      <c r="D101"/>
      <c r="E101"/>
      <c r="F101" s="13" t="s">
        <v>756</v>
      </c>
      <c r="G101" s="13">
        <v>2.1</v>
      </c>
      <c r="H101" s="12">
        <v>-1.76</v>
      </c>
      <c r="I101" s="12">
        <v>-0.34</v>
      </c>
      <c r="J101" s="12">
        <v>-0.08</v>
      </c>
      <c r="K101" s="12">
        <v>0.43</v>
      </c>
      <c r="L101" s="12">
        <v>-0.36</v>
      </c>
      <c r="M101"/>
      <c r="N101" s="27"/>
      <c r="O101" s="15"/>
      <c r="P101" s="27"/>
      <c r="Q101" s="15"/>
      <c r="R101" s="15"/>
      <c r="S101" s="54"/>
      <c r="T101" s="15"/>
      <c r="U101" s="15"/>
      <c r="V101" s="15"/>
    </row>
    <row r="102" spans="1:22" s="21" customFormat="1" x14ac:dyDescent="0.3">
      <c r="A102" s="17"/>
      <c r="B102"/>
      <c r="C102"/>
      <c r="D102"/>
      <c r="E102"/>
      <c r="F102" s="13" t="s">
        <v>757</v>
      </c>
      <c r="G102" s="13">
        <v>1.65</v>
      </c>
      <c r="H102" s="12">
        <v>-1.98</v>
      </c>
      <c r="I102" s="12">
        <v>-1.53</v>
      </c>
      <c r="J102" s="12">
        <v>-0.28000000000000003</v>
      </c>
      <c r="K102" s="12">
        <v>1.1100000000000001</v>
      </c>
      <c r="L102" s="12">
        <v>-0.41</v>
      </c>
      <c r="M102"/>
      <c r="N102" s="27"/>
      <c r="O102" s="15"/>
      <c r="P102" s="27"/>
      <c r="Q102" s="15"/>
      <c r="R102" s="15"/>
      <c r="S102" s="54"/>
      <c r="T102" s="15"/>
      <c r="U102" s="15"/>
      <c r="V102" s="15"/>
    </row>
    <row r="103" spans="1:22" s="21" customFormat="1" x14ac:dyDescent="0.3">
      <c r="A103" s="17"/>
      <c r="B103"/>
      <c r="C103"/>
      <c r="D103"/>
      <c r="E103"/>
      <c r="F103" s="13" t="s">
        <v>758</v>
      </c>
      <c r="G103" s="13">
        <v>2.93</v>
      </c>
      <c r="H103" s="12">
        <v>0.33</v>
      </c>
      <c r="I103" s="12">
        <v>-0.45</v>
      </c>
      <c r="J103" s="12">
        <v>-0.16</v>
      </c>
      <c r="K103" s="12">
        <v>-0.48</v>
      </c>
      <c r="L103" s="12">
        <v>-0.78</v>
      </c>
      <c r="M103"/>
      <c r="N103" s="27"/>
      <c r="O103" s="15"/>
      <c r="P103" s="27"/>
      <c r="Q103" s="15"/>
      <c r="R103" s="15"/>
      <c r="S103" s="54"/>
      <c r="T103" s="15"/>
      <c r="U103" s="15"/>
      <c r="V103" s="15"/>
    </row>
    <row r="104" spans="1:22" s="21" customFormat="1" x14ac:dyDescent="0.3">
      <c r="A104" s="17"/>
      <c r="B104"/>
      <c r="C104"/>
      <c r="D104"/>
      <c r="E104"/>
      <c r="F104" s="13" t="s">
        <v>759</v>
      </c>
      <c r="G104" s="13">
        <v>1.66</v>
      </c>
      <c r="H104" s="12">
        <v>-1.4</v>
      </c>
      <c r="I104" s="12">
        <v>-0.39</v>
      </c>
      <c r="J104" s="12">
        <v>-0.13</v>
      </c>
      <c r="K104" s="12">
        <v>-0.9</v>
      </c>
      <c r="L104" s="12">
        <v>-0.11</v>
      </c>
      <c r="M104"/>
      <c r="N104" s="27"/>
      <c r="O104" s="15"/>
      <c r="P104" s="27"/>
      <c r="Q104" s="15"/>
      <c r="R104" s="15"/>
      <c r="S104" s="54"/>
      <c r="T104" s="15"/>
      <c r="U104" s="15"/>
      <c r="V104" s="15"/>
    </row>
    <row r="105" spans="1:22" s="21" customFormat="1" x14ac:dyDescent="0.3">
      <c r="A105" s="17"/>
      <c r="B105"/>
      <c r="C105"/>
      <c r="D105"/>
      <c r="E105"/>
      <c r="F105" s="13" t="s">
        <v>760</v>
      </c>
      <c r="G105" s="13">
        <v>1.1599999999999999</v>
      </c>
      <c r="H105" s="12">
        <v>1</v>
      </c>
      <c r="I105" s="12">
        <v>-0.28999999999999998</v>
      </c>
      <c r="J105" s="12">
        <v>2.23</v>
      </c>
      <c r="K105" s="12">
        <v>-0.3</v>
      </c>
      <c r="L105" s="12">
        <v>0.13</v>
      </c>
      <c r="M105"/>
      <c r="N105" s="27"/>
      <c r="O105" s="15"/>
      <c r="P105" s="27"/>
      <c r="Q105" s="15"/>
      <c r="R105" s="15"/>
      <c r="S105" s="54"/>
      <c r="T105" s="15"/>
      <c r="U105" s="15"/>
      <c r="V105" s="15"/>
    </row>
    <row r="106" spans="1:22" s="21" customFormat="1" x14ac:dyDescent="0.3">
      <c r="A106" s="17"/>
      <c r="B106"/>
      <c r="C106"/>
      <c r="D106"/>
      <c r="E106"/>
      <c r="F106" s="13" t="s">
        <v>761</v>
      </c>
      <c r="G106" s="13">
        <v>3.07</v>
      </c>
      <c r="H106" s="12">
        <v>-1.01</v>
      </c>
      <c r="I106" s="12">
        <v>2.34</v>
      </c>
      <c r="J106" s="12">
        <v>-1.52</v>
      </c>
      <c r="K106" s="12">
        <v>-0.18</v>
      </c>
      <c r="L106" s="12">
        <v>-0.59</v>
      </c>
      <c r="M106"/>
      <c r="N106" s="27"/>
      <c r="O106" s="15"/>
      <c r="P106" s="27"/>
      <c r="Q106" s="15"/>
      <c r="R106" s="15"/>
      <c r="S106" s="54"/>
      <c r="T106" s="15"/>
      <c r="U106" s="15"/>
      <c r="V106" s="15"/>
    </row>
    <row r="107" spans="1:22" s="21" customFormat="1" x14ac:dyDescent="0.3">
      <c r="A107" s="17"/>
      <c r="B107"/>
      <c r="C107"/>
      <c r="D107"/>
      <c r="E107"/>
      <c r="F107" s="13" t="s">
        <v>762</v>
      </c>
      <c r="G107" s="13">
        <v>2.98</v>
      </c>
      <c r="H107" s="12">
        <v>0.32</v>
      </c>
      <c r="I107" s="12">
        <v>-0.6</v>
      </c>
      <c r="J107" s="12">
        <v>-0.08</v>
      </c>
      <c r="K107" s="12">
        <v>-0.53</v>
      </c>
      <c r="L107" s="12">
        <v>-0.18</v>
      </c>
      <c r="M107"/>
      <c r="N107" s="27"/>
      <c r="O107" s="15"/>
      <c r="P107" s="27"/>
      <c r="Q107" s="15"/>
      <c r="R107" s="15"/>
      <c r="S107" s="54"/>
      <c r="T107" s="15"/>
      <c r="U107" s="15"/>
      <c r="V107" s="15"/>
    </row>
    <row r="108" spans="1:22" s="21" customFormat="1" x14ac:dyDescent="0.3">
      <c r="A108" s="17"/>
      <c r="B108"/>
      <c r="C108"/>
      <c r="D108"/>
      <c r="E108"/>
      <c r="F108" s="13" t="s">
        <v>763</v>
      </c>
      <c r="G108" s="13">
        <v>-1.1399999999999999</v>
      </c>
      <c r="H108" s="12">
        <v>0.22</v>
      </c>
      <c r="I108" s="12">
        <v>-0.45</v>
      </c>
      <c r="J108" s="12">
        <v>-0.18</v>
      </c>
      <c r="K108" s="12">
        <v>0.06</v>
      </c>
      <c r="L108" s="12">
        <v>-0.84</v>
      </c>
      <c r="M108"/>
      <c r="N108" s="27"/>
      <c r="O108" s="15"/>
      <c r="P108" s="27"/>
      <c r="Q108" s="15"/>
      <c r="R108" s="15"/>
      <c r="S108" s="54"/>
      <c r="T108" s="15"/>
      <c r="U108" s="15"/>
      <c r="V108" s="15"/>
    </row>
    <row r="109" spans="1:22" s="21" customFormat="1" x14ac:dyDescent="0.3">
      <c r="A109" s="17"/>
      <c r="B109"/>
      <c r="C109"/>
      <c r="D109"/>
      <c r="E109"/>
      <c r="F109" s="13" t="s">
        <v>764</v>
      </c>
      <c r="G109" s="13">
        <v>5.47</v>
      </c>
      <c r="H109" s="12">
        <v>-0.34</v>
      </c>
      <c r="I109" s="12">
        <v>0.15</v>
      </c>
      <c r="J109" s="12">
        <v>0</v>
      </c>
      <c r="K109" s="12">
        <v>0.28000000000000003</v>
      </c>
      <c r="L109" s="12">
        <v>-0.37</v>
      </c>
      <c r="M109"/>
      <c r="N109" s="27"/>
      <c r="O109" s="15"/>
      <c r="P109" s="27"/>
      <c r="Q109" s="15"/>
      <c r="R109" s="15"/>
      <c r="S109" s="54"/>
      <c r="T109" s="15"/>
      <c r="U109" s="15"/>
      <c r="V109" s="15"/>
    </row>
    <row r="110" spans="1:22" s="21" customFormat="1" x14ac:dyDescent="0.3">
      <c r="A110" s="17"/>
      <c r="B110"/>
      <c r="C110"/>
      <c r="D110"/>
      <c r="E110"/>
      <c r="F110" s="13" t="s">
        <v>765</v>
      </c>
      <c r="G110" s="13">
        <v>3.37</v>
      </c>
      <c r="H110" s="12">
        <v>-0.36</v>
      </c>
      <c r="I110" s="12">
        <v>1.83</v>
      </c>
      <c r="J110" s="12">
        <v>1.27</v>
      </c>
      <c r="K110" s="12">
        <v>0.74</v>
      </c>
      <c r="L110" s="12">
        <v>-0.71</v>
      </c>
      <c r="M110"/>
      <c r="N110" s="27"/>
      <c r="O110" s="15"/>
      <c r="P110" s="27"/>
      <c r="Q110" s="15"/>
      <c r="R110" s="15"/>
      <c r="S110" s="54"/>
      <c r="T110" s="15"/>
      <c r="U110" s="15"/>
      <c r="V110" s="15"/>
    </row>
    <row r="111" spans="1:22" s="21" customFormat="1" x14ac:dyDescent="0.3">
      <c r="A111" s="17"/>
      <c r="B111"/>
      <c r="C111"/>
      <c r="D111"/>
      <c r="E111"/>
      <c r="F111" s="13" t="s">
        <v>766</v>
      </c>
      <c r="G111" s="13">
        <v>4.08</v>
      </c>
      <c r="H111" s="12">
        <v>0.16</v>
      </c>
      <c r="I111" s="12">
        <v>0.89</v>
      </c>
      <c r="J111" s="12">
        <v>0.32</v>
      </c>
      <c r="K111" s="12">
        <v>-0.53</v>
      </c>
      <c r="L111" s="12">
        <v>0.23</v>
      </c>
      <c r="M111"/>
      <c r="N111" s="27"/>
      <c r="O111" s="15"/>
      <c r="P111" s="27"/>
      <c r="Q111" s="15"/>
      <c r="R111" s="15"/>
      <c r="S111" s="54"/>
      <c r="T111" s="15"/>
      <c r="U111" s="15"/>
      <c r="V111" s="15"/>
    </row>
    <row r="112" spans="1:22" s="21" customFormat="1" x14ac:dyDescent="0.3">
      <c r="A112" s="17"/>
      <c r="B112"/>
      <c r="C112"/>
      <c r="D112"/>
      <c r="E112"/>
      <c r="F112" s="13" t="s">
        <v>767</v>
      </c>
      <c r="G112" s="13">
        <v>1.04</v>
      </c>
      <c r="H112" s="12">
        <v>-0.53</v>
      </c>
      <c r="I112" s="12">
        <v>0.92</v>
      </c>
      <c r="J112" s="12">
        <v>-0.28000000000000003</v>
      </c>
      <c r="K112" s="12">
        <v>-0.56999999999999995</v>
      </c>
      <c r="L112" s="12">
        <v>0.5</v>
      </c>
      <c r="M112"/>
      <c r="N112" s="27"/>
      <c r="O112" s="15"/>
      <c r="P112" s="27"/>
      <c r="Q112" s="15"/>
      <c r="R112" s="15"/>
      <c r="S112" s="54"/>
      <c r="T112" s="15"/>
      <c r="U112" s="15"/>
      <c r="V112" s="15"/>
    </row>
    <row r="113" spans="1:22" s="21" customFormat="1" x14ac:dyDescent="0.3">
      <c r="A113" s="17"/>
      <c r="B113"/>
      <c r="C113"/>
      <c r="D113"/>
      <c r="E113"/>
      <c r="F113" s="13" t="s">
        <v>768</v>
      </c>
      <c r="G113" s="13">
        <v>-0.65</v>
      </c>
      <c r="H113" s="12">
        <v>-1.8</v>
      </c>
      <c r="I113" s="12">
        <v>2.64</v>
      </c>
      <c r="J113" s="12">
        <v>0.96</v>
      </c>
      <c r="K113" s="12">
        <v>-0.09</v>
      </c>
      <c r="L113" s="12">
        <v>0.88</v>
      </c>
      <c r="M113"/>
      <c r="N113" s="27"/>
      <c r="O113" s="15"/>
      <c r="P113" s="27"/>
      <c r="Q113" s="15"/>
      <c r="R113" s="15"/>
      <c r="S113" s="54"/>
      <c r="T113" s="15"/>
      <c r="U113" s="15"/>
      <c r="V113" s="15"/>
    </row>
    <row r="114" spans="1:22" s="21" customFormat="1" x14ac:dyDescent="0.3">
      <c r="A114" s="17"/>
      <c r="B114"/>
      <c r="C114"/>
      <c r="D114"/>
      <c r="E114"/>
      <c r="F114" s="13" t="s">
        <v>769</v>
      </c>
      <c r="G114" s="13">
        <v>-2.97</v>
      </c>
      <c r="H114" s="12">
        <v>-0.17</v>
      </c>
      <c r="I114" s="12">
        <v>-1.48</v>
      </c>
      <c r="J114" s="12">
        <v>-0.54</v>
      </c>
      <c r="K114" s="12">
        <v>0.08</v>
      </c>
      <c r="L114" s="12">
        <v>1.59</v>
      </c>
      <c r="M114"/>
      <c r="N114" s="27"/>
      <c r="O114" s="15"/>
      <c r="P114" s="27"/>
      <c r="Q114" s="15"/>
      <c r="R114" s="15"/>
      <c r="S114" s="54"/>
      <c r="T114" s="15"/>
      <c r="U114" s="15"/>
      <c r="V114" s="15"/>
    </row>
    <row r="115" spans="1:22" s="21" customFormat="1" x14ac:dyDescent="0.3">
      <c r="A115" s="17"/>
      <c r="B115"/>
      <c r="C115"/>
      <c r="D115"/>
      <c r="E115"/>
      <c r="F115" s="13" t="s">
        <v>770</v>
      </c>
      <c r="G115" s="13">
        <v>5.04</v>
      </c>
      <c r="H115" s="12">
        <v>-1.3</v>
      </c>
      <c r="I115" s="12">
        <v>3.93</v>
      </c>
      <c r="J115" s="12">
        <v>-0.35</v>
      </c>
      <c r="K115" s="12">
        <v>0.42</v>
      </c>
      <c r="L115" s="12">
        <v>-0.8</v>
      </c>
      <c r="M115"/>
      <c r="N115" s="27"/>
      <c r="O115" s="15"/>
      <c r="P115" s="27"/>
      <c r="Q115" s="15"/>
      <c r="R115" s="15"/>
      <c r="S115" s="54"/>
      <c r="T115" s="15"/>
      <c r="U115" s="15"/>
      <c r="V115" s="15"/>
    </row>
    <row r="116" spans="1:22" s="21" customFormat="1" x14ac:dyDescent="0.3">
      <c r="A116" s="17"/>
      <c r="B116"/>
      <c r="C116"/>
      <c r="D116"/>
      <c r="E116"/>
      <c r="F116" s="13" t="s">
        <v>771</v>
      </c>
      <c r="G116" s="13">
        <v>1.08</v>
      </c>
      <c r="H116" s="12">
        <v>1.38</v>
      </c>
      <c r="I116" s="12">
        <v>-0.42</v>
      </c>
      <c r="J116" s="12">
        <v>-0.03</v>
      </c>
      <c r="K116" s="12">
        <v>-0.12</v>
      </c>
      <c r="L116" s="12">
        <v>1.35</v>
      </c>
      <c r="M116"/>
      <c r="N116" s="27"/>
      <c r="O116" s="15"/>
      <c r="P116" s="27"/>
      <c r="Q116" s="15"/>
      <c r="R116" s="15"/>
      <c r="S116" s="54"/>
      <c r="T116" s="15"/>
      <c r="U116" s="15"/>
      <c r="V116" s="15"/>
    </row>
    <row r="117" spans="1:22" s="21" customFormat="1" x14ac:dyDescent="0.3">
      <c r="A117" s="17"/>
      <c r="B117"/>
      <c r="C117"/>
      <c r="D117"/>
      <c r="E117"/>
      <c r="F117" s="13" t="s">
        <v>772</v>
      </c>
      <c r="G117" s="13">
        <v>-5.05</v>
      </c>
      <c r="H117" s="12">
        <v>-0.85</v>
      </c>
      <c r="I117" s="12">
        <v>-0.94</v>
      </c>
      <c r="J117" s="12">
        <v>-0.02</v>
      </c>
      <c r="K117" s="12">
        <v>0.38</v>
      </c>
      <c r="L117" s="12">
        <v>-0.12</v>
      </c>
      <c r="M117"/>
      <c r="N117" s="27"/>
      <c r="O117" s="15"/>
      <c r="P117" s="27"/>
      <c r="Q117" s="15"/>
      <c r="R117" s="15"/>
      <c r="S117" s="54"/>
      <c r="T117" s="15"/>
      <c r="U117" s="15"/>
      <c r="V117" s="15"/>
    </row>
    <row r="118" spans="1:22" s="21" customFormat="1" x14ac:dyDescent="0.3">
      <c r="A118" s="17"/>
      <c r="B118"/>
      <c r="C118"/>
      <c r="D118"/>
      <c r="E118"/>
      <c r="F118" s="13" t="s">
        <v>773</v>
      </c>
      <c r="G118" s="13">
        <v>1.96</v>
      </c>
      <c r="H118" s="12">
        <v>-1.71</v>
      </c>
      <c r="I118" s="12">
        <v>0.68</v>
      </c>
      <c r="J118" s="12">
        <v>0.13</v>
      </c>
      <c r="K118" s="12">
        <v>-1.06</v>
      </c>
      <c r="L118" s="12">
        <v>0.14000000000000001</v>
      </c>
      <c r="M118"/>
      <c r="N118" s="27"/>
      <c r="O118" s="15"/>
      <c r="P118" s="27"/>
      <c r="Q118" s="15"/>
      <c r="R118" s="15"/>
      <c r="S118" s="54"/>
      <c r="T118" s="15"/>
      <c r="U118" s="15"/>
      <c r="V118" s="15"/>
    </row>
    <row r="119" spans="1:22" s="21" customFormat="1" x14ac:dyDescent="0.3">
      <c r="A119" s="17"/>
      <c r="B119"/>
      <c r="C119"/>
      <c r="D119"/>
      <c r="E119"/>
      <c r="F119" s="13" t="s">
        <v>774</v>
      </c>
      <c r="G119" s="13">
        <v>-0.38</v>
      </c>
      <c r="H119" s="12">
        <v>-0.85</v>
      </c>
      <c r="I119" s="12">
        <v>0.18</v>
      </c>
      <c r="J119" s="12">
        <v>-0.33</v>
      </c>
      <c r="K119" s="12">
        <v>1.49</v>
      </c>
      <c r="L119" s="12">
        <v>-1.75</v>
      </c>
      <c r="M119"/>
      <c r="N119" s="27"/>
      <c r="O119" s="15"/>
      <c r="P119" s="27"/>
      <c r="Q119" s="15"/>
      <c r="R119" s="15"/>
      <c r="S119" s="54"/>
      <c r="T119" s="15"/>
      <c r="U119" s="15"/>
      <c r="V119" s="15"/>
    </row>
    <row r="120" spans="1:22" s="21" customFormat="1" x14ac:dyDescent="0.3">
      <c r="A120" s="17"/>
      <c r="B120"/>
      <c r="C120"/>
      <c r="D120"/>
      <c r="E120"/>
      <c r="F120" s="13" t="s">
        <v>775</v>
      </c>
      <c r="G120" s="13">
        <v>3.18</v>
      </c>
      <c r="H120" s="12">
        <v>-0.1</v>
      </c>
      <c r="I120" s="12">
        <v>1.21</v>
      </c>
      <c r="J120" s="12">
        <v>0.02</v>
      </c>
      <c r="K120" s="12">
        <v>-0.46</v>
      </c>
      <c r="L120" s="12">
        <v>-0.39</v>
      </c>
      <c r="M120"/>
      <c r="N120" s="27"/>
      <c r="O120" s="15"/>
      <c r="P120" s="27"/>
      <c r="Q120" s="15"/>
      <c r="R120" s="15"/>
      <c r="S120" s="54"/>
      <c r="T120" s="15"/>
      <c r="U120" s="15"/>
      <c r="V120" s="15"/>
    </row>
    <row r="121" spans="1:22" s="21" customFormat="1" x14ac:dyDescent="0.3">
      <c r="A121" s="17"/>
      <c r="B121"/>
      <c r="C121"/>
      <c r="D121"/>
      <c r="E121"/>
      <c r="F121" s="13" t="s">
        <v>776</v>
      </c>
      <c r="G121" s="13">
        <v>0.47</v>
      </c>
      <c r="H121" s="12">
        <v>1.68</v>
      </c>
      <c r="I121" s="12">
        <v>0.53</v>
      </c>
      <c r="J121" s="12">
        <v>-0.1</v>
      </c>
      <c r="K121" s="12">
        <v>-0.2</v>
      </c>
      <c r="L121" s="12">
        <v>1.34</v>
      </c>
      <c r="M121"/>
      <c r="N121" s="27"/>
      <c r="O121" s="15"/>
      <c r="P121" s="27"/>
      <c r="Q121" s="15"/>
      <c r="R121" s="15"/>
      <c r="S121" s="54"/>
      <c r="T121" s="15"/>
      <c r="U121" s="15"/>
      <c r="V121" s="15"/>
    </row>
    <row r="122" spans="1:22" s="21" customFormat="1" x14ac:dyDescent="0.3">
      <c r="A122" s="17"/>
      <c r="B122"/>
      <c r="C122"/>
      <c r="D122"/>
      <c r="E122"/>
      <c r="F122" s="13" t="s">
        <v>777</v>
      </c>
      <c r="G122" s="13">
        <v>-4.5199999999999996</v>
      </c>
      <c r="H122" s="12">
        <v>0.59</v>
      </c>
      <c r="I122" s="12">
        <v>-0.52</v>
      </c>
      <c r="J122" s="12">
        <v>0.03</v>
      </c>
      <c r="K122" s="12">
        <v>-0.57999999999999996</v>
      </c>
      <c r="L122" s="12">
        <v>1.36</v>
      </c>
      <c r="M122"/>
      <c r="N122" s="27"/>
      <c r="O122" s="15"/>
      <c r="P122" s="27"/>
      <c r="Q122" s="15"/>
      <c r="R122" s="15"/>
      <c r="S122" s="54"/>
      <c r="T122" s="15"/>
      <c r="U122" s="15"/>
      <c r="V122" s="15"/>
    </row>
    <row r="123" spans="1:22" x14ac:dyDescent="0.3">
      <c r="F123" s="13" t="s">
        <v>778</v>
      </c>
      <c r="G123" s="13">
        <v>-1.04</v>
      </c>
      <c r="H123" s="12">
        <v>-1.06</v>
      </c>
      <c r="I123" s="12">
        <v>-1.1200000000000001</v>
      </c>
      <c r="J123" s="12">
        <v>-0.33</v>
      </c>
      <c r="K123" s="12">
        <v>1.34</v>
      </c>
      <c r="L123" s="12">
        <v>-0.78</v>
      </c>
      <c r="S123" s="54"/>
    </row>
    <row r="124" spans="1:22" x14ac:dyDescent="0.3">
      <c r="F124" s="13" t="s">
        <v>779</v>
      </c>
      <c r="G124" s="13">
        <v>1.32</v>
      </c>
      <c r="H124" s="12">
        <v>0.55000000000000004</v>
      </c>
      <c r="I124" s="12">
        <v>1.94</v>
      </c>
      <c r="J124" s="12">
        <v>0.44</v>
      </c>
      <c r="K124" s="12">
        <v>-0.67</v>
      </c>
      <c r="L124" s="12">
        <v>-0.75</v>
      </c>
      <c r="S124" s="54"/>
    </row>
    <row r="125" spans="1:22" x14ac:dyDescent="0.3">
      <c r="F125" s="13" t="s">
        <v>780</v>
      </c>
      <c r="G125" s="13">
        <v>-1.29</v>
      </c>
      <c r="H125" s="12">
        <v>-0.13</v>
      </c>
      <c r="I125" s="12">
        <v>-0.28999999999999998</v>
      </c>
      <c r="J125" s="12">
        <v>-0.25</v>
      </c>
      <c r="K125" s="12">
        <v>-0.1</v>
      </c>
      <c r="L125" s="12">
        <v>-0.77</v>
      </c>
      <c r="S125" s="54"/>
    </row>
    <row r="126" spans="1:22" x14ac:dyDescent="0.3">
      <c r="F126" s="13" t="s">
        <v>781</v>
      </c>
      <c r="G126" s="13">
        <v>0.51</v>
      </c>
      <c r="H126" s="12">
        <v>-0.01</v>
      </c>
      <c r="I126" s="12">
        <v>-0.48</v>
      </c>
      <c r="J126" s="12">
        <v>-0.03</v>
      </c>
      <c r="K126" s="12">
        <v>-0.21</v>
      </c>
      <c r="L126" s="12">
        <v>-0.51</v>
      </c>
      <c r="S126" s="54"/>
    </row>
    <row r="127" spans="1:22" s="15" customFormat="1" x14ac:dyDescent="0.3">
      <c r="A127" s="17"/>
      <c r="B127"/>
      <c r="C127"/>
      <c r="D127"/>
      <c r="E127"/>
      <c r="F127" s="13" t="s">
        <v>782</v>
      </c>
      <c r="G127" s="13">
        <v>4.5999999999999996</v>
      </c>
      <c r="H127" s="12">
        <v>-0.52</v>
      </c>
      <c r="I127" s="12">
        <v>0.18</v>
      </c>
      <c r="J127" s="12">
        <v>-0.21</v>
      </c>
      <c r="K127" s="12">
        <v>-0.15</v>
      </c>
      <c r="L127" s="12">
        <v>-0.64</v>
      </c>
      <c r="M127"/>
      <c r="S127" s="54"/>
    </row>
    <row r="128" spans="1:22" s="15" customFormat="1" x14ac:dyDescent="0.3">
      <c r="A128" s="17"/>
      <c r="B128"/>
      <c r="C128"/>
      <c r="D128"/>
      <c r="E128"/>
      <c r="F128" s="13" t="s">
        <v>783</v>
      </c>
      <c r="G128" s="13">
        <v>4.55</v>
      </c>
      <c r="H128" s="12">
        <v>0.54</v>
      </c>
      <c r="I128" s="12">
        <v>-0.61</v>
      </c>
      <c r="J128" s="12">
        <v>-0.17</v>
      </c>
      <c r="K128" s="12">
        <v>-0.19</v>
      </c>
      <c r="L128" s="12">
        <v>0.27</v>
      </c>
      <c r="M128"/>
      <c r="S128" s="54"/>
    </row>
    <row r="129" spans="1:19" s="15" customFormat="1" x14ac:dyDescent="0.3">
      <c r="A129" s="17"/>
      <c r="B129"/>
      <c r="C129"/>
      <c r="D129"/>
      <c r="E129"/>
      <c r="F129" s="13" t="s">
        <v>784</v>
      </c>
      <c r="G129" s="13">
        <v>2.38</v>
      </c>
      <c r="H129" s="12">
        <v>0.83</v>
      </c>
      <c r="I129" s="12">
        <v>-0.71</v>
      </c>
      <c r="J129" s="12">
        <v>-7.0000000000000007E-2</v>
      </c>
      <c r="K129" s="12">
        <v>-0.54</v>
      </c>
      <c r="L129" s="12">
        <v>0.08</v>
      </c>
      <c r="M129"/>
      <c r="S129" s="54"/>
    </row>
    <row r="130" spans="1:19" s="15" customFormat="1" x14ac:dyDescent="0.3">
      <c r="A130" s="17"/>
      <c r="B130"/>
      <c r="C130"/>
      <c r="D130"/>
      <c r="E130"/>
      <c r="F130" s="13" t="s">
        <v>785</v>
      </c>
      <c r="G130" s="13">
        <v>-1.02</v>
      </c>
      <c r="H130" s="12">
        <v>1.53</v>
      </c>
      <c r="I130" s="12">
        <v>2.21</v>
      </c>
      <c r="J130" s="12">
        <v>-0.56000000000000005</v>
      </c>
      <c r="K130" s="12">
        <v>-0.72</v>
      </c>
      <c r="L130" s="12">
        <v>0.35</v>
      </c>
      <c r="M130"/>
      <c r="S130" s="54"/>
    </row>
    <row r="131" spans="1:19" s="15" customFormat="1" x14ac:dyDescent="0.3">
      <c r="A131" s="17"/>
      <c r="B131"/>
      <c r="C131"/>
      <c r="D131"/>
      <c r="E131"/>
      <c r="F131" s="13" t="s">
        <v>786</v>
      </c>
      <c r="G131" s="13">
        <v>4.78</v>
      </c>
      <c r="H131" s="12">
        <v>0.39</v>
      </c>
      <c r="I131" s="12">
        <v>-0.22</v>
      </c>
      <c r="J131" s="12">
        <v>-0.12</v>
      </c>
      <c r="K131" s="12">
        <v>0.1</v>
      </c>
      <c r="L131" s="12">
        <v>0.16</v>
      </c>
      <c r="M131"/>
      <c r="S131" s="54"/>
    </row>
    <row r="132" spans="1:19" s="15" customFormat="1" x14ac:dyDescent="0.3">
      <c r="A132" s="17"/>
      <c r="B132"/>
      <c r="C132"/>
      <c r="D132"/>
      <c r="E132"/>
      <c r="F132" s="13" t="s">
        <v>787</v>
      </c>
      <c r="G132" s="13">
        <v>1.41</v>
      </c>
      <c r="H132" s="12">
        <v>0.33</v>
      </c>
      <c r="I132" s="12">
        <v>-0.2</v>
      </c>
      <c r="J132" s="12">
        <v>-0.22</v>
      </c>
      <c r="K132" s="12">
        <v>0.22</v>
      </c>
      <c r="L132" s="12">
        <v>0.32</v>
      </c>
      <c r="M132"/>
      <c r="S132" s="54"/>
    </row>
    <row r="133" spans="1:19" s="15" customFormat="1" x14ac:dyDescent="0.3">
      <c r="A133" s="17"/>
      <c r="B133"/>
      <c r="C133"/>
      <c r="D133"/>
      <c r="E133"/>
      <c r="F133" s="13" t="s">
        <v>788</v>
      </c>
      <c r="G133" s="13">
        <v>6.61</v>
      </c>
      <c r="H133" s="12">
        <v>-1.49</v>
      </c>
      <c r="I133" s="12">
        <v>0.28999999999999998</v>
      </c>
      <c r="J133" s="12">
        <v>-0.05</v>
      </c>
      <c r="K133" s="12">
        <v>0.01</v>
      </c>
      <c r="L133" s="12">
        <v>-0.1</v>
      </c>
      <c r="M133"/>
      <c r="S133" s="54"/>
    </row>
    <row r="134" spans="1:19" s="15" customFormat="1" x14ac:dyDescent="0.3">
      <c r="A134" s="17"/>
      <c r="B134"/>
      <c r="C134"/>
      <c r="D134"/>
      <c r="E134"/>
      <c r="F134" s="13" t="s">
        <v>789</v>
      </c>
      <c r="G134" s="13">
        <v>-1.33</v>
      </c>
      <c r="H134" s="12">
        <v>0.82</v>
      </c>
      <c r="I134" s="12">
        <v>0.5</v>
      </c>
      <c r="J134" s="12">
        <v>-0.35</v>
      </c>
      <c r="K134" s="12">
        <v>-0.98</v>
      </c>
      <c r="L134" s="12">
        <v>1.24</v>
      </c>
      <c r="M134"/>
      <c r="S134" s="54"/>
    </row>
    <row r="135" spans="1:19" s="15" customFormat="1" x14ac:dyDescent="0.3">
      <c r="A135" s="17"/>
      <c r="B135"/>
      <c r="C135"/>
      <c r="D135"/>
      <c r="E135"/>
      <c r="F135" s="13" t="s">
        <v>790</v>
      </c>
      <c r="G135" s="13">
        <v>2.42</v>
      </c>
      <c r="H135" s="12">
        <v>-1.07</v>
      </c>
      <c r="I135" s="12">
        <v>1</v>
      </c>
      <c r="J135" s="12">
        <v>0</v>
      </c>
      <c r="K135" s="12">
        <v>-0.28000000000000003</v>
      </c>
      <c r="L135" s="12">
        <v>-0.46</v>
      </c>
      <c r="M135"/>
      <c r="S135" s="54"/>
    </row>
    <row r="136" spans="1:19" s="15" customFormat="1" x14ac:dyDescent="0.3">
      <c r="A136" s="17"/>
      <c r="B136"/>
      <c r="C136"/>
      <c r="D136"/>
      <c r="E136"/>
      <c r="F136" s="13" t="s">
        <v>791</v>
      </c>
      <c r="G136" s="13">
        <v>4.8099999999999996</v>
      </c>
      <c r="H136" s="12">
        <v>0.02</v>
      </c>
      <c r="I136" s="12">
        <v>0.05</v>
      </c>
      <c r="J136" s="12">
        <v>0.39</v>
      </c>
      <c r="K136" s="12">
        <v>-0.26</v>
      </c>
      <c r="L136" s="12">
        <v>0.04</v>
      </c>
      <c r="M136"/>
      <c r="S136" s="54"/>
    </row>
    <row r="137" spans="1:19" s="15" customFormat="1" x14ac:dyDescent="0.3">
      <c r="A137" s="17"/>
      <c r="B137"/>
      <c r="C137"/>
      <c r="D137"/>
      <c r="E137"/>
      <c r="F137" s="13" t="s">
        <v>792</v>
      </c>
      <c r="G137" s="13">
        <v>4.38</v>
      </c>
      <c r="H137" s="12">
        <v>0.57999999999999996</v>
      </c>
      <c r="I137" s="12">
        <v>0.79</v>
      </c>
      <c r="J137" s="12">
        <v>0.88</v>
      </c>
      <c r="K137" s="12">
        <v>-0.27</v>
      </c>
      <c r="L137" s="12">
        <v>0.84</v>
      </c>
      <c r="M137"/>
      <c r="S137" s="54"/>
    </row>
    <row r="138" spans="1:19" s="15" customFormat="1" x14ac:dyDescent="0.3">
      <c r="A138" s="17"/>
      <c r="B138"/>
      <c r="C138"/>
      <c r="D138"/>
      <c r="E138"/>
      <c r="F138" s="13" t="s">
        <v>793</v>
      </c>
      <c r="G138" s="13">
        <v>3.31</v>
      </c>
      <c r="H138" s="12">
        <v>-1.76</v>
      </c>
      <c r="I138" s="12">
        <v>-1.45</v>
      </c>
      <c r="J138" s="12">
        <v>0.39</v>
      </c>
      <c r="K138" s="12">
        <v>2.11</v>
      </c>
      <c r="L138" s="12">
        <v>-1.34</v>
      </c>
      <c r="M138"/>
      <c r="S138" s="54"/>
    </row>
    <row r="139" spans="1:19" s="15" customFormat="1" x14ac:dyDescent="0.3">
      <c r="A139" s="17"/>
      <c r="B139"/>
      <c r="C139"/>
      <c r="D139"/>
      <c r="E139"/>
      <c r="F139" s="13" t="s">
        <v>794</v>
      </c>
      <c r="G139" s="13">
        <v>-0.41</v>
      </c>
      <c r="H139" s="12">
        <v>1.53</v>
      </c>
      <c r="I139" s="12">
        <v>0.02</v>
      </c>
      <c r="J139" s="12">
        <v>2.31</v>
      </c>
      <c r="K139" s="12">
        <v>-0.5</v>
      </c>
      <c r="L139" s="12">
        <v>-1.02</v>
      </c>
      <c r="M139"/>
      <c r="S139" s="54"/>
    </row>
    <row r="140" spans="1:19" s="15" customFormat="1" x14ac:dyDescent="0.3">
      <c r="A140" s="17"/>
      <c r="B140"/>
      <c r="C140"/>
      <c r="D140"/>
      <c r="E140"/>
      <c r="F140" s="13" t="s">
        <v>795</v>
      </c>
      <c r="G140" s="13">
        <v>2.1800000000000002</v>
      </c>
      <c r="H140" s="12">
        <v>0.7</v>
      </c>
      <c r="I140" s="12">
        <v>-0.14000000000000001</v>
      </c>
      <c r="J140" s="12">
        <v>-0.19</v>
      </c>
      <c r="K140" s="12">
        <v>-0.11</v>
      </c>
      <c r="L140" s="12">
        <v>0.55000000000000004</v>
      </c>
      <c r="M140"/>
      <c r="S140" s="54"/>
    </row>
    <row r="141" spans="1:19" s="15" customFormat="1" x14ac:dyDescent="0.3">
      <c r="A141" s="17"/>
      <c r="B141"/>
      <c r="C141"/>
      <c r="D141"/>
      <c r="E141"/>
      <c r="F141" s="13" t="s">
        <v>796</v>
      </c>
      <c r="G141" s="13">
        <v>2.4900000000000002</v>
      </c>
      <c r="H141" s="12">
        <v>0.9</v>
      </c>
      <c r="I141" s="12">
        <v>-0.49</v>
      </c>
      <c r="J141" s="12">
        <v>-0.1</v>
      </c>
      <c r="K141" s="12">
        <v>-0.3</v>
      </c>
      <c r="L141" s="12">
        <v>0.33</v>
      </c>
      <c r="M141"/>
      <c r="S141" s="54"/>
    </row>
    <row r="142" spans="1:19" s="15" customFormat="1" x14ac:dyDescent="0.3">
      <c r="A142" s="17"/>
      <c r="B142"/>
      <c r="C142"/>
      <c r="D142"/>
      <c r="E142"/>
      <c r="F142" s="13" t="s">
        <v>797</v>
      </c>
      <c r="G142" s="13">
        <v>-1.18</v>
      </c>
      <c r="H142" s="12">
        <v>-0.06</v>
      </c>
      <c r="I142" s="12">
        <v>-0.88</v>
      </c>
      <c r="J142" s="12">
        <v>-0.28000000000000003</v>
      </c>
      <c r="K142" s="12">
        <v>0.15</v>
      </c>
      <c r="L142" s="12">
        <v>0.82</v>
      </c>
      <c r="M142"/>
      <c r="S142" s="54"/>
    </row>
    <row r="143" spans="1:19" s="15" customFormat="1" x14ac:dyDescent="0.3">
      <c r="A143" s="17"/>
      <c r="B143"/>
      <c r="C143"/>
      <c r="D143"/>
      <c r="E143"/>
      <c r="F143" s="13" t="s">
        <v>798</v>
      </c>
      <c r="G143" s="13">
        <v>1.35</v>
      </c>
      <c r="H143" s="12">
        <v>1</v>
      </c>
      <c r="I143" s="12">
        <v>-0.49</v>
      </c>
      <c r="J143" s="12">
        <v>-0.3</v>
      </c>
      <c r="K143" s="12">
        <v>-0.47</v>
      </c>
      <c r="L143" s="12">
        <v>0.41</v>
      </c>
      <c r="M143"/>
      <c r="S143" s="54"/>
    </row>
    <row r="144" spans="1:19" s="15" customFormat="1" x14ac:dyDescent="0.3">
      <c r="A144" s="17"/>
      <c r="B144"/>
      <c r="C144"/>
      <c r="D144"/>
      <c r="E144"/>
      <c r="F144" s="13" t="s">
        <v>799</v>
      </c>
      <c r="G144" s="13">
        <v>1.66</v>
      </c>
      <c r="H144" s="12">
        <v>-0.37</v>
      </c>
      <c r="I144" s="12">
        <v>0.33</v>
      </c>
      <c r="J144" s="12">
        <v>-0.32</v>
      </c>
      <c r="K144" s="12">
        <v>0.04</v>
      </c>
      <c r="L144" s="12">
        <v>-1.1599999999999999</v>
      </c>
      <c r="M144"/>
      <c r="S144" s="54"/>
    </row>
    <row r="145" spans="1:19" s="15" customFormat="1" x14ac:dyDescent="0.3">
      <c r="A145" s="17"/>
      <c r="B145"/>
      <c r="C145"/>
      <c r="D145"/>
      <c r="E145"/>
      <c r="F145" s="13" t="s">
        <v>800</v>
      </c>
      <c r="G145" s="13">
        <v>-4.8600000000000003</v>
      </c>
      <c r="H145" s="12">
        <v>-1.65</v>
      </c>
      <c r="I145" s="12">
        <v>-2.0299999999999998</v>
      </c>
      <c r="J145" s="12">
        <v>-0.14000000000000001</v>
      </c>
      <c r="K145" s="12">
        <v>8.73</v>
      </c>
      <c r="L145" s="12">
        <v>-2.12</v>
      </c>
      <c r="M145"/>
      <c r="S145" s="54"/>
    </row>
    <row r="146" spans="1:19" s="15" customFormat="1" x14ac:dyDescent="0.3">
      <c r="A146" s="17"/>
      <c r="B146"/>
      <c r="C146"/>
      <c r="D146"/>
      <c r="E146"/>
      <c r="F146" s="13" t="s">
        <v>801</v>
      </c>
      <c r="G146" s="13">
        <v>0.18</v>
      </c>
      <c r="H146" s="12">
        <v>1.4</v>
      </c>
      <c r="I146" s="12">
        <v>0.06</v>
      </c>
      <c r="J146" s="12">
        <v>-0.1</v>
      </c>
      <c r="K146" s="12">
        <v>-0.27</v>
      </c>
      <c r="L146" s="12">
        <v>1.58</v>
      </c>
      <c r="M146"/>
      <c r="S146" s="54"/>
    </row>
    <row r="147" spans="1:19" s="15" customFormat="1" x14ac:dyDescent="0.3">
      <c r="A147" s="17"/>
      <c r="B147"/>
      <c r="C147"/>
      <c r="D147"/>
      <c r="E147"/>
      <c r="F147" s="13" t="s">
        <v>802</v>
      </c>
      <c r="G147" s="13">
        <v>0.22</v>
      </c>
      <c r="H147" s="12">
        <v>1.68</v>
      </c>
      <c r="I147" s="12">
        <v>-0.28999999999999998</v>
      </c>
      <c r="J147" s="12">
        <v>0.11</v>
      </c>
      <c r="K147" s="12">
        <v>-0.53</v>
      </c>
      <c r="L147" s="12">
        <v>-0.75</v>
      </c>
      <c r="M147"/>
      <c r="S147" s="54"/>
    </row>
    <row r="148" spans="1:19" s="15" customFormat="1" x14ac:dyDescent="0.3">
      <c r="A148" s="17"/>
      <c r="B148"/>
      <c r="C148"/>
      <c r="D148"/>
      <c r="E148"/>
      <c r="F148" s="13" t="s">
        <v>803</v>
      </c>
      <c r="G148" s="13">
        <v>2.0699999999999998</v>
      </c>
      <c r="H148" s="12">
        <v>0.03</v>
      </c>
      <c r="I148" s="12">
        <v>-0.09</v>
      </c>
      <c r="J148" s="12">
        <v>-0.32</v>
      </c>
      <c r="K148" s="12">
        <v>-0.47</v>
      </c>
      <c r="L148" s="12">
        <v>-0.04</v>
      </c>
      <c r="M148"/>
      <c r="S148" s="54"/>
    </row>
    <row r="149" spans="1:19" s="15" customFormat="1" x14ac:dyDescent="0.3">
      <c r="A149" s="17"/>
      <c r="B149"/>
      <c r="C149"/>
      <c r="D149"/>
      <c r="E149"/>
      <c r="F149" s="13" t="s">
        <v>804</v>
      </c>
      <c r="G149" s="13">
        <v>16.41</v>
      </c>
      <c r="H149" s="12">
        <v>-1.19</v>
      </c>
      <c r="I149" s="12">
        <v>0.11</v>
      </c>
      <c r="J149" s="12">
        <v>-0.05</v>
      </c>
      <c r="K149" s="12">
        <v>-0.43</v>
      </c>
      <c r="L149" s="12">
        <v>5.17</v>
      </c>
      <c r="M149"/>
      <c r="S149" s="54"/>
    </row>
    <row r="150" spans="1:19" s="15" customFormat="1" x14ac:dyDescent="0.3">
      <c r="A150" s="17"/>
      <c r="B150"/>
      <c r="C150"/>
      <c r="D150"/>
      <c r="E150"/>
      <c r="F150" s="13" t="s">
        <v>805</v>
      </c>
      <c r="G150" s="13">
        <v>2.82</v>
      </c>
      <c r="H150" s="12">
        <v>-1.59</v>
      </c>
      <c r="I150" s="12">
        <v>0.2</v>
      </c>
      <c r="J150" s="12">
        <v>-0.17</v>
      </c>
      <c r="K150" s="12">
        <v>-0.48</v>
      </c>
      <c r="L150" s="12">
        <v>-7.0000000000000007E-2</v>
      </c>
      <c r="M150"/>
      <c r="S150" s="54"/>
    </row>
    <row r="151" spans="1:19" s="15" customFormat="1" x14ac:dyDescent="0.3">
      <c r="A151" s="17"/>
      <c r="B151"/>
      <c r="C151"/>
      <c r="D151"/>
      <c r="E151"/>
      <c r="F151" s="13" t="s">
        <v>806</v>
      </c>
      <c r="G151" s="13">
        <v>-0.08</v>
      </c>
      <c r="H151" s="12">
        <v>-0.49</v>
      </c>
      <c r="I151" s="12">
        <v>-0.84</v>
      </c>
      <c r="J151" s="12">
        <v>-0.2</v>
      </c>
      <c r="K151" s="12">
        <v>0.63</v>
      </c>
      <c r="L151" s="12">
        <v>0.69</v>
      </c>
      <c r="M151"/>
      <c r="S151" s="54"/>
    </row>
    <row r="152" spans="1:19" s="15" customFormat="1" x14ac:dyDescent="0.3">
      <c r="A152" s="17"/>
      <c r="B152"/>
      <c r="C152"/>
      <c r="D152"/>
      <c r="E152"/>
      <c r="F152" s="13" t="s">
        <v>807</v>
      </c>
      <c r="G152" s="13">
        <v>-0.43</v>
      </c>
      <c r="H152" s="12">
        <v>0.2</v>
      </c>
      <c r="I152" s="12">
        <v>0.01</v>
      </c>
      <c r="J152" s="12">
        <v>-0.28999999999999998</v>
      </c>
      <c r="K152" s="12">
        <v>2.1800000000000002</v>
      </c>
      <c r="L152" s="12">
        <v>-0.14000000000000001</v>
      </c>
      <c r="M152"/>
      <c r="S152" s="54"/>
    </row>
    <row r="153" spans="1:19" s="15" customFormat="1" x14ac:dyDescent="0.3">
      <c r="A153" s="17"/>
      <c r="B153"/>
      <c r="C153"/>
      <c r="D153"/>
      <c r="E153"/>
      <c r="F153" s="13" t="s">
        <v>808</v>
      </c>
      <c r="G153" s="13">
        <v>3.07</v>
      </c>
      <c r="H153" s="12">
        <v>-1.51</v>
      </c>
      <c r="I153" s="12">
        <v>0.15</v>
      </c>
      <c r="J153" s="12">
        <v>-0.06</v>
      </c>
      <c r="K153" s="12">
        <v>-0.08</v>
      </c>
      <c r="L153" s="12">
        <v>-1.26</v>
      </c>
      <c r="M153"/>
      <c r="S153" s="54"/>
    </row>
    <row r="154" spans="1:19" s="15" customFormat="1" x14ac:dyDescent="0.3">
      <c r="A154" s="17"/>
      <c r="B154"/>
      <c r="C154"/>
      <c r="D154"/>
      <c r="E154"/>
      <c r="F154" s="13" t="s">
        <v>809</v>
      </c>
      <c r="G154" s="13">
        <v>3.83</v>
      </c>
      <c r="H154" s="12">
        <v>-0.56000000000000005</v>
      </c>
      <c r="I154" s="12">
        <v>-1.5</v>
      </c>
      <c r="J154" s="12">
        <v>-0.04</v>
      </c>
      <c r="K154" s="12">
        <v>0.84</v>
      </c>
      <c r="L154" s="12">
        <v>0.59</v>
      </c>
      <c r="M154"/>
      <c r="S154" s="54"/>
    </row>
    <row r="155" spans="1:19" s="15" customFormat="1" x14ac:dyDescent="0.3">
      <c r="A155" s="17"/>
      <c r="B155"/>
      <c r="C155"/>
      <c r="D155"/>
      <c r="E155"/>
      <c r="F155" s="13" t="s">
        <v>810</v>
      </c>
      <c r="G155" s="13">
        <v>0.23</v>
      </c>
      <c r="H155" s="12">
        <v>1.25</v>
      </c>
      <c r="I155" s="12">
        <v>-0.11</v>
      </c>
      <c r="J155" s="12">
        <v>-0.09</v>
      </c>
      <c r="K155" s="12">
        <v>-0.95</v>
      </c>
      <c r="L155" s="12">
        <v>-0.52</v>
      </c>
      <c r="M155"/>
      <c r="S155" s="54"/>
    </row>
    <row r="156" spans="1:19" s="15" customFormat="1" x14ac:dyDescent="0.3">
      <c r="A156" s="17"/>
      <c r="B156"/>
      <c r="C156"/>
      <c r="D156"/>
      <c r="E156"/>
      <c r="F156" s="13" t="s">
        <v>811</v>
      </c>
      <c r="G156" s="13">
        <v>0.89</v>
      </c>
      <c r="H156" s="12">
        <v>1.24</v>
      </c>
      <c r="I156" s="12">
        <v>-0.91</v>
      </c>
      <c r="J156" s="12">
        <v>-0.4</v>
      </c>
      <c r="K156" s="12">
        <v>-0.28000000000000003</v>
      </c>
      <c r="L156" s="12">
        <v>0.41</v>
      </c>
      <c r="M156"/>
      <c r="S156" s="54"/>
    </row>
    <row r="157" spans="1:19" s="15" customFormat="1" x14ac:dyDescent="0.3">
      <c r="A157" s="17"/>
      <c r="B157"/>
      <c r="C157"/>
      <c r="D157"/>
      <c r="E157"/>
      <c r="F157" s="13" t="s">
        <v>812</v>
      </c>
      <c r="G157" s="13">
        <v>1.68</v>
      </c>
      <c r="H157" s="12">
        <v>1.5</v>
      </c>
      <c r="I157" s="12">
        <v>-0.46</v>
      </c>
      <c r="J157" s="12">
        <v>-0.25</v>
      </c>
      <c r="K157" s="12">
        <v>-0.27</v>
      </c>
      <c r="L157" s="12">
        <v>-0.4</v>
      </c>
      <c r="M157"/>
      <c r="S157" s="54"/>
    </row>
    <row r="158" spans="1:19" s="15" customFormat="1" x14ac:dyDescent="0.3">
      <c r="A158" s="17"/>
      <c r="B158"/>
      <c r="C158"/>
      <c r="D158"/>
      <c r="E158"/>
      <c r="F158" s="13" t="s">
        <v>813</v>
      </c>
      <c r="G158" s="13">
        <v>-0.14000000000000001</v>
      </c>
      <c r="H158" s="12">
        <v>0.62</v>
      </c>
      <c r="I158" s="12">
        <v>-1.06</v>
      </c>
      <c r="J158" s="12">
        <v>-0.2</v>
      </c>
      <c r="K158" s="12">
        <v>0.84</v>
      </c>
      <c r="L158" s="12">
        <v>-0.23</v>
      </c>
      <c r="M158"/>
      <c r="S158" s="54"/>
    </row>
    <row r="159" spans="1:19" s="15" customFormat="1" x14ac:dyDescent="0.3">
      <c r="A159" s="17"/>
      <c r="B159"/>
      <c r="C159"/>
      <c r="D159"/>
      <c r="E159"/>
      <c r="F159" s="13" t="s">
        <v>814</v>
      </c>
      <c r="G159" s="13">
        <v>5.99</v>
      </c>
      <c r="H159" s="12">
        <v>-0.68</v>
      </c>
      <c r="I159" s="12">
        <v>0.26</v>
      </c>
      <c r="J159" s="12">
        <v>0.19</v>
      </c>
      <c r="K159" s="12">
        <v>-0.09</v>
      </c>
      <c r="L159" s="12">
        <v>-1.65</v>
      </c>
      <c r="M159"/>
      <c r="S159" s="54"/>
    </row>
    <row r="160" spans="1:19" s="15" customFormat="1" x14ac:dyDescent="0.3">
      <c r="A160" s="17"/>
      <c r="B160"/>
      <c r="C160"/>
      <c r="D160"/>
      <c r="E160"/>
      <c r="F160" s="13" t="s">
        <v>815</v>
      </c>
      <c r="G160" s="13">
        <v>-1.45</v>
      </c>
      <c r="H160" s="12">
        <v>-1.04</v>
      </c>
      <c r="I160" s="12">
        <v>1.8</v>
      </c>
      <c r="J160" s="12">
        <v>-0.18</v>
      </c>
      <c r="K160" s="12">
        <v>1.07</v>
      </c>
      <c r="L160" s="12">
        <v>0.21</v>
      </c>
      <c r="M160"/>
      <c r="S160" s="54"/>
    </row>
    <row r="161" spans="1:19" s="15" customFormat="1" x14ac:dyDescent="0.3">
      <c r="A161" s="17"/>
      <c r="B161"/>
      <c r="C161"/>
      <c r="D161"/>
      <c r="E161"/>
      <c r="F161"/>
      <c r="G161"/>
      <c r="H161"/>
      <c r="I161"/>
      <c r="J161"/>
      <c r="K161"/>
      <c r="L161"/>
      <c r="M161"/>
      <c r="S161" s="54"/>
    </row>
    <row r="162" spans="1:19" s="15" customFormat="1" x14ac:dyDescent="0.3">
      <c r="A162" s="17"/>
      <c r="B162"/>
      <c r="C162"/>
      <c r="D162"/>
      <c r="E162"/>
      <c r="F162"/>
      <c r="G162"/>
      <c r="H162"/>
      <c r="I162"/>
      <c r="J162"/>
      <c r="K162"/>
      <c r="L162"/>
      <c r="M162"/>
      <c r="S162" s="54"/>
    </row>
    <row r="163" spans="1:19" s="15" customFormat="1" x14ac:dyDescent="0.3">
      <c r="A163" s="17"/>
      <c r="B163"/>
      <c r="C163"/>
      <c r="D163"/>
      <c r="E163"/>
      <c r="F163"/>
      <c r="G163"/>
      <c r="H163"/>
      <c r="I163"/>
      <c r="J163"/>
      <c r="K163"/>
      <c r="L163"/>
      <c r="M163"/>
      <c r="S163" s="54"/>
    </row>
    <row r="164" spans="1:19" s="15" customFormat="1" x14ac:dyDescent="0.3">
      <c r="A164" s="17"/>
      <c r="B164"/>
      <c r="C164"/>
      <c r="D164"/>
      <c r="E164"/>
      <c r="F164"/>
      <c r="G164"/>
      <c r="H164"/>
      <c r="I164"/>
      <c r="J164"/>
      <c r="K164"/>
      <c r="L164"/>
      <c r="M164"/>
      <c r="S164" s="54"/>
    </row>
    <row r="165" spans="1:19" s="15" customFormat="1" x14ac:dyDescent="0.3">
      <c r="A165" s="17"/>
      <c r="B165"/>
      <c r="C165"/>
      <c r="D165"/>
      <c r="E165"/>
      <c r="F165"/>
      <c r="G165"/>
      <c r="H165"/>
      <c r="I165"/>
      <c r="J165"/>
      <c r="K165"/>
      <c r="L165"/>
      <c r="M165"/>
      <c r="S165" s="54"/>
    </row>
    <row r="166" spans="1:19" s="15" customFormat="1" x14ac:dyDescent="0.3">
      <c r="A166" s="17"/>
      <c r="B166"/>
      <c r="C166"/>
      <c r="D166"/>
      <c r="E166"/>
      <c r="F166"/>
      <c r="G166"/>
      <c r="H166"/>
      <c r="I166"/>
      <c r="J166"/>
      <c r="K166"/>
      <c r="L166"/>
      <c r="M166"/>
      <c r="S166" s="54"/>
    </row>
    <row r="167" spans="1:19" s="15" customFormat="1" x14ac:dyDescent="0.3">
      <c r="A167" s="17"/>
      <c r="B167"/>
      <c r="C167"/>
      <c r="D167"/>
      <c r="E167"/>
      <c r="F167"/>
      <c r="G167"/>
      <c r="H167"/>
      <c r="I167"/>
      <c r="J167"/>
      <c r="K167"/>
      <c r="L167"/>
      <c r="M167"/>
      <c r="S167" s="54"/>
    </row>
    <row r="168" spans="1:19" s="15" customFormat="1" x14ac:dyDescent="0.3">
      <c r="A168" s="17"/>
      <c r="B168"/>
      <c r="C168"/>
      <c r="D168"/>
      <c r="E168"/>
      <c r="F168"/>
      <c r="G168"/>
      <c r="H168"/>
      <c r="I168"/>
      <c r="J168"/>
      <c r="K168"/>
      <c r="L168"/>
      <c r="M168"/>
      <c r="S168" s="54"/>
    </row>
    <row r="169" spans="1:19" s="15" customFormat="1" x14ac:dyDescent="0.3">
      <c r="A169" s="17"/>
      <c r="B169"/>
      <c r="C169"/>
      <c r="D169"/>
      <c r="E169"/>
      <c r="F169"/>
      <c r="G169"/>
      <c r="H169"/>
      <c r="I169"/>
      <c r="J169"/>
      <c r="K169"/>
      <c r="L169"/>
      <c r="M169"/>
      <c r="S169" s="54"/>
    </row>
    <row r="170" spans="1:19" s="15" customFormat="1" x14ac:dyDescent="0.3">
      <c r="A170" s="17"/>
      <c r="B170"/>
      <c r="C170"/>
      <c r="D170"/>
      <c r="E170"/>
      <c r="F170"/>
      <c r="G170"/>
      <c r="H170"/>
      <c r="I170"/>
      <c r="J170"/>
      <c r="K170"/>
      <c r="L170"/>
      <c r="M170"/>
      <c r="S170" s="54"/>
    </row>
    <row r="171" spans="1:19" s="15" customFormat="1" x14ac:dyDescent="0.3">
      <c r="A171" s="17"/>
      <c r="B171"/>
      <c r="C171"/>
      <c r="D171"/>
      <c r="E171"/>
      <c r="F171"/>
      <c r="G171"/>
      <c r="H171"/>
      <c r="I171"/>
      <c r="J171"/>
      <c r="K171"/>
      <c r="L171"/>
      <c r="M171"/>
      <c r="S171" s="54"/>
    </row>
    <row r="172" spans="1:19" s="15" customFormat="1" x14ac:dyDescent="0.3">
      <c r="A172" s="17"/>
      <c r="B172"/>
      <c r="C172"/>
      <c r="D172"/>
      <c r="E172"/>
      <c r="F172"/>
      <c r="G172"/>
      <c r="H172"/>
      <c r="I172"/>
      <c r="J172"/>
      <c r="K172"/>
      <c r="L172"/>
      <c r="M172"/>
      <c r="S172" s="54"/>
    </row>
    <row r="173" spans="1:19" s="15" customFormat="1" x14ac:dyDescent="0.3">
      <c r="A173" s="17"/>
      <c r="B173"/>
      <c r="C173"/>
      <c r="D173"/>
      <c r="E173"/>
      <c r="F173"/>
      <c r="G173"/>
      <c r="H173"/>
      <c r="I173"/>
      <c r="J173"/>
      <c r="K173"/>
      <c r="L173"/>
      <c r="M173"/>
      <c r="S173" s="54"/>
    </row>
    <row r="174" spans="1:19" s="15" customFormat="1" x14ac:dyDescent="0.3">
      <c r="A174" s="17"/>
      <c r="B174"/>
      <c r="C174"/>
      <c r="D174"/>
      <c r="E174"/>
      <c r="F174"/>
      <c r="G174"/>
      <c r="H174"/>
      <c r="I174"/>
      <c r="J174"/>
      <c r="K174"/>
      <c r="L174"/>
      <c r="M174"/>
      <c r="S174" s="54"/>
    </row>
    <row r="175" spans="1:19" s="15" customFormat="1" x14ac:dyDescent="0.3">
      <c r="A175" s="17"/>
      <c r="B175"/>
      <c r="C175"/>
      <c r="D175"/>
      <c r="E175"/>
      <c r="F175"/>
      <c r="G175"/>
      <c r="H175"/>
      <c r="I175"/>
      <c r="J175"/>
      <c r="K175"/>
      <c r="L175"/>
      <c r="M175"/>
      <c r="S175" s="54"/>
    </row>
    <row r="176" spans="1:19" s="15" customFormat="1" x14ac:dyDescent="0.3">
      <c r="A176" s="17"/>
      <c r="B176"/>
      <c r="C176"/>
      <c r="D176"/>
      <c r="E176"/>
      <c r="F176"/>
      <c r="G176"/>
      <c r="H176"/>
      <c r="I176"/>
      <c r="J176"/>
      <c r="K176"/>
      <c r="L176"/>
      <c r="M176"/>
      <c r="S176" s="54"/>
    </row>
    <row r="177" spans="1:19" s="15" customFormat="1" x14ac:dyDescent="0.3">
      <c r="A177" s="17"/>
      <c r="B177"/>
      <c r="C177"/>
      <c r="D177"/>
      <c r="E177"/>
      <c r="F177"/>
      <c r="G177"/>
      <c r="H177"/>
      <c r="I177"/>
      <c r="J177"/>
      <c r="K177"/>
      <c r="L177"/>
      <c r="M177"/>
      <c r="S177" s="54"/>
    </row>
    <row r="178" spans="1:19" s="15" customFormat="1" x14ac:dyDescent="0.3">
      <c r="A178" s="17"/>
      <c r="B178"/>
      <c r="C178"/>
      <c r="D178"/>
      <c r="E178"/>
      <c r="F178"/>
      <c r="G178"/>
      <c r="H178"/>
      <c r="I178"/>
      <c r="J178"/>
      <c r="K178"/>
      <c r="L178"/>
      <c r="M178"/>
      <c r="S178" s="54"/>
    </row>
    <row r="179" spans="1:19" s="15" customFormat="1" x14ac:dyDescent="0.3">
      <c r="A179" s="17"/>
      <c r="B179"/>
      <c r="C179"/>
      <c r="D179"/>
      <c r="E179"/>
      <c r="F179"/>
      <c r="G179"/>
      <c r="H179"/>
      <c r="I179"/>
      <c r="J179"/>
      <c r="K179"/>
      <c r="L179"/>
      <c r="M179"/>
      <c r="S179" s="54"/>
    </row>
    <row r="180" spans="1:19" s="15" customFormat="1" x14ac:dyDescent="0.3">
      <c r="A180" s="17"/>
      <c r="B180"/>
      <c r="C180"/>
      <c r="D180"/>
      <c r="E180"/>
      <c r="F180"/>
      <c r="G180"/>
      <c r="H180"/>
      <c r="I180"/>
      <c r="J180"/>
      <c r="K180"/>
      <c r="L180"/>
      <c r="M180"/>
      <c r="S180" s="54"/>
    </row>
    <row r="181" spans="1:19" s="15" customFormat="1" x14ac:dyDescent="0.3">
      <c r="A181" s="17"/>
      <c r="B181"/>
      <c r="C181"/>
      <c r="D181"/>
      <c r="E181"/>
      <c r="F181"/>
      <c r="G181"/>
      <c r="H181"/>
      <c r="I181"/>
      <c r="J181"/>
      <c r="K181"/>
      <c r="L181"/>
      <c r="M181"/>
      <c r="S181" s="54"/>
    </row>
    <row r="182" spans="1:19" s="15" customFormat="1" x14ac:dyDescent="0.3">
      <c r="A182" s="17"/>
      <c r="B182"/>
      <c r="C182"/>
      <c r="D182"/>
      <c r="E182"/>
      <c r="F182"/>
      <c r="G182"/>
      <c r="H182"/>
      <c r="I182"/>
      <c r="J182"/>
      <c r="K182"/>
      <c r="L182"/>
      <c r="M182"/>
      <c r="S182" s="54"/>
    </row>
    <row r="183" spans="1:19" s="15" customFormat="1" x14ac:dyDescent="0.3">
      <c r="A183" s="17"/>
      <c r="B183"/>
      <c r="C183"/>
      <c r="D183"/>
      <c r="E183"/>
      <c r="F183"/>
      <c r="G183"/>
      <c r="H183"/>
      <c r="I183"/>
      <c r="J183"/>
      <c r="K183"/>
      <c r="L183"/>
      <c r="M183"/>
      <c r="S183" s="54"/>
    </row>
    <row r="184" spans="1:19" s="15" customFormat="1" x14ac:dyDescent="0.3">
      <c r="A184" s="17"/>
      <c r="B184"/>
      <c r="C184"/>
      <c r="D184"/>
      <c r="E184"/>
      <c r="F184"/>
      <c r="G184"/>
      <c r="H184"/>
      <c r="I184"/>
      <c r="J184"/>
      <c r="K184"/>
      <c r="L184"/>
      <c r="M184"/>
      <c r="S184" s="54"/>
    </row>
    <row r="185" spans="1:19" s="15" customFormat="1" x14ac:dyDescent="0.3">
      <c r="A185" s="17"/>
      <c r="B185"/>
      <c r="C185"/>
      <c r="D185"/>
      <c r="E185"/>
      <c r="F185"/>
      <c r="G185"/>
      <c r="H185"/>
      <c r="I185"/>
      <c r="J185"/>
      <c r="K185"/>
      <c r="L185"/>
      <c r="M185"/>
      <c r="S185" s="54"/>
    </row>
    <row r="186" spans="1:19" s="15" customFormat="1" x14ac:dyDescent="0.3">
      <c r="A186" s="17"/>
      <c r="B186"/>
      <c r="C186"/>
      <c r="D186"/>
      <c r="E186"/>
      <c r="F186"/>
      <c r="G186"/>
      <c r="H186"/>
      <c r="I186"/>
      <c r="J186"/>
      <c r="K186"/>
      <c r="L186"/>
      <c r="M186"/>
      <c r="S186" s="54"/>
    </row>
    <row r="187" spans="1:19" s="15" customFormat="1" x14ac:dyDescent="0.3">
      <c r="A187" s="17"/>
      <c r="B187"/>
      <c r="C187"/>
      <c r="D187"/>
      <c r="E187"/>
      <c r="F187"/>
      <c r="G187"/>
      <c r="H187"/>
      <c r="I187"/>
      <c r="J187"/>
      <c r="K187"/>
      <c r="L187"/>
      <c r="M187"/>
      <c r="S187" s="54"/>
    </row>
    <row r="188" spans="1:19" s="15" customFormat="1" x14ac:dyDescent="0.3">
      <c r="A188" s="17"/>
      <c r="B188"/>
      <c r="C188"/>
      <c r="D188"/>
      <c r="E188"/>
      <c r="F188"/>
      <c r="G188"/>
      <c r="H188"/>
      <c r="I188"/>
      <c r="J188"/>
      <c r="K188"/>
      <c r="L188"/>
      <c r="M188"/>
      <c r="S188" s="54"/>
    </row>
    <row r="189" spans="1:19" s="15" customFormat="1" x14ac:dyDescent="0.3">
      <c r="A189" s="17"/>
      <c r="B189"/>
      <c r="C189"/>
      <c r="D189"/>
      <c r="E189"/>
      <c r="F189"/>
      <c r="G189"/>
      <c r="H189"/>
      <c r="I189"/>
      <c r="J189"/>
      <c r="K189"/>
      <c r="L189"/>
      <c r="M189"/>
      <c r="S189" s="54"/>
    </row>
    <row r="190" spans="1:19" s="15" customFormat="1" x14ac:dyDescent="0.3">
      <c r="A190" s="17"/>
      <c r="B190"/>
      <c r="C190"/>
      <c r="D190"/>
      <c r="E190"/>
      <c r="F190"/>
      <c r="G190"/>
      <c r="H190"/>
      <c r="I190"/>
      <c r="J190"/>
      <c r="K190"/>
      <c r="L190"/>
      <c r="M190"/>
      <c r="S190" s="54"/>
    </row>
    <row r="191" spans="1:19" s="15" customFormat="1" x14ac:dyDescent="0.3">
      <c r="A191" s="17"/>
      <c r="B191"/>
      <c r="C191"/>
      <c r="D191"/>
      <c r="E191"/>
      <c r="F191"/>
      <c r="G191"/>
      <c r="H191"/>
      <c r="I191"/>
      <c r="J191"/>
      <c r="K191"/>
      <c r="L191"/>
      <c r="M191"/>
      <c r="S191" s="54"/>
    </row>
    <row r="192" spans="1:19" s="15" customFormat="1" x14ac:dyDescent="0.3">
      <c r="A192" s="17"/>
      <c r="B192"/>
      <c r="C192"/>
      <c r="D192"/>
      <c r="E192"/>
      <c r="F192"/>
      <c r="G192"/>
      <c r="H192"/>
      <c r="I192"/>
      <c r="J192"/>
      <c r="K192"/>
      <c r="L192"/>
      <c r="M192"/>
      <c r="S192" s="54"/>
    </row>
    <row r="193" spans="1:19" s="15" customFormat="1" x14ac:dyDescent="0.3">
      <c r="A193" s="17"/>
      <c r="B193"/>
      <c r="C193"/>
      <c r="D193"/>
      <c r="E193"/>
      <c r="F193"/>
      <c r="G193"/>
      <c r="H193"/>
      <c r="I193"/>
      <c r="J193"/>
      <c r="K193"/>
      <c r="L193"/>
      <c r="M193"/>
      <c r="S193" s="54"/>
    </row>
    <row r="194" spans="1:19" s="15" customFormat="1" x14ac:dyDescent="0.3">
      <c r="A194" s="17"/>
      <c r="B194"/>
      <c r="C194"/>
      <c r="D194"/>
      <c r="E194"/>
      <c r="F194"/>
      <c r="G194"/>
      <c r="H194"/>
      <c r="I194"/>
      <c r="J194"/>
      <c r="K194"/>
      <c r="L194"/>
      <c r="M194"/>
      <c r="S194" s="54"/>
    </row>
    <row r="195" spans="1:19" s="15" customFormat="1" x14ac:dyDescent="0.3">
      <c r="A195" s="17"/>
      <c r="B195"/>
      <c r="C195"/>
      <c r="D195"/>
      <c r="E195"/>
      <c r="F195"/>
      <c r="G195"/>
      <c r="H195"/>
      <c r="I195"/>
      <c r="J195"/>
      <c r="K195"/>
      <c r="L195"/>
      <c r="M195"/>
      <c r="S195" s="54"/>
    </row>
    <row r="196" spans="1:19" s="15" customFormat="1" x14ac:dyDescent="0.3">
      <c r="A196" s="17"/>
      <c r="B196"/>
      <c r="C196"/>
      <c r="D196"/>
      <c r="E196"/>
      <c r="F196"/>
      <c r="G196"/>
      <c r="H196"/>
      <c r="I196"/>
      <c r="J196"/>
      <c r="K196"/>
      <c r="L196"/>
      <c r="M196"/>
      <c r="S196" s="54"/>
    </row>
    <row r="197" spans="1:19" s="15" customFormat="1" x14ac:dyDescent="0.3">
      <c r="A197" s="17"/>
      <c r="B197"/>
      <c r="C197"/>
      <c r="D197"/>
      <c r="E197"/>
      <c r="F197"/>
      <c r="G197"/>
      <c r="H197"/>
      <c r="I197"/>
      <c r="J197"/>
      <c r="K197"/>
      <c r="L197"/>
      <c r="M197"/>
      <c r="S197" s="54"/>
    </row>
    <row r="198" spans="1:19" s="15" customFormat="1" x14ac:dyDescent="0.3">
      <c r="A198" s="17"/>
      <c r="B198"/>
      <c r="C198"/>
      <c r="D198"/>
      <c r="E198"/>
      <c r="F198"/>
      <c r="G198"/>
      <c r="H198"/>
      <c r="I198"/>
      <c r="J198"/>
      <c r="K198"/>
      <c r="L198"/>
      <c r="M198"/>
      <c r="S198" s="54"/>
    </row>
    <row r="199" spans="1:19" s="15" customFormat="1" x14ac:dyDescent="0.3">
      <c r="A199" s="17"/>
      <c r="B199"/>
      <c r="C199"/>
      <c r="D199"/>
      <c r="E199"/>
      <c r="F199"/>
      <c r="G199"/>
      <c r="H199"/>
      <c r="I199"/>
      <c r="J199"/>
      <c r="K199"/>
      <c r="L199"/>
      <c r="M199"/>
      <c r="S199" s="54"/>
    </row>
    <row r="200" spans="1:19" s="15" customFormat="1" x14ac:dyDescent="0.3">
      <c r="A200" s="17"/>
      <c r="B200"/>
      <c r="C200"/>
      <c r="D200"/>
      <c r="E200"/>
      <c r="F200"/>
      <c r="G200"/>
      <c r="H200"/>
      <c r="I200"/>
      <c r="J200"/>
      <c r="K200"/>
      <c r="L200"/>
      <c r="M200"/>
      <c r="S200" s="54"/>
    </row>
    <row r="201" spans="1:19" s="15" customFormat="1" x14ac:dyDescent="0.3">
      <c r="A201" s="17"/>
      <c r="B201"/>
      <c r="C201"/>
      <c r="D201"/>
      <c r="E201"/>
      <c r="F201"/>
      <c r="G201"/>
      <c r="H201"/>
      <c r="I201"/>
      <c r="J201"/>
      <c r="K201"/>
      <c r="L201"/>
      <c r="M201"/>
      <c r="S201" s="54"/>
    </row>
    <row r="202" spans="1:19" s="15" customFormat="1" x14ac:dyDescent="0.3">
      <c r="A202" s="17"/>
      <c r="B202"/>
      <c r="C202"/>
      <c r="D202"/>
      <c r="E202"/>
      <c r="F202"/>
      <c r="G202"/>
      <c r="H202"/>
      <c r="I202"/>
      <c r="J202"/>
      <c r="K202"/>
      <c r="L202"/>
      <c r="M202"/>
      <c r="S202" s="54"/>
    </row>
    <row r="203" spans="1:19" s="15" customFormat="1" x14ac:dyDescent="0.3">
      <c r="A203" s="17"/>
      <c r="B203"/>
      <c r="C203"/>
      <c r="D203"/>
      <c r="E203"/>
      <c r="F203"/>
      <c r="G203"/>
      <c r="H203"/>
      <c r="I203"/>
      <c r="J203"/>
      <c r="K203"/>
      <c r="L203"/>
      <c r="M203"/>
      <c r="S203" s="54"/>
    </row>
    <row r="204" spans="1:19" s="15" customFormat="1" x14ac:dyDescent="0.3">
      <c r="A204" s="17"/>
      <c r="B204"/>
      <c r="C204"/>
      <c r="D204"/>
      <c r="E204"/>
      <c r="F204"/>
      <c r="G204"/>
      <c r="H204"/>
      <c r="I204"/>
      <c r="J204"/>
      <c r="K204"/>
      <c r="L204"/>
      <c r="M204"/>
      <c r="S204" s="54"/>
    </row>
    <row r="205" spans="1:19" s="15" customFormat="1" x14ac:dyDescent="0.3">
      <c r="A205" s="17"/>
      <c r="B205"/>
      <c r="C205"/>
      <c r="D205"/>
      <c r="E205"/>
      <c r="F205"/>
      <c r="G205"/>
      <c r="H205"/>
      <c r="I205"/>
      <c r="J205"/>
      <c r="K205"/>
      <c r="L205"/>
      <c r="M205"/>
      <c r="S205" s="54"/>
    </row>
    <row r="206" spans="1:19" s="15" customFormat="1" x14ac:dyDescent="0.3">
      <c r="A206" s="17"/>
      <c r="B206"/>
      <c r="C206"/>
      <c r="D206"/>
      <c r="E206"/>
      <c r="F206"/>
      <c r="G206"/>
      <c r="H206"/>
      <c r="I206"/>
      <c r="J206"/>
      <c r="K206"/>
      <c r="L206"/>
      <c r="M206"/>
      <c r="S206" s="54"/>
    </row>
    <row r="207" spans="1:19" s="15" customFormat="1" x14ac:dyDescent="0.3">
      <c r="A207" s="17"/>
      <c r="B207"/>
      <c r="C207"/>
      <c r="D207"/>
      <c r="E207"/>
      <c r="F207"/>
      <c r="G207"/>
      <c r="H207"/>
      <c r="I207"/>
      <c r="J207"/>
      <c r="K207"/>
      <c r="L207"/>
      <c r="M207"/>
      <c r="S207" s="54"/>
    </row>
    <row r="208" spans="1:19" s="15" customFormat="1" x14ac:dyDescent="0.3">
      <c r="A208" s="17"/>
      <c r="B208"/>
      <c r="C208"/>
      <c r="D208"/>
      <c r="E208"/>
      <c r="F208"/>
      <c r="G208"/>
      <c r="H208"/>
      <c r="I208"/>
      <c r="J208"/>
      <c r="K208"/>
      <c r="L208"/>
      <c r="M208"/>
      <c r="S208" s="54"/>
    </row>
    <row r="209" spans="1:19" s="15" customFormat="1" x14ac:dyDescent="0.3">
      <c r="A209" s="17"/>
      <c r="B209"/>
      <c r="C209"/>
      <c r="D209"/>
      <c r="E209"/>
      <c r="F209"/>
      <c r="G209"/>
      <c r="H209"/>
      <c r="I209"/>
      <c r="J209"/>
      <c r="K209"/>
      <c r="L209"/>
      <c r="M209"/>
      <c r="S209" s="54"/>
    </row>
    <row r="210" spans="1:19" s="15" customFormat="1" x14ac:dyDescent="0.3">
      <c r="A210" s="17"/>
      <c r="B210"/>
      <c r="C210"/>
      <c r="D210"/>
      <c r="E210"/>
      <c r="F210"/>
      <c r="G210"/>
      <c r="H210"/>
      <c r="I210"/>
      <c r="J210"/>
      <c r="K210"/>
      <c r="L210"/>
      <c r="M210"/>
      <c r="S210" s="54"/>
    </row>
    <row r="211" spans="1:19" s="15" customFormat="1" x14ac:dyDescent="0.3">
      <c r="A211" s="17"/>
      <c r="B211"/>
      <c r="C211"/>
      <c r="D211"/>
      <c r="E211"/>
      <c r="F211"/>
      <c r="G211"/>
      <c r="H211"/>
      <c r="I211"/>
      <c r="J211"/>
      <c r="K211"/>
      <c r="L211"/>
      <c r="M211"/>
      <c r="S211" s="54"/>
    </row>
    <row r="212" spans="1:19" s="15" customFormat="1" x14ac:dyDescent="0.3">
      <c r="A212" s="17"/>
      <c r="B212"/>
      <c r="C212"/>
      <c r="D212"/>
      <c r="E212"/>
      <c r="F212"/>
      <c r="G212"/>
      <c r="H212"/>
      <c r="I212"/>
      <c r="J212"/>
      <c r="K212"/>
      <c r="L212"/>
      <c r="M212"/>
      <c r="S212" s="54"/>
    </row>
    <row r="213" spans="1:19" s="15" customFormat="1" x14ac:dyDescent="0.3">
      <c r="A213" s="17"/>
      <c r="B213"/>
      <c r="C213"/>
      <c r="D213"/>
      <c r="E213"/>
      <c r="F213"/>
      <c r="G213"/>
      <c r="H213"/>
      <c r="I213"/>
      <c r="J213"/>
      <c r="K213"/>
      <c r="L213"/>
      <c r="M213"/>
      <c r="S213" s="54"/>
    </row>
    <row r="214" spans="1:19" s="15" customFormat="1" x14ac:dyDescent="0.3">
      <c r="A214" s="17"/>
      <c r="B214"/>
      <c r="C214"/>
      <c r="D214"/>
      <c r="E214"/>
      <c r="F214"/>
      <c r="G214"/>
      <c r="H214"/>
      <c r="I214"/>
      <c r="J214"/>
      <c r="K214"/>
      <c r="L214"/>
      <c r="M214"/>
      <c r="S214" s="54"/>
    </row>
    <row r="215" spans="1:19" s="15" customFormat="1" x14ac:dyDescent="0.3">
      <c r="A215" s="17"/>
      <c r="B215"/>
      <c r="C215"/>
      <c r="D215"/>
      <c r="E215"/>
      <c r="F215"/>
      <c r="G215"/>
      <c r="H215"/>
      <c r="I215"/>
      <c r="J215"/>
      <c r="K215"/>
      <c r="L215"/>
      <c r="M215"/>
      <c r="S215" s="54"/>
    </row>
    <row r="216" spans="1:19" s="15" customFormat="1" x14ac:dyDescent="0.3">
      <c r="A216" s="17"/>
      <c r="B216"/>
      <c r="C216"/>
      <c r="D216"/>
      <c r="E216"/>
      <c r="F216"/>
      <c r="G216"/>
      <c r="H216"/>
      <c r="I216"/>
      <c r="J216"/>
      <c r="K216"/>
      <c r="L216"/>
      <c r="M216"/>
      <c r="S216" s="54"/>
    </row>
    <row r="217" spans="1:19" s="15" customFormat="1" x14ac:dyDescent="0.3">
      <c r="A217" s="17"/>
      <c r="B217"/>
      <c r="C217"/>
      <c r="D217"/>
      <c r="E217"/>
      <c r="F217"/>
      <c r="G217"/>
      <c r="H217"/>
      <c r="I217"/>
      <c r="J217"/>
      <c r="K217"/>
      <c r="L217"/>
      <c r="M217"/>
      <c r="S217" s="54"/>
    </row>
    <row r="218" spans="1:19" s="15" customFormat="1" x14ac:dyDescent="0.3">
      <c r="A218" s="17"/>
      <c r="B218"/>
      <c r="C218"/>
      <c r="D218"/>
      <c r="E218"/>
      <c r="F218"/>
      <c r="G218"/>
      <c r="H218"/>
      <c r="I218"/>
      <c r="J218"/>
      <c r="K218"/>
      <c r="L218"/>
      <c r="M218"/>
      <c r="S218" s="54"/>
    </row>
    <row r="219" spans="1:19" s="15" customFormat="1" x14ac:dyDescent="0.3">
      <c r="A219" s="17"/>
      <c r="B219"/>
      <c r="C219"/>
      <c r="D219"/>
      <c r="E219"/>
      <c r="F219"/>
      <c r="G219"/>
      <c r="H219"/>
      <c r="I219"/>
      <c r="J219"/>
      <c r="K219"/>
      <c r="L219"/>
      <c r="M219"/>
      <c r="S219" s="54"/>
    </row>
    <row r="220" spans="1:19" s="15" customFormat="1" x14ac:dyDescent="0.3">
      <c r="A220" s="17"/>
      <c r="B220"/>
      <c r="C220"/>
      <c r="D220"/>
      <c r="E220"/>
      <c r="F220"/>
      <c r="G220"/>
      <c r="H220"/>
      <c r="I220"/>
      <c r="J220"/>
      <c r="K220"/>
      <c r="L220"/>
      <c r="M220"/>
      <c r="S220" s="54"/>
    </row>
    <row r="221" spans="1:19" s="15" customFormat="1" x14ac:dyDescent="0.3">
      <c r="A221" s="17"/>
      <c r="B221"/>
      <c r="C221"/>
      <c r="D221"/>
      <c r="E221"/>
      <c r="F221"/>
      <c r="G221"/>
      <c r="H221"/>
      <c r="I221"/>
      <c r="J221"/>
      <c r="K221"/>
      <c r="L221"/>
      <c r="M221"/>
      <c r="S221" s="54"/>
    </row>
    <row r="222" spans="1:19" s="15" customFormat="1" x14ac:dyDescent="0.3">
      <c r="A222" s="17"/>
      <c r="B222"/>
      <c r="C222"/>
      <c r="D222"/>
      <c r="E222"/>
      <c r="F222"/>
      <c r="G222"/>
      <c r="H222"/>
      <c r="I222"/>
      <c r="J222"/>
      <c r="K222"/>
      <c r="L222"/>
      <c r="M222"/>
      <c r="S222" s="54"/>
    </row>
    <row r="223" spans="1:19" s="15" customFormat="1" x14ac:dyDescent="0.3">
      <c r="A223" s="17"/>
      <c r="B223"/>
      <c r="C223"/>
      <c r="D223"/>
      <c r="E223"/>
      <c r="F223"/>
      <c r="G223"/>
      <c r="H223"/>
      <c r="I223"/>
      <c r="J223"/>
      <c r="K223"/>
      <c r="L223"/>
      <c r="M223"/>
      <c r="S223" s="54"/>
    </row>
    <row r="224" spans="1:19" s="15" customFormat="1" x14ac:dyDescent="0.3">
      <c r="A224" s="17"/>
      <c r="B224"/>
      <c r="C224"/>
      <c r="D224"/>
      <c r="E224"/>
      <c r="F224"/>
      <c r="G224"/>
      <c r="H224"/>
      <c r="I224"/>
      <c r="J224"/>
      <c r="K224"/>
      <c r="L224"/>
      <c r="M224"/>
      <c r="S224" s="54"/>
    </row>
    <row r="225" spans="1:19" s="15" customFormat="1" x14ac:dyDescent="0.3">
      <c r="A225" s="17"/>
      <c r="B225"/>
      <c r="C225"/>
      <c r="D225"/>
      <c r="E225"/>
      <c r="F225"/>
      <c r="G225"/>
      <c r="H225"/>
      <c r="I225"/>
      <c r="J225"/>
      <c r="K225"/>
      <c r="L225"/>
      <c r="M225"/>
      <c r="S225" s="54"/>
    </row>
    <row r="226" spans="1:19" s="15" customFormat="1" x14ac:dyDescent="0.3">
      <c r="A226" s="17"/>
      <c r="B226"/>
      <c r="C226"/>
      <c r="D226"/>
      <c r="E226"/>
      <c r="F226"/>
      <c r="G226"/>
      <c r="H226"/>
      <c r="I226"/>
      <c r="J226"/>
      <c r="K226"/>
      <c r="L226"/>
      <c r="M226"/>
      <c r="S226" s="54"/>
    </row>
    <row r="227" spans="1:19" s="15" customFormat="1" x14ac:dyDescent="0.3">
      <c r="A227" s="17"/>
      <c r="B227"/>
      <c r="C227"/>
      <c r="D227"/>
      <c r="E227"/>
      <c r="F227"/>
      <c r="G227"/>
      <c r="H227"/>
      <c r="I227"/>
      <c r="J227"/>
      <c r="K227"/>
      <c r="L227"/>
      <c r="M227"/>
      <c r="S227" s="54"/>
    </row>
    <row r="228" spans="1:19" s="15" customFormat="1" x14ac:dyDescent="0.3">
      <c r="A228" s="17"/>
      <c r="B228"/>
      <c r="C228"/>
      <c r="D228"/>
      <c r="E228"/>
      <c r="F228"/>
      <c r="G228"/>
      <c r="H228"/>
      <c r="I228"/>
      <c r="J228"/>
      <c r="K228"/>
      <c r="L228"/>
      <c r="M228"/>
      <c r="S228" s="54"/>
    </row>
    <row r="229" spans="1:19" s="15" customFormat="1" x14ac:dyDescent="0.3">
      <c r="A229" s="17"/>
      <c r="B229"/>
      <c r="C229"/>
      <c r="D229"/>
      <c r="E229"/>
      <c r="F229"/>
      <c r="G229"/>
      <c r="H229"/>
      <c r="I229"/>
      <c r="J229"/>
      <c r="K229"/>
      <c r="L229"/>
      <c r="M229"/>
      <c r="S229" s="54"/>
    </row>
    <row r="230" spans="1:19" s="15" customFormat="1" x14ac:dyDescent="0.3">
      <c r="A230" s="17"/>
      <c r="B230"/>
      <c r="C230"/>
      <c r="D230"/>
      <c r="E230"/>
      <c r="F230"/>
      <c r="G230"/>
      <c r="H230"/>
      <c r="I230"/>
      <c r="J230"/>
      <c r="K230"/>
      <c r="L230"/>
      <c r="M230"/>
      <c r="S230" s="54"/>
    </row>
    <row r="231" spans="1:19" s="15" customFormat="1" x14ac:dyDescent="0.3">
      <c r="A231" s="17"/>
      <c r="B231"/>
      <c r="C231"/>
      <c r="D231"/>
      <c r="E231"/>
      <c r="F231"/>
      <c r="G231"/>
      <c r="H231"/>
      <c r="I231"/>
      <c r="J231"/>
      <c r="K231"/>
      <c r="L231"/>
      <c r="M231"/>
      <c r="S231" s="54"/>
    </row>
    <row r="232" spans="1:19" s="15" customFormat="1" x14ac:dyDescent="0.3">
      <c r="A232" s="17"/>
      <c r="B232"/>
      <c r="C232"/>
      <c r="D232"/>
      <c r="E232"/>
      <c r="F232"/>
      <c r="G232"/>
      <c r="H232"/>
      <c r="I232"/>
      <c r="J232"/>
      <c r="K232"/>
      <c r="L232"/>
      <c r="M232"/>
      <c r="S232" s="54"/>
    </row>
    <row r="233" spans="1:19" s="15" customFormat="1" x14ac:dyDescent="0.3">
      <c r="A233" s="17"/>
      <c r="B233"/>
      <c r="C233"/>
      <c r="D233"/>
      <c r="E233"/>
      <c r="F233"/>
      <c r="G233"/>
      <c r="H233"/>
      <c r="I233"/>
      <c r="J233"/>
      <c r="K233"/>
      <c r="L233"/>
      <c r="M233"/>
      <c r="S233" s="54"/>
    </row>
    <row r="234" spans="1:19" s="15" customFormat="1" x14ac:dyDescent="0.3">
      <c r="A234" s="17"/>
      <c r="B234"/>
      <c r="C234"/>
      <c r="D234"/>
      <c r="E234"/>
      <c r="F234"/>
      <c r="G234"/>
      <c r="H234"/>
      <c r="I234"/>
      <c r="J234"/>
      <c r="K234"/>
      <c r="L234"/>
      <c r="M234"/>
      <c r="S234" s="54"/>
    </row>
    <row r="235" spans="1:19" s="15" customFormat="1" x14ac:dyDescent="0.3">
      <c r="A235" s="17"/>
      <c r="B235"/>
      <c r="C235"/>
      <c r="D235"/>
      <c r="E235"/>
      <c r="F235"/>
      <c r="G235"/>
      <c r="H235"/>
      <c r="I235"/>
      <c r="J235"/>
      <c r="K235"/>
      <c r="L235"/>
      <c r="M235"/>
      <c r="S235" s="54"/>
    </row>
    <row r="236" spans="1:19" s="15" customFormat="1" x14ac:dyDescent="0.3">
      <c r="A236" s="17"/>
      <c r="B236"/>
      <c r="C236"/>
      <c r="D236"/>
      <c r="E236"/>
      <c r="F236"/>
      <c r="G236"/>
      <c r="H236"/>
      <c r="I236"/>
      <c r="J236"/>
      <c r="K236"/>
      <c r="L236"/>
      <c r="M236"/>
      <c r="S236" s="54"/>
    </row>
    <row r="237" spans="1:19" s="15" customFormat="1" x14ac:dyDescent="0.3">
      <c r="A237" s="17"/>
      <c r="B237"/>
      <c r="C237"/>
      <c r="D237"/>
      <c r="E237"/>
      <c r="F237"/>
      <c r="G237"/>
      <c r="H237"/>
      <c r="I237"/>
      <c r="J237"/>
      <c r="K237"/>
      <c r="L237"/>
      <c r="M237"/>
      <c r="S237" s="54"/>
    </row>
    <row r="238" spans="1:19" s="15" customFormat="1" x14ac:dyDescent="0.3">
      <c r="A238" s="17"/>
      <c r="B238"/>
      <c r="C238"/>
      <c r="D238"/>
      <c r="E238"/>
      <c r="F238"/>
      <c r="G238"/>
      <c r="H238"/>
      <c r="I238"/>
      <c r="J238"/>
      <c r="K238"/>
      <c r="L238"/>
      <c r="M238"/>
      <c r="S238" s="54"/>
    </row>
    <row r="239" spans="1:19" s="15" customFormat="1" x14ac:dyDescent="0.3">
      <c r="A239" s="17"/>
      <c r="B239"/>
      <c r="C239"/>
      <c r="D239"/>
      <c r="E239"/>
      <c r="F239"/>
      <c r="G239"/>
      <c r="H239"/>
      <c r="I239"/>
      <c r="J239"/>
      <c r="K239"/>
      <c r="L239"/>
      <c r="M239"/>
      <c r="S239" s="54"/>
    </row>
    <row r="240" spans="1:19" s="15" customFormat="1" x14ac:dyDescent="0.3">
      <c r="A240" s="17"/>
      <c r="B240"/>
      <c r="C240"/>
      <c r="D240"/>
      <c r="E240"/>
      <c r="F240"/>
      <c r="G240"/>
      <c r="H240"/>
      <c r="I240"/>
      <c r="J240"/>
      <c r="K240"/>
      <c r="L240"/>
      <c r="M240"/>
      <c r="S240" s="54"/>
    </row>
    <row r="241" spans="1:19" s="15" customFormat="1" x14ac:dyDescent="0.3">
      <c r="A241" s="17"/>
      <c r="B241"/>
      <c r="C241"/>
      <c r="D241"/>
      <c r="E241"/>
      <c r="F241"/>
      <c r="G241"/>
      <c r="H241"/>
      <c r="I241"/>
      <c r="J241"/>
      <c r="K241"/>
      <c r="L241"/>
      <c r="M241"/>
      <c r="S241" s="54"/>
    </row>
    <row r="242" spans="1:19" s="15" customFormat="1" x14ac:dyDescent="0.3">
      <c r="A242" s="17"/>
      <c r="B242"/>
      <c r="C242"/>
      <c r="D242"/>
      <c r="E242"/>
      <c r="F242"/>
      <c r="G242"/>
      <c r="H242"/>
      <c r="I242"/>
      <c r="J242"/>
      <c r="K242"/>
      <c r="L242"/>
      <c r="M242"/>
      <c r="S242" s="54"/>
    </row>
    <row r="243" spans="1:19" s="15" customFormat="1" x14ac:dyDescent="0.3">
      <c r="A243" s="17"/>
      <c r="B243"/>
      <c r="C243"/>
      <c r="D243"/>
      <c r="E243"/>
      <c r="F243"/>
      <c r="G243"/>
      <c r="H243"/>
      <c r="I243"/>
      <c r="J243"/>
      <c r="K243"/>
      <c r="L243"/>
      <c r="M243"/>
      <c r="S243" s="54"/>
    </row>
    <row r="244" spans="1:19" s="15" customFormat="1" x14ac:dyDescent="0.3">
      <c r="A244" s="17"/>
      <c r="B244"/>
      <c r="C244"/>
      <c r="D244"/>
      <c r="E244"/>
      <c r="F244"/>
      <c r="G244"/>
      <c r="H244"/>
      <c r="I244"/>
      <c r="J244"/>
      <c r="K244"/>
      <c r="L244"/>
      <c r="M244"/>
      <c r="S244" s="54"/>
    </row>
    <row r="245" spans="1:19" s="15" customFormat="1" x14ac:dyDescent="0.3">
      <c r="A245" s="17"/>
      <c r="B245"/>
      <c r="C245"/>
      <c r="D245"/>
      <c r="E245"/>
      <c r="F245"/>
      <c r="G245"/>
      <c r="H245"/>
      <c r="I245"/>
      <c r="J245"/>
      <c r="K245"/>
      <c r="L245"/>
      <c r="M245"/>
      <c r="S245" s="54"/>
    </row>
    <row r="246" spans="1:19" s="15" customFormat="1" x14ac:dyDescent="0.3">
      <c r="A246" s="17"/>
      <c r="B246"/>
      <c r="C246"/>
      <c r="D246"/>
      <c r="E246"/>
      <c r="F246"/>
      <c r="G246"/>
      <c r="H246"/>
      <c r="I246"/>
      <c r="J246"/>
      <c r="K246"/>
      <c r="L246"/>
      <c r="M246"/>
      <c r="S246" s="54"/>
    </row>
    <row r="247" spans="1:19" s="15" customFormat="1" x14ac:dyDescent="0.3">
      <c r="A247" s="17"/>
      <c r="B247"/>
      <c r="C247"/>
      <c r="D247"/>
      <c r="E247"/>
      <c r="F247"/>
      <c r="G247"/>
      <c r="H247"/>
      <c r="I247"/>
      <c r="J247"/>
      <c r="K247"/>
      <c r="L247"/>
      <c r="M247"/>
      <c r="S247" s="54"/>
    </row>
    <row r="248" spans="1:19" s="15" customFormat="1" x14ac:dyDescent="0.3">
      <c r="A248" s="17"/>
      <c r="B248"/>
      <c r="C248"/>
      <c r="D248"/>
      <c r="E248"/>
      <c r="F248"/>
      <c r="G248"/>
      <c r="H248"/>
      <c r="I248"/>
      <c r="J248"/>
      <c r="K248"/>
      <c r="L248"/>
      <c r="M248"/>
      <c r="S248" s="54"/>
    </row>
    <row r="249" spans="1:19" s="15" customFormat="1" x14ac:dyDescent="0.3">
      <c r="A249" s="17"/>
      <c r="B249"/>
      <c r="C249"/>
      <c r="D249"/>
      <c r="E249"/>
      <c r="F249"/>
      <c r="G249"/>
      <c r="H249"/>
      <c r="I249"/>
      <c r="J249"/>
      <c r="K249"/>
      <c r="L249"/>
      <c r="M249"/>
      <c r="S249" s="54"/>
    </row>
    <row r="250" spans="1:19" s="15" customFormat="1" x14ac:dyDescent="0.3">
      <c r="A250" s="17"/>
      <c r="B250"/>
      <c r="C250"/>
      <c r="D250"/>
      <c r="E250"/>
      <c r="F250"/>
      <c r="G250"/>
      <c r="H250"/>
      <c r="I250"/>
      <c r="J250"/>
      <c r="K250"/>
      <c r="L250"/>
      <c r="M250"/>
      <c r="S250" s="54"/>
    </row>
    <row r="251" spans="1:19" s="15" customFormat="1" x14ac:dyDescent="0.3">
      <c r="A251" s="17"/>
      <c r="B251"/>
      <c r="C251"/>
      <c r="D251"/>
      <c r="E251"/>
      <c r="F251"/>
      <c r="G251"/>
      <c r="H251"/>
      <c r="I251"/>
      <c r="J251"/>
      <c r="K251"/>
      <c r="L251"/>
      <c r="M251"/>
      <c r="S251" s="54"/>
    </row>
    <row r="252" spans="1:19" s="15" customFormat="1" x14ac:dyDescent="0.3">
      <c r="A252" s="17"/>
      <c r="B252"/>
      <c r="C252"/>
      <c r="D252"/>
      <c r="E252"/>
      <c r="F252"/>
      <c r="G252"/>
      <c r="H252"/>
      <c r="I252"/>
      <c r="J252"/>
      <c r="K252"/>
      <c r="L252"/>
      <c r="M252"/>
      <c r="S252" s="54"/>
    </row>
    <row r="253" spans="1:19" s="15" customFormat="1" x14ac:dyDescent="0.3">
      <c r="A253" s="17"/>
      <c r="B253"/>
      <c r="C253"/>
      <c r="D253"/>
      <c r="E253"/>
      <c r="F253"/>
      <c r="G253"/>
      <c r="H253"/>
      <c r="I253"/>
      <c r="J253"/>
      <c r="K253"/>
      <c r="L253"/>
      <c r="M253"/>
      <c r="S253" s="54"/>
    </row>
    <row r="254" spans="1:19" s="15" customFormat="1" x14ac:dyDescent="0.3">
      <c r="A254" s="17"/>
      <c r="B254"/>
      <c r="C254"/>
      <c r="D254"/>
      <c r="E254"/>
      <c r="F254"/>
      <c r="G254"/>
      <c r="H254"/>
      <c r="I254"/>
      <c r="J254"/>
      <c r="K254"/>
      <c r="L254"/>
      <c r="M254"/>
      <c r="S254" s="54"/>
    </row>
    <row r="255" spans="1:19" s="15" customFormat="1" x14ac:dyDescent="0.3">
      <c r="A255" s="17"/>
      <c r="B255"/>
      <c r="C255"/>
      <c r="D255"/>
      <c r="E255"/>
      <c r="F255"/>
      <c r="G255"/>
      <c r="H255"/>
      <c r="I255"/>
      <c r="J255"/>
      <c r="K255"/>
      <c r="L255"/>
      <c r="M255"/>
      <c r="S255" s="54"/>
    </row>
    <row r="256" spans="1:19" s="15" customFormat="1" x14ac:dyDescent="0.3">
      <c r="A256" s="17"/>
      <c r="B256"/>
      <c r="C256"/>
      <c r="D256"/>
      <c r="E256"/>
      <c r="F256"/>
      <c r="G256"/>
      <c r="H256"/>
      <c r="I256"/>
      <c r="J256"/>
      <c r="K256"/>
      <c r="L256"/>
      <c r="M256"/>
      <c r="S256" s="54"/>
    </row>
    <row r="257" spans="1:19" s="15" customFormat="1" x14ac:dyDescent="0.3">
      <c r="A257" s="17"/>
      <c r="B257"/>
      <c r="C257"/>
      <c r="D257"/>
      <c r="E257"/>
      <c r="F257"/>
      <c r="G257"/>
      <c r="H257"/>
      <c r="I257"/>
      <c r="J257"/>
      <c r="K257"/>
      <c r="L257"/>
      <c r="M257"/>
      <c r="S257" s="54"/>
    </row>
    <row r="258" spans="1:19" s="15" customFormat="1" x14ac:dyDescent="0.3">
      <c r="A258" s="17"/>
      <c r="B258"/>
      <c r="C258"/>
      <c r="D258"/>
      <c r="E258"/>
      <c r="F258"/>
      <c r="G258"/>
      <c r="H258"/>
      <c r="I258"/>
      <c r="J258"/>
      <c r="K258"/>
      <c r="L258"/>
      <c r="M258"/>
      <c r="S258" s="54"/>
    </row>
    <row r="259" spans="1:19" s="15" customFormat="1" x14ac:dyDescent="0.3">
      <c r="A259" s="17"/>
      <c r="B259"/>
      <c r="C259"/>
      <c r="D259"/>
      <c r="E259"/>
      <c r="F259"/>
      <c r="G259"/>
      <c r="H259"/>
      <c r="I259"/>
      <c r="J259"/>
      <c r="K259"/>
      <c r="L259"/>
      <c r="M259"/>
      <c r="S259" s="54"/>
    </row>
    <row r="260" spans="1:19" s="15" customFormat="1" x14ac:dyDescent="0.3">
      <c r="A260" s="17"/>
      <c r="B260"/>
      <c r="C260"/>
      <c r="D260"/>
      <c r="E260"/>
      <c r="F260"/>
      <c r="G260"/>
      <c r="H260"/>
      <c r="I260"/>
      <c r="J260"/>
      <c r="K260"/>
      <c r="L260"/>
      <c r="M260"/>
      <c r="S260" s="54"/>
    </row>
    <row r="261" spans="1:19" s="15" customFormat="1" x14ac:dyDescent="0.3">
      <c r="A261" s="17"/>
      <c r="B261"/>
      <c r="C261"/>
      <c r="D261"/>
      <c r="E261"/>
      <c r="F261"/>
      <c r="G261"/>
      <c r="H261"/>
      <c r="I261"/>
      <c r="J261"/>
      <c r="K261"/>
      <c r="L261"/>
      <c r="M261"/>
      <c r="S261" s="54"/>
    </row>
    <row r="262" spans="1:19" s="15" customFormat="1" x14ac:dyDescent="0.3">
      <c r="A262" s="17"/>
      <c r="B262"/>
      <c r="C262"/>
      <c r="D262"/>
      <c r="E262"/>
      <c r="F262"/>
      <c r="G262"/>
      <c r="H262"/>
      <c r="I262"/>
      <c r="J262"/>
      <c r="K262"/>
      <c r="L262"/>
      <c r="M262"/>
      <c r="S262" s="54"/>
    </row>
    <row r="263" spans="1:19" s="15" customFormat="1" x14ac:dyDescent="0.3">
      <c r="A263" s="17"/>
      <c r="B263"/>
      <c r="C263"/>
      <c r="D263"/>
      <c r="E263"/>
      <c r="F263"/>
      <c r="G263"/>
      <c r="H263"/>
      <c r="I263"/>
      <c r="J263"/>
      <c r="K263"/>
      <c r="L263"/>
      <c r="M263"/>
      <c r="S263" s="54"/>
    </row>
    <row r="264" spans="1:19" s="15" customFormat="1" x14ac:dyDescent="0.3">
      <c r="A264" s="17"/>
      <c r="B264"/>
      <c r="C264"/>
      <c r="D264"/>
      <c r="E264"/>
      <c r="F264"/>
      <c r="G264"/>
      <c r="H264"/>
      <c r="I264"/>
      <c r="J264"/>
      <c r="K264"/>
      <c r="L264"/>
      <c r="M264"/>
      <c r="S264" s="54"/>
    </row>
    <row r="265" spans="1:19" s="15" customFormat="1" x14ac:dyDescent="0.3">
      <c r="A265" s="17"/>
      <c r="B265"/>
      <c r="C265"/>
      <c r="D265"/>
      <c r="E265"/>
      <c r="F265"/>
      <c r="G265"/>
      <c r="H265"/>
      <c r="I265"/>
      <c r="J265"/>
      <c r="K265"/>
      <c r="L265"/>
      <c r="M265"/>
      <c r="S265" s="54"/>
    </row>
    <row r="266" spans="1:19" s="15" customFormat="1" x14ac:dyDescent="0.3">
      <c r="A266" s="17"/>
      <c r="B266"/>
      <c r="C266"/>
      <c r="D266"/>
      <c r="E266"/>
      <c r="F266"/>
      <c r="G266"/>
      <c r="H266"/>
      <c r="I266"/>
      <c r="J266"/>
      <c r="K266"/>
      <c r="L266"/>
      <c r="M266"/>
      <c r="S266" s="54"/>
    </row>
    <row r="267" spans="1:19" s="15" customFormat="1" x14ac:dyDescent="0.3">
      <c r="A267" s="17"/>
      <c r="B267"/>
      <c r="C267"/>
      <c r="D267"/>
      <c r="E267"/>
      <c r="F267"/>
      <c r="G267"/>
      <c r="H267"/>
      <c r="I267"/>
      <c r="J267"/>
      <c r="K267"/>
      <c r="L267"/>
      <c r="M267"/>
      <c r="S267" s="54"/>
    </row>
    <row r="268" spans="1:19" s="15" customFormat="1" x14ac:dyDescent="0.3">
      <c r="A268" s="17"/>
      <c r="B268"/>
      <c r="C268"/>
      <c r="D268"/>
      <c r="E268"/>
      <c r="F268"/>
      <c r="G268"/>
      <c r="H268"/>
      <c r="I268"/>
      <c r="J268"/>
      <c r="K268"/>
      <c r="L268"/>
      <c r="M268"/>
      <c r="S268" s="54"/>
    </row>
    <row r="269" spans="1:19" s="15" customFormat="1" x14ac:dyDescent="0.3">
      <c r="A269" s="17"/>
      <c r="B269"/>
      <c r="C269"/>
      <c r="D269"/>
      <c r="E269"/>
      <c r="F269"/>
      <c r="G269"/>
      <c r="H269"/>
      <c r="I269"/>
      <c r="J269"/>
      <c r="K269"/>
      <c r="L269"/>
      <c r="M269"/>
      <c r="S269" s="54"/>
    </row>
    <row r="270" spans="1:19" s="15" customFormat="1" x14ac:dyDescent="0.3">
      <c r="A270" s="17"/>
      <c r="B270"/>
      <c r="C270"/>
      <c r="D270"/>
      <c r="E270"/>
      <c r="F270"/>
      <c r="G270"/>
      <c r="H270"/>
      <c r="I270"/>
      <c r="J270"/>
      <c r="K270"/>
      <c r="L270"/>
      <c r="M270"/>
      <c r="S270" s="54"/>
    </row>
    <row r="271" spans="1:19" s="15" customFormat="1" x14ac:dyDescent="0.3">
      <c r="A271" s="17"/>
      <c r="B271"/>
      <c r="C271"/>
      <c r="D271"/>
      <c r="E271"/>
      <c r="F271"/>
      <c r="G271"/>
      <c r="H271"/>
      <c r="I271"/>
      <c r="J271"/>
      <c r="K271"/>
      <c r="L271"/>
      <c r="M271"/>
      <c r="S271" s="54"/>
    </row>
    <row r="272" spans="1:19" s="15" customFormat="1" x14ac:dyDescent="0.3">
      <c r="A272" s="17"/>
      <c r="B272"/>
      <c r="C272"/>
      <c r="D272"/>
      <c r="E272"/>
      <c r="F272"/>
      <c r="G272"/>
      <c r="H272"/>
      <c r="I272"/>
      <c r="J272"/>
      <c r="K272"/>
      <c r="L272"/>
      <c r="M272"/>
      <c r="S272" s="54"/>
    </row>
    <row r="273" spans="1:19" s="15" customFormat="1" x14ac:dyDescent="0.3">
      <c r="A273" s="17"/>
      <c r="B273"/>
      <c r="C273"/>
      <c r="D273"/>
      <c r="E273"/>
      <c r="F273"/>
      <c r="G273"/>
      <c r="H273"/>
      <c r="I273"/>
      <c r="J273"/>
      <c r="K273"/>
      <c r="L273"/>
      <c r="M273"/>
      <c r="S273" s="54"/>
    </row>
    <row r="274" spans="1:19" s="15" customFormat="1" x14ac:dyDescent="0.3">
      <c r="A274" s="17"/>
      <c r="B274"/>
      <c r="C274"/>
      <c r="D274"/>
      <c r="E274"/>
      <c r="F274"/>
      <c r="G274"/>
      <c r="H274"/>
      <c r="I274"/>
      <c r="J274"/>
      <c r="K274"/>
      <c r="L274"/>
      <c r="M274"/>
      <c r="S274" s="54"/>
    </row>
    <row r="275" spans="1:19" s="15" customFormat="1" x14ac:dyDescent="0.3">
      <c r="A275" s="17"/>
      <c r="B275"/>
      <c r="C275"/>
      <c r="D275"/>
      <c r="E275"/>
      <c r="F275"/>
      <c r="G275"/>
      <c r="H275"/>
      <c r="I275"/>
      <c r="J275"/>
      <c r="K275"/>
      <c r="L275"/>
      <c r="M275"/>
      <c r="S275" s="54"/>
    </row>
    <row r="276" spans="1:19" s="15" customFormat="1" x14ac:dyDescent="0.3">
      <c r="A276" s="17"/>
      <c r="B276"/>
      <c r="C276"/>
      <c r="D276"/>
      <c r="E276"/>
      <c r="F276"/>
      <c r="G276"/>
      <c r="H276"/>
      <c r="I276"/>
      <c r="J276"/>
      <c r="K276"/>
      <c r="L276"/>
      <c r="M276"/>
      <c r="S276" s="54"/>
    </row>
    <row r="277" spans="1:19" s="15" customFormat="1" x14ac:dyDescent="0.3">
      <c r="A277" s="17"/>
      <c r="B277"/>
      <c r="C277"/>
      <c r="D277"/>
      <c r="E277"/>
      <c r="F277"/>
      <c r="G277"/>
      <c r="H277"/>
      <c r="I277"/>
      <c r="J277"/>
      <c r="K277"/>
      <c r="L277"/>
      <c r="M277"/>
      <c r="S277" s="54"/>
    </row>
    <row r="278" spans="1:19" s="15" customFormat="1" x14ac:dyDescent="0.3">
      <c r="A278" s="17"/>
      <c r="B278"/>
      <c r="C278"/>
      <c r="D278"/>
      <c r="E278"/>
      <c r="F278"/>
      <c r="G278"/>
      <c r="H278"/>
      <c r="I278"/>
      <c r="J278"/>
      <c r="K278"/>
      <c r="L278"/>
      <c r="M278"/>
      <c r="S278" s="54"/>
    </row>
    <row r="279" spans="1:19" s="15" customFormat="1" x14ac:dyDescent="0.3">
      <c r="A279" s="17"/>
      <c r="B279"/>
      <c r="C279"/>
      <c r="D279"/>
      <c r="E279"/>
      <c r="F279"/>
      <c r="G279"/>
      <c r="H279"/>
      <c r="I279"/>
      <c r="J279"/>
      <c r="K279"/>
      <c r="L279"/>
      <c r="M279"/>
      <c r="S279" s="54"/>
    </row>
    <row r="280" spans="1:19" s="15" customFormat="1" x14ac:dyDescent="0.3">
      <c r="A280" s="17"/>
      <c r="B280"/>
      <c r="C280"/>
      <c r="D280"/>
      <c r="E280"/>
      <c r="F280"/>
      <c r="G280"/>
      <c r="H280"/>
      <c r="I280"/>
      <c r="J280"/>
      <c r="K280"/>
      <c r="L280"/>
      <c r="M280"/>
      <c r="S280" s="54"/>
    </row>
    <row r="281" spans="1:19" s="15" customFormat="1" x14ac:dyDescent="0.3">
      <c r="A281" s="17"/>
      <c r="B281"/>
      <c r="C281"/>
      <c r="D281"/>
      <c r="E281"/>
      <c r="F281"/>
      <c r="G281"/>
      <c r="H281"/>
      <c r="I281"/>
      <c r="J281"/>
      <c r="K281"/>
      <c r="L281"/>
      <c r="M281"/>
      <c r="S281" s="54"/>
    </row>
    <row r="282" spans="1:19" s="15" customFormat="1" x14ac:dyDescent="0.3">
      <c r="A282" s="17"/>
      <c r="B282"/>
      <c r="C282"/>
      <c r="D282"/>
      <c r="E282"/>
      <c r="F282"/>
      <c r="G282"/>
      <c r="H282"/>
      <c r="I282"/>
      <c r="J282"/>
      <c r="K282"/>
      <c r="L282"/>
      <c r="M282"/>
      <c r="S282" s="54"/>
    </row>
    <row r="283" spans="1:19" s="15" customFormat="1" x14ac:dyDescent="0.3">
      <c r="A283" s="17"/>
      <c r="B283"/>
      <c r="C283"/>
      <c r="D283"/>
      <c r="E283"/>
      <c r="F283"/>
      <c r="G283"/>
      <c r="H283"/>
      <c r="I283"/>
      <c r="J283"/>
      <c r="K283"/>
      <c r="L283"/>
      <c r="M283"/>
      <c r="S283" s="54"/>
    </row>
    <row r="284" spans="1:19" s="15" customFormat="1" x14ac:dyDescent="0.3">
      <c r="A284" s="17"/>
      <c r="B284"/>
      <c r="C284"/>
      <c r="D284"/>
      <c r="E284"/>
      <c r="F284"/>
      <c r="G284"/>
      <c r="H284"/>
      <c r="I284"/>
      <c r="J284"/>
      <c r="K284"/>
      <c r="L284"/>
      <c r="M284"/>
      <c r="S284" s="54"/>
    </row>
    <row r="285" spans="1:19" s="15" customFormat="1" x14ac:dyDescent="0.3">
      <c r="A285" s="17"/>
      <c r="B285"/>
      <c r="C285"/>
      <c r="D285"/>
      <c r="E285"/>
      <c r="F285"/>
      <c r="G285"/>
      <c r="H285"/>
      <c r="I285"/>
      <c r="J285"/>
      <c r="K285"/>
      <c r="L285"/>
      <c r="M285"/>
      <c r="S285" s="54"/>
    </row>
    <row r="286" spans="1:19" s="15" customFormat="1" x14ac:dyDescent="0.3">
      <c r="A286" s="17"/>
      <c r="B286"/>
      <c r="C286"/>
      <c r="D286"/>
      <c r="E286"/>
      <c r="F286"/>
      <c r="G286"/>
      <c r="H286"/>
      <c r="I286"/>
      <c r="J286"/>
      <c r="K286"/>
      <c r="L286"/>
      <c r="M286"/>
      <c r="S286" s="54"/>
    </row>
    <row r="287" spans="1:19" s="15" customFormat="1" x14ac:dyDescent="0.3">
      <c r="A287" s="17"/>
      <c r="B287"/>
      <c r="C287"/>
      <c r="D287"/>
      <c r="E287"/>
      <c r="F287"/>
      <c r="G287"/>
      <c r="H287"/>
      <c r="I287"/>
      <c r="J287"/>
      <c r="K287"/>
      <c r="L287"/>
      <c r="M287"/>
      <c r="S287" s="54"/>
    </row>
    <row r="288" spans="1:19" s="15" customFormat="1" x14ac:dyDescent="0.3">
      <c r="A288" s="17"/>
      <c r="B288"/>
      <c r="C288"/>
      <c r="D288"/>
      <c r="E288"/>
      <c r="F288"/>
      <c r="G288"/>
      <c r="H288"/>
      <c r="I288"/>
      <c r="J288"/>
      <c r="K288"/>
      <c r="L288"/>
      <c r="M288"/>
      <c r="S288" s="54"/>
    </row>
    <row r="289" spans="1:19" s="15" customFormat="1" x14ac:dyDescent="0.3">
      <c r="A289" s="17"/>
      <c r="B289"/>
      <c r="C289"/>
      <c r="D289"/>
      <c r="E289"/>
      <c r="F289"/>
      <c r="G289"/>
      <c r="H289"/>
      <c r="I289"/>
      <c r="J289"/>
      <c r="K289"/>
      <c r="L289"/>
      <c r="M289"/>
      <c r="S289" s="54"/>
    </row>
    <row r="290" spans="1:19" s="15" customFormat="1" x14ac:dyDescent="0.3">
      <c r="A290" s="17"/>
      <c r="B290"/>
      <c r="C290"/>
      <c r="D290"/>
      <c r="E290"/>
      <c r="F290"/>
      <c r="G290"/>
      <c r="H290"/>
      <c r="I290"/>
      <c r="J290"/>
      <c r="K290"/>
      <c r="L290"/>
      <c r="M290"/>
      <c r="S290" s="54"/>
    </row>
    <row r="291" spans="1:19" s="15" customFormat="1" x14ac:dyDescent="0.3">
      <c r="A291" s="17"/>
      <c r="B291"/>
      <c r="C291"/>
      <c r="D291"/>
      <c r="E291"/>
      <c r="F291"/>
      <c r="G291"/>
      <c r="H291"/>
      <c r="I291"/>
      <c r="J291"/>
      <c r="K291"/>
      <c r="L291"/>
      <c r="M291"/>
      <c r="S291" s="54"/>
    </row>
    <row r="292" spans="1:19" s="15" customFormat="1" x14ac:dyDescent="0.3">
      <c r="A292" s="17"/>
      <c r="B292"/>
      <c r="C292"/>
      <c r="D292"/>
      <c r="E292"/>
      <c r="F292"/>
      <c r="G292"/>
      <c r="H292"/>
      <c r="I292"/>
      <c r="J292"/>
      <c r="K292"/>
      <c r="L292"/>
      <c r="M292"/>
      <c r="S292" s="54"/>
    </row>
    <row r="293" spans="1:19" s="15" customFormat="1" x14ac:dyDescent="0.3">
      <c r="A293" s="17"/>
      <c r="B293"/>
      <c r="C293"/>
      <c r="D293"/>
      <c r="E293"/>
      <c r="F293"/>
      <c r="G293"/>
      <c r="H293"/>
      <c r="I293"/>
      <c r="J293"/>
      <c r="K293"/>
      <c r="L293"/>
      <c r="M293"/>
      <c r="S293" s="54"/>
    </row>
    <row r="294" spans="1:19" s="15" customFormat="1" x14ac:dyDescent="0.3">
      <c r="A294" s="17"/>
      <c r="B294"/>
      <c r="C294"/>
      <c r="D294"/>
      <c r="E294"/>
      <c r="F294"/>
      <c r="G294"/>
      <c r="H294"/>
      <c r="I294"/>
      <c r="J294"/>
      <c r="K294"/>
      <c r="L294"/>
      <c r="M294"/>
      <c r="S294" s="54"/>
    </row>
    <row r="295" spans="1:19" s="15" customFormat="1" x14ac:dyDescent="0.3">
      <c r="A295" s="17"/>
      <c r="B295"/>
      <c r="C295"/>
      <c r="D295"/>
      <c r="E295"/>
      <c r="F295"/>
      <c r="G295"/>
      <c r="H295"/>
      <c r="I295"/>
      <c r="J295"/>
      <c r="K295"/>
      <c r="L295"/>
      <c r="M295"/>
      <c r="S295" s="54"/>
    </row>
    <row r="296" spans="1:19" s="15" customFormat="1" x14ac:dyDescent="0.3">
      <c r="A296" s="17"/>
      <c r="B296"/>
      <c r="C296"/>
      <c r="D296"/>
      <c r="E296"/>
      <c r="F296"/>
      <c r="G296"/>
      <c r="H296"/>
      <c r="I296"/>
      <c r="J296"/>
      <c r="K296"/>
      <c r="L296"/>
      <c r="M296"/>
      <c r="S296" s="54"/>
    </row>
    <row r="297" spans="1:19" s="15" customFormat="1" x14ac:dyDescent="0.3">
      <c r="A297" s="17"/>
      <c r="B297"/>
      <c r="C297"/>
      <c r="D297"/>
      <c r="E297"/>
      <c r="F297"/>
      <c r="G297"/>
      <c r="H297"/>
      <c r="I297"/>
      <c r="J297"/>
      <c r="K297"/>
      <c r="L297"/>
      <c r="M297"/>
      <c r="S297" s="54"/>
    </row>
    <row r="298" spans="1:19" s="15" customFormat="1" x14ac:dyDescent="0.3">
      <c r="A298" s="17"/>
      <c r="B298"/>
      <c r="C298"/>
      <c r="D298"/>
      <c r="E298"/>
      <c r="F298"/>
      <c r="G298"/>
      <c r="H298"/>
      <c r="I298"/>
      <c r="J298"/>
      <c r="K298"/>
      <c r="L298"/>
      <c r="M298"/>
      <c r="S298" s="54"/>
    </row>
    <row r="299" spans="1:19" s="15" customFormat="1" x14ac:dyDescent="0.3">
      <c r="A299" s="17"/>
      <c r="B299"/>
      <c r="C299"/>
      <c r="D299"/>
      <c r="E299"/>
      <c r="F299"/>
      <c r="G299"/>
      <c r="H299"/>
      <c r="I299"/>
      <c r="J299"/>
      <c r="K299"/>
      <c r="L299"/>
      <c r="M299"/>
      <c r="S299" s="54"/>
    </row>
    <row r="300" spans="1:19" s="15" customFormat="1" x14ac:dyDescent="0.3">
      <c r="A300" s="17"/>
      <c r="B300"/>
      <c r="C300"/>
      <c r="D300"/>
      <c r="E300"/>
      <c r="F300"/>
      <c r="G300"/>
      <c r="H300"/>
      <c r="I300"/>
      <c r="J300"/>
      <c r="K300"/>
      <c r="L300"/>
      <c r="M300"/>
      <c r="S300" s="54"/>
    </row>
    <row r="301" spans="1:19" s="15" customFormat="1" x14ac:dyDescent="0.3">
      <c r="A301" s="17"/>
      <c r="B301"/>
      <c r="C301"/>
      <c r="D301"/>
      <c r="E301"/>
      <c r="F301"/>
      <c r="G301"/>
      <c r="H301"/>
      <c r="I301"/>
      <c r="J301"/>
      <c r="K301"/>
      <c r="L301"/>
      <c r="M301"/>
      <c r="S301" s="54"/>
    </row>
    <row r="302" spans="1:19" s="15" customFormat="1" x14ac:dyDescent="0.3">
      <c r="A302" s="17"/>
      <c r="B302"/>
      <c r="C302"/>
      <c r="D302"/>
      <c r="E302"/>
      <c r="F302"/>
      <c r="G302"/>
      <c r="H302"/>
      <c r="I302"/>
      <c r="J302"/>
      <c r="K302"/>
      <c r="L302"/>
      <c r="M302"/>
      <c r="S302" s="54"/>
    </row>
    <row r="303" spans="1:19" s="15" customFormat="1" x14ac:dyDescent="0.3">
      <c r="A303" s="17"/>
      <c r="B303"/>
      <c r="C303"/>
      <c r="D303"/>
      <c r="E303"/>
      <c r="F303"/>
      <c r="G303"/>
      <c r="H303"/>
      <c r="I303"/>
      <c r="J303"/>
      <c r="K303"/>
      <c r="L303"/>
      <c r="M303"/>
      <c r="S303" s="54"/>
    </row>
    <row r="304" spans="1:19" s="15" customFormat="1" x14ac:dyDescent="0.3">
      <c r="A304" s="17"/>
      <c r="B304"/>
      <c r="C304"/>
      <c r="D304"/>
      <c r="E304"/>
      <c r="F304"/>
      <c r="G304"/>
      <c r="H304"/>
      <c r="I304"/>
      <c r="J304"/>
      <c r="K304"/>
      <c r="L304"/>
      <c r="M304"/>
      <c r="S304" s="54"/>
    </row>
    <row r="305" spans="1:19" s="15" customFormat="1" x14ac:dyDescent="0.3">
      <c r="A305" s="17"/>
      <c r="B305"/>
      <c r="C305"/>
      <c r="D305"/>
      <c r="E305"/>
      <c r="F305"/>
      <c r="G305"/>
      <c r="H305"/>
      <c r="I305"/>
      <c r="J305"/>
      <c r="K305"/>
      <c r="L305"/>
      <c r="M305"/>
      <c r="S305" s="54"/>
    </row>
    <row r="306" spans="1:19" s="15" customFormat="1" x14ac:dyDescent="0.3">
      <c r="A306" s="17"/>
      <c r="B306"/>
      <c r="C306"/>
      <c r="D306"/>
      <c r="E306"/>
      <c r="F306"/>
      <c r="G306"/>
      <c r="H306"/>
      <c r="I306"/>
      <c r="J306"/>
      <c r="K306"/>
      <c r="L306"/>
      <c r="M306"/>
      <c r="S306" s="54"/>
    </row>
    <row r="307" spans="1:19" s="15" customFormat="1" x14ac:dyDescent="0.3">
      <c r="A307" s="17"/>
      <c r="B307"/>
      <c r="C307"/>
      <c r="D307"/>
      <c r="E307"/>
      <c r="F307"/>
      <c r="G307"/>
      <c r="H307"/>
      <c r="I307"/>
      <c r="J307"/>
      <c r="K307"/>
      <c r="L307"/>
      <c r="M307"/>
      <c r="S307" s="54"/>
    </row>
    <row r="308" spans="1:19" s="15" customFormat="1" x14ac:dyDescent="0.3">
      <c r="A308" s="17"/>
      <c r="B308"/>
      <c r="C308"/>
      <c r="D308"/>
      <c r="E308"/>
      <c r="F308"/>
      <c r="G308"/>
      <c r="H308"/>
      <c r="I308"/>
      <c r="J308"/>
      <c r="K308"/>
      <c r="L308"/>
      <c r="M308"/>
      <c r="S308" s="54"/>
    </row>
    <row r="309" spans="1:19" s="15" customFormat="1" x14ac:dyDescent="0.3">
      <c r="A309" s="17"/>
      <c r="B309"/>
      <c r="C309"/>
      <c r="D309"/>
      <c r="E309"/>
      <c r="F309"/>
      <c r="G309"/>
      <c r="H309"/>
      <c r="I309"/>
      <c r="J309"/>
      <c r="K309"/>
      <c r="L309"/>
      <c r="M309"/>
      <c r="S309" s="54"/>
    </row>
    <row r="310" spans="1:19" s="15" customFormat="1" x14ac:dyDescent="0.3">
      <c r="A310" s="17"/>
      <c r="B310"/>
      <c r="C310"/>
      <c r="D310"/>
      <c r="E310"/>
      <c r="F310"/>
      <c r="G310"/>
      <c r="H310"/>
      <c r="I310"/>
      <c r="J310"/>
      <c r="K310"/>
      <c r="L310"/>
      <c r="M310"/>
      <c r="S310" s="54"/>
    </row>
    <row r="311" spans="1:19" s="15" customFormat="1" x14ac:dyDescent="0.3">
      <c r="A311" s="17"/>
      <c r="B311"/>
      <c r="C311"/>
      <c r="D311"/>
      <c r="E311"/>
      <c r="F311"/>
      <c r="G311"/>
      <c r="H311"/>
      <c r="I311"/>
      <c r="J311"/>
      <c r="K311"/>
      <c r="L311"/>
      <c r="M311"/>
      <c r="S311" s="54"/>
    </row>
    <row r="312" spans="1:19" s="15" customFormat="1" x14ac:dyDescent="0.3">
      <c r="A312" s="17"/>
      <c r="B312"/>
      <c r="C312"/>
      <c r="D312"/>
      <c r="E312"/>
      <c r="F312"/>
      <c r="G312"/>
      <c r="H312"/>
      <c r="I312"/>
      <c r="J312"/>
      <c r="K312"/>
      <c r="L312"/>
      <c r="M312"/>
      <c r="S312" s="54"/>
    </row>
    <row r="313" spans="1:19" s="15" customFormat="1" x14ac:dyDescent="0.3">
      <c r="A313" s="17"/>
      <c r="B313"/>
      <c r="C313"/>
      <c r="D313"/>
      <c r="E313"/>
      <c r="F313"/>
      <c r="G313"/>
      <c r="H313"/>
      <c r="I313"/>
      <c r="J313"/>
      <c r="K313"/>
      <c r="L313"/>
      <c r="M313"/>
      <c r="S313" s="54"/>
    </row>
    <row r="314" spans="1:19" s="15" customFormat="1" x14ac:dyDescent="0.3">
      <c r="A314" s="17"/>
      <c r="B314"/>
      <c r="C314"/>
      <c r="D314"/>
      <c r="E314"/>
      <c r="F314"/>
      <c r="G314"/>
      <c r="H314"/>
      <c r="I314"/>
      <c r="J314"/>
      <c r="K314"/>
      <c r="L314"/>
      <c r="M314"/>
      <c r="S314" s="54"/>
    </row>
    <row r="315" spans="1:19" s="15" customFormat="1" x14ac:dyDescent="0.3">
      <c r="A315" s="17"/>
      <c r="B315"/>
      <c r="C315"/>
      <c r="D315"/>
      <c r="E315"/>
      <c r="F315"/>
      <c r="G315"/>
      <c r="H315"/>
      <c r="I315"/>
      <c r="J315"/>
      <c r="K315"/>
      <c r="L315"/>
      <c r="M315"/>
      <c r="S315" s="54"/>
    </row>
    <row r="316" spans="1:19" s="15" customFormat="1" x14ac:dyDescent="0.3">
      <c r="A316" s="17"/>
      <c r="B316"/>
      <c r="C316"/>
      <c r="D316"/>
      <c r="E316"/>
      <c r="F316"/>
      <c r="G316"/>
      <c r="H316"/>
      <c r="I316"/>
      <c r="J316"/>
      <c r="K316"/>
      <c r="L316"/>
      <c r="M316"/>
      <c r="S316" s="54"/>
    </row>
    <row r="317" spans="1:19" s="15" customFormat="1" x14ac:dyDescent="0.3">
      <c r="A317" s="17"/>
      <c r="B317"/>
      <c r="C317"/>
      <c r="D317"/>
      <c r="E317"/>
      <c r="F317"/>
      <c r="G317"/>
      <c r="H317"/>
      <c r="I317"/>
      <c r="J317"/>
      <c r="K317"/>
      <c r="L317"/>
      <c r="M317"/>
      <c r="S317" s="54"/>
    </row>
    <row r="318" spans="1:19" s="15" customFormat="1" x14ac:dyDescent="0.3">
      <c r="A318" s="17"/>
      <c r="B318"/>
      <c r="C318"/>
      <c r="D318"/>
      <c r="E318"/>
      <c r="F318"/>
      <c r="G318"/>
      <c r="H318"/>
      <c r="I318"/>
      <c r="J318"/>
      <c r="K318"/>
      <c r="L318"/>
      <c r="M318"/>
      <c r="S318" s="54"/>
    </row>
    <row r="319" spans="1:19" s="15" customFormat="1" x14ac:dyDescent="0.3">
      <c r="A319" s="17"/>
      <c r="B319"/>
      <c r="C319"/>
      <c r="D319"/>
      <c r="E319"/>
      <c r="F319"/>
      <c r="G319"/>
      <c r="H319"/>
      <c r="I319"/>
      <c r="J319"/>
      <c r="K319"/>
      <c r="L319"/>
      <c r="M319"/>
      <c r="S319" s="54"/>
    </row>
    <row r="320" spans="1:19" s="15" customFormat="1" x14ac:dyDescent="0.3">
      <c r="A320" s="17"/>
      <c r="B320"/>
      <c r="C320"/>
      <c r="D320"/>
      <c r="E320"/>
      <c r="F320"/>
      <c r="G320"/>
      <c r="H320"/>
      <c r="I320"/>
      <c r="J320"/>
      <c r="K320"/>
      <c r="L320"/>
      <c r="M320"/>
      <c r="S320" s="54"/>
    </row>
    <row r="321" spans="1:19" s="15" customFormat="1" x14ac:dyDescent="0.3">
      <c r="A321" s="17"/>
      <c r="B321"/>
      <c r="C321"/>
      <c r="D321"/>
      <c r="E321"/>
      <c r="F321"/>
      <c r="G321"/>
      <c r="H321"/>
      <c r="I321"/>
      <c r="J321"/>
      <c r="K321"/>
      <c r="L321"/>
      <c r="M321"/>
      <c r="S321" s="54"/>
    </row>
    <row r="322" spans="1:19" s="15" customFormat="1" x14ac:dyDescent="0.3">
      <c r="A322" s="17"/>
      <c r="B322"/>
      <c r="C322"/>
      <c r="D322"/>
      <c r="E322"/>
      <c r="F322"/>
      <c r="G322"/>
      <c r="H322"/>
      <c r="I322"/>
      <c r="J322"/>
      <c r="K322"/>
      <c r="L322"/>
      <c r="M322"/>
      <c r="S322" s="54"/>
    </row>
    <row r="323" spans="1:19" s="15" customFormat="1" x14ac:dyDescent="0.3">
      <c r="A323" s="17"/>
      <c r="B323"/>
      <c r="C323"/>
      <c r="D323"/>
      <c r="E323"/>
      <c r="F323"/>
      <c r="G323"/>
      <c r="H323"/>
      <c r="I323"/>
      <c r="J323"/>
      <c r="K323"/>
      <c r="L323"/>
      <c r="M323"/>
      <c r="S323" s="54"/>
    </row>
    <row r="324" spans="1:19" s="15" customFormat="1" x14ac:dyDescent="0.3">
      <c r="A324" s="17"/>
      <c r="B324"/>
      <c r="C324"/>
      <c r="D324"/>
      <c r="E324"/>
      <c r="F324"/>
      <c r="G324"/>
      <c r="H324"/>
      <c r="I324"/>
      <c r="J324"/>
      <c r="K324"/>
      <c r="L324"/>
      <c r="M324"/>
      <c r="S324" s="54"/>
    </row>
    <row r="325" spans="1:19" s="15" customFormat="1" x14ac:dyDescent="0.3">
      <c r="A325" s="17"/>
      <c r="B325"/>
      <c r="C325"/>
      <c r="D325"/>
      <c r="E325"/>
      <c r="F325"/>
      <c r="G325"/>
      <c r="H325"/>
      <c r="I325"/>
      <c r="J325"/>
      <c r="K325"/>
      <c r="L325"/>
      <c r="M325"/>
      <c r="S325" s="54"/>
    </row>
    <row r="326" spans="1:19" s="15" customFormat="1" x14ac:dyDescent="0.3">
      <c r="A326" s="17"/>
      <c r="B326"/>
      <c r="C326"/>
      <c r="D326"/>
      <c r="E326"/>
      <c r="F326"/>
      <c r="G326"/>
      <c r="H326"/>
      <c r="I326"/>
      <c r="J326"/>
      <c r="K326"/>
      <c r="L326"/>
      <c r="M326"/>
      <c r="S326" s="54"/>
    </row>
    <row r="327" spans="1:19" s="15" customFormat="1" x14ac:dyDescent="0.3">
      <c r="A327" s="17"/>
      <c r="B327"/>
      <c r="C327"/>
      <c r="D327"/>
      <c r="E327"/>
      <c r="F327"/>
      <c r="G327"/>
      <c r="H327"/>
      <c r="I327"/>
      <c r="J327"/>
      <c r="K327"/>
      <c r="L327"/>
      <c r="M327"/>
      <c r="S327" s="54"/>
    </row>
    <row r="328" spans="1:19" s="15" customFormat="1" x14ac:dyDescent="0.3">
      <c r="A328" s="17"/>
      <c r="B328"/>
      <c r="C328"/>
      <c r="D328"/>
      <c r="E328"/>
      <c r="F328"/>
      <c r="G328"/>
      <c r="H328"/>
      <c r="I328"/>
      <c r="J328"/>
      <c r="K328"/>
      <c r="L328"/>
      <c r="M328"/>
      <c r="S328" s="54"/>
    </row>
    <row r="329" spans="1:19" s="15" customFormat="1" x14ac:dyDescent="0.3">
      <c r="A329" s="17"/>
      <c r="B329"/>
      <c r="C329"/>
      <c r="D329"/>
      <c r="E329"/>
      <c r="F329"/>
      <c r="G329"/>
      <c r="H329"/>
      <c r="I329"/>
      <c r="J329"/>
      <c r="K329"/>
      <c r="L329"/>
      <c r="M329"/>
      <c r="S329" s="54"/>
    </row>
    <row r="330" spans="1:19" s="15" customFormat="1" x14ac:dyDescent="0.3">
      <c r="A330" s="17"/>
      <c r="B330"/>
      <c r="C330"/>
      <c r="D330"/>
      <c r="E330"/>
      <c r="F330"/>
      <c r="G330"/>
      <c r="H330"/>
      <c r="I330"/>
      <c r="J330"/>
      <c r="K330"/>
      <c r="L330"/>
      <c r="M330"/>
      <c r="S330" s="54"/>
    </row>
    <row r="331" spans="1:19" s="15" customFormat="1" x14ac:dyDescent="0.3">
      <c r="A331" s="17"/>
      <c r="B331"/>
      <c r="C331"/>
      <c r="D331"/>
      <c r="E331"/>
      <c r="F331"/>
      <c r="G331"/>
      <c r="H331"/>
      <c r="I331"/>
      <c r="J331"/>
      <c r="K331"/>
      <c r="L331"/>
      <c r="M331"/>
      <c r="S331" s="54"/>
    </row>
    <row r="332" spans="1:19" s="15" customFormat="1" x14ac:dyDescent="0.3">
      <c r="A332" s="17"/>
      <c r="B332"/>
      <c r="C332"/>
      <c r="D332"/>
      <c r="E332"/>
      <c r="F332"/>
      <c r="G332"/>
      <c r="H332"/>
      <c r="I332"/>
      <c r="J332"/>
      <c r="K332"/>
      <c r="L332"/>
      <c r="M332"/>
      <c r="S332" s="54"/>
    </row>
    <row r="333" spans="1:19" s="15" customFormat="1" x14ac:dyDescent="0.3">
      <c r="A333" s="17"/>
      <c r="B333"/>
      <c r="C333"/>
      <c r="D333"/>
      <c r="E333"/>
      <c r="F333"/>
      <c r="G333"/>
      <c r="H333"/>
      <c r="I333"/>
      <c r="J333"/>
      <c r="K333"/>
      <c r="L333"/>
      <c r="M333"/>
      <c r="S333" s="54"/>
    </row>
    <row r="334" spans="1:19" s="15" customFormat="1" x14ac:dyDescent="0.3">
      <c r="A334" s="17"/>
      <c r="B334"/>
      <c r="C334"/>
      <c r="D334"/>
      <c r="E334"/>
      <c r="F334"/>
      <c r="G334"/>
      <c r="H334"/>
      <c r="I334"/>
      <c r="J334"/>
      <c r="K334"/>
      <c r="L334"/>
      <c r="M334"/>
      <c r="S334" s="54"/>
    </row>
    <row r="335" spans="1:19" s="15" customFormat="1" x14ac:dyDescent="0.3">
      <c r="A335" s="17"/>
      <c r="B335"/>
      <c r="C335"/>
      <c r="D335"/>
      <c r="E335"/>
      <c r="F335"/>
      <c r="G335"/>
      <c r="H335"/>
      <c r="I335"/>
      <c r="J335"/>
      <c r="K335"/>
      <c r="L335"/>
      <c r="M335"/>
      <c r="S335" s="54"/>
    </row>
    <row r="336" spans="1:19" s="15" customFormat="1" x14ac:dyDescent="0.3">
      <c r="A336" s="17"/>
      <c r="B336"/>
      <c r="C336"/>
      <c r="D336"/>
      <c r="E336"/>
      <c r="F336"/>
      <c r="G336"/>
      <c r="H336"/>
      <c r="I336"/>
      <c r="J336"/>
      <c r="K336"/>
      <c r="L336"/>
      <c r="M336"/>
      <c r="S336" s="54"/>
    </row>
    <row r="337" spans="1:19" s="15" customFormat="1" x14ac:dyDescent="0.3">
      <c r="A337" s="17"/>
      <c r="B337"/>
      <c r="C337"/>
      <c r="D337"/>
      <c r="E337"/>
      <c r="F337"/>
      <c r="G337"/>
      <c r="H337"/>
      <c r="I337"/>
      <c r="J337"/>
      <c r="K337"/>
      <c r="L337"/>
      <c r="M337"/>
      <c r="S337" s="54"/>
    </row>
    <row r="338" spans="1:19" s="15" customFormat="1" x14ac:dyDescent="0.3">
      <c r="A338" s="17"/>
      <c r="B338"/>
      <c r="C338"/>
      <c r="D338"/>
      <c r="E338"/>
      <c r="F338"/>
      <c r="G338"/>
      <c r="H338"/>
      <c r="I338"/>
      <c r="J338"/>
      <c r="K338"/>
      <c r="L338"/>
      <c r="M338"/>
      <c r="S338" s="54"/>
    </row>
    <row r="339" spans="1:19" s="15" customFormat="1" x14ac:dyDescent="0.3">
      <c r="A339" s="17"/>
      <c r="B339"/>
      <c r="C339"/>
      <c r="D339"/>
      <c r="E339"/>
      <c r="F339"/>
      <c r="G339"/>
      <c r="H339"/>
      <c r="I339"/>
      <c r="J339"/>
      <c r="K339"/>
      <c r="L339"/>
      <c r="M339"/>
      <c r="S339" s="54"/>
    </row>
    <row r="340" spans="1:19" s="15" customFormat="1" x14ac:dyDescent="0.3">
      <c r="A340" s="17"/>
      <c r="B340"/>
      <c r="C340"/>
      <c r="D340"/>
      <c r="E340"/>
      <c r="F340"/>
      <c r="G340"/>
      <c r="H340"/>
      <c r="I340"/>
      <c r="J340"/>
      <c r="K340"/>
      <c r="L340"/>
      <c r="M340"/>
      <c r="S340" s="54"/>
    </row>
    <row r="341" spans="1:19" s="15" customFormat="1" x14ac:dyDescent="0.3">
      <c r="A341" s="17"/>
      <c r="B341"/>
      <c r="C341"/>
      <c r="D341"/>
      <c r="E341"/>
      <c r="F341"/>
      <c r="G341"/>
      <c r="H341"/>
      <c r="I341"/>
      <c r="J341"/>
      <c r="K341"/>
      <c r="L341"/>
      <c r="M341"/>
      <c r="S341" s="54"/>
    </row>
    <row r="342" spans="1:19" s="15" customFormat="1" x14ac:dyDescent="0.3">
      <c r="A342" s="17"/>
      <c r="B342"/>
      <c r="C342"/>
      <c r="D342"/>
      <c r="E342"/>
      <c r="F342"/>
      <c r="G342"/>
      <c r="H342"/>
      <c r="I342"/>
      <c r="J342"/>
      <c r="K342"/>
      <c r="L342"/>
      <c r="M342"/>
      <c r="S342" s="54"/>
    </row>
    <row r="343" spans="1:19" s="15" customFormat="1" x14ac:dyDescent="0.3">
      <c r="A343" s="17"/>
      <c r="B343"/>
      <c r="C343"/>
      <c r="D343"/>
      <c r="E343"/>
      <c r="F343"/>
      <c r="G343"/>
      <c r="H343"/>
      <c r="I343"/>
      <c r="J343"/>
      <c r="K343"/>
      <c r="L343"/>
      <c r="M343"/>
      <c r="S343" s="54"/>
    </row>
    <row r="344" spans="1:19" s="15" customFormat="1" x14ac:dyDescent="0.3">
      <c r="A344" s="17"/>
      <c r="B344"/>
      <c r="C344"/>
      <c r="D344"/>
      <c r="E344"/>
      <c r="F344"/>
      <c r="G344"/>
      <c r="H344"/>
      <c r="I344"/>
      <c r="J344"/>
      <c r="K344"/>
      <c r="L344"/>
      <c r="M344"/>
      <c r="S344" s="54"/>
    </row>
    <row r="345" spans="1:19" s="15" customFormat="1" x14ac:dyDescent="0.3">
      <c r="A345" s="17"/>
      <c r="B345"/>
      <c r="C345"/>
      <c r="D345"/>
      <c r="E345"/>
      <c r="F345"/>
      <c r="G345"/>
      <c r="H345"/>
      <c r="I345"/>
      <c r="J345"/>
      <c r="K345"/>
      <c r="L345"/>
      <c r="M345"/>
      <c r="S345" s="54"/>
    </row>
    <row r="346" spans="1:19" s="15" customFormat="1" x14ac:dyDescent="0.3">
      <c r="A346" s="17"/>
      <c r="B346"/>
      <c r="C346"/>
      <c r="D346"/>
      <c r="E346"/>
      <c r="F346"/>
      <c r="G346"/>
      <c r="H346"/>
      <c r="I346"/>
      <c r="J346"/>
      <c r="K346"/>
      <c r="L346"/>
      <c r="M346"/>
      <c r="S346" s="54"/>
    </row>
    <row r="347" spans="1:19" s="15" customFormat="1" x14ac:dyDescent="0.3">
      <c r="A347" s="17"/>
      <c r="B347"/>
      <c r="C347"/>
      <c r="D347"/>
      <c r="E347"/>
      <c r="F347"/>
      <c r="G347"/>
      <c r="H347"/>
      <c r="I347"/>
      <c r="J347"/>
      <c r="K347"/>
      <c r="L347"/>
      <c r="M347"/>
      <c r="S347" s="54"/>
    </row>
    <row r="348" spans="1:19" s="15" customFormat="1" x14ac:dyDescent="0.3">
      <c r="A348" s="17"/>
      <c r="B348"/>
      <c r="C348"/>
      <c r="D348"/>
      <c r="E348"/>
      <c r="F348"/>
      <c r="G348"/>
      <c r="H348"/>
      <c r="I348"/>
      <c r="J348"/>
      <c r="K348"/>
      <c r="L348"/>
      <c r="M348"/>
      <c r="S348" s="54"/>
    </row>
    <row r="349" spans="1:19" s="15" customFormat="1" x14ac:dyDescent="0.3">
      <c r="A349" s="17"/>
      <c r="B349"/>
      <c r="C349"/>
      <c r="D349"/>
      <c r="E349"/>
      <c r="F349"/>
      <c r="G349"/>
      <c r="H349"/>
      <c r="I349"/>
      <c r="J349"/>
      <c r="K349"/>
      <c r="L349"/>
      <c r="M349"/>
      <c r="S349" s="54"/>
    </row>
    <row r="350" spans="1:19" s="15" customFormat="1" x14ac:dyDescent="0.3">
      <c r="A350" s="17"/>
      <c r="B350"/>
      <c r="C350"/>
      <c r="D350"/>
      <c r="E350"/>
      <c r="F350"/>
      <c r="G350"/>
      <c r="H350"/>
      <c r="I350"/>
      <c r="J350"/>
      <c r="K350"/>
      <c r="L350"/>
      <c r="M350"/>
      <c r="S350" s="54"/>
    </row>
    <row r="351" spans="1:19" s="15" customFormat="1" x14ac:dyDescent="0.3">
      <c r="A351" s="17"/>
      <c r="B351"/>
      <c r="C351"/>
      <c r="D351"/>
      <c r="E351"/>
      <c r="F351"/>
      <c r="G351"/>
      <c r="H351"/>
      <c r="I351"/>
      <c r="J351"/>
      <c r="K351"/>
      <c r="L351"/>
      <c r="M351"/>
      <c r="S351" s="54"/>
    </row>
    <row r="352" spans="1:19" s="15" customFormat="1" x14ac:dyDescent="0.3">
      <c r="A352" s="17"/>
      <c r="B352"/>
      <c r="C352"/>
      <c r="D352"/>
      <c r="E352"/>
      <c r="F352"/>
      <c r="G352"/>
      <c r="H352"/>
      <c r="I352"/>
      <c r="J352"/>
      <c r="K352"/>
      <c r="L352"/>
      <c r="M352"/>
      <c r="S352" s="54"/>
    </row>
    <row r="353" spans="1:19" s="15" customFormat="1" x14ac:dyDescent="0.3">
      <c r="A353" s="17"/>
      <c r="B353"/>
      <c r="C353"/>
      <c r="D353"/>
      <c r="E353"/>
      <c r="F353"/>
      <c r="G353"/>
      <c r="H353"/>
      <c r="I353"/>
      <c r="J353"/>
      <c r="K353"/>
      <c r="L353"/>
      <c r="M353"/>
      <c r="S353" s="54"/>
    </row>
    <row r="354" spans="1:19" s="15" customFormat="1" x14ac:dyDescent="0.3">
      <c r="A354" s="17"/>
      <c r="B354"/>
      <c r="C354"/>
      <c r="D354"/>
      <c r="E354"/>
      <c r="F354"/>
      <c r="G354"/>
      <c r="H354"/>
      <c r="I354"/>
      <c r="J354"/>
      <c r="K354"/>
      <c r="L354"/>
      <c r="M354"/>
      <c r="S354" s="54"/>
    </row>
    <row r="355" spans="1:19" s="15" customFormat="1" x14ac:dyDescent="0.3">
      <c r="A355" s="17"/>
      <c r="B355"/>
      <c r="C355"/>
      <c r="D355"/>
      <c r="E355"/>
      <c r="F355"/>
      <c r="G355"/>
      <c r="H355"/>
      <c r="I355"/>
      <c r="J355"/>
      <c r="K355"/>
      <c r="L355"/>
      <c r="M355"/>
      <c r="S355" s="54"/>
    </row>
    <row r="356" spans="1:19" s="15" customFormat="1" x14ac:dyDescent="0.3">
      <c r="A356" s="17"/>
      <c r="B356"/>
      <c r="C356"/>
      <c r="D356"/>
      <c r="E356"/>
      <c r="F356"/>
      <c r="G356"/>
      <c r="H356"/>
      <c r="I356"/>
      <c r="J356"/>
      <c r="K356"/>
      <c r="L356"/>
      <c r="M356"/>
      <c r="S356" s="54"/>
    </row>
    <row r="357" spans="1:19" s="15" customFormat="1" x14ac:dyDescent="0.3">
      <c r="A357" s="17"/>
      <c r="B357"/>
      <c r="C357"/>
      <c r="D357"/>
      <c r="E357"/>
      <c r="F357"/>
      <c r="G357"/>
      <c r="H357"/>
      <c r="I357"/>
      <c r="J357"/>
      <c r="K357"/>
      <c r="L357"/>
      <c r="M357"/>
      <c r="S357" s="54"/>
    </row>
    <row r="358" spans="1:19" s="15" customFormat="1" x14ac:dyDescent="0.3">
      <c r="A358" s="17"/>
      <c r="B358"/>
      <c r="C358"/>
      <c r="D358"/>
      <c r="E358"/>
      <c r="F358"/>
      <c r="G358"/>
      <c r="H358"/>
      <c r="I358"/>
      <c r="J358"/>
      <c r="K358"/>
      <c r="L358"/>
      <c r="M358"/>
      <c r="S358" s="54"/>
    </row>
    <row r="359" spans="1:19" s="15" customFormat="1" x14ac:dyDescent="0.3">
      <c r="A359" s="17"/>
      <c r="B359"/>
      <c r="C359"/>
      <c r="D359"/>
      <c r="E359"/>
      <c r="F359"/>
      <c r="G359"/>
      <c r="H359"/>
      <c r="I359"/>
      <c r="J359"/>
      <c r="K359"/>
      <c r="L359"/>
      <c r="M359"/>
      <c r="S359" s="54"/>
    </row>
    <row r="360" spans="1:19" s="15" customFormat="1" x14ac:dyDescent="0.3">
      <c r="A360" s="17"/>
      <c r="B360"/>
      <c r="C360"/>
      <c r="D360"/>
      <c r="E360"/>
      <c r="F360"/>
      <c r="G360"/>
      <c r="H360"/>
      <c r="I360"/>
      <c r="J360"/>
      <c r="K360"/>
      <c r="L360"/>
      <c r="M360"/>
      <c r="S360" s="54"/>
    </row>
    <row r="361" spans="1:19" s="15" customFormat="1" x14ac:dyDescent="0.3">
      <c r="A361" s="17"/>
      <c r="B361"/>
      <c r="C361"/>
      <c r="D361"/>
      <c r="E361"/>
      <c r="F361"/>
      <c r="G361"/>
      <c r="H361"/>
      <c r="I361"/>
      <c r="J361"/>
      <c r="K361"/>
      <c r="L361"/>
      <c r="M361"/>
      <c r="S361" s="54"/>
    </row>
    <row r="362" spans="1:19" s="15" customFormat="1" x14ac:dyDescent="0.3">
      <c r="A362" s="17"/>
      <c r="B362"/>
      <c r="C362"/>
      <c r="D362"/>
      <c r="E362"/>
      <c r="F362"/>
      <c r="G362"/>
      <c r="H362"/>
      <c r="I362"/>
      <c r="J362"/>
      <c r="K362"/>
      <c r="L362"/>
      <c r="M362"/>
      <c r="S362" s="54"/>
    </row>
    <row r="363" spans="1:19" s="15" customFormat="1" x14ac:dyDescent="0.3">
      <c r="A363" s="17"/>
      <c r="B363"/>
      <c r="C363"/>
      <c r="D363"/>
      <c r="E363"/>
      <c r="F363"/>
      <c r="G363"/>
      <c r="H363"/>
      <c r="I363"/>
      <c r="J363"/>
      <c r="K363"/>
      <c r="L363"/>
      <c r="M363"/>
      <c r="S363" s="54"/>
    </row>
    <row r="364" spans="1:19" s="15" customFormat="1" x14ac:dyDescent="0.3">
      <c r="A364" s="17"/>
      <c r="B364"/>
      <c r="C364"/>
      <c r="D364"/>
      <c r="E364"/>
      <c r="F364"/>
      <c r="G364"/>
      <c r="H364"/>
      <c r="I364"/>
      <c r="J364"/>
      <c r="K364"/>
      <c r="L364"/>
      <c r="M364"/>
      <c r="S364" s="54"/>
    </row>
    <row r="365" spans="1:19" s="15" customFormat="1" x14ac:dyDescent="0.3">
      <c r="A365" s="17"/>
      <c r="B365"/>
      <c r="C365"/>
      <c r="D365"/>
      <c r="E365"/>
      <c r="F365"/>
      <c r="G365"/>
      <c r="H365"/>
      <c r="I365"/>
      <c r="J365"/>
      <c r="K365"/>
      <c r="L365"/>
      <c r="M365"/>
      <c r="S365" s="54"/>
    </row>
    <row r="366" spans="1:19" s="15" customFormat="1" x14ac:dyDescent="0.3">
      <c r="A366" s="17"/>
      <c r="B366"/>
      <c r="C366"/>
      <c r="D366"/>
      <c r="E366"/>
      <c r="F366"/>
      <c r="G366"/>
      <c r="H366"/>
      <c r="I366"/>
      <c r="J366"/>
      <c r="K366"/>
      <c r="L366"/>
      <c r="M366"/>
      <c r="S366" s="54"/>
    </row>
    <row r="367" spans="1:19" s="15" customFormat="1" x14ac:dyDescent="0.3">
      <c r="A367" s="17"/>
      <c r="B367"/>
      <c r="C367"/>
      <c r="D367"/>
      <c r="E367"/>
      <c r="F367"/>
      <c r="G367"/>
      <c r="H367"/>
      <c r="I367"/>
      <c r="J367"/>
      <c r="K367"/>
      <c r="L367"/>
      <c r="M367"/>
      <c r="S367" s="54"/>
    </row>
    <row r="368" spans="1:19" s="15" customFormat="1" x14ac:dyDescent="0.3">
      <c r="A368" s="17"/>
      <c r="B368"/>
      <c r="C368"/>
      <c r="D368"/>
      <c r="E368"/>
      <c r="F368"/>
      <c r="G368"/>
      <c r="H368"/>
      <c r="I368"/>
      <c r="J368"/>
      <c r="K368"/>
      <c r="L368"/>
      <c r="M368"/>
      <c r="S368" s="54"/>
    </row>
    <row r="369" spans="1:19" s="15" customFormat="1" x14ac:dyDescent="0.3">
      <c r="A369" s="17"/>
      <c r="B369"/>
      <c r="C369"/>
      <c r="D369"/>
      <c r="E369"/>
      <c r="F369"/>
      <c r="G369"/>
      <c r="H369"/>
      <c r="I369"/>
      <c r="J369"/>
      <c r="K369"/>
      <c r="L369"/>
      <c r="M369"/>
      <c r="S369" s="54"/>
    </row>
    <row r="370" spans="1:19" s="15" customFormat="1" x14ac:dyDescent="0.3">
      <c r="A370" s="17"/>
      <c r="B370"/>
      <c r="C370"/>
      <c r="D370"/>
      <c r="E370"/>
      <c r="F370"/>
      <c r="G370"/>
      <c r="H370"/>
      <c r="I370"/>
      <c r="J370"/>
      <c r="K370"/>
      <c r="L370"/>
      <c r="M370"/>
      <c r="S370" s="54"/>
    </row>
    <row r="371" spans="1:19" s="15" customFormat="1" x14ac:dyDescent="0.3">
      <c r="A371" s="17"/>
      <c r="B371"/>
      <c r="C371"/>
      <c r="D371"/>
      <c r="E371"/>
      <c r="F371"/>
      <c r="G371"/>
      <c r="H371"/>
      <c r="I371"/>
      <c r="J371"/>
      <c r="K371"/>
      <c r="L371"/>
      <c r="M371"/>
      <c r="S371" s="54"/>
    </row>
    <row r="372" spans="1:19" s="15" customFormat="1" x14ac:dyDescent="0.3">
      <c r="A372" s="17"/>
      <c r="B372"/>
      <c r="C372"/>
      <c r="D372"/>
      <c r="E372"/>
      <c r="F372"/>
      <c r="G372"/>
      <c r="H372"/>
      <c r="I372"/>
      <c r="J372"/>
      <c r="K372"/>
      <c r="L372"/>
      <c r="M372"/>
      <c r="S372" s="54"/>
    </row>
    <row r="373" spans="1:19" s="15" customFormat="1" x14ac:dyDescent="0.3">
      <c r="A373" s="17"/>
      <c r="B373"/>
      <c r="C373"/>
      <c r="D373"/>
      <c r="E373"/>
      <c r="F373"/>
      <c r="G373"/>
      <c r="H373"/>
      <c r="I373"/>
      <c r="J373"/>
      <c r="K373"/>
      <c r="L373"/>
      <c r="M373"/>
      <c r="S373" s="54"/>
    </row>
    <row r="374" spans="1:19" s="15" customFormat="1" x14ac:dyDescent="0.3">
      <c r="A374" s="17"/>
      <c r="B374"/>
      <c r="C374"/>
      <c r="D374"/>
      <c r="E374"/>
      <c r="F374"/>
      <c r="G374"/>
      <c r="H374"/>
      <c r="I374"/>
      <c r="J374"/>
      <c r="K374"/>
      <c r="L374"/>
      <c r="M374"/>
      <c r="S374" s="54"/>
    </row>
    <row r="375" spans="1:19" s="15" customFormat="1" x14ac:dyDescent="0.3">
      <c r="A375" s="17"/>
      <c r="B375"/>
      <c r="C375"/>
      <c r="D375"/>
      <c r="E375"/>
      <c r="F375"/>
      <c r="G375"/>
      <c r="H375"/>
      <c r="I375"/>
      <c r="J375"/>
      <c r="K375"/>
      <c r="L375"/>
      <c r="M375"/>
      <c r="S375" s="54"/>
    </row>
    <row r="376" spans="1:19" s="15" customFormat="1" x14ac:dyDescent="0.3">
      <c r="A376" s="17"/>
      <c r="B376"/>
      <c r="C376"/>
      <c r="D376"/>
      <c r="E376"/>
      <c r="F376"/>
      <c r="G376"/>
      <c r="H376"/>
      <c r="I376"/>
      <c r="J376"/>
      <c r="K376"/>
      <c r="L376"/>
      <c r="M376"/>
      <c r="S376" s="54"/>
    </row>
    <row r="377" spans="1:19" s="15" customFormat="1" x14ac:dyDescent="0.3">
      <c r="A377" s="17"/>
      <c r="B377"/>
      <c r="C377"/>
      <c r="D377"/>
      <c r="E377"/>
      <c r="F377"/>
      <c r="G377"/>
      <c r="H377"/>
      <c r="I377"/>
      <c r="J377"/>
      <c r="K377"/>
      <c r="L377"/>
      <c r="M377"/>
      <c r="S377" s="54"/>
    </row>
    <row r="378" spans="1:19" s="15" customFormat="1" x14ac:dyDescent="0.3">
      <c r="A378" s="17"/>
      <c r="B378"/>
      <c r="C378"/>
      <c r="D378"/>
      <c r="E378"/>
      <c r="F378"/>
      <c r="G378"/>
      <c r="H378"/>
      <c r="I378"/>
      <c r="J378"/>
      <c r="K378"/>
      <c r="L378"/>
      <c r="M378"/>
      <c r="S378" s="54"/>
    </row>
    <row r="379" spans="1:19" s="15" customFormat="1" x14ac:dyDescent="0.3">
      <c r="A379" s="17"/>
      <c r="B379"/>
      <c r="C379"/>
      <c r="D379"/>
      <c r="E379"/>
      <c r="F379"/>
      <c r="G379"/>
      <c r="H379"/>
      <c r="I379"/>
      <c r="J379"/>
      <c r="K379"/>
      <c r="L379"/>
      <c r="M379"/>
      <c r="S379" s="54"/>
    </row>
    <row r="380" spans="1:19" s="15" customFormat="1" x14ac:dyDescent="0.3">
      <c r="A380" s="17"/>
      <c r="B380"/>
      <c r="C380"/>
      <c r="D380"/>
      <c r="E380"/>
      <c r="F380"/>
      <c r="G380"/>
      <c r="H380"/>
      <c r="I380"/>
      <c r="J380"/>
      <c r="K380"/>
      <c r="L380"/>
      <c r="M380"/>
      <c r="S380" s="54"/>
    </row>
    <row r="381" spans="1:19" s="15" customFormat="1" x14ac:dyDescent="0.3">
      <c r="A381" s="17"/>
      <c r="B381"/>
      <c r="C381"/>
      <c r="D381"/>
      <c r="E381"/>
      <c r="F381"/>
      <c r="G381"/>
      <c r="H381"/>
      <c r="I381"/>
      <c r="J381"/>
      <c r="K381"/>
      <c r="L381"/>
      <c r="M381"/>
      <c r="S381" s="54"/>
    </row>
    <row r="382" spans="1:19" s="15" customFormat="1" x14ac:dyDescent="0.3">
      <c r="A382" s="17"/>
      <c r="B382"/>
      <c r="C382"/>
      <c r="D382"/>
      <c r="E382"/>
      <c r="F382"/>
      <c r="G382"/>
      <c r="H382"/>
      <c r="I382"/>
      <c r="J382"/>
      <c r="K382"/>
      <c r="L382"/>
      <c r="M382"/>
      <c r="S382" s="54"/>
    </row>
    <row r="383" spans="1:19" s="15" customFormat="1" x14ac:dyDescent="0.3">
      <c r="A383" s="17"/>
      <c r="B383"/>
      <c r="C383"/>
      <c r="D383"/>
      <c r="E383"/>
      <c r="F383"/>
      <c r="G383"/>
      <c r="H383"/>
      <c r="I383"/>
      <c r="J383"/>
      <c r="K383"/>
      <c r="L383"/>
      <c r="M383"/>
      <c r="S383" s="54"/>
    </row>
    <row r="384" spans="1:19" s="15" customFormat="1" x14ac:dyDescent="0.3">
      <c r="A384" s="17"/>
      <c r="B384"/>
      <c r="C384"/>
      <c r="D384"/>
      <c r="E384"/>
      <c r="F384"/>
      <c r="G384"/>
      <c r="H384"/>
      <c r="I384"/>
      <c r="J384"/>
      <c r="K384"/>
      <c r="L384"/>
      <c r="M384"/>
      <c r="S384" s="54"/>
    </row>
    <row r="385" spans="1:19" s="15" customFormat="1" x14ac:dyDescent="0.3">
      <c r="A385" s="17"/>
      <c r="B385"/>
      <c r="C385"/>
      <c r="D385"/>
      <c r="E385"/>
      <c r="F385"/>
      <c r="G385"/>
      <c r="H385"/>
      <c r="I385"/>
      <c r="J385"/>
      <c r="K385"/>
      <c r="L385"/>
      <c r="M385"/>
      <c r="S385" s="54"/>
    </row>
    <row r="386" spans="1:19" s="15" customFormat="1" x14ac:dyDescent="0.3">
      <c r="A386" s="17"/>
      <c r="B386"/>
      <c r="C386"/>
      <c r="D386"/>
      <c r="E386"/>
      <c r="F386"/>
      <c r="G386"/>
      <c r="H386"/>
      <c r="I386"/>
      <c r="J386"/>
      <c r="K386"/>
      <c r="L386"/>
      <c r="M386"/>
      <c r="S386" s="54"/>
    </row>
    <row r="387" spans="1:19" s="15" customFormat="1" x14ac:dyDescent="0.3">
      <c r="A387" s="17"/>
      <c r="B387"/>
      <c r="C387"/>
      <c r="D387"/>
      <c r="E387"/>
      <c r="F387"/>
      <c r="G387"/>
      <c r="H387"/>
      <c r="I387"/>
      <c r="J387"/>
      <c r="K387"/>
      <c r="L387"/>
      <c r="M387"/>
      <c r="S387" s="54"/>
    </row>
    <row r="388" spans="1:19" s="15" customFormat="1" x14ac:dyDescent="0.3">
      <c r="A388" s="17"/>
      <c r="B388"/>
      <c r="C388"/>
      <c r="D388"/>
      <c r="E388"/>
      <c r="F388"/>
      <c r="G388"/>
      <c r="H388"/>
      <c r="I388"/>
      <c r="J388"/>
      <c r="K388"/>
      <c r="L388"/>
      <c r="M388"/>
      <c r="S388" s="54"/>
    </row>
    <row r="389" spans="1:19" s="15" customFormat="1" x14ac:dyDescent="0.3">
      <c r="A389" s="17"/>
      <c r="B389"/>
      <c r="C389"/>
      <c r="D389"/>
      <c r="E389"/>
      <c r="F389"/>
      <c r="G389"/>
      <c r="H389"/>
      <c r="I389"/>
      <c r="J389"/>
      <c r="K389"/>
      <c r="L389"/>
      <c r="M389"/>
      <c r="S389" s="54"/>
    </row>
    <row r="390" spans="1:19" s="15" customFormat="1" x14ac:dyDescent="0.3">
      <c r="A390" s="17"/>
      <c r="B390"/>
      <c r="C390"/>
      <c r="D390"/>
      <c r="E390"/>
      <c r="F390"/>
      <c r="G390"/>
      <c r="H390"/>
      <c r="I390"/>
      <c r="J390"/>
      <c r="K390"/>
      <c r="L390"/>
      <c r="M390"/>
      <c r="S390" s="54"/>
    </row>
    <row r="391" spans="1:19" s="15" customFormat="1" x14ac:dyDescent="0.3">
      <c r="A391" s="17"/>
      <c r="B391"/>
      <c r="C391"/>
      <c r="D391"/>
      <c r="E391"/>
      <c r="F391"/>
      <c r="G391"/>
      <c r="H391"/>
      <c r="I391"/>
      <c r="J391"/>
      <c r="K391"/>
      <c r="L391"/>
      <c r="M391"/>
      <c r="S391" s="54"/>
    </row>
    <row r="392" spans="1:19" s="15" customFormat="1" x14ac:dyDescent="0.3">
      <c r="A392" s="17"/>
      <c r="B392"/>
      <c r="C392"/>
      <c r="D392"/>
      <c r="E392"/>
      <c r="F392"/>
      <c r="G392"/>
      <c r="H392"/>
      <c r="I392"/>
      <c r="J392"/>
      <c r="K392"/>
      <c r="L392"/>
      <c r="M392"/>
      <c r="S392" s="54"/>
    </row>
    <row r="393" spans="1:19" s="15" customFormat="1" x14ac:dyDescent="0.3">
      <c r="A393" s="17"/>
      <c r="B393"/>
      <c r="C393"/>
      <c r="D393"/>
      <c r="E393"/>
      <c r="F393"/>
      <c r="G393"/>
      <c r="H393"/>
      <c r="I393"/>
      <c r="J393"/>
      <c r="K393"/>
      <c r="L393"/>
      <c r="M393"/>
      <c r="S393" s="54"/>
    </row>
    <row r="394" spans="1:19" s="15" customFormat="1" x14ac:dyDescent="0.3">
      <c r="A394" s="17"/>
      <c r="B394"/>
      <c r="C394"/>
      <c r="D394"/>
      <c r="E394"/>
      <c r="F394"/>
      <c r="G394"/>
      <c r="H394"/>
      <c r="I394"/>
      <c r="J394"/>
      <c r="K394"/>
      <c r="L394"/>
      <c r="M394"/>
      <c r="S394" s="54"/>
    </row>
    <row r="395" spans="1:19" s="15" customFormat="1" x14ac:dyDescent="0.3">
      <c r="A395" s="17"/>
      <c r="B395"/>
      <c r="C395"/>
      <c r="D395"/>
      <c r="E395"/>
      <c r="F395"/>
      <c r="G395"/>
      <c r="H395"/>
      <c r="I395"/>
      <c r="J395"/>
      <c r="K395"/>
      <c r="L395"/>
      <c r="M395"/>
      <c r="S395" s="54"/>
    </row>
    <row r="396" spans="1:19" s="15" customFormat="1" x14ac:dyDescent="0.3">
      <c r="A396" s="17"/>
      <c r="B396"/>
      <c r="C396"/>
      <c r="D396"/>
      <c r="E396"/>
      <c r="F396"/>
      <c r="G396"/>
      <c r="H396"/>
      <c r="I396"/>
      <c r="J396"/>
      <c r="K396"/>
      <c r="L396"/>
      <c r="M396"/>
      <c r="S396" s="54"/>
    </row>
    <row r="397" spans="1:19" s="15" customFormat="1" x14ac:dyDescent="0.3">
      <c r="A397" s="17"/>
      <c r="B397"/>
      <c r="C397"/>
      <c r="D397"/>
      <c r="E397"/>
      <c r="F397"/>
      <c r="G397"/>
      <c r="H397"/>
      <c r="I397"/>
      <c r="J397"/>
      <c r="K397"/>
      <c r="L397"/>
      <c r="M397"/>
      <c r="S397" s="54"/>
    </row>
    <row r="398" spans="1:19" s="15" customFormat="1" x14ac:dyDescent="0.3">
      <c r="A398" s="17"/>
      <c r="B398"/>
      <c r="C398"/>
      <c r="D398"/>
      <c r="E398"/>
      <c r="F398"/>
      <c r="G398"/>
      <c r="H398"/>
      <c r="I398"/>
      <c r="J398"/>
      <c r="K398"/>
      <c r="L398"/>
      <c r="M398"/>
      <c r="S398" s="54"/>
    </row>
    <row r="399" spans="1:19" s="15" customFormat="1" x14ac:dyDescent="0.3">
      <c r="A399" s="17"/>
      <c r="B399"/>
      <c r="C399"/>
      <c r="D399"/>
      <c r="E399"/>
      <c r="F399"/>
      <c r="G399"/>
      <c r="H399"/>
      <c r="I399"/>
      <c r="J399"/>
      <c r="K399"/>
      <c r="L399"/>
      <c r="M399"/>
      <c r="S399" s="54"/>
    </row>
    <row r="400" spans="1:19" s="15" customFormat="1" x14ac:dyDescent="0.3">
      <c r="A400" s="17"/>
      <c r="B400"/>
      <c r="C400"/>
      <c r="D400"/>
      <c r="E400"/>
      <c r="F400"/>
      <c r="G400"/>
      <c r="H400"/>
      <c r="I400"/>
      <c r="J400"/>
      <c r="K400"/>
      <c r="L400"/>
      <c r="M400"/>
      <c r="S400" s="54"/>
    </row>
    <row r="401" spans="1:19" s="15" customFormat="1" x14ac:dyDescent="0.3">
      <c r="A401" s="17"/>
      <c r="B401"/>
      <c r="C401"/>
      <c r="D401"/>
      <c r="E401"/>
      <c r="F401"/>
      <c r="G401"/>
      <c r="H401"/>
      <c r="I401"/>
      <c r="J401"/>
      <c r="K401"/>
      <c r="L401"/>
      <c r="M401"/>
      <c r="S401" s="54"/>
    </row>
    <row r="402" spans="1:19" s="15" customFormat="1" x14ac:dyDescent="0.3">
      <c r="A402" s="17"/>
      <c r="B402"/>
      <c r="C402"/>
      <c r="D402"/>
      <c r="E402"/>
      <c r="F402"/>
      <c r="G402"/>
      <c r="H402"/>
      <c r="I402"/>
      <c r="J402"/>
      <c r="K402"/>
      <c r="L402"/>
      <c r="M402"/>
      <c r="S402" s="54"/>
    </row>
    <row r="403" spans="1:19" s="15" customFormat="1" x14ac:dyDescent="0.3">
      <c r="A403" s="17"/>
      <c r="B403"/>
      <c r="C403"/>
      <c r="D403"/>
      <c r="E403"/>
      <c r="F403"/>
      <c r="G403"/>
      <c r="H403"/>
      <c r="I403"/>
      <c r="J403"/>
      <c r="K403"/>
      <c r="L403"/>
      <c r="M403"/>
      <c r="S403" s="54"/>
    </row>
    <row r="404" spans="1:19" s="15" customFormat="1" x14ac:dyDescent="0.3">
      <c r="A404" s="17"/>
      <c r="B404"/>
      <c r="C404"/>
      <c r="D404"/>
      <c r="E404"/>
      <c r="F404"/>
      <c r="G404"/>
      <c r="H404"/>
      <c r="I404"/>
      <c r="J404"/>
      <c r="K404"/>
      <c r="L404"/>
      <c r="M404"/>
      <c r="S404" s="54"/>
    </row>
    <row r="405" spans="1:19" s="15" customFormat="1" x14ac:dyDescent="0.3">
      <c r="A405" s="17"/>
      <c r="B405"/>
      <c r="C405"/>
      <c r="D405"/>
      <c r="E405"/>
      <c r="F405"/>
      <c r="G405"/>
      <c r="H405"/>
      <c r="I405"/>
      <c r="J405"/>
      <c r="K405"/>
      <c r="L405"/>
      <c r="M405"/>
      <c r="S405" s="54"/>
    </row>
    <row r="406" spans="1:19" s="15" customFormat="1" x14ac:dyDescent="0.3">
      <c r="A406" s="17"/>
      <c r="B406"/>
      <c r="C406"/>
      <c r="D406"/>
      <c r="E406"/>
      <c r="F406"/>
      <c r="G406"/>
      <c r="H406"/>
      <c r="I406"/>
      <c r="J406"/>
      <c r="K406"/>
      <c r="L406"/>
      <c r="M406"/>
      <c r="S406" s="54"/>
    </row>
    <row r="407" spans="1:19" s="15" customFormat="1" x14ac:dyDescent="0.3">
      <c r="A407" s="17"/>
      <c r="B407"/>
      <c r="C407"/>
      <c r="D407"/>
      <c r="E407"/>
      <c r="F407"/>
      <c r="G407"/>
      <c r="H407"/>
      <c r="I407"/>
      <c r="J407"/>
      <c r="K407"/>
      <c r="L407"/>
      <c r="M407"/>
      <c r="S407" s="54"/>
    </row>
    <row r="408" spans="1:19" s="15" customFormat="1" x14ac:dyDescent="0.3">
      <c r="A408" s="17"/>
      <c r="B408"/>
      <c r="C408"/>
      <c r="D408"/>
      <c r="E408"/>
      <c r="F408"/>
      <c r="G408"/>
      <c r="H408"/>
      <c r="I408"/>
      <c r="J408"/>
      <c r="K408"/>
      <c r="L408"/>
      <c r="M408"/>
      <c r="S408" s="54"/>
    </row>
    <row r="409" spans="1:19" s="15" customFormat="1" x14ac:dyDescent="0.3">
      <c r="A409" s="17"/>
      <c r="B409"/>
      <c r="C409"/>
      <c r="D409"/>
      <c r="E409"/>
      <c r="F409"/>
      <c r="G409"/>
      <c r="H409"/>
      <c r="I409"/>
      <c r="J409"/>
      <c r="K409"/>
      <c r="L409"/>
      <c r="M409"/>
      <c r="S409" s="54"/>
    </row>
    <row r="410" spans="1:19" s="15" customFormat="1" x14ac:dyDescent="0.3">
      <c r="A410" s="17"/>
      <c r="B410"/>
      <c r="C410"/>
      <c r="D410"/>
      <c r="E410"/>
      <c r="F410"/>
      <c r="G410"/>
      <c r="H410"/>
      <c r="I410"/>
      <c r="J410"/>
      <c r="K410"/>
      <c r="L410"/>
      <c r="M410"/>
      <c r="S410" s="54"/>
    </row>
    <row r="411" spans="1:19" s="15" customFormat="1" x14ac:dyDescent="0.3">
      <c r="A411" s="17"/>
      <c r="B411"/>
      <c r="C411"/>
      <c r="D411"/>
      <c r="E411"/>
      <c r="F411"/>
      <c r="G411"/>
      <c r="H411"/>
      <c r="I411"/>
      <c r="J411"/>
      <c r="K411"/>
      <c r="L411"/>
      <c r="M411"/>
      <c r="S411" s="54"/>
    </row>
    <row r="412" spans="1:19" s="15" customFormat="1" x14ac:dyDescent="0.3">
      <c r="A412" s="17"/>
      <c r="B412"/>
      <c r="C412"/>
      <c r="D412"/>
      <c r="E412"/>
      <c r="F412"/>
      <c r="G412"/>
      <c r="H412"/>
      <c r="I412"/>
      <c r="J412"/>
      <c r="K412"/>
      <c r="L412"/>
      <c r="M412"/>
      <c r="S412" s="54"/>
    </row>
    <row r="413" spans="1:19" s="15" customFormat="1" x14ac:dyDescent="0.3">
      <c r="A413" s="17"/>
      <c r="B413"/>
      <c r="C413"/>
      <c r="D413"/>
      <c r="E413"/>
      <c r="F413"/>
      <c r="G413"/>
      <c r="H413"/>
      <c r="I413"/>
      <c r="J413"/>
      <c r="K413"/>
      <c r="L413"/>
      <c r="M413"/>
      <c r="S413" s="54"/>
    </row>
    <row r="414" spans="1:19" s="15" customFormat="1" x14ac:dyDescent="0.3">
      <c r="A414" s="17"/>
      <c r="B414"/>
      <c r="C414"/>
      <c r="D414"/>
      <c r="E414"/>
      <c r="F414"/>
      <c r="G414"/>
      <c r="H414"/>
      <c r="I414"/>
      <c r="J414"/>
      <c r="K414"/>
      <c r="L414"/>
      <c r="M414"/>
      <c r="S414" s="54"/>
    </row>
    <row r="415" spans="1:19" s="15" customFormat="1" x14ac:dyDescent="0.3">
      <c r="A415" s="17"/>
      <c r="B415"/>
      <c r="C415"/>
      <c r="D415"/>
      <c r="E415"/>
      <c r="F415"/>
      <c r="G415"/>
      <c r="H415"/>
      <c r="I415"/>
      <c r="J415"/>
      <c r="K415"/>
      <c r="L415"/>
      <c r="M415"/>
      <c r="S415" s="54"/>
    </row>
    <row r="416" spans="1:19" s="15" customFormat="1" x14ac:dyDescent="0.3">
      <c r="A416" s="17"/>
      <c r="B416"/>
      <c r="C416"/>
      <c r="D416"/>
      <c r="E416"/>
      <c r="F416"/>
      <c r="G416"/>
      <c r="H416"/>
      <c r="I416"/>
      <c r="J416"/>
      <c r="K416"/>
      <c r="L416"/>
      <c r="M416"/>
      <c r="S416" s="54"/>
    </row>
    <row r="417" spans="1:19" s="15" customFormat="1" x14ac:dyDescent="0.3">
      <c r="A417" s="17"/>
      <c r="B417"/>
      <c r="C417"/>
      <c r="D417"/>
      <c r="E417"/>
      <c r="F417"/>
      <c r="G417"/>
      <c r="H417"/>
      <c r="I417"/>
      <c r="J417"/>
      <c r="K417"/>
      <c r="L417"/>
      <c r="M417"/>
      <c r="S417" s="54"/>
    </row>
    <row r="418" spans="1:19" s="15" customFormat="1" x14ac:dyDescent="0.3">
      <c r="A418" s="17"/>
      <c r="B418"/>
      <c r="C418"/>
      <c r="D418"/>
      <c r="E418"/>
      <c r="F418"/>
      <c r="G418"/>
      <c r="H418"/>
      <c r="I418"/>
      <c r="J418"/>
      <c r="K418"/>
      <c r="L418"/>
      <c r="M418"/>
      <c r="S418" s="54"/>
    </row>
    <row r="419" spans="1:19" s="15" customFormat="1" x14ac:dyDescent="0.3">
      <c r="A419" s="17"/>
      <c r="B419"/>
      <c r="C419"/>
      <c r="D419"/>
      <c r="E419"/>
      <c r="F419"/>
      <c r="G419"/>
      <c r="H419"/>
      <c r="I419"/>
      <c r="J419"/>
      <c r="K419"/>
      <c r="L419"/>
      <c r="M419"/>
      <c r="S419" s="54"/>
    </row>
    <row r="420" spans="1:19" s="15" customFormat="1" x14ac:dyDescent="0.3">
      <c r="A420" s="17"/>
      <c r="B420"/>
      <c r="C420"/>
      <c r="D420"/>
      <c r="E420"/>
      <c r="F420"/>
      <c r="G420"/>
      <c r="H420"/>
      <c r="I420"/>
      <c r="J420"/>
      <c r="K420"/>
      <c r="L420"/>
      <c r="M420"/>
      <c r="S420" s="54"/>
    </row>
    <row r="421" spans="1:19" s="15" customFormat="1" x14ac:dyDescent="0.3">
      <c r="A421" s="17"/>
      <c r="B421"/>
      <c r="C421"/>
      <c r="D421"/>
      <c r="E421"/>
      <c r="F421"/>
      <c r="G421"/>
      <c r="H421"/>
      <c r="I421"/>
      <c r="J421"/>
      <c r="K421"/>
      <c r="L421"/>
      <c r="M421"/>
      <c r="S421" s="54"/>
    </row>
    <row r="422" spans="1:19" s="15" customFormat="1" x14ac:dyDescent="0.3">
      <c r="A422" s="17"/>
      <c r="B422"/>
      <c r="C422"/>
      <c r="D422"/>
      <c r="E422"/>
      <c r="F422"/>
      <c r="G422"/>
      <c r="H422"/>
      <c r="I422"/>
      <c r="J422"/>
      <c r="K422"/>
      <c r="L422"/>
      <c r="M422"/>
      <c r="S422" s="54"/>
    </row>
    <row r="423" spans="1:19" s="15" customFormat="1" x14ac:dyDescent="0.3">
      <c r="A423" s="17"/>
      <c r="B423"/>
      <c r="C423"/>
      <c r="D423"/>
      <c r="E423"/>
      <c r="F423"/>
      <c r="G423"/>
      <c r="H423"/>
      <c r="I423"/>
      <c r="J423"/>
      <c r="K423"/>
      <c r="L423"/>
      <c r="M423"/>
      <c r="S423" s="54"/>
    </row>
    <row r="424" spans="1:19" s="15" customFormat="1" x14ac:dyDescent="0.3">
      <c r="A424" s="17"/>
      <c r="B424"/>
      <c r="C424"/>
      <c r="D424"/>
      <c r="E424"/>
      <c r="F424"/>
      <c r="G424"/>
      <c r="H424"/>
      <c r="I424"/>
      <c r="J424"/>
      <c r="K424"/>
      <c r="L424"/>
      <c r="M424"/>
      <c r="S424" s="54"/>
    </row>
    <row r="425" spans="1:19" s="15" customFormat="1" x14ac:dyDescent="0.3">
      <c r="A425" s="17"/>
      <c r="B425"/>
      <c r="C425"/>
      <c r="D425"/>
      <c r="E425"/>
      <c r="F425"/>
      <c r="G425"/>
      <c r="H425"/>
      <c r="I425"/>
      <c r="J425"/>
      <c r="K425"/>
      <c r="L425"/>
      <c r="M425"/>
      <c r="S425" s="54"/>
    </row>
    <row r="426" spans="1:19" s="15" customFormat="1" x14ac:dyDescent="0.3">
      <c r="A426" s="17"/>
      <c r="B426"/>
      <c r="C426"/>
      <c r="D426"/>
      <c r="E426"/>
      <c r="F426"/>
      <c r="G426"/>
      <c r="H426"/>
      <c r="I426"/>
      <c r="J426"/>
      <c r="K426"/>
      <c r="L426"/>
      <c r="M426"/>
      <c r="S426" s="54"/>
    </row>
    <row r="427" spans="1:19" s="15" customFormat="1" x14ac:dyDescent="0.3">
      <c r="A427" s="17"/>
      <c r="B427"/>
      <c r="C427"/>
      <c r="D427"/>
      <c r="E427"/>
      <c r="F427"/>
      <c r="G427"/>
      <c r="H427"/>
      <c r="I427"/>
      <c r="J427"/>
      <c r="K427"/>
      <c r="L427"/>
      <c r="M427"/>
      <c r="S427" s="54"/>
    </row>
    <row r="428" spans="1:19" s="15" customFormat="1" x14ac:dyDescent="0.3">
      <c r="A428" s="17"/>
      <c r="B428"/>
      <c r="C428"/>
      <c r="D428"/>
      <c r="E428"/>
      <c r="F428"/>
      <c r="G428"/>
      <c r="H428"/>
      <c r="I428"/>
      <c r="J428"/>
      <c r="K428"/>
      <c r="L428"/>
      <c r="M428"/>
      <c r="S428" s="54"/>
    </row>
    <row r="429" spans="1:19" s="15" customFormat="1" x14ac:dyDescent="0.3">
      <c r="A429" s="17"/>
      <c r="B429"/>
      <c r="C429"/>
      <c r="D429"/>
      <c r="E429"/>
      <c r="F429"/>
      <c r="G429"/>
      <c r="H429"/>
      <c r="I429"/>
      <c r="J429"/>
      <c r="K429"/>
      <c r="L429"/>
      <c r="M429"/>
      <c r="S429" s="54"/>
    </row>
    <row r="430" spans="1:19" s="15" customFormat="1" x14ac:dyDescent="0.3">
      <c r="A430" s="17"/>
      <c r="B430"/>
      <c r="C430"/>
      <c r="D430"/>
      <c r="E430"/>
      <c r="F430"/>
      <c r="G430"/>
      <c r="H430"/>
      <c r="I430"/>
      <c r="J430"/>
      <c r="K430"/>
      <c r="L430"/>
      <c r="M430"/>
      <c r="S430" s="54"/>
    </row>
    <row r="431" spans="1:19" s="15" customFormat="1" x14ac:dyDescent="0.3">
      <c r="A431" s="17"/>
      <c r="B431"/>
      <c r="C431"/>
      <c r="D431"/>
      <c r="E431"/>
      <c r="F431"/>
      <c r="G431"/>
      <c r="H431"/>
      <c r="I431"/>
      <c r="J431"/>
      <c r="K431"/>
      <c r="L431"/>
      <c r="M431"/>
      <c r="S431" s="54"/>
    </row>
    <row r="432" spans="1:19" s="15" customFormat="1" x14ac:dyDescent="0.3">
      <c r="A432" s="17"/>
      <c r="B432"/>
      <c r="C432"/>
      <c r="D432"/>
      <c r="E432"/>
      <c r="F432"/>
      <c r="G432"/>
      <c r="H432"/>
      <c r="I432"/>
      <c r="J432"/>
      <c r="K432"/>
      <c r="L432"/>
      <c r="M432"/>
      <c r="S432" s="54"/>
    </row>
    <row r="433" spans="1:19" s="15" customFormat="1" x14ac:dyDescent="0.3">
      <c r="A433" s="17"/>
      <c r="B433"/>
      <c r="C433"/>
      <c r="D433"/>
      <c r="E433"/>
      <c r="F433"/>
      <c r="G433"/>
      <c r="H433"/>
      <c r="I433"/>
      <c r="J433"/>
      <c r="K433"/>
      <c r="L433"/>
      <c r="M433"/>
      <c r="S433" s="54"/>
    </row>
    <row r="434" spans="1:19" s="15" customFormat="1" x14ac:dyDescent="0.3">
      <c r="A434" s="17"/>
      <c r="B434"/>
      <c r="C434"/>
      <c r="D434"/>
      <c r="E434"/>
      <c r="F434"/>
      <c r="G434"/>
      <c r="H434"/>
      <c r="I434"/>
      <c r="J434"/>
      <c r="K434"/>
      <c r="L434"/>
      <c r="M434"/>
      <c r="S434" s="54"/>
    </row>
    <row r="435" spans="1:19" s="15" customFormat="1" x14ac:dyDescent="0.3">
      <c r="A435" s="17"/>
      <c r="B435"/>
      <c r="C435"/>
      <c r="D435"/>
      <c r="E435"/>
      <c r="F435"/>
      <c r="G435"/>
      <c r="H435"/>
      <c r="I435"/>
      <c r="J435"/>
      <c r="K435"/>
      <c r="L435"/>
      <c r="M435"/>
      <c r="S435" s="54"/>
    </row>
    <row r="436" spans="1:19" s="15" customFormat="1" x14ac:dyDescent="0.3">
      <c r="A436" s="17"/>
      <c r="B436"/>
      <c r="C436"/>
      <c r="D436"/>
      <c r="E436"/>
      <c r="F436"/>
      <c r="G436"/>
      <c r="H436"/>
      <c r="I436"/>
      <c r="J436"/>
      <c r="K436"/>
      <c r="L436"/>
      <c r="M436"/>
      <c r="S436" s="54"/>
    </row>
    <row r="437" spans="1:19" s="15" customFormat="1" x14ac:dyDescent="0.3">
      <c r="A437" s="17"/>
      <c r="B437"/>
      <c r="C437"/>
      <c r="D437"/>
      <c r="E437"/>
      <c r="F437"/>
      <c r="G437"/>
      <c r="H437"/>
      <c r="I437"/>
      <c r="J437"/>
      <c r="K437"/>
      <c r="L437"/>
      <c r="M437"/>
      <c r="S437" s="54"/>
    </row>
    <row r="438" spans="1:19" s="15" customFormat="1" x14ac:dyDescent="0.3">
      <c r="A438" s="17"/>
      <c r="B438"/>
      <c r="C438"/>
      <c r="D438"/>
      <c r="E438"/>
      <c r="F438"/>
      <c r="G438"/>
      <c r="H438"/>
      <c r="I438"/>
      <c r="J438"/>
      <c r="K438"/>
      <c r="L438"/>
      <c r="M438"/>
      <c r="S438" s="54"/>
    </row>
    <row r="439" spans="1:19" s="15" customFormat="1" x14ac:dyDescent="0.3">
      <c r="A439" s="17"/>
      <c r="B439"/>
      <c r="C439"/>
      <c r="D439"/>
      <c r="E439"/>
      <c r="F439"/>
      <c r="G439"/>
      <c r="H439"/>
      <c r="I439"/>
      <c r="J439"/>
      <c r="K439"/>
      <c r="L439"/>
      <c r="M439"/>
      <c r="S439" s="54"/>
    </row>
    <row r="440" spans="1:19" s="15" customFormat="1" x14ac:dyDescent="0.3">
      <c r="A440" s="17"/>
      <c r="B440"/>
      <c r="C440"/>
      <c r="D440"/>
      <c r="E440"/>
      <c r="F440"/>
      <c r="G440"/>
      <c r="H440"/>
      <c r="I440"/>
      <c r="J440"/>
      <c r="K440"/>
      <c r="L440"/>
      <c r="M440"/>
      <c r="S440" s="54"/>
    </row>
    <row r="441" spans="1:19" s="15" customFormat="1" x14ac:dyDescent="0.3">
      <c r="A441" s="17"/>
      <c r="B441"/>
      <c r="C441"/>
      <c r="D441"/>
      <c r="E441"/>
      <c r="F441"/>
      <c r="G441"/>
      <c r="H441"/>
      <c r="I441"/>
      <c r="J441"/>
      <c r="K441"/>
      <c r="L441"/>
      <c r="M441"/>
      <c r="S441" s="54"/>
    </row>
    <row r="442" spans="1:19" s="15" customFormat="1" x14ac:dyDescent="0.3">
      <c r="A442" s="17"/>
      <c r="B442"/>
      <c r="C442"/>
      <c r="D442"/>
      <c r="E442"/>
      <c r="F442"/>
      <c r="G442"/>
      <c r="H442"/>
      <c r="I442"/>
      <c r="J442"/>
      <c r="K442"/>
      <c r="L442"/>
      <c r="M442"/>
      <c r="S442" s="54"/>
    </row>
    <row r="443" spans="1:19" s="15" customFormat="1" x14ac:dyDescent="0.3">
      <c r="A443" s="17"/>
      <c r="B443"/>
      <c r="C443"/>
      <c r="D443"/>
      <c r="E443"/>
      <c r="F443"/>
      <c r="G443"/>
      <c r="H443"/>
      <c r="I443"/>
      <c r="J443"/>
      <c r="K443"/>
      <c r="L443"/>
      <c r="M443"/>
      <c r="S443" s="54"/>
    </row>
    <row r="444" spans="1:19" s="15" customFormat="1" x14ac:dyDescent="0.3">
      <c r="A444" s="17"/>
      <c r="B444"/>
      <c r="C444"/>
      <c r="D444"/>
      <c r="E444"/>
      <c r="F444"/>
      <c r="G444"/>
      <c r="H444"/>
      <c r="I444"/>
      <c r="J444"/>
      <c r="K444"/>
      <c r="L444"/>
      <c r="M444"/>
      <c r="S444" s="54"/>
    </row>
    <row r="445" spans="1:19" s="15" customFormat="1" x14ac:dyDescent="0.3">
      <c r="A445" s="17"/>
      <c r="B445"/>
      <c r="C445"/>
      <c r="D445"/>
      <c r="E445"/>
      <c r="F445"/>
      <c r="G445"/>
      <c r="H445"/>
      <c r="I445"/>
      <c r="J445"/>
      <c r="K445"/>
      <c r="L445"/>
      <c r="M445"/>
      <c r="S445" s="54"/>
    </row>
    <row r="446" spans="1:19" s="15" customFormat="1" x14ac:dyDescent="0.3">
      <c r="A446" s="17"/>
      <c r="B446"/>
      <c r="C446"/>
      <c r="D446"/>
      <c r="E446"/>
      <c r="F446"/>
      <c r="G446"/>
      <c r="H446"/>
      <c r="I446"/>
      <c r="J446"/>
      <c r="K446"/>
      <c r="L446"/>
      <c r="M446"/>
      <c r="S446" s="54"/>
    </row>
    <row r="447" spans="1:19" s="15" customFormat="1" x14ac:dyDescent="0.3">
      <c r="A447" s="17"/>
      <c r="B447"/>
      <c r="C447"/>
      <c r="D447"/>
      <c r="E447"/>
      <c r="F447"/>
      <c r="G447"/>
      <c r="H447"/>
      <c r="I447"/>
      <c r="J447"/>
      <c r="K447"/>
      <c r="L447"/>
      <c r="M447"/>
      <c r="S447" s="54"/>
    </row>
    <row r="448" spans="1:19" s="15" customFormat="1" x14ac:dyDescent="0.3">
      <c r="A448" s="17"/>
      <c r="B448"/>
      <c r="C448"/>
      <c r="D448"/>
      <c r="E448"/>
      <c r="F448"/>
      <c r="G448"/>
      <c r="H448"/>
      <c r="I448"/>
      <c r="J448"/>
      <c r="K448"/>
      <c r="L448"/>
      <c r="M448"/>
      <c r="S448" s="54"/>
    </row>
    <row r="449" spans="1:19" s="15" customFormat="1" x14ac:dyDescent="0.3">
      <c r="A449" s="17"/>
      <c r="B449"/>
      <c r="C449"/>
      <c r="D449"/>
      <c r="E449"/>
      <c r="F449"/>
      <c r="G449"/>
      <c r="H449"/>
      <c r="I449"/>
      <c r="J449"/>
      <c r="K449"/>
      <c r="L449"/>
      <c r="M449"/>
      <c r="S449" s="54"/>
    </row>
    <row r="450" spans="1:19" s="15" customFormat="1" x14ac:dyDescent="0.3">
      <c r="A450" s="17"/>
      <c r="B450"/>
      <c r="C450"/>
      <c r="D450"/>
      <c r="E450"/>
      <c r="F450"/>
      <c r="G450"/>
      <c r="H450"/>
      <c r="I450"/>
      <c r="J450"/>
      <c r="K450"/>
      <c r="L450"/>
      <c r="M450"/>
      <c r="S450" s="54"/>
    </row>
    <row r="451" spans="1:19" s="15" customFormat="1" x14ac:dyDescent="0.3">
      <c r="A451" s="17"/>
      <c r="B451"/>
      <c r="C451"/>
      <c r="D451"/>
      <c r="E451"/>
      <c r="F451"/>
      <c r="G451"/>
      <c r="H451"/>
      <c r="I451"/>
      <c r="J451"/>
      <c r="K451"/>
      <c r="L451"/>
      <c r="M451"/>
      <c r="S451" s="54"/>
    </row>
    <row r="452" spans="1:19" s="15" customFormat="1" x14ac:dyDescent="0.3">
      <c r="A452" s="17"/>
      <c r="B452"/>
      <c r="C452"/>
      <c r="D452"/>
      <c r="E452"/>
      <c r="F452"/>
      <c r="G452"/>
      <c r="H452"/>
      <c r="I452"/>
      <c r="J452"/>
      <c r="K452"/>
      <c r="L452"/>
      <c r="M452"/>
      <c r="S452" s="54"/>
    </row>
    <row r="453" spans="1:19" s="15" customFormat="1" x14ac:dyDescent="0.3">
      <c r="A453" s="17"/>
      <c r="B453"/>
      <c r="C453"/>
      <c r="D453"/>
      <c r="E453"/>
      <c r="F453"/>
      <c r="G453"/>
      <c r="H453"/>
      <c r="I453"/>
      <c r="J453"/>
      <c r="K453"/>
      <c r="L453"/>
      <c r="M453"/>
      <c r="S453" s="54"/>
    </row>
    <row r="454" spans="1:19" s="15" customFormat="1" x14ac:dyDescent="0.3">
      <c r="A454" s="17"/>
      <c r="B454"/>
      <c r="C454"/>
      <c r="D454"/>
      <c r="E454"/>
      <c r="F454"/>
      <c r="G454"/>
      <c r="H454"/>
      <c r="I454"/>
      <c r="J454"/>
      <c r="K454"/>
      <c r="L454"/>
      <c r="M454"/>
      <c r="S454" s="54"/>
    </row>
    <row r="455" spans="1:19" s="15" customFormat="1" x14ac:dyDescent="0.3">
      <c r="A455" s="17"/>
      <c r="B455"/>
      <c r="C455"/>
      <c r="D455"/>
      <c r="E455"/>
      <c r="F455"/>
      <c r="G455"/>
      <c r="H455"/>
      <c r="I455"/>
      <c r="J455"/>
      <c r="K455"/>
      <c r="L455"/>
      <c r="M455"/>
      <c r="S455" s="54"/>
    </row>
    <row r="456" spans="1:19" s="15" customFormat="1" x14ac:dyDescent="0.3">
      <c r="A456" s="17"/>
      <c r="B456"/>
      <c r="C456"/>
      <c r="D456"/>
      <c r="E456"/>
      <c r="F456"/>
      <c r="G456"/>
      <c r="H456"/>
      <c r="I456"/>
      <c r="J456"/>
      <c r="K456"/>
      <c r="L456"/>
      <c r="M456"/>
      <c r="S456" s="54"/>
    </row>
    <row r="457" spans="1:19" s="15" customFormat="1" x14ac:dyDescent="0.3">
      <c r="A457" s="17"/>
      <c r="B457"/>
      <c r="C457"/>
      <c r="D457"/>
      <c r="E457"/>
      <c r="F457"/>
      <c r="G457"/>
      <c r="H457"/>
      <c r="I457"/>
      <c r="J457"/>
      <c r="K457"/>
      <c r="L457"/>
      <c r="M457"/>
      <c r="S457" s="54"/>
    </row>
    <row r="458" spans="1:19" s="15" customFormat="1" x14ac:dyDescent="0.3">
      <c r="A458" s="17"/>
      <c r="B458"/>
      <c r="C458"/>
      <c r="D458"/>
      <c r="E458"/>
      <c r="F458"/>
      <c r="G458"/>
      <c r="H458"/>
      <c r="I458"/>
      <c r="J458"/>
      <c r="K458"/>
      <c r="L458"/>
      <c r="M458"/>
      <c r="S458" s="54"/>
    </row>
    <row r="459" spans="1:19" s="15" customFormat="1" x14ac:dyDescent="0.3">
      <c r="A459" s="17"/>
      <c r="B459"/>
      <c r="C459"/>
      <c r="D459"/>
      <c r="E459"/>
      <c r="F459"/>
      <c r="G459"/>
      <c r="H459"/>
      <c r="I459"/>
      <c r="J459"/>
      <c r="K459"/>
      <c r="L459"/>
      <c r="M459"/>
      <c r="S459" s="54"/>
    </row>
    <row r="460" spans="1:19" s="15" customFormat="1" x14ac:dyDescent="0.3">
      <c r="A460" s="17"/>
      <c r="B460"/>
      <c r="C460"/>
      <c r="D460"/>
      <c r="E460"/>
      <c r="F460"/>
      <c r="G460"/>
      <c r="H460"/>
      <c r="I460"/>
      <c r="J460"/>
      <c r="K460"/>
      <c r="L460"/>
      <c r="M460"/>
      <c r="S460" s="54"/>
    </row>
    <row r="461" spans="1:19" s="15" customFormat="1" x14ac:dyDescent="0.3">
      <c r="A461" s="17"/>
      <c r="B461"/>
      <c r="C461"/>
      <c r="D461"/>
      <c r="E461"/>
      <c r="F461"/>
      <c r="G461"/>
      <c r="H461"/>
      <c r="I461"/>
      <c r="J461"/>
      <c r="K461"/>
      <c r="L461"/>
      <c r="M461"/>
      <c r="S461" s="54"/>
    </row>
    <row r="462" spans="1:19" s="15" customFormat="1" x14ac:dyDescent="0.3">
      <c r="A462" s="17"/>
      <c r="B462"/>
      <c r="C462"/>
      <c r="D462"/>
      <c r="E462"/>
      <c r="F462"/>
      <c r="G462"/>
      <c r="H462"/>
      <c r="I462"/>
      <c r="J462"/>
      <c r="K462"/>
      <c r="L462"/>
      <c r="M462"/>
      <c r="S462" s="54"/>
    </row>
    <row r="463" spans="1:19" s="15" customFormat="1" x14ac:dyDescent="0.3">
      <c r="A463" s="17"/>
      <c r="B463"/>
      <c r="C463"/>
      <c r="D463"/>
      <c r="E463"/>
      <c r="F463"/>
      <c r="G463"/>
      <c r="H463"/>
      <c r="I463"/>
      <c r="J463"/>
      <c r="K463"/>
      <c r="L463"/>
      <c r="M463"/>
      <c r="S463" s="54"/>
    </row>
    <row r="464" spans="1:19" s="15" customFormat="1" x14ac:dyDescent="0.3">
      <c r="A464" s="17"/>
      <c r="B464"/>
      <c r="C464"/>
      <c r="D464"/>
      <c r="E464"/>
      <c r="F464"/>
      <c r="G464"/>
      <c r="H464"/>
      <c r="I464"/>
      <c r="J464"/>
      <c r="K464"/>
      <c r="L464"/>
      <c r="M464"/>
      <c r="S464" s="54"/>
    </row>
    <row r="465" spans="1:19" s="15" customFormat="1" x14ac:dyDescent="0.3">
      <c r="A465" s="17"/>
      <c r="B465"/>
      <c r="C465"/>
      <c r="D465"/>
      <c r="E465"/>
      <c r="F465"/>
      <c r="G465"/>
      <c r="H465"/>
      <c r="I465"/>
      <c r="J465"/>
      <c r="K465"/>
      <c r="L465"/>
      <c r="M465"/>
      <c r="S465" s="54"/>
    </row>
    <row r="466" spans="1:19" s="15" customFormat="1" x14ac:dyDescent="0.3">
      <c r="A466" s="17"/>
      <c r="B466"/>
      <c r="C466"/>
      <c r="D466"/>
      <c r="E466"/>
      <c r="F466"/>
      <c r="G466"/>
      <c r="H466"/>
      <c r="I466"/>
      <c r="J466"/>
      <c r="K466"/>
      <c r="L466"/>
      <c r="M466"/>
      <c r="S466" s="54"/>
    </row>
    <row r="467" spans="1:19" s="15" customFormat="1" x14ac:dyDescent="0.3">
      <c r="A467" s="17"/>
      <c r="B467"/>
      <c r="C467"/>
      <c r="D467"/>
      <c r="E467"/>
      <c r="F467"/>
      <c r="G467"/>
      <c r="H467"/>
      <c r="I467"/>
      <c r="J467"/>
      <c r="K467"/>
      <c r="L467"/>
      <c r="M467"/>
      <c r="S467" s="54"/>
    </row>
    <row r="468" spans="1:19" s="15" customFormat="1" x14ac:dyDescent="0.3">
      <c r="A468" s="17"/>
      <c r="B468"/>
      <c r="C468"/>
      <c r="D468"/>
      <c r="E468"/>
      <c r="F468"/>
      <c r="G468"/>
      <c r="H468"/>
      <c r="I468"/>
      <c r="J468"/>
      <c r="K468"/>
      <c r="L468"/>
      <c r="M468"/>
      <c r="S468" s="54"/>
    </row>
    <row r="469" spans="1:19" s="15" customFormat="1" x14ac:dyDescent="0.3">
      <c r="A469" s="17"/>
      <c r="B469"/>
      <c r="C469"/>
      <c r="D469"/>
      <c r="E469"/>
      <c r="F469"/>
      <c r="G469"/>
      <c r="H469"/>
      <c r="I469"/>
      <c r="J469"/>
      <c r="K469"/>
      <c r="L469"/>
      <c r="M469"/>
      <c r="S469" s="54"/>
    </row>
    <row r="470" spans="1:19" s="15" customFormat="1" x14ac:dyDescent="0.3">
      <c r="A470" s="17"/>
      <c r="B470"/>
      <c r="C470"/>
      <c r="D470"/>
      <c r="E470"/>
      <c r="F470"/>
      <c r="G470"/>
      <c r="H470"/>
      <c r="I470"/>
      <c r="J470"/>
      <c r="K470"/>
      <c r="L470"/>
      <c r="M470"/>
      <c r="S470" s="54"/>
    </row>
    <row r="471" spans="1:19" s="15" customFormat="1" x14ac:dyDescent="0.3">
      <c r="A471" s="17"/>
      <c r="B471"/>
      <c r="C471"/>
      <c r="D471"/>
      <c r="E471"/>
      <c r="F471"/>
      <c r="G471"/>
      <c r="H471"/>
      <c r="I471"/>
      <c r="J471"/>
      <c r="K471"/>
      <c r="L471"/>
      <c r="M471"/>
      <c r="S471" s="54"/>
    </row>
    <row r="472" spans="1:19" s="15" customFormat="1" x14ac:dyDescent="0.3">
      <c r="A472" s="17"/>
      <c r="B472"/>
      <c r="C472"/>
      <c r="D472"/>
      <c r="E472"/>
      <c r="F472"/>
      <c r="G472"/>
      <c r="H472"/>
      <c r="I472"/>
      <c r="J472"/>
      <c r="K472"/>
      <c r="L472"/>
      <c r="M472"/>
      <c r="S472" s="54"/>
    </row>
    <row r="473" spans="1:19" s="15" customFormat="1" x14ac:dyDescent="0.3">
      <c r="A473" s="17"/>
      <c r="B473"/>
      <c r="C473"/>
      <c r="D473"/>
      <c r="E473"/>
      <c r="F473"/>
      <c r="G473"/>
      <c r="H473"/>
      <c r="I473"/>
      <c r="J473"/>
      <c r="K473"/>
      <c r="L473"/>
      <c r="M473"/>
      <c r="S473" s="54"/>
    </row>
    <row r="474" spans="1:19" s="15" customFormat="1" x14ac:dyDescent="0.3">
      <c r="A474" s="17"/>
      <c r="B474"/>
      <c r="C474"/>
      <c r="D474"/>
      <c r="E474"/>
      <c r="F474"/>
      <c r="G474"/>
      <c r="H474"/>
      <c r="I474"/>
      <c r="J474"/>
      <c r="K474"/>
      <c r="L474"/>
      <c r="M474"/>
      <c r="S474" s="54"/>
    </row>
    <row r="475" spans="1:19" s="15" customFormat="1" x14ac:dyDescent="0.3">
      <c r="A475" s="17"/>
      <c r="B475"/>
      <c r="C475"/>
      <c r="D475"/>
      <c r="E475"/>
      <c r="F475"/>
      <c r="G475"/>
      <c r="H475"/>
      <c r="I475"/>
      <c r="J475"/>
      <c r="K475"/>
      <c r="L475"/>
      <c r="M475"/>
      <c r="S475" s="54"/>
    </row>
    <row r="476" spans="1:19" s="15" customFormat="1" x14ac:dyDescent="0.3">
      <c r="A476" s="17"/>
      <c r="B476"/>
      <c r="C476"/>
      <c r="D476"/>
      <c r="E476"/>
      <c r="F476"/>
      <c r="G476"/>
      <c r="H476"/>
      <c r="I476"/>
      <c r="J476"/>
      <c r="K476"/>
      <c r="L476"/>
      <c r="M476"/>
      <c r="S476" s="54"/>
    </row>
    <row r="477" spans="1:19" s="15" customFormat="1" x14ac:dyDescent="0.3">
      <c r="A477" s="17"/>
      <c r="B477"/>
      <c r="C477"/>
      <c r="D477"/>
      <c r="E477"/>
      <c r="F477"/>
      <c r="G477"/>
      <c r="H477"/>
      <c r="I477"/>
      <c r="J477"/>
      <c r="K477"/>
      <c r="L477"/>
      <c r="M477"/>
      <c r="S477" s="54"/>
    </row>
    <row r="478" spans="1:19" s="15" customFormat="1" x14ac:dyDescent="0.3">
      <c r="A478" s="17"/>
      <c r="B478"/>
      <c r="C478"/>
      <c r="D478"/>
      <c r="E478"/>
      <c r="F478"/>
      <c r="G478"/>
      <c r="H478"/>
      <c r="I478"/>
      <c r="J478"/>
      <c r="K478"/>
      <c r="L478"/>
      <c r="M478"/>
      <c r="S478" s="54"/>
    </row>
    <row r="479" spans="1:19" s="15" customFormat="1" x14ac:dyDescent="0.3">
      <c r="A479" s="17"/>
      <c r="B479"/>
      <c r="C479"/>
      <c r="D479"/>
      <c r="E479"/>
      <c r="F479"/>
      <c r="G479"/>
      <c r="H479"/>
      <c r="I479"/>
      <c r="J479"/>
      <c r="K479"/>
      <c r="L479"/>
      <c r="M479"/>
      <c r="S479" s="54"/>
    </row>
    <row r="480" spans="1:19" s="15" customFormat="1" x14ac:dyDescent="0.3">
      <c r="A480" s="17"/>
      <c r="B480"/>
      <c r="C480"/>
      <c r="D480"/>
      <c r="E480"/>
      <c r="F480"/>
      <c r="G480"/>
      <c r="H480"/>
      <c r="I480"/>
      <c r="J480"/>
      <c r="K480"/>
      <c r="L480"/>
      <c r="M480"/>
      <c r="S480" s="54"/>
    </row>
    <row r="481" spans="1:19" s="15" customFormat="1" x14ac:dyDescent="0.3">
      <c r="A481" s="17"/>
      <c r="B481"/>
      <c r="C481"/>
      <c r="D481"/>
      <c r="E481"/>
      <c r="F481"/>
      <c r="G481"/>
      <c r="H481"/>
      <c r="I481"/>
      <c r="J481"/>
      <c r="K481"/>
      <c r="L481"/>
      <c r="M481"/>
      <c r="S481" s="54"/>
    </row>
    <row r="482" spans="1:19" s="15" customFormat="1" x14ac:dyDescent="0.3">
      <c r="A482" s="17"/>
      <c r="B482"/>
      <c r="C482"/>
      <c r="D482"/>
      <c r="E482"/>
      <c r="F482"/>
      <c r="G482"/>
      <c r="H482"/>
      <c r="I482"/>
      <c r="J482"/>
      <c r="K482"/>
      <c r="L482"/>
      <c r="M482"/>
      <c r="S482" s="54"/>
    </row>
    <row r="483" spans="1:19" s="15" customFormat="1" x14ac:dyDescent="0.3">
      <c r="A483" s="17"/>
      <c r="B483"/>
      <c r="C483"/>
      <c r="D483"/>
      <c r="E483"/>
      <c r="F483"/>
      <c r="G483"/>
      <c r="H483"/>
      <c r="I483"/>
      <c r="J483"/>
      <c r="K483"/>
      <c r="L483"/>
      <c r="M483"/>
      <c r="S483" s="54"/>
    </row>
    <row r="484" spans="1:19" s="15" customFormat="1" x14ac:dyDescent="0.3">
      <c r="A484" s="17"/>
      <c r="B484"/>
      <c r="C484"/>
      <c r="D484"/>
      <c r="E484"/>
      <c r="F484"/>
      <c r="G484"/>
      <c r="H484"/>
      <c r="I484"/>
      <c r="J484"/>
      <c r="K484"/>
      <c r="L484"/>
      <c r="M484"/>
      <c r="S484" s="54"/>
    </row>
    <row r="485" spans="1:19" s="15" customFormat="1" x14ac:dyDescent="0.3">
      <c r="A485" s="17"/>
      <c r="B485"/>
      <c r="C485"/>
      <c r="D485"/>
      <c r="E485"/>
      <c r="F485"/>
      <c r="G485"/>
      <c r="H485"/>
      <c r="I485"/>
      <c r="J485"/>
      <c r="K485"/>
      <c r="L485"/>
      <c r="M485"/>
      <c r="S485" s="54"/>
    </row>
    <row r="486" spans="1:19" s="15" customFormat="1" x14ac:dyDescent="0.3">
      <c r="A486" s="17"/>
      <c r="B486"/>
      <c r="C486"/>
      <c r="D486"/>
      <c r="E486"/>
      <c r="F486"/>
      <c r="G486"/>
      <c r="H486"/>
      <c r="I486"/>
      <c r="J486"/>
      <c r="K486"/>
      <c r="L486"/>
      <c r="M486"/>
      <c r="S486" s="54"/>
    </row>
    <row r="487" spans="1:19" s="15" customFormat="1" x14ac:dyDescent="0.3">
      <c r="A487" s="17"/>
      <c r="B487"/>
      <c r="C487"/>
      <c r="D487"/>
      <c r="E487"/>
      <c r="F487"/>
      <c r="G487"/>
      <c r="H487"/>
      <c r="I487"/>
      <c r="J487"/>
      <c r="K487"/>
      <c r="L487"/>
      <c r="M487"/>
      <c r="S487" s="54"/>
    </row>
    <row r="488" spans="1:19" s="15" customFormat="1" x14ac:dyDescent="0.3">
      <c r="A488" s="17"/>
      <c r="B488"/>
      <c r="C488"/>
      <c r="D488"/>
      <c r="E488"/>
      <c r="F488"/>
      <c r="G488"/>
      <c r="H488"/>
      <c r="I488"/>
      <c r="J488"/>
      <c r="K488"/>
      <c r="L488"/>
      <c r="M488"/>
      <c r="S488" s="54"/>
    </row>
    <row r="489" spans="1:19" s="15" customFormat="1" x14ac:dyDescent="0.3">
      <c r="A489" s="17"/>
      <c r="B489"/>
      <c r="C489"/>
      <c r="D489"/>
      <c r="E489"/>
      <c r="F489"/>
      <c r="G489"/>
      <c r="H489"/>
      <c r="I489"/>
      <c r="J489"/>
      <c r="K489"/>
      <c r="L489"/>
      <c r="M489"/>
      <c r="S489" s="54"/>
    </row>
    <row r="490" spans="1:19" s="15" customFormat="1" x14ac:dyDescent="0.3">
      <c r="A490" s="17"/>
      <c r="B490"/>
      <c r="C490"/>
      <c r="D490"/>
      <c r="E490"/>
      <c r="F490"/>
      <c r="G490"/>
      <c r="H490"/>
      <c r="I490"/>
      <c r="J490"/>
      <c r="K490"/>
      <c r="L490"/>
      <c r="M490"/>
      <c r="S490" s="54"/>
    </row>
    <row r="491" spans="1:19" s="15" customFormat="1" x14ac:dyDescent="0.3">
      <c r="A491" s="17"/>
      <c r="B491"/>
      <c r="C491"/>
      <c r="D491"/>
      <c r="E491"/>
      <c r="F491"/>
      <c r="G491"/>
      <c r="H491"/>
      <c r="I491"/>
      <c r="J491"/>
      <c r="K491"/>
      <c r="L491"/>
      <c r="M491"/>
      <c r="S491" s="54"/>
    </row>
    <row r="492" spans="1:19" s="15" customFormat="1" x14ac:dyDescent="0.3">
      <c r="A492" s="17"/>
      <c r="B492"/>
      <c r="C492"/>
      <c r="D492"/>
      <c r="E492"/>
      <c r="F492"/>
      <c r="G492"/>
      <c r="H492"/>
      <c r="I492"/>
      <c r="J492"/>
      <c r="K492"/>
      <c r="L492"/>
      <c r="M492"/>
      <c r="S492" s="54"/>
    </row>
    <row r="493" spans="1:19" s="15" customFormat="1" x14ac:dyDescent="0.3">
      <c r="A493" s="17"/>
      <c r="B493"/>
      <c r="C493"/>
      <c r="D493"/>
      <c r="E493"/>
      <c r="F493"/>
      <c r="G493"/>
      <c r="H493"/>
      <c r="I493"/>
      <c r="J493"/>
      <c r="K493"/>
      <c r="L493"/>
      <c r="M493"/>
      <c r="S493" s="54"/>
    </row>
    <row r="494" spans="1:19" s="15" customFormat="1" x14ac:dyDescent="0.3">
      <c r="A494" s="17"/>
      <c r="B494"/>
      <c r="C494"/>
      <c r="D494"/>
      <c r="E494"/>
      <c r="F494"/>
      <c r="G494"/>
      <c r="H494"/>
      <c r="I494"/>
      <c r="J494"/>
      <c r="K494"/>
      <c r="L494"/>
      <c r="M494"/>
      <c r="S494" s="54"/>
    </row>
    <row r="495" spans="1:19" s="15" customFormat="1" x14ac:dyDescent="0.3">
      <c r="A495" s="17"/>
      <c r="B495"/>
      <c r="C495"/>
      <c r="D495"/>
      <c r="E495"/>
      <c r="F495"/>
      <c r="G495"/>
      <c r="H495"/>
      <c r="I495"/>
      <c r="J495"/>
      <c r="K495"/>
      <c r="L495"/>
      <c r="M495"/>
      <c r="S495" s="54"/>
    </row>
    <row r="496" spans="1:19" s="15" customFormat="1" x14ac:dyDescent="0.3">
      <c r="A496" s="17"/>
      <c r="B496"/>
      <c r="C496"/>
      <c r="D496"/>
      <c r="E496"/>
      <c r="F496"/>
      <c r="G496"/>
      <c r="H496"/>
      <c r="I496"/>
      <c r="J496"/>
      <c r="K496"/>
      <c r="L496"/>
      <c r="M496"/>
      <c r="S496" s="54"/>
    </row>
    <row r="497" spans="1:19" s="15" customFormat="1" x14ac:dyDescent="0.3">
      <c r="A497" s="17"/>
      <c r="B497"/>
      <c r="C497"/>
      <c r="D497"/>
      <c r="E497"/>
      <c r="F497"/>
      <c r="G497"/>
      <c r="H497"/>
      <c r="I497"/>
      <c r="J497"/>
      <c r="K497"/>
      <c r="L497"/>
      <c r="M497"/>
      <c r="S497" s="54"/>
    </row>
    <row r="498" spans="1:19" s="15" customFormat="1" x14ac:dyDescent="0.3">
      <c r="A498" s="17"/>
      <c r="B498"/>
      <c r="C498"/>
      <c r="D498"/>
      <c r="E498"/>
      <c r="F498"/>
      <c r="G498"/>
      <c r="H498"/>
      <c r="I498"/>
      <c r="J498"/>
      <c r="K498"/>
      <c r="L498"/>
      <c r="M498"/>
      <c r="S498" s="54"/>
    </row>
    <row r="499" spans="1:19" s="15" customFormat="1" x14ac:dyDescent="0.3">
      <c r="A499" s="17"/>
      <c r="B499"/>
      <c r="C499"/>
      <c r="D499"/>
      <c r="E499"/>
      <c r="F499"/>
      <c r="G499"/>
      <c r="H499"/>
      <c r="I499"/>
      <c r="J499"/>
      <c r="K499"/>
      <c r="L499"/>
      <c r="M499"/>
      <c r="S499" s="54"/>
    </row>
    <row r="500" spans="1:19" s="15" customFormat="1" x14ac:dyDescent="0.3">
      <c r="A500" s="17"/>
      <c r="B500"/>
      <c r="C500"/>
      <c r="D500"/>
      <c r="E500"/>
      <c r="F500"/>
      <c r="G500"/>
      <c r="H500"/>
      <c r="I500"/>
      <c r="J500"/>
      <c r="K500"/>
      <c r="L500"/>
      <c r="M500"/>
      <c r="S500" s="54"/>
    </row>
    <row r="501" spans="1:19" s="15" customFormat="1" x14ac:dyDescent="0.3">
      <c r="A501" s="17"/>
      <c r="B501"/>
      <c r="C501"/>
      <c r="D501"/>
      <c r="E501"/>
      <c r="F501"/>
      <c r="G501"/>
      <c r="H501"/>
      <c r="I501"/>
      <c r="J501"/>
      <c r="K501"/>
      <c r="L501"/>
      <c r="M501"/>
      <c r="S501" s="54"/>
    </row>
    <row r="502" spans="1:19" s="15" customFormat="1" x14ac:dyDescent="0.3">
      <c r="A502" s="17"/>
      <c r="B502"/>
      <c r="C502"/>
      <c r="D502"/>
      <c r="E502"/>
      <c r="F502"/>
      <c r="G502"/>
      <c r="H502"/>
      <c r="I502"/>
      <c r="J502"/>
      <c r="K502"/>
      <c r="L502"/>
      <c r="M502"/>
      <c r="S502" s="54"/>
    </row>
    <row r="503" spans="1:19" s="15" customFormat="1" x14ac:dyDescent="0.3">
      <c r="A503" s="17"/>
      <c r="B503"/>
      <c r="C503"/>
      <c r="D503"/>
      <c r="E503"/>
      <c r="F503"/>
      <c r="G503"/>
      <c r="H503"/>
      <c r="I503"/>
      <c r="J503"/>
      <c r="K503"/>
      <c r="L503"/>
      <c r="M503"/>
      <c r="S503" s="54"/>
    </row>
    <row r="504" spans="1:19" s="15" customFormat="1" x14ac:dyDescent="0.3">
      <c r="A504" s="17"/>
      <c r="B504"/>
      <c r="C504"/>
      <c r="D504"/>
      <c r="E504"/>
      <c r="F504"/>
      <c r="G504"/>
      <c r="H504"/>
      <c r="I504"/>
      <c r="J504"/>
      <c r="K504"/>
      <c r="L504"/>
      <c r="M504"/>
      <c r="S504" s="54"/>
    </row>
    <row r="505" spans="1:19" s="15" customFormat="1" x14ac:dyDescent="0.3">
      <c r="A505" s="17"/>
      <c r="B505"/>
      <c r="C505"/>
      <c r="D505"/>
      <c r="E505"/>
      <c r="F505"/>
      <c r="G505"/>
      <c r="H505"/>
      <c r="I505"/>
      <c r="J505"/>
      <c r="K505"/>
      <c r="L505"/>
      <c r="M505"/>
      <c r="S505" s="54"/>
    </row>
    <row r="506" spans="1:19" s="15" customFormat="1" x14ac:dyDescent="0.3">
      <c r="A506" s="17"/>
      <c r="B506"/>
      <c r="C506"/>
      <c r="D506"/>
      <c r="E506"/>
      <c r="F506"/>
      <c r="G506"/>
      <c r="H506"/>
      <c r="I506"/>
      <c r="J506"/>
      <c r="K506"/>
      <c r="L506"/>
      <c r="M506"/>
      <c r="S506" s="54"/>
    </row>
    <row r="507" spans="1:19" s="15" customFormat="1" x14ac:dyDescent="0.3">
      <c r="A507" s="17"/>
      <c r="B507"/>
      <c r="C507"/>
      <c r="D507"/>
      <c r="E507"/>
      <c r="F507"/>
      <c r="G507"/>
      <c r="H507"/>
      <c r="I507"/>
      <c r="J507"/>
      <c r="K507"/>
      <c r="L507"/>
      <c r="M507"/>
      <c r="S507" s="54"/>
    </row>
    <row r="508" spans="1:19" s="15" customFormat="1" x14ac:dyDescent="0.3">
      <c r="A508" s="17"/>
      <c r="B508"/>
      <c r="C508"/>
      <c r="D508"/>
      <c r="E508"/>
      <c r="F508"/>
      <c r="G508"/>
      <c r="H508"/>
      <c r="I508"/>
      <c r="J508"/>
      <c r="K508"/>
      <c r="L508"/>
      <c r="M508"/>
      <c r="S508" s="54"/>
    </row>
    <row r="509" spans="1:19" s="15" customFormat="1" x14ac:dyDescent="0.3">
      <c r="A509" s="17"/>
      <c r="B509"/>
      <c r="C509"/>
      <c r="D509"/>
      <c r="E509"/>
      <c r="F509"/>
      <c r="G509"/>
      <c r="H509"/>
      <c r="I509"/>
      <c r="J509"/>
      <c r="K509"/>
      <c r="L509"/>
      <c r="M509"/>
      <c r="S509" s="54"/>
    </row>
    <row r="510" spans="1:19" s="15" customFormat="1" x14ac:dyDescent="0.3">
      <c r="A510" s="17"/>
      <c r="B510"/>
      <c r="C510"/>
      <c r="D510"/>
      <c r="E510"/>
      <c r="F510"/>
      <c r="G510"/>
      <c r="H510"/>
      <c r="I510"/>
      <c r="J510"/>
      <c r="K510"/>
      <c r="L510"/>
      <c r="M510"/>
      <c r="S510" s="54"/>
    </row>
    <row r="511" spans="1:19" s="15" customFormat="1" x14ac:dyDescent="0.3">
      <c r="A511" s="17"/>
      <c r="B511"/>
      <c r="C511"/>
      <c r="D511"/>
      <c r="E511"/>
      <c r="F511"/>
      <c r="G511"/>
      <c r="H511"/>
      <c r="I511"/>
      <c r="J511"/>
      <c r="K511"/>
      <c r="L511"/>
      <c r="M511"/>
      <c r="S511" s="54"/>
    </row>
    <row r="512" spans="1:19" s="15" customFormat="1" x14ac:dyDescent="0.3">
      <c r="A512" s="17"/>
      <c r="B512"/>
      <c r="C512"/>
      <c r="D512"/>
      <c r="E512"/>
      <c r="F512"/>
      <c r="G512"/>
      <c r="H512"/>
      <c r="I512"/>
      <c r="J512"/>
      <c r="K512"/>
      <c r="L512"/>
      <c r="M512"/>
      <c r="S512" s="54"/>
    </row>
    <row r="513" spans="1:19" s="15" customFormat="1" x14ac:dyDescent="0.3">
      <c r="A513" s="17"/>
      <c r="B513"/>
      <c r="C513"/>
      <c r="D513"/>
      <c r="E513"/>
      <c r="F513"/>
      <c r="G513"/>
      <c r="H513"/>
      <c r="I513"/>
      <c r="J513"/>
      <c r="K513"/>
      <c r="L513"/>
      <c r="M513"/>
      <c r="S513" s="54"/>
    </row>
    <row r="514" spans="1:19" s="15" customFormat="1" x14ac:dyDescent="0.3">
      <c r="A514" s="17"/>
      <c r="B514"/>
      <c r="C514"/>
      <c r="D514"/>
      <c r="E514"/>
      <c r="F514"/>
      <c r="G514"/>
      <c r="H514"/>
      <c r="I514"/>
      <c r="J514"/>
      <c r="K514"/>
      <c r="L514"/>
      <c r="M514"/>
      <c r="S514" s="54"/>
    </row>
    <row r="515" spans="1:19" s="15" customFormat="1" x14ac:dyDescent="0.3">
      <c r="A515" s="17"/>
      <c r="B515"/>
      <c r="C515"/>
      <c r="D515"/>
      <c r="E515"/>
      <c r="F515"/>
      <c r="G515"/>
      <c r="H515"/>
      <c r="I515"/>
      <c r="J515"/>
      <c r="K515"/>
      <c r="L515"/>
      <c r="M515"/>
      <c r="S515" s="54"/>
    </row>
    <row r="516" spans="1:19" s="15" customFormat="1" x14ac:dyDescent="0.3">
      <c r="A516" s="17"/>
      <c r="B516"/>
      <c r="C516"/>
      <c r="D516"/>
      <c r="E516"/>
      <c r="F516"/>
      <c r="G516"/>
      <c r="H516"/>
      <c r="I516"/>
      <c r="J516"/>
      <c r="K516"/>
      <c r="L516"/>
      <c r="M516"/>
      <c r="S516" s="54"/>
    </row>
    <row r="517" spans="1:19" s="15" customFormat="1" x14ac:dyDescent="0.3">
      <c r="A517" s="17"/>
      <c r="B517"/>
      <c r="C517"/>
      <c r="D517"/>
      <c r="E517"/>
      <c r="F517"/>
      <c r="G517"/>
      <c r="H517"/>
      <c r="I517"/>
      <c r="J517"/>
      <c r="K517"/>
      <c r="L517"/>
      <c r="M517"/>
      <c r="S517" s="54"/>
    </row>
    <row r="518" spans="1:19" s="15" customFormat="1" x14ac:dyDescent="0.3">
      <c r="A518" s="17"/>
      <c r="B518"/>
      <c r="C518"/>
      <c r="D518"/>
      <c r="E518"/>
      <c r="F518"/>
      <c r="G518"/>
      <c r="H518"/>
      <c r="I518"/>
      <c r="J518"/>
      <c r="K518"/>
      <c r="L518"/>
      <c r="M518"/>
      <c r="S518" s="54"/>
    </row>
    <row r="519" spans="1:19" s="15" customFormat="1" x14ac:dyDescent="0.3">
      <c r="A519" s="17"/>
      <c r="B519"/>
      <c r="C519"/>
      <c r="D519"/>
      <c r="E519"/>
      <c r="F519"/>
      <c r="G519"/>
      <c r="H519"/>
      <c r="I519"/>
      <c r="J519"/>
      <c r="K519"/>
      <c r="L519"/>
      <c r="M519"/>
      <c r="S519" s="54"/>
    </row>
    <row r="520" spans="1:19" s="15" customFormat="1" x14ac:dyDescent="0.3">
      <c r="A520" s="17"/>
      <c r="B520"/>
      <c r="C520"/>
      <c r="D520"/>
      <c r="E520"/>
      <c r="F520"/>
      <c r="G520"/>
      <c r="H520"/>
      <c r="I520"/>
      <c r="J520"/>
      <c r="K520"/>
      <c r="L520"/>
      <c r="M520"/>
      <c r="S520" s="54"/>
    </row>
    <row r="521" spans="1:19" s="15" customFormat="1" x14ac:dyDescent="0.3">
      <c r="A521" s="17"/>
      <c r="B521"/>
      <c r="C521"/>
      <c r="D521"/>
      <c r="E521"/>
      <c r="F521"/>
      <c r="G521"/>
      <c r="H521"/>
      <c r="I521"/>
      <c r="J521"/>
      <c r="K521"/>
      <c r="L521"/>
      <c r="M521"/>
      <c r="S521" s="54"/>
    </row>
    <row r="522" spans="1:19" s="15" customFormat="1" x14ac:dyDescent="0.3">
      <c r="A522" s="17"/>
      <c r="B522"/>
      <c r="C522"/>
      <c r="D522"/>
      <c r="E522"/>
      <c r="F522"/>
      <c r="G522"/>
      <c r="H522"/>
      <c r="I522"/>
      <c r="J522"/>
      <c r="K522"/>
      <c r="L522"/>
      <c r="M522"/>
      <c r="S522" s="54"/>
    </row>
    <row r="523" spans="1:19" s="15" customFormat="1" x14ac:dyDescent="0.3">
      <c r="A523" s="17"/>
      <c r="B523"/>
      <c r="C523"/>
      <c r="D523"/>
      <c r="E523"/>
      <c r="F523"/>
      <c r="G523"/>
      <c r="H523"/>
      <c r="I523"/>
      <c r="J523"/>
      <c r="K523"/>
      <c r="L523"/>
      <c r="M523"/>
      <c r="S523" s="54"/>
    </row>
    <row r="524" spans="1:19" s="15" customFormat="1" x14ac:dyDescent="0.3">
      <c r="A524" s="17"/>
      <c r="B524"/>
      <c r="C524"/>
      <c r="D524"/>
      <c r="E524"/>
      <c r="F524"/>
      <c r="G524"/>
      <c r="H524"/>
      <c r="I524"/>
      <c r="J524"/>
      <c r="K524"/>
      <c r="L524"/>
      <c r="M524"/>
      <c r="S524" s="54"/>
    </row>
    <row r="525" spans="1:19" s="15" customFormat="1" x14ac:dyDescent="0.3">
      <c r="A525" s="17"/>
      <c r="B525"/>
      <c r="C525"/>
      <c r="D525"/>
      <c r="E525"/>
      <c r="F525"/>
      <c r="G525"/>
      <c r="H525"/>
      <c r="I525"/>
      <c r="J525"/>
      <c r="K525"/>
      <c r="L525"/>
      <c r="M525"/>
      <c r="S525" s="54"/>
    </row>
    <row r="526" spans="1:19" s="15" customFormat="1" x14ac:dyDescent="0.3">
      <c r="A526" s="17"/>
      <c r="B526"/>
      <c r="C526"/>
      <c r="D526"/>
      <c r="E526"/>
      <c r="F526"/>
      <c r="G526"/>
      <c r="H526"/>
      <c r="I526"/>
      <c r="J526"/>
      <c r="K526"/>
      <c r="L526"/>
      <c r="M526"/>
      <c r="S526" s="54"/>
    </row>
    <row r="527" spans="1:19" s="15" customFormat="1" x14ac:dyDescent="0.3">
      <c r="A527" s="17"/>
      <c r="B527"/>
      <c r="C527"/>
      <c r="D527"/>
      <c r="E527"/>
      <c r="F527"/>
      <c r="G527"/>
      <c r="H527"/>
      <c r="I527"/>
      <c r="J527"/>
      <c r="K527"/>
      <c r="L527"/>
      <c r="M527"/>
      <c r="S527" s="54"/>
    </row>
    <row r="528" spans="1:19" s="15" customFormat="1" x14ac:dyDescent="0.3">
      <c r="A528" s="17"/>
      <c r="B528"/>
      <c r="C528"/>
      <c r="D528"/>
      <c r="E528"/>
      <c r="F528"/>
      <c r="G528"/>
      <c r="H528"/>
      <c r="I528"/>
      <c r="J528"/>
      <c r="K528"/>
      <c r="L528"/>
      <c r="M528"/>
      <c r="S528" s="54"/>
    </row>
    <row r="529" spans="1:19" s="15" customFormat="1" x14ac:dyDescent="0.3">
      <c r="A529" s="17"/>
      <c r="B529"/>
      <c r="C529"/>
      <c r="D529"/>
      <c r="E529"/>
      <c r="F529"/>
      <c r="G529"/>
      <c r="H529"/>
      <c r="I529"/>
      <c r="J529"/>
      <c r="K529"/>
      <c r="L529"/>
      <c r="M529"/>
      <c r="S529" s="54"/>
    </row>
    <row r="530" spans="1:19" s="15" customFormat="1" x14ac:dyDescent="0.3">
      <c r="A530" s="17"/>
      <c r="B530"/>
      <c r="C530"/>
      <c r="D530"/>
      <c r="E530"/>
      <c r="F530"/>
      <c r="G530"/>
      <c r="H530"/>
      <c r="I530"/>
      <c r="J530"/>
      <c r="K530"/>
      <c r="L530"/>
      <c r="M530"/>
      <c r="S530" s="54"/>
    </row>
    <row r="531" spans="1:19" s="15" customFormat="1" x14ac:dyDescent="0.3">
      <c r="A531" s="17"/>
      <c r="B531"/>
      <c r="C531"/>
      <c r="D531"/>
      <c r="E531"/>
      <c r="F531"/>
      <c r="G531"/>
      <c r="H531"/>
      <c r="I531"/>
      <c r="J531"/>
      <c r="K531"/>
      <c r="L531"/>
      <c r="M531"/>
      <c r="S531" s="54"/>
    </row>
    <row r="532" spans="1:19" s="15" customFormat="1" x14ac:dyDescent="0.3">
      <c r="A532" s="17"/>
      <c r="B532"/>
      <c r="C532"/>
      <c r="D532"/>
      <c r="E532"/>
      <c r="F532"/>
      <c r="G532"/>
      <c r="H532"/>
      <c r="I532"/>
      <c r="J532"/>
      <c r="K532"/>
      <c r="L532"/>
      <c r="M532"/>
      <c r="S532" s="54"/>
    </row>
    <row r="533" spans="1:19" s="15" customFormat="1" x14ac:dyDescent="0.3">
      <c r="A533" s="17"/>
      <c r="B533"/>
      <c r="C533"/>
      <c r="D533"/>
      <c r="E533"/>
      <c r="F533"/>
      <c r="G533"/>
      <c r="H533"/>
      <c r="I533"/>
      <c r="J533"/>
      <c r="K533"/>
      <c r="L533"/>
      <c r="M533"/>
      <c r="S533" s="54"/>
    </row>
    <row r="534" spans="1:19" s="15" customFormat="1" x14ac:dyDescent="0.3">
      <c r="A534" s="17"/>
      <c r="B534"/>
      <c r="C534"/>
      <c r="D534"/>
      <c r="E534"/>
      <c r="F534"/>
      <c r="G534"/>
      <c r="H534"/>
      <c r="I534"/>
      <c r="J534"/>
      <c r="K534"/>
      <c r="L534"/>
      <c r="M534"/>
      <c r="S534" s="54"/>
    </row>
    <row r="535" spans="1:19" s="15" customFormat="1" x14ac:dyDescent="0.3">
      <c r="A535" s="17"/>
      <c r="B535"/>
      <c r="C535"/>
      <c r="D535"/>
      <c r="E535"/>
      <c r="F535"/>
      <c r="G535"/>
      <c r="H535"/>
      <c r="I535"/>
      <c r="J535"/>
      <c r="K535"/>
      <c r="L535"/>
      <c r="M535"/>
      <c r="S535" s="54"/>
    </row>
    <row r="536" spans="1:19" s="15" customFormat="1" x14ac:dyDescent="0.3">
      <c r="A536" s="17"/>
      <c r="B536"/>
      <c r="C536"/>
      <c r="D536"/>
      <c r="E536"/>
      <c r="F536"/>
      <c r="G536"/>
      <c r="H536"/>
      <c r="I536"/>
      <c r="J536"/>
      <c r="K536"/>
      <c r="L536"/>
      <c r="M536"/>
      <c r="S536" s="54"/>
    </row>
    <row r="537" spans="1:19" s="15" customFormat="1" x14ac:dyDescent="0.3">
      <c r="A537" s="17"/>
      <c r="B537"/>
      <c r="C537"/>
      <c r="D537"/>
      <c r="E537"/>
      <c r="F537"/>
      <c r="G537"/>
      <c r="H537"/>
      <c r="I537"/>
      <c r="J537"/>
      <c r="K537"/>
      <c r="L537"/>
      <c r="M537"/>
      <c r="S537" s="54"/>
    </row>
    <row r="538" spans="1:19" s="15" customFormat="1" x14ac:dyDescent="0.3">
      <c r="A538" s="17"/>
      <c r="B538"/>
      <c r="C538"/>
      <c r="D538"/>
      <c r="E538"/>
      <c r="F538"/>
      <c r="G538"/>
      <c r="H538"/>
      <c r="I538"/>
      <c r="J538"/>
      <c r="K538"/>
      <c r="L538"/>
      <c r="M538"/>
      <c r="S538" s="54"/>
    </row>
    <row r="539" spans="1:19" s="15" customFormat="1" x14ac:dyDescent="0.3">
      <c r="A539" s="17"/>
      <c r="B539"/>
      <c r="C539"/>
      <c r="D539"/>
      <c r="E539"/>
      <c r="F539"/>
      <c r="G539"/>
      <c r="H539"/>
      <c r="I539"/>
      <c r="J539"/>
      <c r="K539"/>
      <c r="L539"/>
      <c r="M539"/>
      <c r="S539" s="54"/>
    </row>
    <row r="540" spans="1:19" s="15" customFormat="1" x14ac:dyDescent="0.3">
      <c r="A540" s="17"/>
      <c r="B540"/>
      <c r="C540"/>
      <c r="D540"/>
      <c r="E540"/>
      <c r="F540"/>
      <c r="G540"/>
      <c r="H540"/>
      <c r="I540"/>
      <c r="J540"/>
      <c r="K540"/>
      <c r="L540"/>
      <c r="M540"/>
      <c r="S540" s="54"/>
    </row>
    <row r="541" spans="1:19" s="15" customFormat="1" x14ac:dyDescent="0.3">
      <c r="A541" s="17"/>
      <c r="B541"/>
      <c r="C541"/>
      <c r="D541"/>
      <c r="E541"/>
      <c r="F541"/>
      <c r="G541"/>
      <c r="H541"/>
      <c r="I541"/>
      <c r="J541"/>
      <c r="K541"/>
      <c r="L541"/>
      <c r="M541"/>
      <c r="S541" s="54"/>
    </row>
    <row r="542" spans="1:19" s="15" customFormat="1" x14ac:dyDescent="0.3">
      <c r="A542" s="17"/>
      <c r="B542"/>
      <c r="C542"/>
      <c r="D542"/>
      <c r="E542"/>
      <c r="F542"/>
      <c r="G542"/>
      <c r="H542"/>
      <c r="I542"/>
      <c r="J542"/>
      <c r="K542"/>
      <c r="L542"/>
      <c r="M542"/>
      <c r="S542" s="54"/>
    </row>
    <row r="543" spans="1:19" s="15" customFormat="1" x14ac:dyDescent="0.3">
      <c r="A543" s="17"/>
      <c r="B543"/>
      <c r="C543"/>
      <c r="D543"/>
      <c r="E543"/>
      <c r="F543"/>
      <c r="G543"/>
      <c r="H543"/>
      <c r="I543"/>
      <c r="J543"/>
      <c r="K543"/>
      <c r="L543"/>
      <c r="M543"/>
      <c r="S543" s="54"/>
    </row>
    <row r="544" spans="1:19" s="15" customFormat="1" x14ac:dyDescent="0.3">
      <c r="A544" s="17"/>
      <c r="B544"/>
      <c r="C544"/>
      <c r="D544"/>
      <c r="E544"/>
      <c r="F544"/>
      <c r="G544"/>
      <c r="H544"/>
      <c r="I544"/>
      <c r="J544"/>
      <c r="K544"/>
      <c r="L544"/>
      <c r="M544"/>
      <c r="S544" s="54"/>
    </row>
    <row r="545" spans="1:19" s="15" customFormat="1" x14ac:dyDescent="0.3">
      <c r="A545" s="17"/>
      <c r="B545"/>
      <c r="C545"/>
      <c r="D545"/>
      <c r="E545"/>
      <c r="F545"/>
      <c r="G545"/>
      <c r="H545"/>
      <c r="I545"/>
      <c r="J545"/>
      <c r="K545"/>
      <c r="L545"/>
      <c r="M545"/>
      <c r="S545" s="54"/>
    </row>
    <row r="546" spans="1:19" s="15" customFormat="1" x14ac:dyDescent="0.3">
      <c r="A546" s="17"/>
      <c r="B546"/>
      <c r="C546"/>
      <c r="D546"/>
      <c r="E546"/>
      <c r="F546"/>
      <c r="G546"/>
      <c r="H546"/>
      <c r="I546"/>
      <c r="J546"/>
      <c r="K546"/>
      <c r="L546"/>
      <c r="M546"/>
      <c r="S546" s="54"/>
    </row>
    <row r="547" spans="1:19" s="15" customFormat="1" x14ac:dyDescent="0.3">
      <c r="A547" s="17"/>
      <c r="B547"/>
      <c r="C547"/>
      <c r="D547"/>
      <c r="E547"/>
      <c r="F547"/>
      <c r="G547"/>
      <c r="H547"/>
      <c r="I547"/>
      <c r="J547"/>
      <c r="K547"/>
      <c r="L547"/>
      <c r="M547"/>
      <c r="S547" s="54"/>
    </row>
    <row r="548" spans="1:19" s="15" customFormat="1" x14ac:dyDescent="0.3">
      <c r="A548" s="17"/>
      <c r="B548"/>
      <c r="C548"/>
      <c r="D548"/>
      <c r="E548"/>
      <c r="F548"/>
      <c r="G548"/>
      <c r="H548"/>
      <c r="I548"/>
      <c r="J548"/>
      <c r="K548"/>
      <c r="L548"/>
      <c r="M548"/>
      <c r="S548" s="54"/>
    </row>
    <row r="549" spans="1:19" s="15" customFormat="1" x14ac:dyDescent="0.3">
      <c r="A549" s="17"/>
      <c r="B549"/>
      <c r="C549"/>
      <c r="D549"/>
      <c r="E549"/>
      <c r="F549"/>
      <c r="G549"/>
      <c r="H549"/>
      <c r="I549"/>
      <c r="J549"/>
      <c r="K549"/>
      <c r="L549"/>
      <c r="M549"/>
      <c r="S549" s="54"/>
    </row>
    <row r="550" spans="1:19" s="15" customFormat="1" x14ac:dyDescent="0.3">
      <c r="A550" s="17"/>
      <c r="B550"/>
      <c r="C550"/>
      <c r="D550"/>
      <c r="E550"/>
      <c r="F550"/>
      <c r="G550"/>
      <c r="H550"/>
      <c r="I550"/>
      <c r="J550"/>
      <c r="K550"/>
      <c r="L550"/>
      <c r="M550"/>
      <c r="S550" s="54"/>
    </row>
    <row r="551" spans="1:19" s="15" customFormat="1" x14ac:dyDescent="0.3">
      <c r="A551" s="17"/>
      <c r="B551"/>
      <c r="C551"/>
      <c r="D551"/>
      <c r="E551"/>
      <c r="F551"/>
      <c r="G551"/>
      <c r="H551"/>
      <c r="I551"/>
      <c r="J551"/>
      <c r="K551"/>
      <c r="L551"/>
      <c r="M551"/>
      <c r="S551" s="54"/>
    </row>
    <row r="552" spans="1:19" s="15" customFormat="1" x14ac:dyDescent="0.3">
      <c r="A552" s="17"/>
      <c r="B552"/>
      <c r="C552"/>
      <c r="D552"/>
      <c r="E552"/>
      <c r="F552"/>
      <c r="G552"/>
      <c r="H552"/>
      <c r="I552"/>
      <c r="J552"/>
      <c r="K552"/>
      <c r="L552"/>
      <c r="M552"/>
      <c r="S552" s="54"/>
    </row>
    <row r="553" spans="1:19" s="15" customFormat="1" x14ac:dyDescent="0.3">
      <c r="A553" s="17"/>
      <c r="B553"/>
      <c r="C553"/>
      <c r="D553"/>
      <c r="E553"/>
      <c r="F553"/>
      <c r="G553"/>
      <c r="H553"/>
      <c r="I553"/>
      <c r="J553"/>
      <c r="K553"/>
      <c r="L553"/>
      <c r="M553"/>
      <c r="S553" s="54"/>
    </row>
    <row r="554" spans="1:19" s="15" customFormat="1" x14ac:dyDescent="0.3">
      <c r="A554" s="17"/>
      <c r="B554"/>
      <c r="C554"/>
      <c r="D554"/>
      <c r="E554"/>
      <c r="F554"/>
      <c r="G554"/>
      <c r="H554"/>
      <c r="I554"/>
      <c r="J554"/>
      <c r="K554"/>
      <c r="L554"/>
      <c r="M554"/>
      <c r="S554" s="54"/>
    </row>
    <row r="555" spans="1:19" s="15" customFormat="1" x14ac:dyDescent="0.3">
      <c r="A555" s="17"/>
      <c r="B555"/>
      <c r="C555"/>
      <c r="D555"/>
      <c r="E555"/>
      <c r="F555"/>
      <c r="G555"/>
      <c r="H555"/>
      <c r="I555"/>
      <c r="J555"/>
      <c r="K555"/>
      <c r="L555"/>
      <c r="M555"/>
      <c r="S555" s="54"/>
    </row>
    <row r="556" spans="1:19" s="15" customFormat="1" x14ac:dyDescent="0.3">
      <c r="A556" s="17"/>
      <c r="B556"/>
      <c r="C556"/>
      <c r="D556"/>
      <c r="E556"/>
      <c r="F556"/>
      <c r="G556"/>
      <c r="H556"/>
      <c r="I556"/>
      <c r="J556"/>
      <c r="K556"/>
      <c r="L556"/>
      <c r="M556"/>
      <c r="S556" s="54"/>
    </row>
    <row r="557" spans="1:19" s="15" customFormat="1" x14ac:dyDescent="0.3">
      <c r="A557" s="17"/>
      <c r="B557"/>
      <c r="C557"/>
      <c r="D557"/>
      <c r="E557"/>
      <c r="F557"/>
      <c r="G557"/>
      <c r="H557"/>
      <c r="I557"/>
      <c r="J557"/>
      <c r="K557"/>
      <c r="L557"/>
      <c r="M557"/>
      <c r="S557" s="54"/>
    </row>
    <row r="558" spans="1:19" s="15" customFormat="1" x14ac:dyDescent="0.3">
      <c r="A558" s="17"/>
      <c r="B558"/>
      <c r="C558"/>
      <c r="D558"/>
      <c r="E558"/>
      <c r="F558"/>
      <c r="G558"/>
      <c r="H558"/>
      <c r="I558"/>
      <c r="J558"/>
      <c r="K558"/>
      <c r="L558"/>
      <c r="M558"/>
      <c r="S558" s="54"/>
    </row>
    <row r="559" spans="1:19" s="15" customFormat="1" x14ac:dyDescent="0.3">
      <c r="A559" s="17"/>
      <c r="B559"/>
      <c r="C559"/>
      <c r="D559"/>
      <c r="E559"/>
      <c r="F559"/>
      <c r="G559"/>
      <c r="H559"/>
      <c r="I559"/>
      <c r="J559"/>
      <c r="K559"/>
      <c r="L559"/>
      <c r="M559"/>
      <c r="S559" s="54"/>
    </row>
    <row r="560" spans="1:19" s="15" customFormat="1" x14ac:dyDescent="0.3">
      <c r="A560" s="17"/>
      <c r="B560"/>
      <c r="C560"/>
      <c r="D560"/>
      <c r="E560"/>
      <c r="F560"/>
      <c r="G560"/>
      <c r="H560"/>
      <c r="I560"/>
      <c r="J560"/>
      <c r="K560"/>
      <c r="L560"/>
      <c r="M560"/>
      <c r="S560" s="54"/>
    </row>
    <row r="561" spans="1:19" s="15" customFormat="1" x14ac:dyDescent="0.3">
      <c r="A561" s="17"/>
      <c r="B561"/>
      <c r="C561"/>
      <c r="D561"/>
      <c r="E561"/>
      <c r="F561"/>
      <c r="G561"/>
      <c r="H561"/>
      <c r="I561"/>
      <c r="J561"/>
      <c r="K561"/>
      <c r="L561"/>
      <c r="M561"/>
      <c r="S561" s="54"/>
    </row>
    <row r="562" spans="1:19" s="15" customFormat="1" x14ac:dyDescent="0.3">
      <c r="A562" s="17"/>
      <c r="B562"/>
      <c r="C562"/>
      <c r="D562"/>
      <c r="E562"/>
      <c r="F562"/>
      <c r="G562"/>
      <c r="H562"/>
      <c r="I562"/>
      <c r="J562"/>
      <c r="K562"/>
      <c r="L562"/>
      <c r="M562"/>
      <c r="S562" s="54"/>
    </row>
    <row r="563" spans="1:19" s="15" customFormat="1" x14ac:dyDescent="0.3">
      <c r="A563" s="17"/>
      <c r="B563"/>
      <c r="C563"/>
      <c r="D563"/>
      <c r="E563"/>
      <c r="F563"/>
      <c r="G563"/>
      <c r="H563"/>
      <c r="I563"/>
      <c r="J563"/>
      <c r="K563"/>
      <c r="L563"/>
      <c r="M563"/>
      <c r="S563" s="54"/>
    </row>
    <row r="564" spans="1:19" s="15" customFormat="1" x14ac:dyDescent="0.3">
      <c r="A564" s="17"/>
      <c r="B564"/>
      <c r="C564"/>
      <c r="D564"/>
      <c r="E564"/>
      <c r="F564"/>
      <c r="G564"/>
      <c r="H564"/>
      <c r="I564"/>
      <c r="J564"/>
      <c r="K564"/>
      <c r="L564"/>
      <c r="M564"/>
      <c r="S564" s="54"/>
    </row>
    <row r="565" spans="1:19" s="15" customFormat="1" x14ac:dyDescent="0.3">
      <c r="A565" s="17"/>
      <c r="B565"/>
      <c r="C565"/>
      <c r="D565"/>
      <c r="E565"/>
      <c r="F565"/>
      <c r="G565"/>
      <c r="H565"/>
      <c r="I565"/>
      <c r="J565"/>
      <c r="K565"/>
      <c r="L565"/>
      <c r="M565"/>
      <c r="S565" s="54"/>
    </row>
    <row r="566" spans="1:19" s="15" customFormat="1" x14ac:dyDescent="0.3">
      <c r="A566" s="17"/>
      <c r="B566"/>
      <c r="C566"/>
      <c r="D566"/>
      <c r="E566"/>
      <c r="F566"/>
      <c r="G566"/>
      <c r="H566"/>
      <c r="I566"/>
      <c r="J566"/>
      <c r="K566"/>
      <c r="L566"/>
      <c r="M566"/>
      <c r="S566" s="54"/>
    </row>
    <row r="567" spans="1:19" s="15" customFormat="1" x14ac:dyDescent="0.3">
      <c r="A567" s="17"/>
      <c r="B567"/>
      <c r="C567"/>
      <c r="D567"/>
      <c r="E567"/>
      <c r="F567"/>
      <c r="G567"/>
      <c r="H567"/>
      <c r="I567"/>
      <c r="J567"/>
      <c r="K567"/>
      <c r="L567"/>
      <c r="M567"/>
      <c r="S567" s="54"/>
    </row>
    <row r="568" spans="1:19" s="15" customFormat="1" x14ac:dyDescent="0.3">
      <c r="A568" s="17"/>
      <c r="B568"/>
      <c r="C568"/>
      <c r="D568"/>
      <c r="E568"/>
      <c r="F568"/>
      <c r="G568"/>
      <c r="H568"/>
      <c r="I568"/>
      <c r="J568"/>
      <c r="K568"/>
      <c r="L568"/>
      <c r="M568"/>
      <c r="S568" s="54"/>
    </row>
    <row r="569" spans="1:19" s="15" customFormat="1" x14ac:dyDescent="0.3">
      <c r="A569" s="17"/>
      <c r="B569"/>
      <c r="C569"/>
      <c r="D569"/>
      <c r="E569"/>
      <c r="F569"/>
      <c r="G569"/>
      <c r="H569"/>
      <c r="I569"/>
      <c r="J569"/>
      <c r="K569"/>
      <c r="L569"/>
      <c r="M569"/>
      <c r="S569" s="54"/>
    </row>
    <row r="570" spans="1:19" s="15" customFormat="1" x14ac:dyDescent="0.3">
      <c r="A570" s="17"/>
      <c r="B570"/>
      <c r="C570"/>
      <c r="D570"/>
      <c r="E570"/>
      <c r="F570"/>
      <c r="G570"/>
      <c r="H570"/>
      <c r="I570"/>
      <c r="J570"/>
      <c r="K570"/>
      <c r="L570"/>
      <c r="M570"/>
      <c r="S570" s="54"/>
    </row>
    <row r="571" spans="1:19" s="15" customFormat="1" x14ac:dyDescent="0.3">
      <c r="A571" s="17"/>
      <c r="B571"/>
      <c r="C571"/>
      <c r="D571"/>
      <c r="E571"/>
      <c r="F571"/>
      <c r="G571"/>
      <c r="H571"/>
      <c r="I571"/>
      <c r="J571"/>
      <c r="K571"/>
      <c r="L571"/>
      <c r="M571"/>
      <c r="S571" s="54"/>
    </row>
    <row r="572" spans="1:19" s="15" customFormat="1" x14ac:dyDescent="0.3">
      <c r="A572" s="17"/>
      <c r="B572"/>
      <c r="C572"/>
      <c r="D572"/>
      <c r="E572"/>
      <c r="F572"/>
      <c r="G572"/>
      <c r="H572"/>
      <c r="I572"/>
      <c r="J572"/>
      <c r="K572"/>
      <c r="L572"/>
      <c r="M572"/>
      <c r="S572" s="54"/>
    </row>
    <row r="573" spans="1:19" s="15" customFormat="1" x14ac:dyDescent="0.3">
      <c r="A573" s="17"/>
      <c r="B573"/>
      <c r="C573"/>
      <c r="D573"/>
      <c r="E573"/>
      <c r="F573"/>
      <c r="G573"/>
      <c r="H573"/>
      <c r="I573"/>
      <c r="J573"/>
      <c r="K573"/>
      <c r="L573"/>
      <c r="M573"/>
      <c r="S573" s="54"/>
    </row>
    <row r="574" spans="1:19" s="15" customFormat="1" x14ac:dyDescent="0.3">
      <c r="A574" s="17"/>
      <c r="B574"/>
      <c r="C574"/>
      <c r="D574"/>
      <c r="E574"/>
      <c r="F574"/>
      <c r="G574"/>
      <c r="H574"/>
      <c r="I574"/>
      <c r="J574"/>
      <c r="K574"/>
      <c r="L574"/>
      <c r="M574"/>
      <c r="S574" s="54"/>
    </row>
    <row r="575" spans="1:19" s="15" customFormat="1" x14ac:dyDescent="0.3">
      <c r="A575" s="17"/>
      <c r="B575"/>
      <c r="C575"/>
      <c r="D575"/>
      <c r="E575"/>
      <c r="F575"/>
      <c r="G575"/>
      <c r="H575"/>
      <c r="I575"/>
      <c r="J575"/>
      <c r="K575"/>
      <c r="L575"/>
      <c r="M575"/>
      <c r="S575" s="54"/>
    </row>
    <row r="576" spans="1:19" s="15" customFormat="1" x14ac:dyDescent="0.3">
      <c r="A576" s="17"/>
      <c r="B576"/>
      <c r="C576"/>
      <c r="D576"/>
      <c r="E576"/>
      <c r="F576"/>
      <c r="G576"/>
      <c r="H576"/>
      <c r="I576"/>
      <c r="J576"/>
      <c r="K576"/>
      <c r="L576"/>
      <c r="M576"/>
      <c r="S576" s="54"/>
    </row>
    <row r="577" spans="1:19" s="15" customFormat="1" x14ac:dyDescent="0.3">
      <c r="A577" s="17"/>
      <c r="B577"/>
      <c r="C577"/>
      <c r="D577"/>
      <c r="E577"/>
      <c r="F577"/>
      <c r="G577"/>
      <c r="H577"/>
      <c r="I577"/>
      <c r="J577"/>
      <c r="K577"/>
      <c r="L577"/>
      <c r="M577"/>
      <c r="S577" s="54"/>
    </row>
    <row r="578" spans="1:19" s="15" customFormat="1" x14ac:dyDescent="0.3">
      <c r="A578" s="17"/>
      <c r="B578"/>
      <c r="C578"/>
      <c r="D578"/>
      <c r="E578"/>
      <c r="F578"/>
      <c r="G578"/>
      <c r="H578"/>
      <c r="I578"/>
      <c r="J578"/>
      <c r="K578"/>
      <c r="L578"/>
      <c r="M578"/>
      <c r="S578" s="54"/>
    </row>
    <row r="579" spans="1:19" s="15" customFormat="1" x14ac:dyDescent="0.3">
      <c r="A579" s="17"/>
      <c r="B579"/>
      <c r="C579"/>
      <c r="D579"/>
      <c r="E579"/>
      <c r="F579"/>
      <c r="G579"/>
      <c r="H579"/>
      <c r="I579"/>
      <c r="J579"/>
      <c r="K579"/>
      <c r="L579"/>
      <c r="M579"/>
      <c r="S579" s="54"/>
    </row>
    <row r="580" spans="1:19" s="15" customFormat="1" x14ac:dyDescent="0.3">
      <c r="A580" s="17"/>
      <c r="B580"/>
      <c r="C580"/>
      <c r="D580"/>
      <c r="E580"/>
      <c r="F580"/>
      <c r="G580"/>
      <c r="H580"/>
      <c r="I580"/>
      <c r="J580"/>
      <c r="K580"/>
      <c r="L580"/>
      <c r="M580"/>
      <c r="S580" s="54"/>
    </row>
    <row r="581" spans="1:19" s="15" customFormat="1" x14ac:dyDescent="0.3">
      <c r="A581" s="17"/>
      <c r="B581"/>
      <c r="C581"/>
      <c r="D581"/>
      <c r="E581"/>
      <c r="F581"/>
      <c r="G581"/>
      <c r="H581"/>
      <c r="I581"/>
      <c r="J581"/>
      <c r="K581"/>
      <c r="L581"/>
      <c r="M581"/>
      <c r="S581" s="54"/>
    </row>
    <row r="582" spans="1:19" s="15" customFormat="1" x14ac:dyDescent="0.3">
      <c r="A582" s="17"/>
      <c r="B582"/>
      <c r="C582"/>
      <c r="D582"/>
      <c r="E582"/>
      <c r="F582"/>
      <c r="G582"/>
      <c r="H582"/>
      <c r="I582"/>
      <c r="J582"/>
      <c r="K582"/>
      <c r="L582"/>
      <c r="M582"/>
      <c r="S582" s="54"/>
    </row>
    <row r="583" spans="1:19" s="15" customFormat="1" x14ac:dyDescent="0.3">
      <c r="A583" s="17"/>
      <c r="B583"/>
      <c r="C583"/>
      <c r="D583"/>
      <c r="E583"/>
      <c r="F583"/>
      <c r="G583"/>
      <c r="H583"/>
      <c r="I583"/>
      <c r="J583"/>
      <c r="K583"/>
      <c r="L583"/>
      <c r="M583"/>
      <c r="S583" s="54"/>
    </row>
    <row r="584" spans="1:19" s="15" customFormat="1" x14ac:dyDescent="0.3">
      <c r="A584" s="17"/>
      <c r="B584"/>
      <c r="C584"/>
      <c r="D584"/>
      <c r="E584"/>
      <c r="F584"/>
      <c r="G584"/>
      <c r="H584"/>
      <c r="I584"/>
      <c r="J584"/>
      <c r="K584"/>
      <c r="L584"/>
      <c r="M584"/>
      <c r="S584" s="54"/>
    </row>
    <row r="585" spans="1:19" s="15" customFormat="1" x14ac:dyDescent="0.3">
      <c r="A585" s="17"/>
      <c r="B585"/>
      <c r="C585"/>
      <c r="D585"/>
      <c r="E585"/>
      <c r="F585"/>
      <c r="G585"/>
      <c r="H585"/>
      <c r="I585"/>
      <c r="J585"/>
      <c r="K585"/>
      <c r="L585"/>
      <c r="M585"/>
      <c r="S585" s="54"/>
    </row>
    <row r="586" spans="1:19" s="15" customFormat="1" x14ac:dyDescent="0.3">
      <c r="A586" s="17"/>
      <c r="B586"/>
      <c r="C586"/>
      <c r="D586"/>
      <c r="E586"/>
      <c r="F586"/>
      <c r="G586"/>
      <c r="H586"/>
      <c r="I586"/>
      <c r="J586"/>
      <c r="K586"/>
      <c r="L586"/>
      <c r="M586"/>
      <c r="S586" s="54"/>
    </row>
    <row r="587" spans="1:19" s="15" customFormat="1" x14ac:dyDescent="0.3">
      <c r="A587" s="17"/>
      <c r="B587"/>
      <c r="C587"/>
      <c r="D587"/>
      <c r="E587"/>
      <c r="F587"/>
      <c r="G587"/>
      <c r="H587"/>
      <c r="I587"/>
      <c r="J587"/>
      <c r="K587"/>
      <c r="L587"/>
      <c r="M587"/>
      <c r="S587" s="54"/>
    </row>
    <row r="588" spans="1:19" s="15" customFormat="1" x14ac:dyDescent="0.3">
      <c r="A588" s="17"/>
      <c r="B588"/>
      <c r="C588"/>
      <c r="D588"/>
      <c r="E588"/>
      <c r="F588"/>
      <c r="G588"/>
      <c r="H588"/>
      <c r="I588"/>
      <c r="J588"/>
      <c r="K588"/>
      <c r="L588"/>
      <c r="M588"/>
      <c r="S588" s="54"/>
    </row>
    <row r="589" spans="1:19" s="15" customFormat="1" x14ac:dyDescent="0.3">
      <c r="A589" s="17"/>
      <c r="B589"/>
      <c r="C589"/>
      <c r="D589"/>
      <c r="E589"/>
      <c r="F589"/>
      <c r="G589"/>
      <c r="H589"/>
      <c r="I589"/>
      <c r="J589"/>
      <c r="K589"/>
      <c r="L589"/>
      <c r="M589"/>
      <c r="S589" s="54"/>
    </row>
    <row r="590" spans="1:19" s="15" customFormat="1" x14ac:dyDescent="0.3">
      <c r="A590" s="17"/>
      <c r="B590"/>
      <c r="C590"/>
      <c r="D590"/>
      <c r="E590"/>
      <c r="F590"/>
      <c r="G590"/>
      <c r="H590"/>
      <c r="I590"/>
      <c r="J590"/>
      <c r="K590"/>
      <c r="L590"/>
      <c r="M590"/>
      <c r="S590" s="54"/>
    </row>
    <row r="591" spans="1:19" s="15" customFormat="1" x14ac:dyDescent="0.3">
      <c r="A591" s="17"/>
      <c r="B591"/>
      <c r="C591"/>
      <c r="D591"/>
      <c r="E591"/>
      <c r="F591"/>
      <c r="G591"/>
      <c r="H591"/>
      <c r="I591"/>
      <c r="J591"/>
      <c r="K591"/>
      <c r="L591"/>
      <c r="M591"/>
      <c r="S591" s="54"/>
    </row>
    <row r="592" spans="1:19" s="15" customFormat="1" x14ac:dyDescent="0.3">
      <c r="A592" s="17"/>
      <c r="B592"/>
      <c r="C592"/>
      <c r="D592"/>
      <c r="E592"/>
      <c r="F592"/>
      <c r="G592"/>
      <c r="H592"/>
      <c r="I592"/>
      <c r="J592"/>
      <c r="K592"/>
      <c r="L592"/>
      <c r="M592"/>
      <c r="S592" s="54"/>
    </row>
    <row r="593" spans="1:19" s="15" customFormat="1" x14ac:dyDescent="0.3">
      <c r="A593" s="17"/>
      <c r="B593"/>
      <c r="C593"/>
      <c r="D593"/>
      <c r="E593"/>
      <c r="F593"/>
      <c r="G593"/>
      <c r="H593"/>
      <c r="I593"/>
      <c r="J593"/>
      <c r="K593"/>
      <c r="L593"/>
      <c r="M593"/>
      <c r="S593" s="54"/>
    </row>
    <row r="594" spans="1:19" s="15" customFormat="1" x14ac:dyDescent="0.3">
      <c r="A594" s="17"/>
      <c r="B594"/>
      <c r="C594"/>
      <c r="D594"/>
      <c r="E594"/>
      <c r="F594"/>
      <c r="G594"/>
      <c r="H594"/>
      <c r="I594"/>
      <c r="J594"/>
      <c r="K594"/>
      <c r="L594"/>
      <c r="M594"/>
      <c r="S594" s="54"/>
    </row>
    <row r="595" spans="1:19" s="15" customFormat="1" x14ac:dyDescent="0.3">
      <c r="A595" s="17"/>
      <c r="B595"/>
      <c r="C595"/>
      <c r="D595"/>
      <c r="E595"/>
      <c r="F595"/>
      <c r="G595"/>
      <c r="H595"/>
      <c r="I595"/>
      <c r="J595"/>
      <c r="K595"/>
      <c r="L595"/>
      <c r="M595"/>
      <c r="S595" s="54"/>
    </row>
    <row r="596" spans="1:19" s="15" customFormat="1" x14ac:dyDescent="0.3">
      <c r="A596" s="17"/>
      <c r="B596"/>
      <c r="C596"/>
      <c r="D596"/>
      <c r="E596"/>
      <c r="F596"/>
      <c r="G596"/>
      <c r="H596"/>
      <c r="I596"/>
      <c r="J596"/>
      <c r="K596"/>
      <c r="L596"/>
      <c r="M596"/>
      <c r="S596" s="54"/>
    </row>
    <row r="597" spans="1:19" s="15" customFormat="1" x14ac:dyDescent="0.3">
      <c r="A597" s="17"/>
      <c r="B597"/>
      <c r="C597"/>
      <c r="D597"/>
      <c r="E597"/>
      <c r="F597"/>
      <c r="G597"/>
      <c r="H597"/>
      <c r="I597"/>
      <c r="J597"/>
      <c r="K597"/>
      <c r="L597"/>
      <c r="M597"/>
      <c r="S597" s="54"/>
    </row>
    <row r="598" spans="1:19" s="15" customFormat="1" x14ac:dyDescent="0.3">
      <c r="A598" s="17"/>
      <c r="B598"/>
      <c r="C598"/>
      <c r="D598"/>
      <c r="E598"/>
      <c r="F598"/>
      <c r="G598"/>
      <c r="H598"/>
      <c r="I598"/>
      <c r="J598"/>
      <c r="K598"/>
      <c r="L598"/>
      <c r="M598"/>
      <c r="S598" s="54"/>
    </row>
    <row r="599" spans="1:19" s="15" customFormat="1" x14ac:dyDescent="0.3">
      <c r="A599" s="17"/>
      <c r="B599"/>
      <c r="C599"/>
      <c r="D599"/>
      <c r="E599"/>
      <c r="F599"/>
      <c r="G599"/>
      <c r="H599"/>
      <c r="I599"/>
      <c r="J599"/>
      <c r="K599"/>
      <c r="L599"/>
      <c r="M599"/>
      <c r="S599" s="54"/>
    </row>
    <row r="600" spans="1:19" s="15" customFormat="1" x14ac:dyDescent="0.3">
      <c r="A600" s="17"/>
      <c r="B600"/>
      <c r="C600"/>
      <c r="D600"/>
      <c r="E600"/>
      <c r="F600"/>
      <c r="G600"/>
      <c r="H600"/>
      <c r="I600"/>
      <c r="J600"/>
      <c r="K600"/>
      <c r="L600"/>
      <c r="M600"/>
      <c r="S600" s="54"/>
    </row>
    <row r="601" spans="1:19" s="15" customFormat="1" x14ac:dyDescent="0.3">
      <c r="A601" s="17"/>
      <c r="B601"/>
      <c r="C601"/>
      <c r="D601"/>
      <c r="E601"/>
      <c r="F601"/>
      <c r="G601"/>
      <c r="H601"/>
      <c r="I601"/>
      <c r="J601"/>
      <c r="K601"/>
      <c r="L601"/>
      <c r="M601"/>
      <c r="S601" s="54"/>
    </row>
    <row r="602" spans="1:19" s="15" customFormat="1" x14ac:dyDescent="0.3">
      <c r="A602" s="17"/>
      <c r="B602"/>
      <c r="C602"/>
      <c r="D602"/>
      <c r="E602"/>
      <c r="F602"/>
      <c r="G602"/>
      <c r="H602"/>
      <c r="I602"/>
      <c r="J602"/>
      <c r="K602"/>
      <c r="L602"/>
      <c r="M602"/>
      <c r="S602" s="54"/>
    </row>
    <row r="603" spans="1:19" s="15" customFormat="1" x14ac:dyDescent="0.3">
      <c r="A603" s="17"/>
      <c r="B603"/>
      <c r="C603"/>
      <c r="D603"/>
      <c r="E603"/>
      <c r="F603"/>
      <c r="G603"/>
      <c r="H603"/>
      <c r="I603"/>
      <c r="J603"/>
      <c r="K603"/>
      <c r="L603"/>
      <c r="M603"/>
      <c r="S603" s="54"/>
    </row>
    <row r="604" spans="1:19" s="15" customFormat="1" x14ac:dyDescent="0.3">
      <c r="A604" s="17"/>
      <c r="B604"/>
      <c r="C604"/>
      <c r="D604"/>
      <c r="E604"/>
      <c r="F604"/>
      <c r="G604"/>
      <c r="H604"/>
      <c r="I604"/>
      <c r="J604"/>
      <c r="K604"/>
      <c r="L604"/>
      <c r="M604"/>
      <c r="S604" s="54"/>
    </row>
    <row r="605" spans="1:19" s="15" customFormat="1" x14ac:dyDescent="0.3">
      <c r="A605" s="17"/>
      <c r="B605"/>
      <c r="C605"/>
      <c r="D605"/>
      <c r="E605"/>
      <c r="F605"/>
      <c r="G605"/>
      <c r="H605"/>
      <c r="I605"/>
      <c r="J605"/>
      <c r="K605"/>
      <c r="L605"/>
      <c r="M605"/>
      <c r="S605" s="54"/>
    </row>
    <row r="606" spans="1:19" s="15" customFormat="1" x14ac:dyDescent="0.3">
      <c r="A606" s="17"/>
      <c r="B606"/>
      <c r="C606"/>
      <c r="D606"/>
      <c r="E606"/>
      <c r="F606"/>
      <c r="G606"/>
      <c r="H606"/>
      <c r="I606"/>
      <c r="J606"/>
      <c r="K606"/>
      <c r="L606"/>
      <c r="M606"/>
      <c r="S606" s="54"/>
    </row>
    <row r="607" spans="1:19" s="15" customFormat="1" x14ac:dyDescent="0.3">
      <c r="A607" s="17"/>
      <c r="B607"/>
      <c r="C607"/>
      <c r="D607"/>
      <c r="E607"/>
      <c r="F607"/>
      <c r="G607"/>
      <c r="H607"/>
      <c r="I607"/>
      <c r="J607"/>
      <c r="K607"/>
      <c r="L607"/>
      <c r="M607"/>
      <c r="S607" s="54"/>
    </row>
    <row r="608" spans="1:19" s="15" customFormat="1" x14ac:dyDescent="0.3">
      <c r="A608" s="17"/>
      <c r="B608"/>
      <c r="C608"/>
      <c r="D608"/>
      <c r="E608"/>
      <c r="F608"/>
      <c r="G608"/>
      <c r="H608"/>
      <c r="I608"/>
      <c r="J608"/>
      <c r="K608"/>
      <c r="L608"/>
      <c r="M608"/>
      <c r="S608" s="54"/>
    </row>
    <row r="609" spans="1:19" s="15" customFormat="1" x14ac:dyDescent="0.3">
      <c r="A609" s="17"/>
      <c r="B609"/>
      <c r="C609"/>
      <c r="D609"/>
      <c r="E609"/>
      <c r="F609"/>
      <c r="G609"/>
      <c r="H609"/>
      <c r="I609"/>
      <c r="J609"/>
      <c r="K609"/>
      <c r="L609"/>
      <c r="M609"/>
      <c r="S609" s="54"/>
    </row>
    <row r="610" spans="1:19" s="15" customFormat="1" x14ac:dyDescent="0.3">
      <c r="A610" s="17"/>
      <c r="B610"/>
      <c r="C610"/>
      <c r="D610"/>
      <c r="E610"/>
      <c r="F610"/>
      <c r="G610"/>
      <c r="H610"/>
      <c r="I610"/>
      <c r="J610"/>
      <c r="K610"/>
      <c r="L610"/>
      <c r="M610"/>
      <c r="S610" s="54"/>
    </row>
    <row r="611" spans="1:19" s="15" customFormat="1" x14ac:dyDescent="0.3">
      <c r="A611" s="17"/>
      <c r="B611"/>
      <c r="C611"/>
      <c r="D611"/>
      <c r="E611"/>
      <c r="F611"/>
      <c r="G611"/>
      <c r="H611"/>
      <c r="I611"/>
      <c r="J611"/>
      <c r="K611"/>
      <c r="L611"/>
      <c r="M611"/>
      <c r="S611" s="54"/>
    </row>
    <row r="612" spans="1:19" s="15" customFormat="1" x14ac:dyDescent="0.3">
      <c r="A612" s="17"/>
      <c r="B612"/>
      <c r="C612"/>
      <c r="D612"/>
      <c r="E612"/>
      <c r="F612"/>
      <c r="G612"/>
      <c r="H612"/>
      <c r="I612"/>
      <c r="J612"/>
      <c r="K612"/>
      <c r="L612"/>
      <c r="M612"/>
      <c r="S612" s="54"/>
    </row>
    <row r="613" spans="1:19" s="15" customFormat="1" x14ac:dyDescent="0.3">
      <c r="A613" s="17"/>
      <c r="B613"/>
      <c r="C613"/>
      <c r="D613"/>
      <c r="E613"/>
      <c r="F613"/>
      <c r="G613"/>
      <c r="H613"/>
      <c r="I613"/>
      <c r="J613"/>
      <c r="K613"/>
      <c r="L613"/>
      <c r="M613"/>
      <c r="S613" s="54"/>
    </row>
    <row r="614" spans="1:19" s="15" customFormat="1" x14ac:dyDescent="0.3">
      <c r="A614" s="17"/>
      <c r="B614"/>
      <c r="C614"/>
      <c r="D614"/>
      <c r="E614"/>
      <c r="F614"/>
      <c r="G614"/>
      <c r="H614"/>
      <c r="I614"/>
      <c r="J614"/>
      <c r="K614"/>
      <c r="L614"/>
      <c r="M614"/>
      <c r="S614" s="54"/>
    </row>
    <row r="615" spans="1:19" s="15" customFormat="1" x14ac:dyDescent="0.3">
      <c r="A615" s="17"/>
      <c r="B615"/>
      <c r="C615"/>
      <c r="D615"/>
      <c r="E615"/>
      <c r="F615"/>
      <c r="G615"/>
      <c r="H615"/>
      <c r="I615"/>
      <c r="J615"/>
      <c r="K615"/>
      <c r="L615"/>
      <c r="M615"/>
      <c r="S615" s="54"/>
    </row>
    <row r="616" spans="1:19" s="15" customFormat="1" x14ac:dyDescent="0.3">
      <c r="A616" s="17"/>
      <c r="B616"/>
      <c r="C616"/>
      <c r="D616"/>
      <c r="E616"/>
      <c r="F616"/>
      <c r="G616"/>
      <c r="H616"/>
      <c r="I616"/>
      <c r="J616"/>
      <c r="K616"/>
      <c r="L616"/>
      <c r="M616"/>
      <c r="S616" s="54"/>
    </row>
    <row r="617" spans="1:19" s="15" customFormat="1" x14ac:dyDescent="0.3">
      <c r="A617" s="17"/>
      <c r="B617"/>
      <c r="C617"/>
      <c r="D617"/>
      <c r="E617"/>
      <c r="F617"/>
      <c r="G617"/>
      <c r="H617"/>
      <c r="I617"/>
      <c r="J617"/>
      <c r="K617"/>
      <c r="L617"/>
      <c r="M617"/>
      <c r="S617" s="54"/>
    </row>
    <row r="618" spans="1:19" s="15" customFormat="1" x14ac:dyDescent="0.3">
      <c r="A618" s="17"/>
      <c r="B618"/>
      <c r="C618"/>
      <c r="D618"/>
      <c r="E618"/>
      <c r="F618"/>
      <c r="G618"/>
      <c r="H618"/>
      <c r="I618"/>
      <c r="J618"/>
      <c r="K618"/>
      <c r="L618"/>
      <c r="M618"/>
      <c r="S618" s="54"/>
    </row>
    <row r="619" spans="1:19" s="15" customFormat="1" x14ac:dyDescent="0.3">
      <c r="A619" s="17"/>
      <c r="B619"/>
      <c r="C619"/>
      <c r="D619"/>
      <c r="E619"/>
      <c r="F619"/>
      <c r="G619"/>
      <c r="H619"/>
      <c r="I619"/>
      <c r="J619"/>
      <c r="K619"/>
      <c r="L619"/>
      <c r="M619"/>
      <c r="S619" s="54"/>
    </row>
    <row r="620" spans="1:19" s="15" customFormat="1" x14ac:dyDescent="0.3">
      <c r="A620" s="17"/>
      <c r="B620"/>
      <c r="C620"/>
      <c r="D620"/>
      <c r="E620"/>
      <c r="F620"/>
      <c r="G620"/>
      <c r="H620"/>
      <c r="I620"/>
      <c r="J620"/>
      <c r="K620"/>
      <c r="L620"/>
      <c r="M620"/>
      <c r="S620" s="54"/>
    </row>
    <row r="621" spans="1:19" s="15" customFormat="1" x14ac:dyDescent="0.3">
      <c r="A621" s="17"/>
      <c r="B621"/>
      <c r="C621"/>
      <c r="D621"/>
      <c r="E621"/>
      <c r="F621"/>
      <c r="G621"/>
      <c r="H621"/>
      <c r="I621"/>
      <c r="J621"/>
      <c r="K621"/>
      <c r="L621"/>
      <c r="M621"/>
      <c r="S621" s="54"/>
    </row>
    <row r="622" spans="1:19" s="15" customFormat="1" x14ac:dyDescent="0.3">
      <c r="A622" s="17"/>
      <c r="B622"/>
      <c r="C622"/>
      <c r="D622"/>
      <c r="E622"/>
      <c r="F622"/>
      <c r="G622"/>
      <c r="H622"/>
      <c r="I622"/>
      <c r="J622"/>
      <c r="K622"/>
      <c r="L622"/>
      <c r="M622"/>
      <c r="S622" s="54"/>
    </row>
    <row r="623" spans="1:19" s="15" customFormat="1" x14ac:dyDescent="0.3">
      <c r="A623" s="17"/>
      <c r="B623"/>
      <c r="C623"/>
      <c r="D623"/>
      <c r="E623"/>
      <c r="F623"/>
      <c r="G623"/>
      <c r="H623"/>
      <c r="I623"/>
      <c r="J623"/>
      <c r="K623"/>
      <c r="L623"/>
      <c r="M623"/>
      <c r="S623" s="54"/>
    </row>
    <row r="624" spans="1:19" s="15" customFormat="1" x14ac:dyDescent="0.3">
      <c r="A624" s="17"/>
      <c r="B624"/>
      <c r="C624"/>
      <c r="D624"/>
      <c r="E624"/>
      <c r="F624"/>
      <c r="G624"/>
      <c r="H624"/>
      <c r="I624"/>
      <c r="J624"/>
      <c r="K624"/>
      <c r="L624"/>
      <c r="M624"/>
      <c r="S624" s="54"/>
    </row>
    <row r="625" spans="1:19" s="15" customFormat="1" x14ac:dyDescent="0.3">
      <c r="A625" s="17"/>
      <c r="B625"/>
      <c r="C625"/>
      <c r="D625"/>
      <c r="E625"/>
      <c r="F625"/>
      <c r="G625"/>
      <c r="H625"/>
      <c r="I625"/>
      <c r="J625"/>
      <c r="K625"/>
      <c r="L625"/>
      <c r="M625"/>
      <c r="S625" s="54"/>
    </row>
    <row r="626" spans="1:19" s="15" customFormat="1" x14ac:dyDescent="0.3">
      <c r="A626" s="17"/>
      <c r="B626"/>
      <c r="C626"/>
      <c r="D626"/>
      <c r="E626"/>
      <c r="F626"/>
      <c r="G626"/>
      <c r="H626"/>
      <c r="I626"/>
      <c r="J626"/>
      <c r="K626"/>
      <c r="L626"/>
      <c r="M626"/>
      <c r="S626" s="54"/>
    </row>
    <row r="627" spans="1:19" s="15" customFormat="1" x14ac:dyDescent="0.3">
      <c r="A627" s="17"/>
      <c r="B627"/>
      <c r="C627"/>
      <c r="D627"/>
      <c r="E627"/>
      <c r="F627"/>
      <c r="G627"/>
      <c r="H627"/>
      <c r="I627"/>
      <c r="J627"/>
      <c r="K627"/>
      <c r="L627"/>
      <c r="M627"/>
      <c r="S627" s="54"/>
    </row>
    <row r="628" spans="1:19" s="15" customFormat="1" x14ac:dyDescent="0.3">
      <c r="A628" s="17"/>
      <c r="B628"/>
      <c r="C628"/>
      <c r="D628"/>
      <c r="E628"/>
      <c r="F628"/>
      <c r="G628"/>
      <c r="H628"/>
      <c r="I628"/>
      <c r="J628"/>
      <c r="K628"/>
      <c r="L628"/>
      <c r="M628"/>
      <c r="S628" s="54"/>
    </row>
    <row r="629" spans="1:19" s="15" customFormat="1" x14ac:dyDescent="0.3">
      <c r="A629" s="17"/>
      <c r="B629"/>
      <c r="C629"/>
      <c r="D629"/>
      <c r="E629"/>
      <c r="F629"/>
      <c r="G629"/>
      <c r="H629"/>
      <c r="I629"/>
      <c r="J629"/>
      <c r="K629"/>
      <c r="L629"/>
      <c r="M629"/>
      <c r="S629" s="54"/>
    </row>
    <row r="630" spans="1:19" s="15" customFormat="1" x14ac:dyDescent="0.3">
      <c r="A630" s="17"/>
      <c r="B630"/>
      <c r="C630"/>
      <c r="D630"/>
      <c r="E630"/>
      <c r="F630"/>
      <c r="G630"/>
      <c r="H630"/>
      <c r="I630"/>
      <c r="J630"/>
      <c r="K630"/>
      <c r="L630"/>
      <c r="M630"/>
      <c r="S630" s="54"/>
    </row>
    <row r="631" spans="1:19" s="15" customFormat="1" x14ac:dyDescent="0.3">
      <c r="A631" s="17"/>
      <c r="B631"/>
      <c r="C631"/>
      <c r="D631"/>
      <c r="E631"/>
      <c r="F631"/>
      <c r="G631"/>
      <c r="H631"/>
      <c r="I631"/>
      <c r="J631"/>
      <c r="K631"/>
      <c r="L631"/>
      <c r="M631"/>
      <c r="S631" s="54"/>
    </row>
    <row r="632" spans="1:19" s="15" customFormat="1" x14ac:dyDescent="0.3">
      <c r="A632" s="17"/>
      <c r="B632"/>
      <c r="C632"/>
      <c r="D632"/>
      <c r="E632"/>
      <c r="F632"/>
      <c r="G632"/>
      <c r="H632"/>
      <c r="I632"/>
      <c r="J632"/>
      <c r="K632"/>
      <c r="L632"/>
      <c r="M632"/>
      <c r="S632" s="54"/>
    </row>
    <row r="633" spans="1:19" s="15" customFormat="1" x14ac:dyDescent="0.3">
      <c r="A633" s="17"/>
      <c r="B633"/>
      <c r="C633"/>
      <c r="D633"/>
      <c r="E633"/>
      <c r="F633"/>
      <c r="G633"/>
      <c r="H633"/>
      <c r="I633"/>
      <c r="J633"/>
      <c r="K633"/>
      <c r="L633"/>
      <c r="M633"/>
      <c r="S633" s="54"/>
    </row>
    <row r="634" spans="1:19" s="15" customFormat="1" x14ac:dyDescent="0.3">
      <c r="A634" s="17"/>
      <c r="B634"/>
      <c r="C634"/>
      <c r="D634"/>
      <c r="E634"/>
      <c r="F634"/>
      <c r="G634"/>
      <c r="H634"/>
      <c r="I634"/>
      <c r="J634"/>
      <c r="K634"/>
      <c r="L634"/>
      <c r="M634"/>
      <c r="S634" s="54"/>
    </row>
    <row r="635" spans="1:19" s="15" customFormat="1" x14ac:dyDescent="0.3">
      <c r="A635" s="17"/>
      <c r="B635"/>
      <c r="C635"/>
      <c r="D635"/>
      <c r="E635"/>
      <c r="F635"/>
      <c r="G635"/>
      <c r="H635"/>
      <c r="I635"/>
      <c r="J635"/>
      <c r="K635"/>
      <c r="L635"/>
      <c r="M635"/>
      <c r="S635" s="54"/>
    </row>
    <row r="636" spans="1:19" s="15" customFormat="1" x14ac:dyDescent="0.3">
      <c r="A636" s="17"/>
      <c r="B636"/>
      <c r="C636"/>
      <c r="D636"/>
      <c r="E636"/>
      <c r="F636"/>
      <c r="G636"/>
      <c r="H636"/>
      <c r="I636"/>
      <c r="J636"/>
      <c r="K636"/>
      <c r="L636"/>
      <c r="M636"/>
      <c r="S636" s="54"/>
    </row>
    <row r="637" spans="1:19" s="15" customFormat="1" x14ac:dyDescent="0.3">
      <c r="A637" s="17"/>
      <c r="B637"/>
      <c r="C637"/>
      <c r="D637"/>
      <c r="E637"/>
      <c r="F637"/>
      <c r="G637"/>
      <c r="H637"/>
      <c r="I637"/>
      <c r="J637"/>
      <c r="K637"/>
      <c r="L637"/>
      <c r="M637"/>
      <c r="S637" s="54"/>
    </row>
    <row r="638" spans="1:19" s="15" customFormat="1" x14ac:dyDescent="0.3">
      <c r="A638" s="17"/>
      <c r="B638"/>
      <c r="C638"/>
      <c r="D638"/>
      <c r="E638"/>
      <c r="F638"/>
      <c r="G638"/>
      <c r="H638"/>
      <c r="I638"/>
      <c r="J638"/>
      <c r="K638"/>
      <c r="L638"/>
      <c r="M638"/>
      <c r="S638" s="54"/>
    </row>
    <row r="639" spans="1:19" s="15" customFormat="1" x14ac:dyDescent="0.3">
      <c r="A639" s="17"/>
      <c r="B639"/>
      <c r="C639"/>
      <c r="D639"/>
      <c r="E639"/>
      <c r="F639"/>
      <c r="G639"/>
      <c r="H639"/>
      <c r="I639"/>
      <c r="J639"/>
      <c r="K639"/>
      <c r="L639"/>
      <c r="M639"/>
      <c r="S639" s="54"/>
    </row>
    <row r="640" spans="1:19" s="15" customFormat="1" x14ac:dyDescent="0.3">
      <c r="A640" s="17"/>
      <c r="B640"/>
      <c r="C640"/>
      <c r="D640"/>
      <c r="E640"/>
      <c r="F640"/>
      <c r="G640"/>
      <c r="H640"/>
      <c r="I640"/>
      <c r="J640"/>
      <c r="K640"/>
      <c r="L640"/>
      <c r="M640"/>
      <c r="S640" s="54"/>
    </row>
    <row r="641" spans="1:19" s="15" customFormat="1" x14ac:dyDescent="0.3">
      <c r="A641" s="17"/>
      <c r="B641"/>
      <c r="C641"/>
      <c r="D641"/>
      <c r="E641"/>
      <c r="F641"/>
      <c r="G641"/>
      <c r="H641"/>
      <c r="I641"/>
      <c r="J641"/>
      <c r="K641"/>
      <c r="L641"/>
      <c r="M641"/>
      <c r="S641" s="54"/>
    </row>
    <row r="642" spans="1:19" s="15" customFormat="1" x14ac:dyDescent="0.3">
      <c r="A642" s="17"/>
      <c r="B642"/>
      <c r="C642"/>
      <c r="D642"/>
      <c r="E642"/>
      <c r="F642"/>
      <c r="G642"/>
      <c r="H642"/>
      <c r="I642"/>
      <c r="J642"/>
      <c r="K642"/>
      <c r="L642"/>
      <c r="M642"/>
      <c r="S642" s="54"/>
    </row>
    <row r="643" spans="1:19" s="15" customFormat="1" x14ac:dyDescent="0.3">
      <c r="A643" s="17"/>
      <c r="B643"/>
      <c r="C643"/>
      <c r="D643"/>
      <c r="E643"/>
      <c r="F643"/>
      <c r="G643"/>
      <c r="H643"/>
      <c r="I643"/>
      <c r="J643"/>
      <c r="K643"/>
      <c r="L643"/>
      <c r="M643"/>
      <c r="S643" s="54"/>
    </row>
    <row r="644" spans="1:19" s="15" customFormat="1" x14ac:dyDescent="0.3">
      <c r="A644" s="17"/>
      <c r="B644"/>
      <c r="C644"/>
      <c r="D644"/>
      <c r="E644"/>
      <c r="F644"/>
      <c r="G644"/>
      <c r="H644"/>
      <c r="I644"/>
      <c r="J644"/>
      <c r="K644"/>
      <c r="L644"/>
      <c r="M644"/>
      <c r="S644" s="54"/>
    </row>
    <row r="645" spans="1:19" s="15" customFormat="1" x14ac:dyDescent="0.3">
      <c r="A645" s="17"/>
      <c r="B645"/>
      <c r="C645"/>
      <c r="D645"/>
      <c r="E645"/>
      <c r="F645"/>
      <c r="G645"/>
      <c r="H645"/>
      <c r="I645"/>
      <c r="J645"/>
      <c r="K645"/>
      <c r="L645"/>
      <c r="M645"/>
      <c r="S645" s="54"/>
    </row>
    <row r="646" spans="1:19" s="15" customFormat="1" x14ac:dyDescent="0.3">
      <c r="A646" s="17"/>
      <c r="B646"/>
      <c r="C646"/>
      <c r="D646"/>
      <c r="E646"/>
      <c r="F646"/>
      <c r="G646"/>
      <c r="H646"/>
      <c r="I646"/>
      <c r="J646"/>
      <c r="K646"/>
      <c r="L646"/>
      <c r="M646"/>
      <c r="S646" s="54"/>
    </row>
    <row r="647" spans="1:19" s="15" customFormat="1" x14ac:dyDescent="0.3">
      <c r="A647" s="17"/>
      <c r="B647"/>
      <c r="C647"/>
      <c r="D647"/>
      <c r="E647"/>
      <c r="F647"/>
      <c r="G647"/>
      <c r="H647"/>
      <c r="I647"/>
      <c r="J647"/>
      <c r="K647"/>
      <c r="L647"/>
      <c r="M647"/>
      <c r="S647" s="54"/>
    </row>
    <row r="648" spans="1:19" s="15" customFormat="1" x14ac:dyDescent="0.3">
      <c r="A648" s="17"/>
      <c r="B648"/>
      <c r="C648"/>
      <c r="D648"/>
      <c r="E648"/>
      <c r="F648"/>
      <c r="G648"/>
      <c r="H648"/>
      <c r="I648"/>
      <c r="J648"/>
      <c r="K648"/>
      <c r="L648"/>
      <c r="M648"/>
      <c r="S648" s="54"/>
    </row>
    <row r="649" spans="1:19" s="15" customFormat="1" x14ac:dyDescent="0.3">
      <c r="A649" s="17"/>
      <c r="B649"/>
      <c r="C649"/>
      <c r="D649"/>
      <c r="E649"/>
      <c r="F649"/>
      <c r="G649"/>
      <c r="H649"/>
      <c r="I649"/>
      <c r="J649"/>
      <c r="K649"/>
      <c r="L649"/>
      <c r="M649"/>
      <c r="S649" s="54"/>
    </row>
    <row r="650" spans="1:19" s="15" customFormat="1" x14ac:dyDescent="0.3">
      <c r="A650" s="17"/>
      <c r="B650"/>
      <c r="C650"/>
      <c r="D650"/>
      <c r="E650"/>
      <c r="F650"/>
      <c r="G650"/>
      <c r="H650"/>
      <c r="I650"/>
      <c r="J650"/>
      <c r="K650"/>
      <c r="L650"/>
      <c r="M650"/>
      <c r="S650" s="54"/>
    </row>
    <row r="651" spans="1:19" s="15" customFormat="1" x14ac:dyDescent="0.3">
      <c r="A651" s="17"/>
      <c r="B651"/>
      <c r="C651"/>
      <c r="D651"/>
      <c r="E651"/>
      <c r="F651"/>
      <c r="G651"/>
      <c r="H651"/>
      <c r="I651"/>
      <c r="J651"/>
      <c r="K651"/>
      <c r="L651"/>
      <c r="M651"/>
      <c r="S651" s="54"/>
    </row>
    <row r="652" spans="1:19" s="15" customFormat="1" x14ac:dyDescent="0.3">
      <c r="A652" s="17"/>
      <c r="B652"/>
      <c r="C652"/>
      <c r="D652"/>
      <c r="E652"/>
      <c r="F652"/>
      <c r="G652"/>
      <c r="H652"/>
      <c r="I652"/>
      <c r="J652"/>
      <c r="K652"/>
      <c r="L652"/>
      <c r="M652"/>
      <c r="S652" s="54"/>
    </row>
    <row r="653" spans="1:19" s="15" customFormat="1" x14ac:dyDescent="0.3">
      <c r="A653" s="17"/>
      <c r="B653"/>
      <c r="C653"/>
      <c r="D653"/>
      <c r="E653"/>
      <c r="F653"/>
      <c r="G653"/>
      <c r="H653"/>
      <c r="I653"/>
      <c r="J653"/>
      <c r="K653"/>
      <c r="L653"/>
      <c r="M653"/>
      <c r="S653" s="54"/>
    </row>
    <row r="654" spans="1:19" s="15" customFormat="1" x14ac:dyDescent="0.3">
      <c r="A654" s="17"/>
      <c r="B654"/>
      <c r="C654"/>
      <c r="D654"/>
      <c r="E654"/>
      <c r="F654"/>
      <c r="G654"/>
      <c r="H654"/>
      <c r="I654"/>
      <c r="J654"/>
      <c r="K654"/>
      <c r="L654"/>
      <c r="M654"/>
      <c r="S654" s="54"/>
    </row>
    <row r="655" spans="1:19" s="15" customFormat="1" x14ac:dyDescent="0.3">
      <c r="A655" s="17"/>
      <c r="B655"/>
      <c r="C655"/>
      <c r="D655"/>
      <c r="E655"/>
      <c r="F655"/>
      <c r="G655"/>
      <c r="H655"/>
      <c r="I655"/>
      <c r="J655"/>
      <c r="K655"/>
      <c r="L655"/>
      <c r="M655"/>
      <c r="S655" s="54"/>
    </row>
    <row r="656" spans="1:19" s="15" customFormat="1" x14ac:dyDescent="0.3">
      <c r="A656" s="17"/>
      <c r="B656"/>
      <c r="C656"/>
      <c r="D656"/>
      <c r="E656"/>
      <c r="F656"/>
      <c r="G656"/>
      <c r="H656"/>
      <c r="I656"/>
      <c r="J656"/>
      <c r="K656"/>
      <c r="L656"/>
      <c r="M656"/>
      <c r="S656" s="54"/>
    </row>
    <row r="657" spans="1:19" s="15" customFormat="1" x14ac:dyDescent="0.3">
      <c r="A657" s="17"/>
      <c r="B657"/>
      <c r="C657"/>
      <c r="D657"/>
      <c r="E657"/>
      <c r="F657"/>
      <c r="G657"/>
      <c r="H657"/>
      <c r="I657"/>
      <c r="J657"/>
      <c r="K657"/>
      <c r="L657"/>
      <c r="M657"/>
      <c r="S657" s="54"/>
    </row>
    <row r="658" spans="1:19" s="15" customFormat="1" x14ac:dyDescent="0.3">
      <c r="A658" s="17"/>
      <c r="B658"/>
      <c r="C658"/>
      <c r="D658"/>
      <c r="E658"/>
      <c r="F658"/>
      <c r="G658"/>
      <c r="H658"/>
      <c r="I658"/>
      <c r="J658"/>
      <c r="K658"/>
      <c r="L658"/>
      <c r="M658"/>
      <c r="S658" s="54"/>
    </row>
    <row r="659" spans="1:19" s="15" customFormat="1" x14ac:dyDescent="0.3">
      <c r="A659" s="17"/>
      <c r="B659"/>
      <c r="C659"/>
      <c r="D659"/>
      <c r="E659"/>
      <c r="F659"/>
      <c r="G659"/>
      <c r="H659"/>
      <c r="I659"/>
      <c r="J659"/>
      <c r="K659"/>
      <c r="L659"/>
      <c r="M659"/>
      <c r="S659" s="54"/>
    </row>
    <row r="660" spans="1:19" s="15" customFormat="1" x14ac:dyDescent="0.3">
      <c r="A660" s="17"/>
      <c r="B660"/>
      <c r="C660"/>
      <c r="D660"/>
      <c r="E660"/>
      <c r="F660"/>
      <c r="G660"/>
      <c r="H660"/>
      <c r="I660"/>
      <c r="J660"/>
      <c r="K660"/>
      <c r="L660"/>
      <c r="M660"/>
      <c r="S660" s="54"/>
    </row>
    <row r="661" spans="1:19" s="15" customFormat="1" x14ac:dyDescent="0.3">
      <c r="A661" s="17"/>
      <c r="B661"/>
      <c r="C661"/>
      <c r="D661"/>
      <c r="E661"/>
      <c r="F661"/>
      <c r="G661"/>
      <c r="H661"/>
      <c r="I661"/>
      <c r="J661"/>
      <c r="K661"/>
      <c r="L661"/>
      <c r="M661"/>
      <c r="S661" s="54"/>
    </row>
    <row r="662" spans="1:19" s="15" customFormat="1" x14ac:dyDescent="0.3">
      <c r="A662" s="17"/>
      <c r="B662"/>
      <c r="C662"/>
      <c r="D662"/>
      <c r="E662"/>
      <c r="F662"/>
      <c r="G662"/>
      <c r="H662"/>
      <c r="I662"/>
      <c r="J662"/>
      <c r="K662"/>
      <c r="L662"/>
      <c r="M662"/>
      <c r="S662" s="54"/>
    </row>
    <row r="663" spans="1:19" s="15" customFormat="1" x14ac:dyDescent="0.3">
      <c r="A663" s="17"/>
      <c r="B663"/>
      <c r="C663"/>
      <c r="D663"/>
      <c r="E663"/>
      <c r="F663"/>
      <c r="G663"/>
      <c r="H663"/>
      <c r="I663"/>
      <c r="J663"/>
      <c r="K663"/>
      <c r="L663"/>
      <c r="M663"/>
      <c r="S663" s="54"/>
    </row>
    <row r="664" spans="1:19" s="15" customFormat="1" x14ac:dyDescent="0.3">
      <c r="A664" s="17"/>
      <c r="B664"/>
      <c r="C664"/>
      <c r="D664"/>
      <c r="E664"/>
      <c r="F664"/>
      <c r="G664"/>
      <c r="H664"/>
      <c r="I664"/>
      <c r="J664"/>
      <c r="K664"/>
      <c r="L664"/>
      <c r="M664"/>
      <c r="S664" s="54"/>
    </row>
    <row r="665" spans="1:19" s="15" customFormat="1" x14ac:dyDescent="0.3">
      <c r="A665" s="17"/>
      <c r="B665"/>
      <c r="C665"/>
      <c r="D665"/>
      <c r="E665"/>
      <c r="F665"/>
      <c r="G665"/>
      <c r="H665"/>
      <c r="I665"/>
      <c r="J665"/>
      <c r="K665"/>
      <c r="L665"/>
      <c r="M665"/>
      <c r="S665" s="54"/>
    </row>
    <row r="666" spans="1:19" s="15" customFormat="1" x14ac:dyDescent="0.3">
      <c r="A666" s="17"/>
      <c r="B666"/>
      <c r="C666"/>
      <c r="D666"/>
      <c r="E666"/>
      <c r="F666"/>
      <c r="G666"/>
      <c r="H666"/>
      <c r="I666"/>
      <c r="J666"/>
      <c r="K666"/>
      <c r="L666"/>
      <c r="M666"/>
      <c r="S666" s="54"/>
    </row>
    <row r="667" spans="1:19" s="15" customFormat="1" x14ac:dyDescent="0.3">
      <c r="A667" s="17"/>
      <c r="B667"/>
      <c r="C667"/>
      <c r="D667"/>
      <c r="E667"/>
      <c r="F667"/>
      <c r="G667"/>
      <c r="H667"/>
      <c r="I667"/>
      <c r="J667"/>
      <c r="K667"/>
      <c r="L667"/>
      <c r="M667"/>
      <c r="S667" s="54"/>
    </row>
    <row r="668" spans="1:19" s="15" customFormat="1" x14ac:dyDescent="0.3">
      <c r="A668" s="17"/>
      <c r="B668"/>
      <c r="C668"/>
      <c r="D668"/>
      <c r="E668"/>
      <c r="F668"/>
      <c r="G668"/>
      <c r="H668"/>
      <c r="I668"/>
      <c r="J668"/>
      <c r="K668"/>
      <c r="L668"/>
      <c r="M668"/>
      <c r="S668" s="54"/>
    </row>
    <row r="669" spans="1:19" s="15" customFormat="1" x14ac:dyDescent="0.3">
      <c r="A669" s="17"/>
      <c r="B669"/>
      <c r="C669"/>
      <c r="D669"/>
      <c r="E669"/>
      <c r="F669"/>
      <c r="G669"/>
      <c r="H669"/>
      <c r="I669"/>
      <c r="J669"/>
      <c r="K669"/>
      <c r="L669"/>
      <c r="M669"/>
      <c r="S669" s="54"/>
    </row>
    <row r="670" spans="1:19" s="15" customFormat="1" x14ac:dyDescent="0.3">
      <c r="A670" s="17"/>
      <c r="B670"/>
      <c r="C670"/>
      <c r="D670"/>
      <c r="E670"/>
      <c r="F670"/>
      <c r="G670"/>
      <c r="H670"/>
      <c r="I670"/>
      <c r="J670"/>
      <c r="K670"/>
      <c r="L670"/>
      <c r="M670"/>
      <c r="S670" s="54"/>
    </row>
    <row r="671" spans="1:19" s="15" customFormat="1" x14ac:dyDescent="0.3">
      <c r="A671" s="17"/>
      <c r="B671"/>
      <c r="C671"/>
      <c r="D671"/>
      <c r="E671"/>
      <c r="F671"/>
      <c r="G671"/>
      <c r="H671"/>
      <c r="I671"/>
      <c r="J671"/>
      <c r="K671"/>
      <c r="L671"/>
      <c r="M671"/>
      <c r="S671" s="54"/>
    </row>
    <row r="672" spans="1:19" s="15" customFormat="1" x14ac:dyDescent="0.3">
      <c r="A672" s="17"/>
      <c r="B672"/>
      <c r="C672"/>
      <c r="D672"/>
      <c r="E672"/>
      <c r="F672"/>
      <c r="G672"/>
      <c r="H672"/>
      <c r="I672"/>
      <c r="J672"/>
      <c r="K672"/>
      <c r="L672"/>
      <c r="M672"/>
      <c r="S672" s="54"/>
    </row>
    <row r="673" spans="1:19" s="15" customFormat="1" x14ac:dyDescent="0.3">
      <c r="A673" s="17"/>
      <c r="B673"/>
      <c r="C673"/>
      <c r="D673"/>
      <c r="E673"/>
      <c r="F673"/>
      <c r="G673"/>
      <c r="H673"/>
      <c r="I673"/>
      <c r="J673"/>
      <c r="K673"/>
      <c r="L673"/>
      <c r="M673"/>
      <c r="S673" s="54"/>
    </row>
    <row r="674" spans="1:19" s="15" customFormat="1" x14ac:dyDescent="0.3">
      <c r="A674" s="17"/>
      <c r="B674"/>
      <c r="C674"/>
      <c r="D674"/>
      <c r="E674"/>
      <c r="F674"/>
      <c r="G674"/>
      <c r="H674"/>
      <c r="I674"/>
      <c r="J674"/>
      <c r="K674"/>
      <c r="L674"/>
      <c r="M674"/>
      <c r="S674" s="54"/>
    </row>
    <row r="675" spans="1:19" s="15" customFormat="1" x14ac:dyDescent="0.3">
      <c r="A675" s="17"/>
      <c r="B675"/>
      <c r="C675"/>
      <c r="D675"/>
      <c r="E675"/>
      <c r="F675"/>
      <c r="G675"/>
      <c r="H675"/>
      <c r="I675"/>
      <c r="J675"/>
      <c r="K675"/>
      <c r="L675"/>
      <c r="M675"/>
      <c r="S675" s="54"/>
    </row>
    <row r="676" spans="1:19" s="15" customFormat="1" x14ac:dyDescent="0.3">
      <c r="A676" s="17"/>
      <c r="B676"/>
      <c r="C676"/>
      <c r="D676"/>
      <c r="E676"/>
      <c r="F676"/>
      <c r="G676"/>
      <c r="H676"/>
      <c r="I676"/>
      <c r="J676"/>
      <c r="K676"/>
      <c r="L676"/>
      <c r="M676"/>
      <c r="S676" s="54"/>
    </row>
    <row r="677" spans="1:19" s="15" customFormat="1" x14ac:dyDescent="0.3">
      <c r="A677" s="17"/>
      <c r="B677"/>
      <c r="C677"/>
      <c r="D677"/>
      <c r="E677"/>
      <c r="F677"/>
      <c r="G677"/>
      <c r="H677"/>
      <c r="I677"/>
      <c r="J677"/>
      <c r="K677"/>
      <c r="L677"/>
      <c r="M677"/>
      <c r="S677" s="54"/>
    </row>
    <row r="678" spans="1:19" s="15" customFormat="1" x14ac:dyDescent="0.3">
      <c r="A678" s="17"/>
      <c r="B678"/>
      <c r="C678"/>
      <c r="D678"/>
      <c r="E678"/>
      <c r="F678"/>
      <c r="G678"/>
      <c r="H678"/>
      <c r="I678"/>
      <c r="J678"/>
      <c r="K678"/>
      <c r="L678"/>
      <c r="M678"/>
      <c r="S678" s="54"/>
    </row>
    <row r="679" spans="1:19" s="15" customFormat="1" x14ac:dyDescent="0.3">
      <c r="A679" s="17"/>
      <c r="B679"/>
      <c r="C679"/>
      <c r="D679"/>
      <c r="E679"/>
      <c r="F679"/>
      <c r="G679"/>
      <c r="H679"/>
      <c r="I679"/>
      <c r="J679"/>
      <c r="K679"/>
      <c r="L679"/>
      <c r="M679"/>
      <c r="S679" s="54"/>
    </row>
    <row r="680" spans="1:19" s="15" customFormat="1" x14ac:dyDescent="0.3">
      <c r="A680" s="17"/>
      <c r="B680"/>
      <c r="C680"/>
      <c r="D680"/>
      <c r="E680"/>
      <c r="F680"/>
      <c r="G680"/>
      <c r="H680"/>
      <c r="I680"/>
      <c r="J680"/>
      <c r="K680"/>
      <c r="L680"/>
      <c r="M680"/>
      <c r="S680" s="54"/>
    </row>
    <row r="681" spans="1:19" s="15" customFormat="1" x14ac:dyDescent="0.3">
      <c r="A681" s="17"/>
      <c r="B681"/>
      <c r="C681"/>
      <c r="D681"/>
      <c r="E681"/>
      <c r="F681"/>
      <c r="G681"/>
      <c r="H681"/>
      <c r="I681"/>
      <c r="J681"/>
      <c r="K681"/>
      <c r="L681"/>
      <c r="M681"/>
      <c r="S681" s="54"/>
    </row>
    <row r="682" spans="1:19" s="15" customFormat="1" x14ac:dyDescent="0.3">
      <c r="A682" s="17"/>
      <c r="B682"/>
      <c r="C682"/>
      <c r="D682"/>
      <c r="E682"/>
      <c r="F682"/>
      <c r="G682"/>
      <c r="H682"/>
      <c r="I682"/>
      <c r="J682"/>
      <c r="K682"/>
      <c r="L682"/>
      <c r="M682"/>
      <c r="S682" s="54"/>
    </row>
    <row r="683" spans="1:19" s="15" customFormat="1" x14ac:dyDescent="0.3">
      <c r="A683" s="17"/>
      <c r="B683"/>
      <c r="C683"/>
      <c r="D683"/>
      <c r="E683"/>
      <c r="F683"/>
      <c r="G683"/>
      <c r="H683"/>
      <c r="I683"/>
      <c r="J683"/>
      <c r="K683"/>
      <c r="L683"/>
      <c r="M683"/>
      <c r="S683" s="54"/>
    </row>
    <row r="684" spans="1:19" s="15" customFormat="1" x14ac:dyDescent="0.3">
      <c r="A684" s="17"/>
      <c r="B684"/>
      <c r="C684"/>
      <c r="D684"/>
      <c r="E684"/>
      <c r="F684"/>
      <c r="G684"/>
      <c r="H684"/>
      <c r="I684"/>
      <c r="J684"/>
      <c r="K684"/>
      <c r="L684"/>
      <c r="M684"/>
      <c r="S684" s="54"/>
    </row>
    <row r="685" spans="1:19" s="15" customFormat="1" x14ac:dyDescent="0.3">
      <c r="A685" s="17"/>
      <c r="B685"/>
      <c r="C685"/>
      <c r="D685"/>
      <c r="E685"/>
      <c r="F685"/>
      <c r="G685"/>
      <c r="H685"/>
      <c r="I685"/>
      <c r="J685"/>
      <c r="K685"/>
      <c r="L685"/>
      <c r="M685"/>
      <c r="S685" s="54"/>
    </row>
    <row r="686" spans="1:19" s="15" customFormat="1" x14ac:dyDescent="0.3">
      <c r="A686" s="17"/>
      <c r="B686"/>
      <c r="C686"/>
      <c r="D686"/>
      <c r="E686"/>
      <c r="F686"/>
      <c r="G686"/>
      <c r="H686"/>
      <c r="I686"/>
      <c r="J686"/>
      <c r="K686"/>
      <c r="L686"/>
      <c r="M686"/>
      <c r="S686" s="54"/>
    </row>
    <row r="687" spans="1:19" s="15" customFormat="1" x14ac:dyDescent="0.3">
      <c r="A687" s="17"/>
      <c r="B687"/>
      <c r="C687"/>
      <c r="D687"/>
      <c r="E687"/>
      <c r="F687"/>
      <c r="G687"/>
      <c r="H687"/>
      <c r="I687"/>
      <c r="J687"/>
      <c r="K687"/>
      <c r="L687"/>
      <c r="M687"/>
      <c r="S687" s="54"/>
    </row>
    <row r="688" spans="1:19" s="15" customFormat="1" x14ac:dyDescent="0.3">
      <c r="A688" s="17"/>
      <c r="B688"/>
      <c r="C688"/>
      <c r="D688"/>
      <c r="E688"/>
      <c r="F688"/>
      <c r="G688"/>
      <c r="H688"/>
      <c r="I688"/>
      <c r="J688"/>
      <c r="K688"/>
      <c r="L688"/>
      <c r="M688"/>
      <c r="S688" s="54"/>
    </row>
    <row r="689" spans="1:19" s="15" customFormat="1" x14ac:dyDescent="0.3">
      <c r="A689" s="17"/>
      <c r="B689"/>
      <c r="C689"/>
      <c r="D689"/>
      <c r="E689"/>
      <c r="F689"/>
      <c r="G689"/>
      <c r="H689"/>
      <c r="I689"/>
      <c r="J689"/>
      <c r="K689"/>
      <c r="L689"/>
      <c r="M689"/>
      <c r="S689" s="54"/>
    </row>
    <row r="690" spans="1:19" s="15" customFormat="1" x14ac:dyDescent="0.3">
      <c r="A690" s="17"/>
      <c r="B690"/>
      <c r="C690"/>
      <c r="D690"/>
      <c r="E690"/>
      <c r="F690"/>
      <c r="G690"/>
      <c r="H690"/>
      <c r="I690"/>
      <c r="J690"/>
      <c r="K690"/>
      <c r="L690"/>
      <c r="M690"/>
      <c r="S690" s="54"/>
    </row>
    <row r="691" spans="1:19" s="15" customFormat="1" x14ac:dyDescent="0.3">
      <c r="A691" s="17"/>
      <c r="B691"/>
      <c r="C691"/>
      <c r="D691"/>
      <c r="E691"/>
      <c r="F691"/>
      <c r="G691"/>
      <c r="H691"/>
      <c r="I691"/>
      <c r="J691"/>
      <c r="K691"/>
      <c r="L691"/>
      <c r="M691"/>
      <c r="S691" s="54"/>
    </row>
    <row r="692" spans="1:19" s="15" customFormat="1" x14ac:dyDescent="0.3">
      <c r="A692" s="17"/>
      <c r="B692"/>
      <c r="C692"/>
      <c r="D692"/>
      <c r="E692"/>
      <c r="F692"/>
      <c r="G692"/>
      <c r="H692"/>
      <c r="I692"/>
      <c r="J692"/>
      <c r="K692"/>
      <c r="L692"/>
      <c r="M692"/>
      <c r="S692" s="54"/>
    </row>
    <row r="693" spans="1:19" s="15" customFormat="1" x14ac:dyDescent="0.3">
      <c r="A693" s="17"/>
      <c r="B693"/>
      <c r="C693"/>
      <c r="D693"/>
      <c r="E693"/>
      <c r="F693"/>
      <c r="G693"/>
      <c r="H693"/>
      <c r="I693"/>
      <c r="J693"/>
      <c r="K693"/>
      <c r="L693"/>
      <c r="M693"/>
      <c r="S693" s="54"/>
    </row>
    <row r="694" spans="1:19" s="15" customFormat="1" x14ac:dyDescent="0.3">
      <c r="A694" s="17"/>
      <c r="B694"/>
      <c r="C694"/>
      <c r="D694"/>
      <c r="E694"/>
      <c r="F694"/>
      <c r="G694"/>
      <c r="H694"/>
      <c r="I694"/>
      <c r="J694"/>
      <c r="K694"/>
      <c r="L694"/>
      <c r="M694"/>
      <c r="S694" s="54"/>
    </row>
    <row r="695" spans="1:19" s="15" customFormat="1" x14ac:dyDescent="0.3">
      <c r="A695" s="17"/>
      <c r="B695"/>
      <c r="C695"/>
      <c r="D695"/>
      <c r="E695"/>
      <c r="F695"/>
      <c r="G695"/>
      <c r="H695"/>
      <c r="I695"/>
      <c r="J695"/>
      <c r="K695"/>
      <c r="L695"/>
      <c r="M695"/>
      <c r="S695" s="54"/>
    </row>
    <row r="696" spans="1:19" s="15" customFormat="1" x14ac:dyDescent="0.3">
      <c r="A696" s="17"/>
      <c r="B696"/>
      <c r="C696"/>
      <c r="D696"/>
      <c r="E696"/>
      <c r="F696"/>
      <c r="G696"/>
      <c r="H696"/>
      <c r="I696"/>
      <c r="J696"/>
      <c r="K696"/>
      <c r="L696"/>
      <c r="M696"/>
      <c r="S696" s="54"/>
    </row>
    <row r="697" spans="1:19" s="15" customFormat="1" x14ac:dyDescent="0.3">
      <c r="A697" s="17"/>
      <c r="B697"/>
      <c r="C697"/>
      <c r="D697"/>
      <c r="E697"/>
      <c r="F697"/>
      <c r="G697"/>
      <c r="H697"/>
      <c r="I697"/>
      <c r="J697"/>
      <c r="K697"/>
      <c r="L697"/>
      <c r="M697"/>
      <c r="S697" s="54"/>
    </row>
    <row r="698" spans="1:19" s="15" customFormat="1" x14ac:dyDescent="0.3">
      <c r="A698" s="17"/>
      <c r="B698"/>
      <c r="C698"/>
      <c r="D698"/>
      <c r="E698"/>
      <c r="F698"/>
      <c r="G698"/>
      <c r="H698"/>
      <c r="I698"/>
      <c r="J698"/>
      <c r="K698"/>
      <c r="L698"/>
      <c r="M698"/>
      <c r="S698" s="54"/>
    </row>
    <row r="699" spans="1:19" s="15" customFormat="1" x14ac:dyDescent="0.3">
      <c r="A699" s="17"/>
      <c r="B699"/>
      <c r="C699"/>
      <c r="D699"/>
      <c r="E699"/>
      <c r="F699"/>
      <c r="G699"/>
      <c r="H699"/>
      <c r="I699"/>
      <c r="J699"/>
      <c r="K699"/>
      <c r="L699"/>
      <c r="M699"/>
      <c r="S699" s="54"/>
    </row>
    <row r="700" spans="1:19" s="15" customFormat="1" x14ac:dyDescent="0.3">
      <c r="A700" s="17"/>
      <c r="B700"/>
      <c r="C700"/>
      <c r="D700"/>
      <c r="E700"/>
      <c r="F700"/>
      <c r="G700"/>
      <c r="H700"/>
      <c r="I700"/>
      <c r="J700"/>
      <c r="K700"/>
      <c r="L700"/>
      <c r="M700"/>
      <c r="S700" s="54"/>
    </row>
    <row r="701" spans="1:19" s="15" customFormat="1" x14ac:dyDescent="0.3">
      <c r="A701" s="17"/>
      <c r="B701"/>
      <c r="C701"/>
      <c r="D701"/>
      <c r="E701"/>
      <c r="F701"/>
      <c r="G701"/>
      <c r="H701"/>
      <c r="I701"/>
      <c r="J701"/>
      <c r="K701"/>
      <c r="L701"/>
      <c r="M701"/>
      <c r="S701" s="54"/>
    </row>
    <row r="702" spans="1:19" s="15" customFormat="1" x14ac:dyDescent="0.3">
      <c r="A702" s="17"/>
      <c r="B702"/>
      <c r="C702"/>
      <c r="D702"/>
      <c r="E702"/>
      <c r="F702"/>
      <c r="G702"/>
      <c r="H702"/>
      <c r="I702"/>
      <c r="J702"/>
      <c r="K702"/>
      <c r="L702"/>
      <c r="M702"/>
      <c r="S702" s="54"/>
    </row>
    <row r="703" spans="1:19" s="15" customFormat="1" x14ac:dyDescent="0.3">
      <c r="A703" s="17"/>
      <c r="B703"/>
      <c r="C703"/>
      <c r="D703"/>
      <c r="E703"/>
      <c r="F703"/>
      <c r="G703"/>
      <c r="H703"/>
      <c r="I703"/>
      <c r="J703"/>
      <c r="K703"/>
      <c r="L703"/>
      <c r="M703"/>
      <c r="S703" s="54"/>
    </row>
    <row r="704" spans="1:19" s="15" customFormat="1" x14ac:dyDescent="0.3">
      <c r="A704" s="17"/>
      <c r="B704"/>
      <c r="C704"/>
      <c r="D704"/>
      <c r="E704"/>
      <c r="F704"/>
      <c r="G704"/>
      <c r="H704"/>
      <c r="I704"/>
      <c r="J704"/>
      <c r="K704"/>
      <c r="L704"/>
      <c r="M704"/>
      <c r="S704" s="54"/>
    </row>
    <row r="705" spans="1:19" s="15" customFormat="1" x14ac:dyDescent="0.3">
      <c r="A705" s="17"/>
      <c r="B705"/>
      <c r="C705"/>
      <c r="D705"/>
      <c r="E705"/>
      <c r="F705"/>
      <c r="G705"/>
      <c r="H705"/>
      <c r="I705"/>
      <c r="J705"/>
      <c r="K705"/>
      <c r="L705"/>
      <c r="M705"/>
      <c r="S705" s="54"/>
    </row>
    <row r="706" spans="1:19" s="15" customFormat="1" x14ac:dyDescent="0.3">
      <c r="A706" s="17"/>
      <c r="B706"/>
      <c r="C706"/>
      <c r="D706"/>
      <c r="E706"/>
      <c r="F706"/>
      <c r="G706"/>
      <c r="H706"/>
      <c r="I706"/>
      <c r="J706"/>
      <c r="K706"/>
      <c r="L706"/>
      <c r="M706"/>
      <c r="S706" s="54"/>
    </row>
    <row r="707" spans="1:19" s="15" customFormat="1" x14ac:dyDescent="0.3">
      <c r="A707" s="17"/>
      <c r="B707"/>
      <c r="C707"/>
      <c r="D707"/>
      <c r="E707"/>
      <c r="F707"/>
      <c r="G707"/>
      <c r="H707"/>
      <c r="I707"/>
      <c r="J707"/>
      <c r="K707"/>
      <c r="L707"/>
      <c r="M707"/>
      <c r="S707" s="54"/>
    </row>
    <row r="708" spans="1:19" s="15" customFormat="1" x14ac:dyDescent="0.3">
      <c r="A708" s="17"/>
      <c r="B708"/>
      <c r="C708"/>
      <c r="D708"/>
      <c r="E708"/>
      <c r="F708"/>
      <c r="G708"/>
      <c r="H708"/>
      <c r="I708"/>
      <c r="J708"/>
      <c r="K708"/>
      <c r="L708"/>
      <c r="M708"/>
      <c r="S708" s="54"/>
    </row>
    <row r="709" spans="1:19" s="15" customFormat="1" x14ac:dyDescent="0.3">
      <c r="A709" s="17"/>
      <c r="B709"/>
      <c r="C709"/>
      <c r="D709"/>
      <c r="E709"/>
      <c r="F709"/>
      <c r="G709"/>
      <c r="H709"/>
      <c r="I709"/>
      <c r="J709"/>
      <c r="K709"/>
      <c r="L709"/>
      <c r="M709"/>
      <c r="S709" s="54"/>
    </row>
    <row r="710" spans="1:19" s="15" customFormat="1" x14ac:dyDescent="0.3">
      <c r="A710" s="17"/>
      <c r="B710"/>
      <c r="C710"/>
      <c r="D710"/>
      <c r="E710"/>
      <c r="F710"/>
      <c r="G710"/>
      <c r="H710"/>
      <c r="I710"/>
      <c r="J710"/>
      <c r="K710"/>
      <c r="L710"/>
      <c r="M710"/>
      <c r="S710" s="54"/>
    </row>
    <row r="711" spans="1:19" s="15" customFormat="1" x14ac:dyDescent="0.3">
      <c r="A711" s="17"/>
      <c r="B711"/>
      <c r="C711"/>
      <c r="D711"/>
      <c r="E711"/>
      <c r="F711"/>
      <c r="G711"/>
      <c r="H711"/>
      <c r="I711"/>
      <c r="J711"/>
      <c r="K711"/>
      <c r="L711"/>
      <c r="M711"/>
      <c r="S711" s="54"/>
    </row>
    <row r="712" spans="1:19" s="15" customFormat="1" x14ac:dyDescent="0.3">
      <c r="A712" s="17"/>
      <c r="B712"/>
      <c r="C712"/>
      <c r="D712"/>
      <c r="E712"/>
      <c r="F712"/>
      <c r="G712"/>
      <c r="H712"/>
      <c r="I712"/>
      <c r="J712"/>
      <c r="K712"/>
      <c r="L712"/>
      <c r="M712"/>
      <c r="S712" s="54"/>
    </row>
    <row r="713" spans="1:19" s="15" customFormat="1" x14ac:dyDescent="0.3">
      <c r="A713" s="17"/>
      <c r="B713"/>
      <c r="C713"/>
      <c r="D713"/>
      <c r="E713"/>
      <c r="F713"/>
      <c r="G713"/>
      <c r="H713"/>
      <c r="I713"/>
      <c r="J713"/>
      <c r="K713"/>
      <c r="L713"/>
      <c r="M713"/>
      <c r="S713" s="54"/>
    </row>
    <row r="714" spans="1:19" s="15" customFormat="1" x14ac:dyDescent="0.3">
      <c r="A714" s="17"/>
      <c r="B714"/>
      <c r="C714"/>
      <c r="D714"/>
      <c r="E714"/>
      <c r="F714"/>
      <c r="G714"/>
      <c r="H714"/>
      <c r="I714"/>
      <c r="J714"/>
      <c r="K714"/>
      <c r="L714"/>
      <c r="M714"/>
      <c r="S714" s="54"/>
    </row>
    <row r="715" spans="1:19" s="15" customFormat="1" x14ac:dyDescent="0.3">
      <c r="A715" s="17"/>
      <c r="B715"/>
      <c r="C715"/>
      <c r="D715"/>
      <c r="E715"/>
      <c r="F715"/>
      <c r="G715"/>
      <c r="H715"/>
      <c r="I715"/>
      <c r="J715"/>
      <c r="K715"/>
      <c r="L715"/>
      <c r="M715"/>
      <c r="S715" s="54"/>
    </row>
    <row r="716" spans="1:19" s="15" customFormat="1" x14ac:dyDescent="0.3">
      <c r="A716" s="17"/>
      <c r="B716"/>
      <c r="C716"/>
      <c r="D716"/>
      <c r="E716"/>
      <c r="F716"/>
      <c r="G716"/>
      <c r="H716"/>
      <c r="I716"/>
      <c r="J716"/>
      <c r="K716"/>
      <c r="L716"/>
      <c r="M716"/>
      <c r="S716" s="54"/>
    </row>
    <row r="717" spans="1:19" s="15" customFormat="1" x14ac:dyDescent="0.3">
      <c r="A717" s="17"/>
      <c r="B717"/>
      <c r="C717"/>
      <c r="D717"/>
      <c r="E717"/>
      <c r="F717"/>
      <c r="G717"/>
      <c r="H717"/>
      <c r="I717"/>
      <c r="J717"/>
      <c r="K717"/>
      <c r="L717"/>
      <c r="M717"/>
      <c r="S717" s="54"/>
    </row>
    <row r="718" spans="1:19" s="15" customFormat="1" x14ac:dyDescent="0.3">
      <c r="A718" s="17"/>
      <c r="B718"/>
      <c r="C718"/>
      <c r="D718"/>
      <c r="E718"/>
      <c r="F718"/>
      <c r="G718"/>
      <c r="H718"/>
      <c r="I718"/>
      <c r="J718"/>
      <c r="K718"/>
      <c r="L718"/>
      <c r="M718"/>
      <c r="S718" s="54"/>
    </row>
    <row r="719" spans="1:19" s="15" customFormat="1" x14ac:dyDescent="0.3">
      <c r="A719" s="17"/>
      <c r="B719"/>
      <c r="C719"/>
      <c r="D719"/>
      <c r="E719"/>
      <c r="F719"/>
      <c r="G719"/>
      <c r="H719"/>
      <c r="I719"/>
      <c r="J719"/>
      <c r="K719"/>
      <c r="L719"/>
      <c r="M719"/>
      <c r="S719" s="54"/>
    </row>
    <row r="720" spans="1:19" s="15" customFormat="1" x14ac:dyDescent="0.3">
      <c r="A720" s="17"/>
      <c r="B720"/>
      <c r="C720"/>
      <c r="D720"/>
      <c r="E720"/>
      <c r="F720"/>
      <c r="G720"/>
      <c r="H720"/>
      <c r="I720"/>
      <c r="J720"/>
      <c r="K720"/>
      <c r="L720"/>
      <c r="M720"/>
      <c r="S720" s="54"/>
    </row>
    <row r="721" spans="1:19" s="15" customFormat="1" x14ac:dyDescent="0.3">
      <c r="A721" s="17"/>
      <c r="B721"/>
      <c r="C721"/>
      <c r="D721"/>
      <c r="E721"/>
      <c r="F721"/>
      <c r="G721"/>
      <c r="H721"/>
      <c r="I721"/>
      <c r="J721"/>
      <c r="K721"/>
      <c r="L721"/>
      <c r="M721"/>
      <c r="S721" s="54"/>
    </row>
    <row r="722" spans="1:19" s="15" customFormat="1" x14ac:dyDescent="0.3">
      <c r="A722" s="17"/>
      <c r="B722"/>
      <c r="C722"/>
      <c r="D722"/>
      <c r="E722"/>
      <c r="F722"/>
      <c r="G722"/>
      <c r="H722"/>
      <c r="I722"/>
      <c r="J722"/>
      <c r="K722"/>
      <c r="L722"/>
      <c r="M722"/>
      <c r="S722" s="54"/>
    </row>
    <row r="723" spans="1:19" s="15" customFormat="1" x14ac:dyDescent="0.3">
      <c r="A723" s="17"/>
      <c r="B723"/>
      <c r="C723"/>
      <c r="D723"/>
      <c r="E723"/>
      <c r="F723"/>
      <c r="G723"/>
      <c r="H723"/>
      <c r="I723"/>
      <c r="J723"/>
      <c r="K723"/>
      <c r="L723"/>
      <c r="M723"/>
      <c r="S723" s="54"/>
    </row>
    <row r="724" spans="1:19" s="15" customFormat="1" x14ac:dyDescent="0.3">
      <c r="A724" s="17"/>
      <c r="B724"/>
      <c r="C724"/>
      <c r="D724"/>
      <c r="E724"/>
      <c r="F724"/>
      <c r="G724"/>
      <c r="H724"/>
      <c r="I724"/>
      <c r="J724"/>
      <c r="K724"/>
      <c r="L724"/>
      <c r="M724"/>
      <c r="S724" s="54"/>
    </row>
    <row r="725" spans="1:19" s="15" customFormat="1" x14ac:dyDescent="0.3">
      <c r="A725" s="17"/>
      <c r="B725"/>
      <c r="C725"/>
      <c r="D725"/>
      <c r="E725"/>
      <c r="F725"/>
      <c r="G725"/>
      <c r="H725"/>
      <c r="I725"/>
      <c r="J725"/>
      <c r="K725"/>
      <c r="L725"/>
      <c r="M725"/>
      <c r="S725" s="54"/>
    </row>
    <row r="726" spans="1:19" s="15" customFormat="1" x14ac:dyDescent="0.3">
      <c r="A726" s="17"/>
      <c r="B726"/>
      <c r="C726"/>
      <c r="D726"/>
      <c r="E726"/>
      <c r="F726"/>
      <c r="G726"/>
      <c r="H726"/>
      <c r="I726"/>
      <c r="J726"/>
      <c r="K726"/>
      <c r="L726"/>
      <c r="M726"/>
      <c r="S726" s="54"/>
    </row>
    <row r="727" spans="1:19" s="15" customFormat="1" x14ac:dyDescent="0.3">
      <c r="A727" s="17"/>
      <c r="B727"/>
      <c r="C727"/>
      <c r="D727"/>
      <c r="E727"/>
      <c r="F727"/>
      <c r="G727"/>
      <c r="H727"/>
      <c r="I727"/>
      <c r="J727"/>
      <c r="K727"/>
      <c r="L727"/>
      <c r="M727"/>
      <c r="S727" s="54"/>
    </row>
    <row r="728" spans="1:19" s="15" customFormat="1" x14ac:dyDescent="0.3">
      <c r="A728" s="17"/>
      <c r="B728"/>
      <c r="C728"/>
      <c r="D728"/>
      <c r="E728"/>
      <c r="F728"/>
      <c r="G728"/>
      <c r="H728"/>
      <c r="I728"/>
      <c r="J728"/>
      <c r="K728"/>
      <c r="L728"/>
      <c r="M728"/>
      <c r="S728" s="54"/>
    </row>
    <row r="729" spans="1:19" s="15" customFormat="1" x14ac:dyDescent="0.3">
      <c r="A729" s="17"/>
      <c r="B729"/>
      <c r="C729"/>
      <c r="D729"/>
      <c r="E729"/>
      <c r="F729"/>
      <c r="G729"/>
      <c r="H729"/>
      <c r="I729"/>
      <c r="J729"/>
      <c r="K729"/>
      <c r="L729"/>
      <c r="M729"/>
      <c r="S729" s="54"/>
    </row>
    <row r="730" spans="1:19" s="15" customFormat="1" x14ac:dyDescent="0.3">
      <c r="A730" s="17"/>
      <c r="B730"/>
      <c r="C730"/>
      <c r="D730"/>
      <c r="E730"/>
      <c r="F730"/>
      <c r="G730"/>
      <c r="H730"/>
      <c r="I730"/>
      <c r="J730"/>
      <c r="K730"/>
      <c r="L730"/>
      <c r="M730"/>
      <c r="S730" s="54"/>
    </row>
    <row r="731" spans="1:19" s="15" customFormat="1" x14ac:dyDescent="0.3">
      <c r="A731" s="17"/>
      <c r="B731"/>
      <c r="C731"/>
      <c r="D731"/>
      <c r="E731"/>
      <c r="F731"/>
      <c r="G731"/>
      <c r="H731"/>
      <c r="I731"/>
      <c r="J731"/>
      <c r="K731"/>
      <c r="L731"/>
      <c r="M731"/>
      <c r="S731" s="54"/>
    </row>
    <row r="732" spans="1:19" s="15" customFormat="1" x14ac:dyDescent="0.3">
      <c r="A732" s="17"/>
      <c r="B732"/>
      <c r="C732"/>
      <c r="D732"/>
      <c r="E732"/>
      <c r="F732"/>
      <c r="G732"/>
      <c r="H732"/>
      <c r="I732"/>
      <c r="J732"/>
      <c r="K732"/>
      <c r="L732"/>
      <c r="M732"/>
      <c r="S732" s="54"/>
    </row>
    <row r="733" spans="1:19" s="15" customFormat="1" x14ac:dyDescent="0.3">
      <c r="A733" s="17"/>
      <c r="B733"/>
      <c r="C733"/>
      <c r="D733"/>
      <c r="E733"/>
      <c r="F733"/>
      <c r="G733"/>
      <c r="H733"/>
      <c r="I733"/>
      <c r="J733"/>
      <c r="K733"/>
      <c r="L733"/>
      <c r="M733"/>
      <c r="S733" s="54"/>
    </row>
    <row r="734" spans="1:19" s="15" customFormat="1" x14ac:dyDescent="0.3">
      <c r="A734" s="17"/>
      <c r="B734"/>
      <c r="C734"/>
      <c r="D734"/>
      <c r="E734"/>
      <c r="F734"/>
      <c r="G734"/>
      <c r="H734"/>
      <c r="I734"/>
      <c r="J734"/>
      <c r="K734"/>
      <c r="L734"/>
      <c r="M734"/>
      <c r="S734" s="54"/>
    </row>
    <row r="735" spans="1:19" s="15" customFormat="1" x14ac:dyDescent="0.3">
      <c r="A735" s="17"/>
      <c r="B735"/>
      <c r="C735"/>
      <c r="D735"/>
      <c r="E735"/>
      <c r="F735"/>
      <c r="G735"/>
      <c r="H735"/>
      <c r="I735"/>
      <c r="J735"/>
      <c r="K735"/>
      <c r="L735"/>
      <c r="M735"/>
      <c r="S735" s="54"/>
    </row>
    <row r="736" spans="1:19" s="15" customFormat="1" x14ac:dyDescent="0.3">
      <c r="A736" s="17"/>
      <c r="B736"/>
      <c r="C736"/>
      <c r="D736"/>
      <c r="E736"/>
      <c r="F736"/>
      <c r="G736"/>
      <c r="H736"/>
      <c r="I736"/>
      <c r="J736"/>
      <c r="K736"/>
      <c r="L736"/>
      <c r="M736"/>
      <c r="S736" s="54"/>
    </row>
    <row r="737" spans="1:19" s="15" customFormat="1" x14ac:dyDescent="0.3">
      <c r="A737" s="17"/>
      <c r="B737"/>
      <c r="C737"/>
      <c r="D737"/>
      <c r="E737"/>
      <c r="F737"/>
      <c r="G737"/>
      <c r="H737"/>
      <c r="I737"/>
      <c r="J737"/>
      <c r="K737"/>
      <c r="L737"/>
      <c r="M737"/>
      <c r="S737" s="54"/>
    </row>
    <row r="738" spans="1:19" s="15" customFormat="1" x14ac:dyDescent="0.3">
      <c r="A738" s="17"/>
      <c r="B738"/>
      <c r="C738"/>
      <c r="D738"/>
      <c r="E738"/>
      <c r="F738"/>
      <c r="G738"/>
      <c r="H738"/>
      <c r="I738"/>
      <c r="J738"/>
      <c r="K738"/>
      <c r="L738"/>
      <c r="M738"/>
      <c r="S738" s="54"/>
    </row>
    <row r="739" spans="1:19" s="15" customFormat="1" x14ac:dyDescent="0.3">
      <c r="A739" s="17"/>
      <c r="B739"/>
      <c r="C739"/>
      <c r="D739"/>
      <c r="E739"/>
      <c r="F739"/>
      <c r="G739"/>
      <c r="H739"/>
      <c r="I739"/>
      <c r="J739"/>
      <c r="K739"/>
      <c r="L739"/>
      <c r="M739"/>
      <c r="S739" s="54"/>
    </row>
    <row r="740" spans="1:19" s="15" customFormat="1" x14ac:dyDescent="0.3">
      <c r="A740" s="17"/>
      <c r="B740"/>
      <c r="C740"/>
      <c r="D740"/>
      <c r="E740"/>
      <c r="F740"/>
      <c r="G740"/>
      <c r="H740"/>
      <c r="I740"/>
      <c r="J740"/>
      <c r="K740"/>
      <c r="L740"/>
      <c r="M740"/>
      <c r="S740" s="54"/>
    </row>
    <row r="741" spans="1:19" s="15" customFormat="1" x14ac:dyDescent="0.3">
      <c r="A741" s="17"/>
      <c r="B741"/>
      <c r="C741"/>
      <c r="D741"/>
      <c r="E741"/>
      <c r="F741"/>
      <c r="G741"/>
      <c r="H741"/>
      <c r="I741"/>
      <c r="J741"/>
      <c r="K741"/>
      <c r="L741"/>
      <c r="M741"/>
      <c r="S741" s="54"/>
    </row>
    <row r="742" spans="1:19" s="15" customFormat="1" x14ac:dyDescent="0.3">
      <c r="A742" s="17"/>
      <c r="B742"/>
      <c r="C742"/>
      <c r="D742"/>
      <c r="E742"/>
      <c r="F742"/>
      <c r="G742"/>
      <c r="H742"/>
      <c r="I742"/>
      <c r="J742"/>
      <c r="K742"/>
      <c r="L742"/>
      <c r="M742"/>
      <c r="S742" s="54"/>
    </row>
    <row r="743" spans="1:19" s="15" customFormat="1" x14ac:dyDescent="0.3">
      <c r="A743" s="17"/>
      <c r="B743"/>
      <c r="C743"/>
      <c r="D743"/>
      <c r="E743"/>
      <c r="F743"/>
      <c r="G743"/>
      <c r="H743"/>
      <c r="I743"/>
      <c r="J743"/>
      <c r="K743"/>
      <c r="L743"/>
      <c r="M743"/>
      <c r="S743" s="54"/>
    </row>
    <row r="744" spans="1:19" s="15" customFormat="1" x14ac:dyDescent="0.3">
      <c r="A744" s="17"/>
      <c r="B744"/>
      <c r="C744"/>
      <c r="D744"/>
      <c r="E744"/>
      <c r="F744"/>
      <c r="G744"/>
      <c r="H744"/>
      <c r="I744"/>
      <c r="J744"/>
      <c r="K744"/>
      <c r="L744"/>
      <c r="M744"/>
      <c r="S744" s="54"/>
    </row>
    <row r="745" spans="1:19" s="15" customFormat="1" x14ac:dyDescent="0.3">
      <c r="A745" s="17"/>
      <c r="B745"/>
      <c r="C745"/>
      <c r="D745"/>
      <c r="E745"/>
      <c r="F745"/>
      <c r="G745"/>
      <c r="H745"/>
      <c r="I745"/>
      <c r="J745"/>
      <c r="K745"/>
      <c r="L745"/>
      <c r="M745"/>
      <c r="S745" s="54"/>
    </row>
    <row r="746" spans="1:19" s="15" customFormat="1" x14ac:dyDescent="0.3">
      <c r="A746" s="17"/>
      <c r="B746"/>
      <c r="C746"/>
      <c r="D746"/>
      <c r="E746"/>
      <c r="F746"/>
      <c r="G746"/>
      <c r="H746"/>
      <c r="I746"/>
      <c r="J746"/>
      <c r="K746"/>
      <c r="L746"/>
      <c r="M746"/>
      <c r="S746" s="54"/>
    </row>
    <row r="747" spans="1:19" s="15" customFormat="1" x14ac:dyDescent="0.3">
      <c r="A747" s="17"/>
      <c r="B747"/>
      <c r="C747"/>
      <c r="D747"/>
      <c r="E747"/>
      <c r="F747"/>
      <c r="G747"/>
      <c r="H747"/>
      <c r="I747"/>
      <c r="J747"/>
      <c r="K747"/>
      <c r="L747"/>
      <c r="M747"/>
      <c r="S747" s="54"/>
    </row>
    <row r="748" spans="1:19" s="15" customFormat="1" x14ac:dyDescent="0.3">
      <c r="A748" s="17"/>
      <c r="B748"/>
      <c r="C748"/>
      <c r="D748"/>
      <c r="E748"/>
      <c r="F748"/>
      <c r="G748"/>
      <c r="H748"/>
      <c r="I748"/>
      <c r="J748"/>
      <c r="K748"/>
      <c r="L748"/>
      <c r="M748"/>
      <c r="S748" s="54"/>
    </row>
    <row r="749" spans="1:19" s="15" customFormat="1" x14ac:dyDescent="0.3">
      <c r="A749" s="17"/>
      <c r="B749"/>
      <c r="C749"/>
      <c r="D749"/>
      <c r="E749"/>
      <c r="F749"/>
      <c r="G749"/>
      <c r="H749"/>
      <c r="I749"/>
      <c r="J749"/>
      <c r="K749"/>
      <c r="L749"/>
      <c r="M749"/>
      <c r="S749" s="54"/>
    </row>
    <row r="750" spans="1:19" s="15" customFormat="1" x14ac:dyDescent="0.3">
      <c r="A750" s="17"/>
      <c r="B750"/>
      <c r="C750"/>
      <c r="D750"/>
      <c r="E750"/>
      <c r="F750"/>
      <c r="G750"/>
      <c r="H750"/>
      <c r="I750"/>
      <c r="J750"/>
      <c r="K750"/>
      <c r="L750"/>
      <c r="M750"/>
      <c r="S750" s="54"/>
    </row>
    <row r="751" spans="1:19" s="15" customFormat="1" x14ac:dyDescent="0.3">
      <c r="A751" s="17"/>
      <c r="B751"/>
      <c r="C751"/>
      <c r="D751"/>
      <c r="E751"/>
      <c r="F751"/>
      <c r="G751"/>
      <c r="H751"/>
      <c r="I751"/>
      <c r="J751"/>
      <c r="K751"/>
      <c r="L751"/>
      <c r="M751"/>
      <c r="S751" s="54"/>
    </row>
    <row r="752" spans="1:19" s="15" customFormat="1" x14ac:dyDescent="0.3">
      <c r="A752" s="17"/>
      <c r="B752"/>
      <c r="C752"/>
      <c r="D752"/>
      <c r="E752"/>
      <c r="F752"/>
      <c r="G752"/>
      <c r="H752"/>
      <c r="I752"/>
      <c r="J752"/>
      <c r="K752"/>
      <c r="L752"/>
      <c r="M752"/>
      <c r="S752" s="54"/>
    </row>
    <row r="753" spans="1:19" s="15" customFormat="1" x14ac:dyDescent="0.3">
      <c r="A753" s="17"/>
      <c r="B753"/>
      <c r="C753"/>
      <c r="D753"/>
      <c r="E753"/>
      <c r="F753"/>
      <c r="G753"/>
      <c r="H753"/>
      <c r="I753"/>
      <c r="J753"/>
      <c r="K753"/>
      <c r="L753"/>
      <c r="M753"/>
      <c r="S753" s="54"/>
    </row>
    <row r="754" spans="1:19" s="15" customFormat="1" x14ac:dyDescent="0.3">
      <c r="A754" s="17"/>
      <c r="B754"/>
      <c r="C754"/>
      <c r="D754"/>
      <c r="E754"/>
      <c r="F754"/>
      <c r="G754"/>
      <c r="H754"/>
      <c r="I754"/>
      <c r="J754"/>
      <c r="K754"/>
      <c r="L754"/>
      <c r="M754"/>
      <c r="S754" s="54"/>
    </row>
    <row r="755" spans="1:19" s="15" customFormat="1" x14ac:dyDescent="0.3">
      <c r="A755" s="17"/>
      <c r="B755"/>
      <c r="C755"/>
      <c r="D755"/>
      <c r="E755"/>
      <c r="F755"/>
      <c r="G755"/>
      <c r="H755"/>
      <c r="I755"/>
      <c r="J755"/>
      <c r="K755"/>
      <c r="L755"/>
      <c r="M755"/>
      <c r="S755" s="54"/>
    </row>
    <row r="756" spans="1:19" s="15" customFormat="1" x14ac:dyDescent="0.3">
      <c r="A756" s="17"/>
      <c r="B756"/>
      <c r="C756"/>
      <c r="D756"/>
      <c r="E756"/>
      <c r="F756"/>
      <c r="G756"/>
      <c r="H756"/>
      <c r="I756"/>
      <c r="J756"/>
      <c r="K756"/>
      <c r="L756"/>
      <c r="M756"/>
      <c r="S756" s="54"/>
    </row>
    <row r="757" spans="1:19" s="15" customFormat="1" x14ac:dyDescent="0.3">
      <c r="A757" s="17"/>
      <c r="B757"/>
      <c r="C757"/>
      <c r="D757"/>
      <c r="E757"/>
      <c r="F757"/>
      <c r="G757"/>
      <c r="H757"/>
      <c r="I757"/>
      <c r="J757"/>
      <c r="K757"/>
      <c r="L757"/>
      <c r="M757"/>
      <c r="S757" s="54"/>
    </row>
    <row r="758" spans="1:19" s="15" customFormat="1" x14ac:dyDescent="0.3">
      <c r="A758" s="17"/>
      <c r="B758"/>
      <c r="C758"/>
      <c r="D758"/>
      <c r="E758"/>
      <c r="F758"/>
      <c r="G758"/>
      <c r="H758"/>
      <c r="I758"/>
      <c r="J758"/>
      <c r="K758"/>
      <c r="L758"/>
      <c r="M758"/>
      <c r="S758" s="54"/>
    </row>
    <row r="759" spans="1:19" s="15" customFormat="1" x14ac:dyDescent="0.3">
      <c r="A759" s="17"/>
      <c r="B759"/>
      <c r="C759"/>
      <c r="D759"/>
      <c r="E759"/>
      <c r="F759"/>
      <c r="G759"/>
      <c r="H759"/>
      <c r="I759"/>
      <c r="J759"/>
      <c r="K759"/>
      <c r="L759"/>
      <c r="M759"/>
      <c r="S759" s="54"/>
    </row>
    <row r="760" spans="1:19" s="15" customFormat="1" x14ac:dyDescent="0.3">
      <c r="A760" s="17"/>
      <c r="B760"/>
      <c r="C760"/>
      <c r="D760"/>
      <c r="E760"/>
      <c r="F760"/>
      <c r="G760"/>
      <c r="H760"/>
      <c r="I760"/>
      <c r="J760"/>
      <c r="K760"/>
      <c r="L760"/>
      <c r="M760"/>
      <c r="S760" s="54"/>
    </row>
    <row r="761" spans="1:19" s="15" customFormat="1" x14ac:dyDescent="0.3">
      <c r="A761" s="17"/>
      <c r="B761"/>
      <c r="C761"/>
      <c r="D761"/>
      <c r="E761"/>
      <c r="F761"/>
      <c r="G761"/>
      <c r="H761"/>
      <c r="I761"/>
      <c r="J761"/>
      <c r="K761"/>
      <c r="L761"/>
      <c r="M761"/>
      <c r="S761" s="54"/>
    </row>
    <row r="762" spans="1:19" s="15" customFormat="1" x14ac:dyDescent="0.3">
      <c r="A762" s="17"/>
      <c r="B762"/>
      <c r="C762"/>
      <c r="D762"/>
      <c r="E762"/>
      <c r="F762"/>
      <c r="G762"/>
      <c r="H762"/>
      <c r="I762"/>
      <c r="J762"/>
      <c r="K762"/>
      <c r="L762"/>
      <c r="M762"/>
      <c r="S762" s="54"/>
    </row>
    <row r="763" spans="1:19" s="15" customFormat="1" x14ac:dyDescent="0.3">
      <c r="A763" s="17"/>
      <c r="B763"/>
      <c r="C763"/>
      <c r="D763"/>
      <c r="E763"/>
      <c r="F763"/>
      <c r="G763"/>
      <c r="H763"/>
      <c r="I763"/>
      <c r="J763"/>
      <c r="K763"/>
      <c r="L763"/>
      <c r="M763"/>
      <c r="S763" s="54"/>
    </row>
    <row r="764" spans="1:19" s="15" customFormat="1" x14ac:dyDescent="0.3">
      <c r="A764" s="17"/>
      <c r="B764"/>
      <c r="C764"/>
      <c r="D764"/>
      <c r="E764"/>
      <c r="F764"/>
      <c r="G764"/>
      <c r="H764"/>
      <c r="I764"/>
      <c r="J764"/>
      <c r="K764"/>
      <c r="L764"/>
      <c r="M764"/>
      <c r="S764" s="54"/>
    </row>
    <row r="765" spans="1:19" s="15" customFormat="1" x14ac:dyDescent="0.3">
      <c r="A765" s="17"/>
      <c r="B765"/>
      <c r="C765"/>
      <c r="D765"/>
      <c r="E765"/>
      <c r="F765"/>
      <c r="G765"/>
      <c r="H765"/>
      <c r="I765"/>
      <c r="J765"/>
      <c r="K765"/>
      <c r="L765"/>
      <c r="M765"/>
      <c r="S765" s="54"/>
    </row>
    <row r="766" spans="1:19" s="15" customFormat="1" x14ac:dyDescent="0.3">
      <c r="A766" s="17"/>
      <c r="B766"/>
      <c r="C766"/>
      <c r="D766"/>
      <c r="E766"/>
      <c r="F766"/>
      <c r="G766"/>
      <c r="H766"/>
      <c r="I766"/>
      <c r="J766"/>
      <c r="K766"/>
      <c r="L766"/>
      <c r="M766"/>
      <c r="S766" s="54"/>
    </row>
    <row r="767" spans="1:19" s="15" customFormat="1" x14ac:dyDescent="0.3">
      <c r="A767" s="17"/>
      <c r="B767"/>
      <c r="C767"/>
      <c r="D767"/>
      <c r="E767"/>
      <c r="F767"/>
      <c r="G767"/>
      <c r="H767"/>
      <c r="I767"/>
      <c r="J767"/>
      <c r="K767"/>
      <c r="L767"/>
      <c r="M767"/>
      <c r="S767" s="54"/>
    </row>
    <row r="768" spans="1:19" s="15" customFormat="1" x14ac:dyDescent="0.3">
      <c r="A768" s="17"/>
      <c r="B768"/>
      <c r="C768"/>
      <c r="D768"/>
      <c r="E768"/>
      <c r="F768"/>
      <c r="G768"/>
      <c r="H768"/>
      <c r="I768"/>
      <c r="J768"/>
      <c r="K768"/>
      <c r="L768"/>
      <c r="M768"/>
      <c r="S768" s="54"/>
    </row>
    <row r="769" spans="1:19" s="15" customFormat="1" x14ac:dyDescent="0.3">
      <c r="A769" s="17"/>
      <c r="B769"/>
      <c r="C769"/>
      <c r="D769"/>
      <c r="E769"/>
      <c r="F769"/>
      <c r="G769"/>
      <c r="H769"/>
      <c r="I769"/>
      <c r="J769"/>
      <c r="K769"/>
      <c r="L769"/>
      <c r="M769"/>
      <c r="S769" s="54"/>
    </row>
    <row r="770" spans="1:19" s="15" customFormat="1" x14ac:dyDescent="0.3">
      <c r="A770" s="17"/>
      <c r="B770"/>
      <c r="C770"/>
      <c r="D770"/>
      <c r="E770"/>
      <c r="F770"/>
      <c r="G770"/>
      <c r="H770"/>
      <c r="I770"/>
      <c r="J770"/>
      <c r="K770"/>
      <c r="L770"/>
      <c r="M770"/>
      <c r="S770" s="54"/>
    </row>
    <row r="771" spans="1:19" s="15" customFormat="1" x14ac:dyDescent="0.3">
      <c r="A771" s="17"/>
      <c r="B771"/>
      <c r="C771"/>
      <c r="D771"/>
      <c r="E771"/>
      <c r="F771"/>
      <c r="G771"/>
      <c r="H771"/>
      <c r="I771"/>
      <c r="J771"/>
      <c r="K771"/>
      <c r="L771"/>
      <c r="M771"/>
      <c r="S771" s="54"/>
    </row>
    <row r="772" spans="1:19" s="15" customFormat="1" x14ac:dyDescent="0.3">
      <c r="A772" s="17"/>
      <c r="B772"/>
      <c r="C772"/>
      <c r="D772"/>
      <c r="E772"/>
      <c r="F772"/>
      <c r="G772"/>
      <c r="H772"/>
      <c r="I772"/>
      <c r="J772"/>
      <c r="K772"/>
      <c r="L772"/>
      <c r="M772"/>
      <c r="S772" s="54"/>
    </row>
    <row r="773" spans="1:19" s="15" customFormat="1" x14ac:dyDescent="0.3">
      <c r="A773" s="17"/>
      <c r="B773"/>
      <c r="C773"/>
      <c r="D773"/>
      <c r="E773"/>
      <c r="F773"/>
      <c r="G773"/>
      <c r="H773"/>
      <c r="I773"/>
      <c r="J773"/>
      <c r="K773"/>
      <c r="L773"/>
      <c r="M773"/>
      <c r="S773" s="54"/>
    </row>
    <row r="774" spans="1:19" s="15" customFormat="1" x14ac:dyDescent="0.3">
      <c r="A774" s="17"/>
      <c r="B774"/>
      <c r="C774"/>
      <c r="D774"/>
      <c r="E774"/>
      <c r="F774"/>
      <c r="G774"/>
      <c r="H774"/>
      <c r="I774"/>
      <c r="J774"/>
      <c r="K774"/>
      <c r="L774"/>
      <c r="M774"/>
      <c r="S774" s="54"/>
    </row>
    <row r="775" spans="1:19" s="15" customFormat="1" x14ac:dyDescent="0.3">
      <c r="A775" s="17"/>
      <c r="B775"/>
      <c r="C775"/>
      <c r="D775"/>
      <c r="E775"/>
      <c r="F775"/>
      <c r="G775"/>
      <c r="H775"/>
      <c r="I775"/>
      <c r="J775"/>
      <c r="K775"/>
      <c r="L775"/>
      <c r="M775"/>
      <c r="S775" s="54"/>
    </row>
    <row r="776" spans="1:19" s="15" customFormat="1" x14ac:dyDescent="0.3">
      <c r="A776" s="17"/>
      <c r="B776"/>
      <c r="C776"/>
      <c r="D776"/>
      <c r="E776"/>
      <c r="F776"/>
      <c r="G776"/>
      <c r="H776"/>
      <c r="I776"/>
      <c r="J776"/>
      <c r="K776"/>
      <c r="L776"/>
      <c r="M776"/>
      <c r="S776" s="54"/>
    </row>
    <row r="777" spans="1:19" s="15" customFormat="1" x14ac:dyDescent="0.3">
      <c r="A777" s="17"/>
      <c r="B777"/>
      <c r="C777"/>
      <c r="D777"/>
      <c r="E777"/>
      <c r="F777"/>
      <c r="G777"/>
      <c r="H777"/>
      <c r="I777"/>
      <c r="J777"/>
      <c r="K777"/>
      <c r="L777"/>
      <c r="M777"/>
      <c r="S777" s="54"/>
    </row>
    <row r="778" spans="1:19" s="15" customFormat="1" x14ac:dyDescent="0.3">
      <c r="A778" s="17"/>
      <c r="B778"/>
      <c r="C778"/>
      <c r="D778"/>
      <c r="E778"/>
      <c r="F778"/>
      <c r="G778"/>
      <c r="H778"/>
      <c r="I778"/>
      <c r="J778"/>
      <c r="K778"/>
      <c r="L778"/>
      <c r="M778"/>
      <c r="S778" s="54"/>
    </row>
    <row r="779" spans="1:19" s="15" customFormat="1" x14ac:dyDescent="0.3">
      <c r="A779" s="17"/>
      <c r="B779"/>
      <c r="C779"/>
      <c r="D779"/>
      <c r="E779"/>
      <c r="F779"/>
      <c r="G779"/>
      <c r="H779"/>
      <c r="I779"/>
      <c r="J779"/>
      <c r="K779"/>
      <c r="L779"/>
      <c r="M779"/>
      <c r="S779" s="54"/>
    </row>
    <row r="780" spans="1:19" s="15" customFormat="1" x14ac:dyDescent="0.3">
      <c r="A780" s="17"/>
      <c r="B780"/>
      <c r="C780"/>
      <c r="D780"/>
      <c r="E780"/>
      <c r="F780"/>
      <c r="G780"/>
      <c r="H780"/>
      <c r="I780"/>
      <c r="J780"/>
      <c r="K780"/>
      <c r="L780"/>
      <c r="M780"/>
      <c r="S780" s="54"/>
    </row>
    <row r="781" spans="1:19" s="15" customFormat="1" x14ac:dyDescent="0.3">
      <c r="A781" s="17"/>
      <c r="B781"/>
      <c r="C781"/>
      <c r="D781"/>
      <c r="E781"/>
      <c r="F781"/>
      <c r="G781"/>
      <c r="H781"/>
      <c r="I781"/>
      <c r="J781"/>
      <c r="K781"/>
      <c r="L781"/>
      <c r="M781"/>
      <c r="S781" s="54"/>
    </row>
    <row r="782" spans="1:19" s="15" customFormat="1" x14ac:dyDescent="0.3">
      <c r="A782" s="17"/>
      <c r="B782"/>
      <c r="C782"/>
      <c r="D782"/>
      <c r="E782"/>
      <c r="F782"/>
      <c r="G782"/>
      <c r="H782"/>
      <c r="I782"/>
      <c r="J782"/>
      <c r="K782"/>
      <c r="L782"/>
      <c r="M782"/>
      <c r="S782" s="54"/>
    </row>
    <row r="783" spans="1:19" s="15" customFormat="1" x14ac:dyDescent="0.3">
      <c r="A783" s="17"/>
      <c r="B783"/>
      <c r="C783"/>
      <c r="D783"/>
      <c r="E783"/>
      <c r="F783"/>
      <c r="G783"/>
      <c r="H783"/>
      <c r="I783"/>
      <c r="J783"/>
      <c r="K783"/>
      <c r="L783"/>
      <c r="M783"/>
      <c r="S783" s="54"/>
    </row>
    <row r="784" spans="1:19" s="15" customFormat="1" x14ac:dyDescent="0.3">
      <c r="A784" s="17"/>
      <c r="B784"/>
      <c r="C784"/>
      <c r="D784"/>
      <c r="E784"/>
      <c r="F784"/>
      <c r="G784"/>
      <c r="H784"/>
      <c r="I784"/>
      <c r="J784"/>
      <c r="K784"/>
      <c r="L784"/>
      <c r="M784"/>
      <c r="S784" s="54"/>
    </row>
    <row r="785" spans="1:19" s="15" customFormat="1" x14ac:dyDescent="0.3">
      <c r="A785" s="17"/>
      <c r="B785"/>
      <c r="C785"/>
      <c r="D785"/>
      <c r="E785"/>
      <c r="F785"/>
      <c r="G785"/>
      <c r="H785"/>
      <c r="I785"/>
      <c r="J785"/>
      <c r="K785"/>
      <c r="L785"/>
      <c r="M785"/>
      <c r="S785" s="54"/>
    </row>
    <row r="786" spans="1:19" s="15" customFormat="1" x14ac:dyDescent="0.3">
      <c r="A786" s="17"/>
      <c r="B786"/>
      <c r="C786"/>
      <c r="D786"/>
      <c r="E786"/>
      <c r="F786"/>
      <c r="G786"/>
      <c r="H786"/>
      <c r="I786"/>
      <c r="J786"/>
      <c r="K786"/>
      <c r="L786"/>
      <c r="M786"/>
      <c r="S786" s="54"/>
    </row>
    <row r="787" spans="1:19" s="15" customFormat="1" x14ac:dyDescent="0.3">
      <c r="A787" s="17"/>
      <c r="B787"/>
      <c r="C787"/>
      <c r="D787"/>
      <c r="E787"/>
      <c r="F787"/>
      <c r="G787"/>
      <c r="H787"/>
      <c r="I787"/>
      <c r="J787"/>
      <c r="K787"/>
      <c r="L787"/>
      <c r="M787"/>
      <c r="S787" s="54"/>
    </row>
    <row r="788" spans="1:19" s="15" customFormat="1" x14ac:dyDescent="0.3">
      <c r="A788" s="17"/>
      <c r="B788"/>
      <c r="C788"/>
      <c r="D788"/>
      <c r="E788"/>
      <c r="F788"/>
      <c r="G788"/>
      <c r="H788"/>
      <c r="I788"/>
      <c r="J788"/>
      <c r="K788"/>
      <c r="L788"/>
      <c r="M788"/>
      <c r="S788" s="54"/>
    </row>
    <row r="789" spans="1:19" s="15" customFormat="1" x14ac:dyDescent="0.3">
      <c r="A789" s="17"/>
      <c r="B789"/>
      <c r="C789"/>
      <c r="D789"/>
      <c r="E789"/>
      <c r="F789"/>
      <c r="G789"/>
      <c r="H789"/>
      <c r="I789"/>
      <c r="J789"/>
      <c r="K789"/>
      <c r="L789"/>
      <c r="M789"/>
      <c r="S789" s="54"/>
    </row>
    <row r="790" spans="1:19" s="15" customFormat="1" x14ac:dyDescent="0.3">
      <c r="A790" s="17"/>
      <c r="B790"/>
      <c r="C790"/>
      <c r="D790"/>
      <c r="E790"/>
      <c r="F790"/>
      <c r="G790"/>
      <c r="H790"/>
      <c r="I790"/>
      <c r="J790"/>
      <c r="K790"/>
      <c r="L790"/>
      <c r="M790"/>
      <c r="S790" s="54"/>
    </row>
    <row r="791" spans="1:19" s="15" customFormat="1" x14ac:dyDescent="0.3">
      <c r="A791" s="17"/>
      <c r="B791"/>
      <c r="C791"/>
      <c r="D791"/>
      <c r="E791"/>
      <c r="F791"/>
      <c r="G791"/>
      <c r="H791"/>
      <c r="I791"/>
      <c r="J791"/>
      <c r="K791"/>
      <c r="L791"/>
      <c r="M791"/>
      <c r="S791" s="54"/>
    </row>
    <row r="792" spans="1:19" s="15" customFormat="1" x14ac:dyDescent="0.3">
      <c r="A792" s="17"/>
      <c r="B792"/>
      <c r="C792"/>
      <c r="D792"/>
      <c r="E792"/>
      <c r="F792"/>
      <c r="G792"/>
      <c r="H792"/>
      <c r="I792"/>
      <c r="J792"/>
      <c r="K792"/>
      <c r="L792"/>
      <c r="M792"/>
      <c r="S792" s="54"/>
    </row>
    <row r="793" spans="1:19" s="15" customFormat="1" x14ac:dyDescent="0.3">
      <c r="A793" s="17"/>
      <c r="B793"/>
      <c r="C793"/>
      <c r="D793"/>
      <c r="E793"/>
      <c r="F793"/>
      <c r="G793"/>
      <c r="H793"/>
      <c r="I793"/>
      <c r="J793"/>
      <c r="K793"/>
      <c r="L793"/>
      <c r="M793"/>
      <c r="S793" s="54"/>
    </row>
    <row r="794" spans="1:19" s="15" customFormat="1" x14ac:dyDescent="0.3">
      <c r="A794" s="17"/>
      <c r="B794"/>
      <c r="C794"/>
      <c r="D794"/>
      <c r="E794"/>
      <c r="F794"/>
      <c r="G794"/>
      <c r="H794"/>
      <c r="I794"/>
      <c r="J794"/>
      <c r="K794"/>
      <c r="L794"/>
      <c r="M794"/>
      <c r="S794" s="54"/>
    </row>
    <row r="795" spans="1:19" s="15" customFormat="1" x14ac:dyDescent="0.3">
      <c r="A795" s="17"/>
      <c r="B795"/>
      <c r="C795"/>
      <c r="D795"/>
      <c r="E795"/>
      <c r="F795"/>
      <c r="G795"/>
      <c r="H795"/>
      <c r="I795"/>
      <c r="J795"/>
      <c r="K795"/>
      <c r="L795"/>
      <c r="M795"/>
      <c r="S795" s="54"/>
    </row>
    <row r="796" spans="1:19" s="15" customFormat="1" x14ac:dyDescent="0.3">
      <c r="A796" s="17"/>
      <c r="B796"/>
      <c r="C796"/>
      <c r="D796"/>
      <c r="E796"/>
      <c r="F796"/>
      <c r="G796"/>
      <c r="H796"/>
      <c r="I796"/>
      <c r="J796"/>
      <c r="K796"/>
      <c r="L796"/>
      <c r="M796"/>
      <c r="S796" s="54"/>
    </row>
    <row r="797" spans="1:19" s="15" customFormat="1" x14ac:dyDescent="0.3">
      <c r="A797" s="17"/>
      <c r="B797"/>
      <c r="C797"/>
      <c r="D797"/>
      <c r="E797"/>
      <c r="F797"/>
      <c r="G797"/>
      <c r="H797"/>
      <c r="I797"/>
      <c r="J797"/>
      <c r="K797"/>
      <c r="L797"/>
      <c r="M797"/>
      <c r="S797" s="54"/>
    </row>
    <row r="798" spans="1:19" s="15" customFormat="1" x14ac:dyDescent="0.3">
      <c r="A798" s="17"/>
      <c r="B798"/>
      <c r="C798"/>
      <c r="D798"/>
      <c r="E798"/>
      <c r="F798"/>
      <c r="G798"/>
      <c r="H798"/>
      <c r="I798"/>
      <c r="J798"/>
      <c r="K798"/>
      <c r="L798"/>
      <c r="M798"/>
      <c r="S798" s="54"/>
    </row>
    <row r="799" spans="1:19" s="15" customFormat="1" x14ac:dyDescent="0.3">
      <c r="A799" s="17"/>
      <c r="B799"/>
      <c r="C799"/>
      <c r="D799"/>
      <c r="E799"/>
      <c r="F799"/>
      <c r="G799"/>
      <c r="H799"/>
      <c r="I799"/>
      <c r="J799"/>
      <c r="K799"/>
      <c r="L799"/>
      <c r="M799"/>
      <c r="S799" s="54"/>
    </row>
    <row r="800" spans="1:19" s="15" customFormat="1" x14ac:dyDescent="0.3">
      <c r="A800" s="17"/>
      <c r="B800"/>
      <c r="C800"/>
      <c r="D800"/>
      <c r="E800"/>
      <c r="F800"/>
      <c r="G800"/>
      <c r="H800"/>
      <c r="I800"/>
      <c r="J800"/>
      <c r="K800"/>
      <c r="L800"/>
      <c r="M800"/>
      <c r="S800" s="54"/>
    </row>
    <row r="801" spans="1:19" s="15" customFormat="1" x14ac:dyDescent="0.3">
      <c r="A801" s="17"/>
      <c r="B801"/>
      <c r="C801"/>
      <c r="D801"/>
      <c r="E801"/>
      <c r="F801"/>
      <c r="G801"/>
      <c r="H801"/>
      <c r="I801"/>
      <c r="J801"/>
      <c r="K801"/>
      <c r="L801"/>
      <c r="M801"/>
      <c r="S801" s="54"/>
    </row>
    <row r="802" spans="1:19" s="15" customFormat="1" x14ac:dyDescent="0.3">
      <c r="A802" s="17"/>
      <c r="B802"/>
      <c r="C802"/>
      <c r="D802"/>
      <c r="E802"/>
      <c r="F802"/>
      <c r="G802"/>
      <c r="H802"/>
      <c r="I802"/>
      <c r="J802"/>
      <c r="K802"/>
      <c r="L802"/>
      <c r="M802"/>
      <c r="S802" s="54"/>
    </row>
    <row r="803" spans="1:19" s="15" customFormat="1" x14ac:dyDescent="0.3">
      <c r="A803" s="17"/>
      <c r="B803"/>
      <c r="C803"/>
      <c r="D803"/>
      <c r="E803"/>
      <c r="F803"/>
      <c r="G803"/>
      <c r="H803"/>
      <c r="I803"/>
      <c r="J803"/>
      <c r="K803"/>
      <c r="L803"/>
      <c r="M803"/>
      <c r="S803" s="54"/>
    </row>
    <row r="804" spans="1:19" s="15" customFormat="1" x14ac:dyDescent="0.3">
      <c r="A804" s="17"/>
      <c r="B804"/>
      <c r="C804"/>
      <c r="D804"/>
      <c r="E804"/>
      <c r="F804"/>
      <c r="G804"/>
      <c r="H804"/>
      <c r="I804"/>
      <c r="J804"/>
      <c r="K804"/>
      <c r="L804"/>
      <c r="M804"/>
      <c r="S804" s="54"/>
    </row>
    <row r="805" spans="1:19" s="15" customFormat="1" x14ac:dyDescent="0.3">
      <c r="A805" s="17"/>
      <c r="B805"/>
      <c r="C805"/>
      <c r="D805"/>
      <c r="E805"/>
      <c r="F805"/>
      <c r="G805"/>
      <c r="H805"/>
      <c r="I805"/>
      <c r="J805"/>
      <c r="K805"/>
      <c r="L805"/>
      <c r="M805"/>
      <c r="S805" s="54"/>
    </row>
    <row r="806" spans="1:19" s="15" customFormat="1" x14ac:dyDescent="0.3">
      <c r="A806" s="17"/>
      <c r="B806"/>
      <c r="C806"/>
      <c r="D806"/>
      <c r="E806"/>
      <c r="F806"/>
      <c r="G806"/>
      <c r="H806"/>
      <c r="I806"/>
      <c r="J806"/>
      <c r="K806"/>
      <c r="L806"/>
      <c r="M806"/>
      <c r="S806" s="54"/>
    </row>
    <row r="807" spans="1:19" s="15" customFormat="1" x14ac:dyDescent="0.3">
      <c r="A807" s="17"/>
      <c r="B807"/>
      <c r="C807"/>
      <c r="D807"/>
      <c r="E807"/>
      <c r="F807"/>
      <c r="G807"/>
      <c r="H807"/>
      <c r="I807"/>
      <c r="J807"/>
      <c r="K807"/>
      <c r="L807"/>
      <c r="M807"/>
      <c r="S807" s="54"/>
    </row>
    <row r="808" spans="1:19" s="15" customFormat="1" x14ac:dyDescent="0.3">
      <c r="A808" s="17"/>
      <c r="B808"/>
      <c r="C808"/>
      <c r="D808"/>
      <c r="E808"/>
      <c r="F808"/>
      <c r="G808"/>
      <c r="H808"/>
      <c r="I808"/>
      <c r="J808"/>
      <c r="K808"/>
      <c r="L808"/>
      <c r="M808"/>
      <c r="S808" s="54"/>
    </row>
    <row r="809" spans="1:19" s="15" customFormat="1" x14ac:dyDescent="0.3">
      <c r="A809" s="17"/>
      <c r="B809"/>
      <c r="C809"/>
      <c r="D809"/>
      <c r="E809"/>
      <c r="F809"/>
      <c r="G809"/>
      <c r="H809"/>
      <c r="I809"/>
      <c r="J809"/>
      <c r="K809"/>
      <c r="L809"/>
      <c r="M809"/>
      <c r="S809" s="54"/>
    </row>
    <row r="810" spans="1:19" s="15" customFormat="1" x14ac:dyDescent="0.3">
      <c r="A810" s="17"/>
      <c r="B810"/>
      <c r="C810"/>
      <c r="D810"/>
      <c r="E810"/>
      <c r="F810"/>
      <c r="G810"/>
      <c r="H810"/>
      <c r="I810"/>
      <c r="J810"/>
      <c r="K810"/>
      <c r="L810"/>
      <c r="M810"/>
      <c r="S810" s="54"/>
    </row>
    <row r="811" spans="1:19" s="15" customFormat="1" x14ac:dyDescent="0.3">
      <c r="A811" s="17"/>
      <c r="B811"/>
      <c r="C811"/>
      <c r="D811"/>
      <c r="E811"/>
      <c r="F811"/>
      <c r="G811"/>
      <c r="H811"/>
      <c r="I811"/>
      <c r="J811"/>
      <c r="K811"/>
      <c r="L811"/>
      <c r="M811"/>
      <c r="S811" s="54"/>
    </row>
    <row r="812" spans="1:19" s="15" customFormat="1" x14ac:dyDescent="0.3">
      <c r="A812" s="17"/>
      <c r="B812"/>
      <c r="C812"/>
      <c r="D812"/>
      <c r="E812"/>
      <c r="F812"/>
      <c r="G812"/>
      <c r="H812"/>
      <c r="I812"/>
      <c r="J812"/>
      <c r="K812"/>
      <c r="L812"/>
      <c r="M812"/>
      <c r="S812" s="54"/>
    </row>
    <row r="813" spans="1:19" s="15" customFormat="1" x14ac:dyDescent="0.3">
      <c r="A813" s="17"/>
      <c r="B813"/>
      <c r="C813"/>
      <c r="D813"/>
      <c r="E813"/>
      <c r="F813"/>
      <c r="G813"/>
      <c r="H813"/>
      <c r="I813"/>
      <c r="J813"/>
      <c r="K813"/>
      <c r="L813"/>
      <c r="M813"/>
      <c r="S813" s="54"/>
    </row>
    <row r="814" spans="1:19" s="15" customFormat="1" x14ac:dyDescent="0.3">
      <c r="A814" s="17"/>
      <c r="B814"/>
      <c r="C814"/>
      <c r="D814"/>
      <c r="E814"/>
      <c r="F814"/>
      <c r="G814"/>
      <c r="H814"/>
      <c r="I814"/>
      <c r="J814"/>
      <c r="K814"/>
      <c r="L814"/>
      <c r="M814"/>
      <c r="S814" s="54"/>
    </row>
    <row r="815" spans="1:19" s="15" customFormat="1" x14ac:dyDescent="0.3">
      <c r="A815" s="17"/>
      <c r="B815"/>
      <c r="C815"/>
      <c r="D815"/>
      <c r="E815"/>
      <c r="F815"/>
      <c r="G815"/>
      <c r="H815"/>
      <c r="I815"/>
      <c r="J815"/>
      <c r="K815"/>
      <c r="L815"/>
      <c r="M815"/>
      <c r="S815" s="54"/>
    </row>
    <row r="816" spans="1:19" s="15" customFormat="1" x14ac:dyDescent="0.3">
      <c r="A816" s="17"/>
      <c r="B816"/>
      <c r="C816"/>
      <c r="D816"/>
      <c r="E816"/>
      <c r="F816"/>
      <c r="G816"/>
      <c r="H816"/>
      <c r="I816"/>
      <c r="J816"/>
      <c r="K816"/>
      <c r="L816"/>
      <c r="M816"/>
      <c r="S816" s="54"/>
    </row>
    <row r="817" spans="1:19" s="15" customFormat="1" x14ac:dyDescent="0.3">
      <c r="A817" s="17"/>
      <c r="B817"/>
      <c r="C817"/>
      <c r="D817"/>
      <c r="E817"/>
      <c r="F817"/>
      <c r="G817"/>
      <c r="H817"/>
      <c r="I817"/>
      <c r="J817"/>
      <c r="K817"/>
      <c r="L817"/>
      <c r="M817"/>
      <c r="S817" s="54"/>
    </row>
    <row r="818" spans="1:19" s="15" customFormat="1" x14ac:dyDescent="0.3">
      <c r="A818" s="17"/>
      <c r="B818"/>
      <c r="C818"/>
      <c r="D818"/>
      <c r="E818"/>
      <c r="F818"/>
      <c r="G818"/>
      <c r="H818"/>
      <c r="I818"/>
      <c r="J818"/>
      <c r="K818"/>
      <c r="L818"/>
      <c r="M818"/>
      <c r="S818" s="54"/>
    </row>
    <row r="819" spans="1:19" s="15" customFormat="1" x14ac:dyDescent="0.3">
      <c r="A819" s="17"/>
      <c r="B819"/>
      <c r="C819"/>
      <c r="D819"/>
      <c r="E819"/>
      <c r="F819"/>
      <c r="G819"/>
      <c r="H819"/>
      <c r="I819"/>
      <c r="J819"/>
      <c r="K819"/>
      <c r="L819"/>
      <c r="M819"/>
      <c r="S819" s="54"/>
    </row>
    <row r="820" spans="1:19" s="15" customFormat="1" x14ac:dyDescent="0.3">
      <c r="A820" s="17"/>
      <c r="B820"/>
      <c r="C820"/>
      <c r="D820"/>
      <c r="E820"/>
      <c r="F820"/>
      <c r="G820"/>
      <c r="H820"/>
      <c r="I820"/>
      <c r="J820"/>
      <c r="K820"/>
      <c r="L820"/>
      <c r="M820"/>
      <c r="S820" s="54"/>
    </row>
    <row r="821" spans="1:19" s="15" customFormat="1" x14ac:dyDescent="0.3">
      <c r="A821" s="17"/>
      <c r="B821"/>
      <c r="C821"/>
      <c r="D821"/>
      <c r="E821"/>
      <c r="F821"/>
      <c r="G821"/>
      <c r="H821"/>
      <c r="I821"/>
      <c r="J821"/>
      <c r="K821"/>
      <c r="L821"/>
      <c r="M821"/>
      <c r="S821" s="54"/>
    </row>
    <row r="822" spans="1:19" s="15" customFormat="1" x14ac:dyDescent="0.3">
      <c r="A822" s="17"/>
      <c r="B822"/>
      <c r="C822"/>
      <c r="D822"/>
      <c r="E822"/>
      <c r="F822"/>
      <c r="G822"/>
      <c r="H822"/>
      <c r="I822"/>
      <c r="J822"/>
      <c r="K822"/>
      <c r="L822"/>
      <c r="M822"/>
      <c r="S822" s="54"/>
    </row>
    <row r="823" spans="1:19" s="15" customFormat="1" x14ac:dyDescent="0.3">
      <c r="A823" s="17"/>
      <c r="B823"/>
      <c r="C823"/>
      <c r="D823"/>
      <c r="E823"/>
      <c r="F823"/>
      <c r="G823"/>
      <c r="H823"/>
      <c r="I823"/>
      <c r="J823"/>
      <c r="K823"/>
      <c r="L823"/>
      <c r="M823"/>
      <c r="S823" s="54"/>
    </row>
    <row r="824" spans="1:19" s="15" customFormat="1" x14ac:dyDescent="0.3">
      <c r="A824" s="17"/>
      <c r="B824"/>
      <c r="C824"/>
      <c r="D824"/>
      <c r="E824"/>
      <c r="F824"/>
      <c r="G824"/>
      <c r="H824"/>
      <c r="I824"/>
      <c r="J824"/>
      <c r="K824"/>
      <c r="L824"/>
      <c r="M824"/>
      <c r="S824" s="54"/>
    </row>
    <row r="825" spans="1:19" s="15" customFormat="1" x14ac:dyDescent="0.3">
      <c r="A825" s="17"/>
      <c r="B825"/>
      <c r="C825"/>
      <c r="D825"/>
      <c r="E825"/>
      <c r="F825"/>
      <c r="G825"/>
      <c r="H825"/>
      <c r="I825"/>
      <c r="J825"/>
      <c r="K825"/>
      <c r="L825"/>
      <c r="M825"/>
      <c r="S825" s="54"/>
    </row>
    <row r="826" spans="1:19" s="15" customFormat="1" x14ac:dyDescent="0.3">
      <c r="A826" s="17"/>
      <c r="B826"/>
      <c r="C826"/>
      <c r="D826"/>
      <c r="E826"/>
      <c r="F826"/>
      <c r="G826"/>
      <c r="H826"/>
      <c r="I826"/>
      <c r="J826"/>
      <c r="K826"/>
      <c r="L826"/>
      <c r="M826"/>
      <c r="S826" s="54"/>
    </row>
    <row r="827" spans="1:19" s="15" customFormat="1" x14ac:dyDescent="0.3">
      <c r="A827" s="17"/>
      <c r="B827"/>
      <c r="C827"/>
      <c r="D827"/>
      <c r="E827"/>
      <c r="F827"/>
      <c r="G827"/>
      <c r="H827"/>
      <c r="I827"/>
      <c r="J827"/>
      <c r="K827"/>
      <c r="L827"/>
      <c r="M827"/>
      <c r="S827" s="54"/>
    </row>
    <row r="828" spans="1:19" s="15" customFormat="1" x14ac:dyDescent="0.3">
      <c r="A828" s="17"/>
      <c r="B828"/>
      <c r="C828"/>
      <c r="D828"/>
      <c r="E828"/>
      <c r="F828"/>
      <c r="G828"/>
      <c r="H828"/>
      <c r="I828"/>
      <c r="J828"/>
      <c r="K828"/>
      <c r="L828"/>
      <c r="M828"/>
      <c r="S828" s="54"/>
    </row>
    <row r="829" spans="1:19" s="15" customFormat="1" x14ac:dyDescent="0.3">
      <c r="A829" s="17"/>
      <c r="B829"/>
      <c r="C829"/>
      <c r="D829"/>
      <c r="E829"/>
      <c r="F829"/>
      <c r="G829"/>
      <c r="H829"/>
      <c r="I829"/>
      <c r="J829"/>
      <c r="K829"/>
      <c r="L829"/>
      <c r="M829"/>
      <c r="S829" s="54"/>
    </row>
    <row r="830" spans="1:19" s="15" customFormat="1" x14ac:dyDescent="0.3">
      <c r="A830" s="17"/>
      <c r="B830"/>
      <c r="C830"/>
      <c r="D830"/>
      <c r="E830"/>
      <c r="F830"/>
      <c r="G830"/>
      <c r="H830"/>
      <c r="I830"/>
      <c r="J830"/>
      <c r="K830"/>
      <c r="L830"/>
      <c r="M830"/>
      <c r="S830" s="54"/>
    </row>
    <row r="831" spans="1:19" s="15" customFormat="1" x14ac:dyDescent="0.3">
      <c r="A831" s="17"/>
      <c r="B831"/>
      <c r="C831"/>
      <c r="D831"/>
      <c r="E831"/>
      <c r="F831"/>
      <c r="G831"/>
      <c r="H831"/>
      <c r="I831"/>
      <c r="J831"/>
      <c r="K831"/>
      <c r="L831"/>
      <c r="M831"/>
      <c r="S831" s="54"/>
    </row>
    <row r="832" spans="1:19" s="15" customFormat="1" x14ac:dyDescent="0.3">
      <c r="A832" s="17"/>
      <c r="B832"/>
      <c r="C832"/>
      <c r="D832"/>
      <c r="E832"/>
      <c r="F832"/>
      <c r="G832"/>
      <c r="H832"/>
      <c r="I832"/>
      <c r="J832"/>
      <c r="K832"/>
      <c r="L832"/>
      <c r="M832"/>
      <c r="S832" s="54"/>
    </row>
    <row r="833" spans="1:19" s="15" customFormat="1" x14ac:dyDescent="0.3">
      <c r="A833" s="17"/>
      <c r="B833"/>
      <c r="C833"/>
      <c r="D833"/>
      <c r="E833"/>
      <c r="F833"/>
      <c r="G833"/>
      <c r="H833"/>
      <c r="I833"/>
      <c r="J833"/>
      <c r="K833"/>
      <c r="L833"/>
      <c r="M833"/>
      <c r="S833" s="54"/>
    </row>
    <row r="834" spans="1:19" s="15" customFormat="1" x14ac:dyDescent="0.3">
      <c r="A834" s="17"/>
      <c r="B834"/>
      <c r="C834"/>
      <c r="D834"/>
      <c r="E834"/>
      <c r="F834"/>
      <c r="G834"/>
      <c r="H834"/>
      <c r="I834"/>
      <c r="J834"/>
      <c r="K834"/>
      <c r="L834"/>
      <c r="M834"/>
      <c r="S834" s="54"/>
    </row>
    <row r="835" spans="1:19" s="15" customFormat="1" x14ac:dyDescent="0.3">
      <c r="A835" s="17"/>
      <c r="B835"/>
      <c r="C835"/>
      <c r="D835"/>
      <c r="E835"/>
      <c r="F835"/>
      <c r="G835"/>
      <c r="H835"/>
      <c r="I835"/>
      <c r="J835"/>
      <c r="K835"/>
      <c r="L835"/>
      <c r="M835"/>
      <c r="S835" s="54"/>
    </row>
    <row r="836" spans="1:19" s="15" customFormat="1" x14ac:dyDescent="0.3">
      <c r="A836" s="17"/>
      <c r="B836"/>
      <c r="C836"/>
      <c r="D836"/>
      <c r="E836"/>
      <c r="F836"/>
      <c r="G836"/>
      <c r="H836"/>
      <c r="I836"/>
      <c r="J836"/>
      <c r="K836"/>
      <c r="L836"/>
      <c r="M836"/>
      <c r="S836" s="54"/>
    </row>
    <row r="837" spans="1:19" s="15" customFormat="1" x14ac:dyDescent="0.3">
      <c r="A837" s="17"/>
      <c r="B837"/>
      <c r="C837"/>
      <c r="D837"/>
      <c r="E837"/>
      <c r="F837"/>
      <c r="G837"/>
      <c r="H837"/>
      <c r="I837"/>
      <c r="J837"/>
      <c r="K837"/>
      <c r="L837"/>
      <c r="M837"/>
      <c r="S837" s="54"/>
    </row>
    <row r="838" spans="1:19" s="15" customFormat="1" x14ac:dyDescent="0.3">
      <c r="A838" s="17"/>
      <c r="B838"/>
      <c r="C838"/>
      <c r="D838"/>
      <c r="E838"/>
      <c r="F838"/>
      <c r="G838"/>
      <c r="H838"/>
      <c r="I838"/>
      <c r="J838"/>
      <c r="K838"/>
      <c r="L838"/>
      <c r="M838"/>
      <c r="S838" s="54"/>
    </row>
    <row r="839" spans="1:19" s="15" customFormat="1" x14ac:dyDescent="0.3">
      <c r="A839" s="17"/>
      <c r="B839"/>
      <c r="C839"/>
      <c r="D839"/>
      <c r="E839"/>
      <c r="F839"/>
      <c r="G839"/>
      <c r="H839"/>
      <c r="I839"/>
      <c r="J839"/>
      <c r="K839"/>
      <c r="L839"/>
      <c r="M839"/>
      <c r="S839" s="54"/>
    </row>
    <row r="840" spans="1:19" s="15" customFormat="1" x14ac:dyDescent="0.3">
      <c r="A840" s="17"/>
      <c r="B840"/>
      <c r="C840"/>
      <c r="D840"/>
      <c r="E840"/>
      <c r="F840"/>
      <c r="G840"/>
      <c r="H840"/>
      <c r="I840"/>
      <c r="J840"/>
      <c r="K840"/>
      <c r="L840"/>
      <c r="M840"/>
      <c r="S840" s="54"/>
    </row>
    <row r="841" spans="1:19" s="15" customFormat="1" x14ac:dyDescent="0.3">
      <c r="A841" s="17"/>
      <c r="B841"/>
      <c r="C841"/>
      <c r="D841"/>
      <c r="E841"/>
      <c r="F841"/>
      <c r="G841"/>
      <c r="H841"/>
      <c r="I841"/>
      <c r="J841"/>
      <c r="K841"/>
      <c r="L841"/>
      <c r="M841"/>
      <c r="S841" s="54"/>
    </row>
    <row r="842" spans="1:19" s="15" customFormat="1" x14ac:dyDescent="0.3">
      <c r="A842" s="17"/>
      <c r="B842"/>
      <c r="C842"/>
      <c r="D842"/>
      <c r="E842"/>
      <c r="F842"/>
      <c r="G842"/>
      <c r="H842"/>
      <c r="I842"/>
      <c r="J842"/>
      <c r="K842"/>
      <c r="L842"/>
      <c r="M842"/>
      <c r="S842" s="54"/>
    </row>
    <row r="843" spans="1:19" s="15" customFormat="1" x14ac:dyDescent="0.3">
      <c r="A843" s="17"/>
      <c r="B843"/>
      <c r="C843"/>
      <c r="D843"/>
      <c r="E843"/>
      <c r="F843"/>
      <c r="G843"/>
      <c r="H843"/>
      <c r="I843"/>
      <c r="J843"/>
      <c r="K843"/>
      <c r="L843"/>
      <c r="M843"/>
      <c r="S843" s="54"/>
    </row>
    <row r="844" spans="1:19" s="15" customFormat="1" x14ac:dyDescent="0.3">
      <c r="A844" s="17"/>
      <c r="B844"/>
      <c r="C844"/>
      <c r="D844"/>
      <c r="E844"/>
      <c r="F844"/>
      <c r="G844"/>
      <c r="H844"/>
      <c r="I844"/>
      <c r="J844"/>
      <c r="K844"/>
      <c r="L844"/>
      <c r="M844"/>
      <c r="S844" s="54"/>
    </row>
    <row r="845" spans="1:19" s="15" customFormat="1" x14ac:dyDescent="0.3">
      <c r="A845" s="17"/>
      <c r="B845"/>
      <c r="C845"/>
      <c r="D845"/>
      <c r="E845"/>
      <c r="F845"/>
      <c r="G845"/>
      <c r="H845"/>
      <c r="I845"/>
      <c r="J845"/>
      <c r="K845"/>
      <c r="L845"/>
      <c r="M845"/>
      <c r="S845" s="54"/>
    </row>
    <row r="846" spans="1:19" s="15" customFormat="1" x14ac:dyDescent="0.3">
      <c r="A846" s="17"/>
      <c r="B846"/>
      <c r="C846"/>
      <c r="D846"/>
      <c r="E846"/>
      <c r="F846"/>
      <c r="G846"/>
      <c r="H846"/>
      <c r="I846"/>
      <c r="J846"/>
      <c r="K846"/>
      <c r="L846"/>
      <c r="M846"/>
      <c r="S846" s="54"/>
    </row>
    <row r="847" spans="1:19" s="15" customFormat="1" x14ac:dyDescent="0.3">
      <c r="A847" s="17"/>
      <c r="B847"/>
      <c r="C847"/>
      <c r="D847"/>
      <c r="E847"/>
      <c r="F847"/>
      <c r="G847"/>
      <c r="H847"/>
      <c r="I847"/>
      <c r="J847"/>
      <c r="K847"/>
      <c r="L847"/>
      <c r="M847"/>
      <c r="S847" s="54"/>
    </row>
    <row r="848" spans="1:19" s="15" customFormat="1" x14ac:dyDescent="0.3">
      <c r="A848" s="17"/>
      <c r="B848"/>
      <c r="C848"/>
      <c r="D848"/>
      <c r="E848"/>
      <c r="F848"/>
      <c r="G848"/>
      <c r="H848"/>
      <c r="I848"/>
      <c r="J848"/>
      <c r="K848"/>
      <c r="L848"/>
      <c r="M848"/>
      <c r="S848" s="54"/>
    </row>
    <row r="849" spans="1:19" s="15" customFormat="1" x14ac:dyDescent="0.3">
      <c r="A849" s="17"/>
      <c r="B849"/>
      <c r="C849"/>
      <c r="D849"/>
      <c r="E849"/>
      <c r="F849"/>
      <c r="G849"/>
      <c r="H849"/>
      <c r="I849"/>
      <c r="J849"/>
      <c r="K849"/>
      <c r="L849"/>
      <c r="M849"/>
      <c r="S849" s="54"/>
    </row>
    <row r="850" spans="1:19" s="15" customFormat="1" x14ac:dyDescent="0.3">
      <c r="A850" s="17"/>
      <c r="B850"/>
      <c r="C850"/>
      <c r="D850"/>
      <c r="E850"/>
      <c r="F850"/>
      <c r="G850"/>
      <c r="H850"/>
      <c r="I850"/>
      <c r="J850"/>
      <c r="K850"/>
      <c r="L850"/>
      <c r="M850"/>
      <c r="S850" s="54"/>
    </row>
    <row r="851" spans="1:19" s="15" customFormat="1" x14ac:dyDescent="0.3">
      <c r="A851" s="17"/>
      <c r="B851"/>
      <c r="C851"/>
      <c r="D851"/>
      <c r="E851"/>
      <c r="F851"/>
      <c r="G851"/>
      <c r="H851"/>
      <c r="I851"/>
      <c r="J851"/>
      <c r="K851"/>
      <c r="L851"/>
      <c r="M851"/>
      <c r="S851" s="54"/>
    </row>
    <row r="852" spans="1:19" s="15" customFormat="1" x14ac:dyDescent="0.3">
      <c r="A852" s="17"/>
      <c r="B852"/>
      <c r="C852"/>
      <c r="D852"/>
      <c r="E852"/>
      <c r="F852"/>
      <c r="G852"/>
      <c r="H852"/>
      <c r="I852"/>
      <c r="J852"/>
      <c r="K852"/>
      <c r="L852"/>
      <c r="M852"/>
      <c r="S852" s="54"/>
    </row>
    <row r="853" spans="1:19" s="15" customFormat="1" x14ac:dyDescent="0.3">
      <c r="A853" s="17"/>
      <c r="B853"/>
      <c r="C853"/>
      <c r="D853"/>
      <c r="E853"/>
      <c r="F853"/>
      <c r="G853"/>
      <c r="H853"/>
      <c r="I853"/>
      <c r="J853"/>
      <c r="K853"/>
      <c r="L853"/>
      <c r="M853"/>
      <c r="S853" s="54"/>
    </row>
    <row r="854" spans="1:19" s="15" customFormat="1" x14ac:dyDescent="0.3">
      <c r="A854" s="17"/>
      <c r="B854"/>
      <c r="C854"/>
      <c r="D854"/>
      <c r="E854"/>
      <c r="F854"/>
      <c r="G854"/>
      <c r="H854"/>
      <c r="I854"/>
      <c r="J854"/>
      <c r="K854"/>
      <c r="L854"/>
      <c r="M854"/>
      <c r="S854" s="54"/>
    </row>
    <row r="855" spans="1:19" s="15" customFormat="1" x14ac:dyDescent="0.3">
      <c r="A855" s="17"/>
      <c r="B855"/>
      <c r="C855"/>
      <c r="D855"/>
      <c r="E855"/>
      <c r="F855"/>
      <c r="G855"/>
      <c r="H855"/>
      <c r="I855"/>
      <c r="J855"/>
      <c r="K855"/>
      <c r="L855"/>
      <c r="M855"/>
      <c r="S855" s="54"/>
    </row>
    <row r="856" spans="1:19" s="15" customFormat="1" x14ac:dyDescent="0.3">
      <c r="A856" s="17"/>
      <c r="B856"/>
      <c r="C856"/>
      <c r="D856"/>
      <c r="E856"/>
      <c r="F856"/>
      <c r="G856"/>
      <c r="H856"/>
      <c r="I856"/>
      <c r="J856"/>
      <c r="K856"/>
      <c r="L856"/>
      <c r="M856"/>
      <c r="S856" s="54"/>
    </row>
    <row r="857" spans="1:19" s="15" customFormat="1" x14ac:dyDescent="0.3">
      <c r="A857" s="17"/>
      <c r="B857"/>
      <c r="C857"/>
      <c r="D857"/>
      <c r="E857"/>
      <c r="F857"/>
      <c r="G857"/>
      <c r="H857"/>
      <c r="I857"/>
      <c r="J857"/>
      <c r="K857"/>
      <c r="L857"/>
      <c r="M857"/>
      <c r="S857" s="54"/>
    </row>
    <row r="858" spans="1:19" s="15" customFormat="1" x14ac:dyDescent="0.3">
      <c r="A858" s="17"/>
      <c r="B858"/>
      <c r="C858"/>
      <c r="D858"/>
      <c r="E858"/>
      <c r="F858"/>
      <c r="G858"/>
      <c r="H858"/>
      <c r="I858"/>
      <c r="J858"/>
      <c r="K858"/>
      <c r="L858"/>
      <c r="M858"/>
      <c r="S858" s="54"/>
    </row>
    <row r="859" spans="1:19" s="15" customFormat="1" x14ac:dyDescent="0.3">
      <c r="A859" s="17"/>
      <c r="B859"/>
      <c r="C859"/>
      <c r="D859"/>
      <c r="E859"/>
      <c r="F859"/>
      <c r="G859"/>
      <c r="H859"/>
      <c r="I859"/>
      <c r="J859"/>
      <c r="K859"/>
      <c r="L859"/>
      <c r="M859"/>
      <c r="S859" s="54"/>
    </row>
    <row r="860" spans="1:19" s="15" customFormat="1" x14ac:dyDescent="0.3">
      <c r="A860" s="17"/>
      <c r="B860"/>
      <c r="C860"/>
      <c r="D860"/>
      <c r="E860"/>
      <c r="F860"/>
      <c r="G860"/>
      <c r="H860"/>
      <c r="I860"/>
      <c r="J860"/>
      <c r="K860"/>
      <c r="L860"/>
      <c r="M860"/>
      <c r="S860" s="54"/>
    </row>
    <row r="861" spans="1:19" s="15" customFormat="1" x14ac:dyDescent="0.3">
      <c r="A861" s="17"/>
      <c r="B861"/>
      <c r="C861"/>
      <c r="D861"/>
      <c r="E861"/>
      <c r="F861"/>
      <c r="G861"/>
      <c r="H861"/>
      <c r="I861"/>
      <c r="J861"/>
      <c r="K861"/>
      <c r="L861"/>
      <c r="M861"/>
      <c r="S861" s="54"/>
    </row>
    <row r="862" spans="1:19" s="15" customFormat="1" x14ac:dyDescent="0.3">
      <c r="A862" s="17"/>
      <c r="B862"/>
      <c r="C862"/>
      <c r="D862"/>
      <c r="E862"/>
      <c r="F862"/>
      <c r="G862"/>
      <c r="H862"/>
      <c r="I862"/>
      <c r="J862"/>
      <c r="K862"/>
      <c r="L862"/>
      <c r="M862"/>
      <c r="S862" s="54"/>
    </row>
    <row r="863" spans="1:19" s="15" customFormat="1" x14ac:dyDescent="0.3">
      <c r="A863" s="17"/>
      <c r="B863"/>
      <c r="C863"/>
      <c r="D863"/>
      <c r="E863"/>
      <c r="F863"/>
      <c r="G863"/>
      <c r="H863"/>
      <c r="I863"/>
      <c r="J863"/>
      <c r="K863"/>
      <c r="L863"/>
      <c r="M863"/>
      <c r="S863" s="54"/>
    </row>
    <row r="864" spans="1:19" s="15" customFormat="1" x14ac:dyDescent="0.3">
      <c r="A864" s="17"/>
      <c r="B864"/>
      <c r="C864"/>
      <c r="D864"/>
      <c r="E864"/>
      <c r="F864"/>
      <c r="G864"/>
      <c r="H864"/>
      <c r="I864"/>
      <c r="J864"/>
      <c r="K864"/>
      <c r="L864"/>
      <c r="M864"/>
      <c r="S864" s="54"/>
    </row>
    <row r="865" spans="1:19" s="15" customFormat="1" x14ac:dyDescent="0.3">
      <c r="A865" s="17"/>
      <c r="B865"/>
      <c r="C865"/>
      <c r="D865"/>
      <c r="E865"/>
      <c r="F865"/>
      <c r="G865"/>
      <c r="H865"/>
      <c r="I865"/>
      <c r="J865"/>
      <c r="K865"/>
      <c r="L865"/>
      <c r="M865"/>
      <c r="S865" s="54"/>
    </row>
    <row r="866" spans="1:19" s="15" customFormat="1" x14ac:dyDescent="0.3">
      <c r="A866" s="17"/>
      <c r="B866"/>
      <c r="C866"/>
      <c r="D866"/>
      <c r="E866"/>
      <c r="F866"/>
      <c r="G866"/>
      <c r="H866"/>
      <c r="I866"/>
      <c r="J866"/>
      <c r="K866"/>
      <c r="L866"/>
      <c r="M866"/>
      <c r="S866" s="54"/>
    </row>
    <row r="867" spans="1:19" s="15" customFormat="1" x14ac:dyDescent="0.3">
      <c r="A867" s="17"/>
      <c r="B867"/>
      <c r="C867"/>
      <c r="D867"/>
      <c r="E867"/>
      <c r="F867"/>
      <c r="G867"/>
      <c r="H867"/>
      <c r="I867"/>
      <c r="J867"/>
      <c r="K867"/>
      <c r="L867"/>
      <c r="M867"/>
      <c r="S867" s="54"/>
    </row>
    <row r="868" spans="1:19" s="15" customFormat="1" x14ac:dyDescent="0.3">
      <c r="A868" s="17"/>
      <c r="B868"/>
      <c r="C868"/>
      <c r="D868"/>
      <c r="E868"/>
      <c r="F868"/>
      <c r="G868"/>
      <c r="H868"/>
      <c r="I868"/>
      <c r="J868"/>
      <c r="K868"/>
      <c r="L868"/>
      <c r="M868"/>
      <c r="S868" s="54"/>
    </row>
    <row r="869" spans="1:19" s="15" customFormat="1" x14ac:dyDescent="0.3">
      <c r="A869" s="17"/>
      <c r="B869"/>
      <c r="C869"/>
      <c r="D869"/>
      <c r="E869"/>
      <c r="F869"/>
      <c r="G869"/>
      <c r="H869"/>
      <c r="I869"/>
      <c r="J869"/>
      <c r="K869"/>
      <c r="L869"/>
      <c r="M869"/>
      <c r="S869" s="54"/>
    </row>
    <row r="870" spans="1:19" s="15" customFormat="1" x14ac:dyDescent="0.3">
      <c r="A870" s="17"/>
      <c r="B870"/>
      <c r="C870"/>
      <c r="D870"/>
      <c r="E870"/>
      <c r="F870"/>
      <c r="G870"/>
      <c r="H870"/>
      <c r="I870"/>
      <c r="J870"/>
      <c r="K870"/>
      <c r="L870"/>
      <c r="M870"/>
      <c r="S870" s="54"/>
    </row>
    <row r="871" spans="1:19" s="15" customFormat="1" x14ac:dyDescent="0.3">
      <c r="A871" s="17"/>
      <c r="B871"/>
      <c r="C871"/>
      <c r="D871"/>
      <c r="E871"/>
      <c r="F871"/>
      <c r="G871"/>
      <c r="H871"/>
      <c r="I871"/>
      <c r="J871"/>
      <c r="K871"/>
      <c r="L871"/>
      <c r="M871"/>
      <c r="S871" s="54"/>
    </row>
    <row r="872" spans="1:19" s="15" customFormat="1" x14ac:dyDescent="0.3">
      <c r="A872" s="17"/>
      <c r="B872"/>
      <c r="C872"/>
      <c r="D872"/>
      <c r="E872"/>
      <c r="F872"/>
      <c r="G872"/>
      <c r="H872"/>
      <c r="I872"/>
      <c r="J872"/>
      <c r="K872"/>
      <c r="L872"/>
      <c r="M872"/>
      <c r="S872" s="54"/>
    </row>
    <row r="873" spans="1:19" s="15" customFormat="1" x14ac:dyDescent="0.3">
      <c r="A873" s="17"/>
      <c r="B873"/>
      <c r="C873"/>
      <c r="D873"/>
      <c r="E873"/>
      <c r="F873"/>
      <c r="G873"/>
      <c r="H873"/>
      <c r="I873"/>
      <c r="J873"/>
      <c r="K873"/>
      <c r="L873"/>
      <c r="M873"/>
      <c r="S873" s="54"/>
    </row>
    <row r="874" spans="1:19" s="15" customFormat="1" x14ac:dyDescent="0.3">
      <c r="A874" s="17"/>
      <c r="B874"/>
      <c r="C874"/>
      <c r="D874"/>
      <c r="E874"/>
      <c r="F874"/>
      <c r="G874"/>
      <c r="H874"/>
      <c r="I874"/>
      <c r="J874"/>
      <c r="K874"/>
      <c r="L874"/>
      <c r="M874"/>
      <c r="S874" s="54"/>
    </row>
    <row r="875" spans="1:19" s="15" customFormat="1" x14ac:dyDescent="0.3">
      <c r="A875" s="17"/>
      <c r="B875"/>
      <c r="C875"/>
      <c r="D875"/>
      <c r="E875"/>
      <c r="F875"/>
      <c r="G875"/>
      <c r="H875"/>
      <c r="I875"/>
      <c r="J875"/>
      <c r="K875"/>
      <c r="L875"/>
      <c r="M875"/>
      <c r="S875" s="54"/>
    </row>
    <row r="876" spans="1:19" s="15" customFormat="1" x14ac:dyDescent="0.3">
      <c r="A876" s="17"/>
      <c r="B876"/>
      <c r="C876"/>
      <c r="D876"/>
      <c r="E876"/>
      <c r="F876"/>
      <c r="G876"/>
      <c r="H876"/>
      <c r="I876"/>
      <c r="J876"/>
      <c r="K876"/>
      <c r="L876"/>
      <c r="M876"/>
      <c r="S876" s="54"/>
    </row>
    <row r="877" spans="1:19" s="15" customFormat="1" x14ac:dyDescent="0.3">
      <c r="A877" s="17"/>
      <c r="B877"/>
      <c r="C877"/>
      <c r="D877"/>
      <c r="E877"/>
      <c r="F877"/>
      <c r="G877"/>
      <c r="H877"/>
      <c r="I877"/>
      <c r="J877"/>
      <c r="K877"/>
      <c r="L877"/>
      <c r="M877"/>
      <c r="S877" s="54"/>
    </row>
    <row r="878" spans="1:19" s="15" customFormat="1" x14ac:dyDescent="0.3">
      <c r="A878" s="17"/>
      <c r="B878"/>
      <c r="C878"/>
      <c r="D878"/>
      <c r="E878"/>
      <c r="F878"/>
      <c r="G878"/>
      <c r="H878"/>
      <c r="I878"/>
      <c r="J878"/>
      <c r="K878"/>
      <c r="L878"/>
      <c r="M878"/>
      <c r="S878" s="54"/>
    </row>
    <row r="879" spans="1:19" s="15" customFormat="1" x14ac:dyDescent="0.3">
      <c r="A879" s="17"/>
      <c r="B879"/>
      <c r="C879"/>
      <c r="D879"/>
      <c r="E879"/>
      <c r="F879"/>
      <c r="G879"/>
      <c r="H879"/>
      <c r="I879"/>
      <c r="J879"/>
      <c r="K879"/>
      <c r="L879"/>
      <c r="M879"/>
      <c r="S879" s="54"/>
    </row>
    <row r="880" spans="1:19" s="15" customFormat="1" x14ac:dyDescent="0.3">
      <c r="A880" s="17"/>
      <c r="B880"/>
      <c r="C880"/>
      <c r="D880"/>
      <c r="E880"/>
      <c r="F880"/>
      <c r="G880"/>
      <c r="H880"/>
      <c r="I880"/>
      <c r="J880"/>
      <c r="K880"/>
      <c r="L880"/>
      <c r="M880"/>
      <c r="S880" s="54"/>
    </row>
    <row r="881" spans="1:19" s="15" customFormat="1" x14ac:dyDescent="0.3">
      <c r="A881" s="17"/>
      <c r="B881"/>
      <c r="C881"/>
      <c r="D881"/>
      <c r="E881"/>
      <c r="F881"/>
      <c r="G881"/>
      <c r="H881"/>
      <c r="I881"/>
      <c r="J881"/>
      <c r="K881"/>
      <c r="L881"/>
      <c r="M881"/>
      <c r="S881" s="54"/>
    </row>
    <row r="882" spans="1:19" s="15" customFormat="1" x14ac:dyDescent="0.3">
      <c r="A882" s="17"/>
      <c r="B882"/>
      <c r="C882"/>
      <c r="D882"/>
      <c r="E882"/>
      <c r="F882"/>
      <c r="G882"/>
      <c r="H882"/>
      <c r="I882"/>
      <c r="J882"/>
      <c r="K882"/>
      <c r="L882"/>
      <c r="M882"/>
      <c r="S882" s="54"/>
    </row>
    <row r="883" spans="1:19" s="15" customFormat="1" x14ac:dyDescent="0.3">
      <c r="A883" s="17"/>
      <c r="B883"/>
      <c r="C883"/>
      <c r="D883"/>
      <c r="E883"/>
      <c r="F883"/>
      <c r="G883"/>
      <c r="H883"/>
      <c r="I883"/>
      <c r="J883"/>
      <c r="K883"/>
      <c r="L883"/>
      <c r="M883"/>
      <c r="S883" s="54"/>
    </row>
    <row r="884" spans="1:19" s="15" customFormat="1" x14ac:dyDescent="0.3">
      <c r="A884" s="17"/>
      <c r="B884"/>
      <c r="C884"/>
      <c r="D884"/>
      <c r="E884"/>
      <c r="F884"/>
      <c r="G884"/>
      <c r="H884"/>
      <c r="I884"/>
      <c r="J884"/>
      <c r="K884"/>
      <c r="L884"/>
      <c r="M884"/>
      <c r="S884" s="54"/>
    </row>
    <row r="885" spans="1:19" s="15" customFormat="1" x14ac:dyDescent="0.3">
      <c r="A885" s="17"/>
      <c r="B885"/>
      <c r="C885"/>
      <c r="D885"/>
      <c r="E885"/>
      <c r="F885"/>
      <c r="G885"/>
      <c r="H885"/>
      <c r="I885"/>
      <c r="J885"/>
      <c r="K885"/>
      <c r="L885"/>
      <c r="M885"/>
      <c r="S885" s="54"/>
    </row>
    <row r="886" spans="1:19" s="15" customFormat="1" x14ac:dyDescent="0.3">
      <c r="A886" s="17"/>
      <c r="B886"/>
      <c r="C886"/>
      <c r="D886"/>
      <c r="E886"/>
      <c r="F886"/>
      <c r="G886"/>
      <c r="H886"/>
      <c r="I886"/>
      <c r="J886"/>
      <c r="K886"/>
      <c r="L886"/>
      <c r="M886"/>
      <c r="S886" s="54"/>
    </row>
    <row r="887" spans="1:19" s="15" customFormat="1" x14ac:dyDescent="0.3">
      <c r="A887" s="17"/>
      <c r="B887"/>
      <c r="C887"/>
      <c r="D887"/>
      <c r="E887"/>
      <c r="F887"/>
      <c r="G887"/>
      <c r="H887"/>
      <c r="I887"/>
      <c r="J887"/>
      <c r="K887"/>
      <c r="L887"/>
      <c r="M887"/>
      <c r="S887" s="54"/>
    </row>
    <row r="888" spans="1:19" s="15" customFormat="1" x14ac:dyDescent="0.3">
      <c r="A888" s="17"/>
      <c r="B888"/>
      <c r="C888"/>
      <c r="D888"/>
      <c r="E888"/>
      <c r="F888"/>
      <c r="G888"/>
      <c r="H888"/>
      <c r="I888"/>
      <c r="J888"/>
      <c r="K888"/>
      <c r="L888"/>
      <c r="M888"/>
      <c r="S888" s="54"/>
    </row>
    <row r="889" spans="1:19" s="15" customFormat="1" x14ac:dyDescent="0.3">
      <c r="A889" s="17"/>
      <c r="B889"/>
      <c r="C889"/>
      <c r="D889"/>
      <c r="E889"/>
      <c r="F889"/>
      <c r="G889"/>
      <c r="H889"/>
      <c r="I889"/>
      <c r="J889"/>
      <c r="K889"/>
      <c r="L889"/>
      <c r="M889"/>
      <c r="S889" s="54"/>
    </row>
    <row r="890" spans="1:19" s="15" customFormat="1" x14ac:dyDescent="0.3">
      <c r="A890" s="17"/>
      <c r="B890"/>
      <c r="C890"/>
      <c r="D890"/>
      <c r="E890"/>
      <c r="F890"/>
      <c r="G890"/>
      <c r="H890"/>
      <c r="I890"/>
      <c r="J890"/>
      <c r="K890"/>
      <c r="L890"/>
      <c r="M890"/>
      <c r="S890" s="54"/>
    </row>
    <row r="891" spans="1:19" s="15" customFormat="1" x14ac:dyDescent="0.3">
      <c r="A891" s="17"/>
      <c r="B891"/>
      <c r="C891"/>
      <c r="D891"/>
      <c r="E891"/>
      <c r="F891"/>
      <c r="G891"/>
      <c r="H891"/>
      <c r="I891"/>
      <c r="J891"/>
      <c r="K891"/>
      <c r="L891"/>
      <c r="M891"/>
      <c r="S891" s="54"/>
    </row>
    <row r="892" spans="1:19" s="15" customFormat="1" x14ac:dyDescent="0.3">
      <c r="A892" s="17"/>
      <c r="B892"/>
      <c r="C892"/>
      <c r="D892"/>
      <c r="E892"/>
      <c r="F892"/>
      <c r="G892"/>
      <c r="H892"/>
      <c r="I892"/>
      <c r="J892"/>
      <c r="K892"/>
      <c r="L892"/>
      <c r="M892"/>
      <c r="S892" s="54"/>
    </row>
    <row r="893" spans="1:19" s="15" customFormat="1" x14ac:dyDescent="0.3">
      <c r="A893" s="17"/>
      <c r="B893"/>
      <c r="C893"/>
      <c r="D893"/>
      <c r="E893"/>
      <c r="F893"/>
      <c r="G893"/>
      <c r="H893"/>
      <c r="I893"/>
      <c r="J893"/>
      <c r="K893"/>
      <c r="L893"/>
      <c r="M893"/>
      <c r="S893" s="54"/>
    </row>
    <row r="894" spans="1:19" s="15" customFormat="1" x14ac:dyDescent="0.3">
      <c r="A894" s="17"/>
      <c r="B894"/>
      <c r="C894"/>
      <c r="D894"/>
      <c r="E894"/>
      <c r="F894"/>
      <c r="G894"/>
      <c r="H894"/>
      <c r="I894"/>
      <c r="J894"/>
      <c r="K894"/>
      <c r="L894"/>
      <c r="M894"/>
      <c r="S894" s="54"/>
    </row>
    <row r="895" spans="1:19" s="15" customFormat="1" x14ac:dyDescent="0.3">
      <c r="A895" s="17"/>
      <c r="B895"/>
      <c r="C895"/>
      <c r="D895"/>
      <c r="E895"/>
      <c r="F895"/>
      <c r="G895"/>
      <c r="H895"/>
      <c r="I895"/>
      <c r="J895"/>
      <c r="K895"/>
      <c r="L895"/>
      <c r="M895"/>
      <c r="S895" s="54"/>
    </row>
    <row r="896" spans="1:19" s="15" customFormat="1" x14ac:dyDescent="0.3">
      <c r="A896" s="17"/>
      <c r="B896"/>
      <c r="C896"/>
      <c r="D896"/>
      <c r="E896"/>
      <c r="F896"/>
      <c r="G896"/>
      <c r="H896"/>
      <c r="I896"/>
      <c r="J896"/>
      <c r="K896"/>
      <c r="L896"/>
      <c r="M896"/>
      <c r="S896" s="54"/>
    </row>
    <row r="897" spans="1:19" s="15" customFormat="1" x14ac:dyDescent="0.3">
      <c r="A897" s="17"/>
      <c r="B897"/>
      <c r="C897"/>
      <c r="D897"/>
      <c r="E897"/>
      <c r="F897"/>
      <c r="G897"/>
      <c r="H897"/>
      <c r="I897"/>
      <c r="J897"/>
      <c r="K897"/>
      <c r="L897"/>
      <c r="M897"/>
      <c r="S897" s="54"/>
    </row>
    <row r="898" spans="1:19" s="15" customFormat="1" x14ac:dyDescent="0.3">
      <c r="A898" s="17"/>
      <c r="B898"/>
      <c r="C898"/>
      <c r="D898"/>
      <c r="E898"/>
      <c r="F898"/>
      <c r="G898"/>
      <c r="H898"/>
      <c r="I898"/>
      <c r="J898"/>
      <c r="K898"/>
      <c r="L898"/>
      <c r="M898"/>
      <c r="S898" s="54"/>
    </row>
    <row r="899" spans="1:19" s="15" customFormat="1" x14ac:dyDescent="0.3">
      <c r="A899" s="17"/>
      <c r="B899"/>
      <c r="C899"/>
      <c r="D899"/>
      <c r="E899"/>
      <c r="F899"/>
      <c r="G899"/>
      <c r="H899"/>
      <c r="I899"/>
      <c r="J899"/>
      <c r="K899"/>
      <c r="L899"/>
      <c r="M899"/>
      <c r="S899" s="54"/>
    </row>
    <row r="900" spans="1:19" s="15" customFormat="1" x14ac:dyDescent="0.3">
      <c r="A900" s="17"/>
      <c r="B900"/>
      <c r="C900"/>
      <c r="D900"/>
      <c r="E900"/>
      <c r="F900"/>
      <c r="G900"/>
      <c r="H900"/>
      <c r="I900"/>
      <c r="J900"/>
      <c r="K900"/>
      <c r="L900"/>
      <c r="M900"/>
      <c r="S900" s="54"/>
    </row>
    <row r="901" spans="1:19" s="15" customFormat="1" x14ac:dyDescent="0.3">
      <c r="A901" s="17"/>
      <c r="B901"/>
      <c r="C901"/>
      <c r="D901"/>
      <c r="E901"/>
      <c r="F901"/>
      <c r="G901"/>
      <c r="H901"/>
      <c r="I901"/>
      <c r="J901"/>
      <c r="K901"/>
      <c r="L901"/>
      <c r="M901"/>
      <c r="S901" s="54"/>
    </row>
    <row r="902" spans="1:19" s="15" customFormat="1" x14ac:dyDescent="0.3">
      <c r="A902" s="17"/>
      <c r="B902"/>
      <c r="C902"/>
      <c r="D902"/>
      <c r="E902"/>
      <c r="F902"/>
      <c r="G902"/>
      <c r="H902"/>
      <c r="I902"/>
      <c r="J902"/>
      <c r="K902"/>
      <c r="L902"/>
      <c r="M902"/>
      <c r="S902" s="54"/>
    </row>
    <row r="903" spans="1:19" s="15" customFormat="1" x14ac:dyDescent="0.3">
      <c r="A903" s="17"/>
      <c r="B903"/>
      <c r="C903"/>
      <c r="D903"/>
      <c r="E903"/>
      <c r="F903"/>
      <c r="G903"/>
      <c r="H903"/>
      <c r="I903"/>
      <c r="J903"/>
      <c r="K903"/>
      <c r="L903"/>
      <c r="M903"/>
      <c r="S903" s="54"/>
    </row>
    <row r="904" spans="1:19" s="15" customFormat="1" x14ac:dyDescent="0.3">
      <c r="A904" s="17"/>
      <c r="B904"/>
      <c r="C904"/>
      <c r="D904"/>
      <c r="E904"/>
      <c r="F904"/>
      <c r="G904"/>
      <c r="H904"/>
      <c r="I904"/>
      <c r="J904"/>
      <c r="K904"/>
      <c r="L904"/>
      <c r="M904"/>
      <c r="S904" s="54"/>
    </row>
    <row r="905" spans="1:19" s="15" customFormat="1" x14ac:dyDescent="0.3">
      <c r="A905" s="17"/>
      <c r="B905"/>
      <c r="C905"/>
      <c r="D905"/>
      <c r="E905"/>
      <c r="F905"/>
      <c r="G905"/>
      <c r="H905"/>
      <c r="I905"/>
      <c r="J905"/>
      <c r="K905"/>
      <c r="L905"/>
      <c r="M905"/>
      <c r="S905" s="54"/>
    </row>
    <row r="906" spans="1:19" s="15" customFormat="1" x14ac:dyDescent="0.3">
      <c r="A906" s="17"/>
      <c r="B906"/>
      <c r="C906"/>
      <c r="D906"/>
      <c r="E906"/>
      <c r="F906"/>
      <c r="G906"/>
      <c r="H906"/>
      <c r="I906"/>
      <c r="J906"/>
      <c r="K906"/>
      <c r="L906"/>
      <c r="M906"/>
      <c r="S906" s="54"/>
    </row>
    <row r="907" spans="1:19" s="15" customFormat="1" x14ac:dyDescent="0.3">
      <c r="A907" s="17"/>
      <c r="B907"/>
      <c r="C907"/>
      <c r="D907"/>
      <c r="E907"/>
      <c r="F907"/>
      <c r="G907"/>
      <c r="H907"/>
      <c r="I907"/>
      <c r="J907"/>
      <c r="K907"/>
      <c r="L907"/>
      <c r="M907"/>
      <c r="S907" s="54"/>
    </row>
    <row r="908" spans="1:19" s="15" customFormat="1" x14ac:dyDescent="0.3">
      <c r="A908" s="17"/>
      <c r="B908"/>
      <c r="C908"/>
      <c r="D908"/>
      <c r="E908"/>
      <c r="F908"/>
      <c r="G908"/>
      <c r="H908"/>
      <c r="I908"/>
      <c r="J908"/>
      <c r="K908"/>
      <c r="L908"/>
      <c r="M908"/>
      <c r="S908" s="54"/>
    </row>
    <row r="909" spans="1:19" s="15" customFormat="1" x14ac:dyDescent="0.3">
      <c r="A909" s="17"/>
      <c r="B909"/>
      <c r="C909"/>
      <c r="D909"/>
      <c r="E909"/>
      <c r="F909"/>
      <c r="G909"/>
      <c r="H909"/>
      <c r="I909"/>
      <c r="J909"/>
      <c r="K909"/>
      <c r="L909"/>
      <c r="M909"/>
      <c r="S909" s="54"/>
    </row>
    <row r="910" spans="1:19" s="15" customFormat="1" x14ac:dyDescent="0.3">
      <c r="A910" s="17"/>
      <c r="B910"/>
      <c r="C910"/>
      <c r="D910"/>
      <c r="E910"/>
      <c r="F910"/>
      <c r="G910"/>
      <c r="H910"/>
      <c r="I910"/>
      <c r="J910"/>
      <c r="K910"/>
      <c r="L910"/>
      <c r="M910"/>
      <c r="S910" s="54"/>
    </row>
    <row r="911" spans="1:19" s="15" customFormat="1" x14ac:dyDescent="0.3">
      <c r="A911" s="17"/>
      <c r="B911"/>
      <c r="C911"/>
      <c r="D911"/>
      <c r="E911"/>
      <c r="F911"/>
      <c r="G911"/>
      <c r="H911"/>
      <c r="I911"/>
      <c r="J911"/>
      <c r="K911"/>
      <c r="L911"/>
      <c r="M911"/>
      <c r="S911" s="54"/>
    </row>
    <row r="912" spans="1:19" s="15" customFormat="1" x14ac:dyDescent="0.3">
      <c r="A912" s="17"/>
      <c r="B912"/>
      <c r="C912"/>
      <c r="D912"/>
      <c r="E912"/>
      <c r="F912"/>
      <c r="G912"/>
      <c r="H912"/>
      <c r="I912"/>
      <c r="J912"/>
      <c r="K912"/>
      <c r="L912"/>
      <c r="M912"/>
      <c r="S912" s="54"/>
    </row>
    <row r="913" spans="1:19" s="15" customFormat="1" x14ac:dyDescent="0.3">
      <c r="A913" s="17"/>
      <c r="B913"/>
      <c r="C913"/>
      <c r="D913"/>
      <c r="E913"/>
      <c r="F913"/>
      <c r="G913"/>
      <c r="H913"/>
      <c r="I913"/>
      <c r="J913"/>
      <c r="K913"/>
      <c r="L913"/>
      <c r="M913"/>
      <c r="S913" s="54"/>
    </row>
    <row r="914" spans="1:19" s="15" customFormat="1" x14ac:dyDescent="0.3">
      <c r="A914" s="17"/>
      <c r="B914"/>
      <c r="C914"/>
      <c r="D914"/>
      <c r="E914"/>
      <c r="F914"/>
      <c r="G914"/>
      <c r="H914"/>
      <c r="I914"/>
      <c r="J914"/>
      <c r="K914"/>
      <c r="L914"/>
      <c r="M914"/>
      <c r="S914" s="54"/>
    </row>
    <row r="915" spans="1:19" s="15" customFormat="1" x14ac:dyDescent="0.3">
      <c r="A915" s="17"/>
      <c r="B915"/>
      <c r="C915"/>
      <c r="D915"/>
      <c r="E915"/>
      <c r="F915"/>
      <c r="G915"/>
      <c r="H915"/>
      <c r="I915"/>
      <c r="J915"/>
      <c r="K915"/>
      <c r="L915"/>
      <c r="M915"/>
      <c r="S915" s="54"/>
    </row>
    <row r="916" spans="1:19" s="15" customFormat="1" x14ac:dyDescent="0.3">
      <c r="A916" s="17"/>
      <c r="B916"/>
      <c r="C916"/>
      <c r="D916"/>
      <c r="E916"/>
      <c r="F916"/>
      <c r="G916"/>
      <c r="H916"/>
      <c r="I916"/>
      <c r="J916"/>
      <c r="K916"/>
      <c r="L916"/>
      <c r="M916"/>
      <c r="S916" s="54"/>
    </row>
    <row r="917" spans="1:19" s="15" customFormat="1" x14ac:dyDescent="0.3">
      <c r="A917" s="17"/>
      <c r="B917"/>
      <c r="C917"/>
      <c r="D917"/>
      <c r="E917"/>
      <c r="F917"/>
      <c r="G917"/>
      <c r="H917"/>
      <c r="I917"/>
      <c r="J917"/>
      <c r="K917"/>
      <c r="L917"/>
      <c r="M917"/>
      <c r="S917" s="54"/>
    </row>
    <row r="918" spans="1:19" s="15" customFormat="1" x14ac:dyDescent="0.3">
      <c r="A918" s="17"/>
      <c r="B918"/>
      <c r="C918"/>
      <c r="D918"/>
      <c r="E918"/>
      <c r="F918"/>
      <c r="G918"/>
      <c r="H918"/>
      <c r="I918"/>
      <c r="J918"/>
      <c r="K918"/>
      <c r="L918"/>
      <c r="M918"/>
      <c r="S918" s="54"/>
    </row>
    <row r="919" spans="1:19" s="15" customFormat="1" x14ac:dyDescent="0.3">
      <c r="A919" s="17"/>
      <c r="B919"/>
      <c r="C919"/>
      <c r="D919"/>
      <c r="E919"/>
      <c r="F919"/>
      <c r="G919"/>
      <c r="H919"/>
      <c r="I919"/>
      <c r="J919"/>
      <c r="K919"/>
      <c r="L919"/>
      <c r="M919"/>
      <c r="S919" s="54"/>
    </row>
    <row r="920" spans="1:19" s="15" customFormat="1" x14ac:dyDescent="0.3">
      <c r="A920" s="17"/>
      <c r="B920"/>
      <c r="C920"/>
      <c r="D920"/>
      <c r="E920"/>
      <c r="F920"/>
      <c r="G920"/>
      <c r="H920"/>
      <c r="I920"/>
      <c r="J920"/>
      <c r="K920"/>
      <c r="L920"/>
      <c r="M920"/>
      <c r="S920" s="54"/>
    </row>
    <row r="921" spans="1:19" s="15" customFormat="1" x14ac:dyDescent="0.3">
      <c r="A921" s="17"/>
      <c r="B921"/>
      <c r="C921"/>
      <c r="D921"/>
      <c r="E921"/>
      <c r="F921"/>
      <c r="G921"/>
      <c r="H921"/>
      <c r="I921"/>
      <c r="J921"/>
      <c r="K921"/>
      <c r="L921"/>
      <c r="M921"/>
      <c r="S921" s="54"/>
    </row>
    <row r="922" spans="1:19" s="15" customFormat="1" x14ac:dyDescent="0.3">
      <c r="A922" s="17"/>
      <c r="B922"/>
      <c r="C922"/>
      <c r="D922"/>
      <c r="E922"/>
      <c r="F922"/>
      <c r="G922"/>
      <c r="H922"/>
      <c r="I922"/>
      <c r="J922"/>
      <c r="K922"/>
      <c r="L922"/>
      <c r="M922"/>
      <c r="S922" s="54"/>
    </row>
    <row r="923" spans="1:19" s="15" customFormat="1" x14ac:dyDescent="0.3">
      <c r="A923" s="17"/>
      <c r="B923"/>
      <c r="C923"/>
      <c r="D923"/>
      <c r="E923"/>
      <c r="F923"/>
      <c r="G923"/>
      <c r="H923"/>
      <c r="I923"/>
      <c r="J923"/>
      <c r="K923"/>
      <c r="L923"/>
      <c r="M923"/>
      <c r="S923" s="54"/>
    </row>
    <row r="924" spans="1:19" s="15" customFormat="1" x14ac:dyDescent="0.3">
      <c r="A924" s="17"/>
      <c r="B924"/>
      <c r="C924"/>
      <c r="D924"/>
      <c r="E924"/>
      <c r="F924"/>
      <c r="G924"/>
      <c r="H924"/>
      <c r="I924"/>
      <c r="J924"/>
      <c r="K924"/>
      <c r="L924"/>
      <c r="M924"/>
      <c r="S924" s="54"/>
    </row>
    <row r="925" spans="1:19" s="15" customFormat="1" x14ac:dyDescent="0.3">
      <c r="A925" s="17"/>
      <c r="B925"/>
      <c r="C925"/>
      <c r="D925"/>
      <c r="E925"/>
      <c r="F925"/>
      <c r="G925"/>
      <c r="H925"/>
      <c r="I925"/>
      <c r="J925"/>
      <c r="K925"/>
      <c r="L925"/>
      <c r="M925"/>
      <c r="S925" s="54"/>
    </row>
    <row r="926" spans="1:19" s="15" customFormat="1" x14ac:dyDescent="0.3">
      <c r="A926" s="17"/>
      <c r="B926"/>
      <c r="C926"/>
      <c r="D926"/>
      <c r="E926"/>
      <c r="F926"/>
      <c r="G926"/>
      <c r="H926"/>
      <c r="I926"/>
      <c r="J926"/>
      <c r="K926"/>
      <c r="L926"/>
      <c r="M926"/>
      <c r="S926" s="54"/>
    </row>
    <row r="927" spans="1:19" s="15" customFormat="1" x14ac:dyDescent="0.3">
      <c r="A927" s="17"/>
      <c r="B927"/>
      <c r="C927"/>
      <c r="D927"/>
      <c r="E927"/>
      <c r="F927"/>
      <c r="G927"/>
      <c r="H927"/>
      <c r="I927"/>
      <c r="J927"/>
      <c r="K927"/>
      <c r="L927"/>
      <c r="M927"/>
      <c r="S927" s="54"/>
    </row>
    <row r="928" spans="1:19" s="15" customFormat="1" x14ac:dyDescent="0.3">
      <c r="A928" s="17"/>
      <c r="B928"/>
      <c r="C928"/>
      <c r="D928"/>
      <c r="E928"/>
      <c r="F928"/>
      <c r="G928"/>
      <c r="H928"/>
      <c r="I928"/>
      <c r="J928"/>
      <c r="K928"/>
      <c r="L928"/>
      <c r="M928"/>
      <c r="S928" s="54"/>
    </row>
    <row r="929" spans="1:19" s="15" customFormat="1" x14ac:dyDescent="0.3">
      <c r="A929" s="17"/>
      <c r="B929"/>
      <c r="C929"/>
      <c r="D929"/>
      <c r="E929"/>
      <c r="F929"/>
      <c r="G929"/>
      <c r="H929"/>
      <c r="I929"/>
      <c r="J929"/>
      <c r="K929"/>
      <c r="L929"/>
      <c r="M929"/>
      <c r="S929" s="54"/>
    </row>
    <row r="930" spans="1:19" s="15" customFormat="1" x14ac:dyDescent="0.3">
      <c r="A930" s="17"/>
      <c r="B930"/>
      <c r="C930"/>
      <c r="D930"/>
      <c r="E930"/>
      <c r="F930"/>
      <c r="G930"/>
      <c r="H930"/>
      <c r="I930"/>
      <c r="J930"/>
      <c r="K930"/>
      <c r="L930"/>
      <c r="M930"/>
      <c r="S930" s="54"/>
    </row>
    <row r="931" spans="1:19" s="15" customFormat="1" x14ac:dyDescent="0.3">
      <c r="A931" s="17"/>
      <c r="B931"/>
      <c r="C931"/>
      <c r="D931"/>
      <c r="E931"/>
      <c r="F931"/>
      <c r="G931"/>
      <c r="H931"/>
      <c r="I931"/>
      <c r="J931"/>
      <c r="K931"/>
      <c r="L931"/>
      <c r="M931"/>
      <c r="S931" s="54"/>
    </row>
    <row r="932" spans="1:19" s="15" customFormat="1" x14ac:dyDescent="0.3">
      <c r="A932" s="17"/>
      <c r="B932"/>
      <c r="C932"/>
      <c r="D932"/>
      <c r="E932"/>
      <c r="F932"/>
      <c r="G932"/>
      <c r="H932"/>
      <c r="I932"/>
      <c r="J932"/>
      <c r="K932"/>
      <c r="L932"/>
      <c r="M932"/>
      <c r="S932" s="54"/>
    </row>
    <row r="933" spans="1:19" s="15" customFormat="1" x14ac:dyDescent="0.3">
      <c r="A933" s="17"/>
      <c r="B933"/>
      <c r="C933"/>
      <c r="D933"/>
      <c r="E933"/>
      <c r="F933"/>
      <c r="G933"/>
      <c r="H933"/>
      <c r="I933"/>
      <c r="J933"/>
      <c r="K933"/>
      <c r="L933"/>
      <c r="M933"/>
      <c r="S933" s="54"/>
    </row>
    <row r="934" spans="1:19" s="15" customFormat="1" x14ac:dyDescent="0.3">
      <c r="A934" s="17"/>
      <c r="B934"/>
      <c r="C934"/>
      <c r="D934"/>
      <c r="E934"/>
      <c r="F934"/>
      <c r="G934"/>
      <c r="H934"/>
      <c r="I934"/>
      <c r="J934"/>
      <c r="K934"/>
      <c r="L934"/>
      <c r="M934"/>
      <c r="S934" s="54"/>
    </row>
    <row r="935" spans="1:19" s="15" customFormat="1" x14ac:dyDescent="0.3">
      <c r="A935" s="17"/>
      <c r="B935"/>
      <c r="C935"/>
      <c r="D935"/>
      <c r="E935"/>
      <c r="F935"/>
      <c r="G935"/>
      <c r="H935"/>
      <c r="I935"/>
      <c r="J935"/>
      <c r="K935"/>
      <c r="L935"/>
      <c r="M935"/>
      <c r="S935" s="54"/>
    </row>
    <row r="936" spans="1:19" s="15" customFormat="1" x14ac:dyDescent="0.3">
      <c r="A936" s="17"/>
      <c r="B936"/>
      <c r="C936"/>
      <c r="D936"/>
      <c r="E936"/>
      <c r="F936"/>
      <c r="G936"/>
      <c r="H936"/>
      <c r="I936"/>
      <c r="J936"/>
      <c r="K936"/>
      <c r="L936"/>
      <c r="M936"/>
      <c r="S936" s="54"/>
    </row>
    <row r="937" spans="1:19" s="15" customFormat="1" x14ac:dyDescent="0.3">
      <c r="A937" s="17"/>
      <c r="B937"/>
      <c r="C937"/>
      <c r="D937"/>
      <c r="E937"/>
      <c r="F937"/>
      <c r="G937"/>
      <c r="H937"/>
      <c r="I937"/>
      <c r="J937"/>
      <c r="K937"/>
      <c r="L937"/>
      <c r="M937"/>
      <c r="S937" s="54"/>
    </row>
    <row r="938" spans="1:19" s="15" customFormat="1" x14ac:dyDescent="0.3">
      <c r="A938" s="17"/>
      <c r="B938"/>
      <c r="C938"/>
      <c r="D938"/>
      <c r="E938"/>
      <c r="F938"/>
      <c r="G938"/>
      <c r="H938"/>
      <c r="I938"/>
      <c r="J938"/>
      <c r="K938"/>
      <c r="L938"/>
      <c r="M938"/>
      <c r="S938" s="54"/>
    </row>
    <row r="939" spans="1:19" s="15" customFormat="1" x14ac:dyDescent="0.3">
      <c r="A939" s="17"/>
      <c r="B939"/>
      <c r="C939"/>
      <c r="D939"/>
      <c r="E939"/>
      <c r="F939"/>
      <c r="G939"/>
      <c r="H939"/>
      <c r="I939"/>
      <c r="J939"/>
      <c r="K939"/>
      <c r="L939"/>
      <c r="M939"/>
      <c r="S939" s="54"/>
    </row>
    <row r="940" spans="1:19" s="15" customFormat="1" x14ac:dyDescent="0.3">
      <c r="A940" s="17"/>
      <c r="B940"/>
      <c r="C940"/>
      <c r="D940"/>
      <c r="E940"/>
      <c r="F940"/>
      <c r="G940"/>
      <c r="H940"/>
      <c r="I940"/>
      <c r="J940"/>
      <c r="K940"/>
      <c r="L940"/>
      <c r="M940"/>
      <c r="S940" s="54"/>
    </row>
    <row r="941" spans="1:19" s="15" customFormat="1" x14ac:dyDescent="0.3">
      <c r="A941" s="17"/>
      <c r="B941"/>
      <c r="C941"/>
      <c r="D941"/>
      <c r="E941"/>
      <c r="F941"/>
      <c r="G941"/>
      <c r="H941"/>
      <c r="I941"/>
      <c r="J941"/>
      <c r="K941"/>
      <c r="L941"/>
      <c r="M941"/>
      <c r="S941" s="54"/>
    </row>
    <row r="942" spans="1:19" s="15" customFormat="1" x14ac:dyDescent="0.3">
      <c r="A942" s="17"/>
      <c r="B942"/>
      <c r="C942"/>
      <c r="D942"/>
      <c r="E942"/>
      <c r="F942"/>
      <c r="G942"/>
      <c r="H942"/>
      <c r="I942"/>
      <c r="J942"/>
      <c r="K942"/>
      <c r="L942"/>
      <c r="M942"/>
      <c r="S942" s="54"/>
    </row>
    <row r="943" spans="1:19" s="15" customFormat="1" x14ac:dyDescent="0.3">
      <c r="A943" s="17"/>
      <c r="B943"/>
      <c r="C943"/>
      <c r="D943"/>
      <c r="E943"/>
      <c r="F943"/>
      <c r="G943"/>
      <c r="H943"/>
      <c r="I943"/>
      <c r="J943"/>
      <c r="K943"/>
      <c r="L943"/>
      <c r="M943"/>
      <c r="S943" s="54"/>
    </row>
    <row r="944" spans="1:19" s="15" customFormat="1" x14ac:dyDescent="0.3">
      <c r="A944" s="17"/>
      <c r="B944"/>
      <c r="C944"/>
      <c r="D944"/>
      <c r="E944"/>
      <c r="F944"/>
      <c r="G944"/>
      <c r="H944"/>
      <c r="I944"/>
      <c r="J944"/>
      <c r="K944"/>
      <c r="L944"/>
      <c r="M944"/>
      <c r="S944" s="54"/>
    </row>
    <row r="945" spans="1:19" s="15" customFormat="1" x14ac:dyDescent="0.3">
      <c r="A945" s="17"/>
      <c r="B945"/>
      <c r="C945"/>
      <c r="D945"/>
      <c r="E945"/>
      <c r="F945"/>
      <c r="G945"/>
      <c r="H945"/>
      <c r="I945"/>
      <c r="J945"/>
      <c r="K945"/>
      <c r="L945"/>
      <c r="M945"/>
      <c r="S945" s="54"/>
    </row>
    <row r="946" spans="1:19" s="15" customFormat="1" x14ac:dyDescent="0.3">
      <c r="A946" s="17"/>
      <c r="B946"/>
      <c r="C946"/>
      <c r="D946"/>
      <c r="E946"/>
      <c r="F946"/>
      <c r="G946"/>
      <c r="H946"/>
      <c r="I946"/>
      <c r="J946"/>
      <c r="K946"/>
      <c r="L946"/>
      <c r="M946"/>
      <c r="S946" s="54"/>
    </row>
    <row r="947" spans="1:19" s="15" customFormat="1" x14ac:dyDescent="0.3">
      <c r="A947" s="17"/>
      <c r="B947"/>
      <c r="C947"/>
      <c r="D947"/>
      <c r="E947"/>
      <c r="F947"/>
      <c r="G947"/>
      <c r="H947"/>
      <c r="I947"/>
      <c r="J947"/>
      <c r="K947"/>
      <c r="L947"/>
      <c r="M947"/>
      <c r="S947" s="54"/>
    </row>
    <row r="948" spans="1:19" s="15" customFormat="1" x14ac:dyDescent="0.3">
      <c r="A948" s="17"/>
      <c r="B948"/>
      <c r="C948"/>
      <c r="D948"/>
      <c r="E948"/>
      <c r="F948"/>
      <c r="G948"/>
      <c r="H948"/>
      <c r="I948"/>
      <c r="J948"/>
      <c r="K948"/>
      <c r="L948"/>
      <c r="M948"/>
      <c r="S948" s="54"/>
    </row>
    <row r="949" spans="1:19" s="15" customFormat="1" x14ac:dyDescent="0.3">
      <c r="A949" s="17"/>
      <c r="B949"/>
      <c r="C949"/>
      <c r="D949"/>
      <c r="E949"/>
      <c r="F949"/>
      <c r="G949"/>
      <c r="H949"/>
      <c r="I949"/>
      <c r="J949"/>
      <c r="K949"/>
      <c r="L949"/>
      <c r="M949"/>
      <c r="S949" s="54"/>
    </row>
    <row r="950" spans="1:19" s="15" customFormat="1" x14ac:dyDescent="0.3">
      <c r="A950" s="17"/>
      <c r="B950"/>
      <c r="C950"/>
      <c r="D950"/>
      <c r="E950"/>
      <c r="F950"/>
      <c r="G950"/>
      <c r="H950"/>
      <c r="I950"/>
      <c r="J950"/>
      <c r="K950"/>
      <c r="L950"/>
      <c r="M950"/>
      <c r="S950" s="54"/>
    </row>
    <row r="951" spans="1:19" s="15" customFormat="1" x14ac:dyDescent="0.3">
      <c r="A951" s="17"/>
      <c r="B951"/>
      <c r="C951"/>
      <c r="D951"/>
      <c r="E951"/>
      <c r="F951"/>
      <c r="G951"/>
      <c r="H951"/>
      <c r="I951"/>
      <c r="J951"/>
      <c r="K951"/>
      <c r="L951"/>
      <c r="M951"/>
      <c r="S951" s="54"/>
    </row>
    <row r="952" spans="1:19" s="15" customFormat="1" x14ac:dyDescent="0.3">
      <c r="A952" s="17"/>
      <c r="B952"/>
      <c r="C952"/>
      <c r="D952"/>
      <c r="E952"/>
      <c r="F952"/>
      <c r="G952"/>
      <c r="H952"/>
      <c r="I952"/>
      <c r="J952"/>
      <c r="K952"/>
      <c r="L952"/>
      <c r="M952"/>
      <c r="S952" s="54"/>
    </row>
    <row r="953" spans="1:19" s="15" customFormat="1" x14ac:dyDescent="0.3">
      <c r="A953" s="17"/>
      <c r="B953"/>
      <c r="C953"/>
      <c r="D953"/>
      <c r="E953"/>
      <c r="F953"/>
      <c r="G953"/>
      <c r="H953"/>
      <c r="I953"/>
      <c r="J953"/>
      <c r="K953"/>
      <c r="L953"/>
      <c r="M953"/>
      <c r="S953" s="54"/>
    </row>
    <row r="954" spans="1:19" s="15" customFormat="1" x14ac:dyDescent="0.3">
      <c r="A954" s="17"/>
      <c r="B954"/>
      <c r="C954"/>
      <c r="D954"/>
      <c r="E954"/>
      <c r="F954"/>
      <c r="G954"/>
      <c r="H954"/>
      <c r="I954"/>
      <c r="J954"/>
      <c r="K954"/>
      <c r="L954"/>
      <c r="M954"/>
      <c r="S954" s="54"/>
    </row>
    <row r="955" spans="1:19" s="15" customFormat="1" x14ac:dyDescent="0.3">
      <c r="A955" s="17"/>
      <c r="B955"/>
      <c r="C955"/>
      <c r="D955"/>
      <c r="E955"/>
      <c r="F955"/>
      <c r="G955"/>
      <c r="H955"/>
      <c r="I955"/>
      <c r="J955"/>
      <c r="K955"/>
      <c r="L955"/>
      <c r="M955"/>
      <c r="S955" s="54"/>
    </row>
    <row r="956" spans="1:19" s="15" customFormat="1" x14ac:dyDescent="0.3">
      <c r="A956" s="17"/>
      <c r="B956"/>
      <c r="C956"/>
      <c r="D956"/>
      <c r="E956"/>
      <c r="F956"/>
      <c r="G956"/>
      <c r="H956"/>
      <c r="I956"/>
      <c r="J956"/>
      <c r="K956"/>
      <c r="L956"/>
      <c r="M956"/>
      <c r="S956" s="54"/>
    </row>
    <row r="957" spans="1:19" s="15" customFormat="1" x14ac:dyDescent="0.3">
      <c r="A957" s="17"/>
      <c r="B957"/>
      <c r="C957"/>
      <c r="D957"/>
      <c r="E957"/>
      <c r="F957"/>
      <c r="G957"/>
      <c r="H957"/>
      <c r="I957"/>
      <c r="J957"/>
      <c r="K957"/>
      <c r="L957"/>
      <c r="M957"/>
      <c r="S957" s="54"/>
    </row>
    <row r="958" spans="1:19" s="15" customFormat="1" x14ac:dyDescent="0.3">
      <c r="A958" s="17"/>
      <c r="B958"/>
      <c r="C958"/>
      <c r="D958"/>
      <c r="E958"/>
      <c r="F958"/>
      <c r="G958"/>
      <c r="H958"/>
      <c r="I958"/>
      <c r="J958"/>
      <c r="K958"/>
      <c r="L958"/>
      <c r="M958"/>
      <c r="S958" s="54"/>
    </row>
    <row r="959" spans="1:19" s="15" customFormat="1" x14ac:dyDescent="0.3">
      <c r="A959" s="17"/>
      <c r="B959"/>
      <c r="C959"/>
      <c r="D959"/>
      <c r="E959"/>
      <c r="F959"/>
      <c r="G959"/>
      <c r="H959"/>
      <c r="I959"/>
      <c r="J959"/>
      <c r="K959"/>
      <c r="L959"/>
      <c r="M959"/>
      <c r="S959" s="54"/>
    </row>
    <row r="960" spans="1:19" s="15" customFormat="1" x14ac:dyDescent="0.3">
      <c r="A960" s="17"/>
      <c r="B960"/>
      <c r="C960"/>
      <c r="D960"/>
      <c r="E960"/>
      <c r="F960"/>
      <c r="G960"/>
      <c r="H960"/>
      <c r="I960"/>
      <c r="J960"/>
      <c r="K960"/>
      <c r="L960"/>
      <c r="M960"/>
      <c r="S960" s="54"/>
    </row>
    <row r="961" spans="1:19" s="15" customFormat="1" x14ac:dyDescent="0.3">
      <c r="A961" s="17"/>
      <c r="B961"/>
      <c r="C961"/>
      <c r="D961"/>
      <c r="E961"/>
      <c r="F961"/>
      <c r="G961"/>
      <c r="H961"/>
      <c r="I961"/>
      <c r="J961"/>
      <c r="K961"/>
      <c r="L961"/>
      <c r="M961"/>
      <c r="S961" s="54"/>
    </row>
    <row r="962" spans="1:19" s="15" customFormat="1" x14ac:dyDescent="0.3">
      <c r="A962" s="17"/>
      <c r="B962"/>
      <c r="C962"/>
      <c r="D962"/>
      <c r="E962"/>
      <c r="F962"/>
      <c r="G962"/>
      <c r="H962"/>
      <c r="I962"/>
      <c r="J962"/>
      <c r="K962"/>
      <c r="L962"/>
      <c r="M962"/>
      <c r="S962" s="54"/>
    </row>
    <row r="963" spans="1:19" s="15" customFormat="1" x14ac:dyDescent="0.3">
      <c r="A963" s="17"/>
      <c r="B963"/>
      <c r="C963"/>
      <c r="D963"/>
      <c r="E963"/>
      <c r="F963"/>
      <c r="G963"/>
      <c r="H963"/>
      <c r="I963"/>
      <c r="J963"/>
      <c r="K963"/>
      <c r="L963"/>
      <c r="M963"/>
      <c r="S963" s="54"/>
    </row>
    <row r="964" spans="1:19" s="15" customFormat="1" x14ac:dyDescent="0.3">
      <c r="A964" s="17"/>
      <c r="B964"/>
      <c r="C964"/>
      <c r="D964"/>
      <c r="E964"/>
      <c r="F964"/>
      <c r="G964"/>
      <c r="H964"/>
      <c r="I964"/>
      <c r="J964"/>
      <c r="K964"/>
      <c r="L964"/>
      <c r="M964"/>
      <c r="S964" s="54"/>
    </row>
    <row r="965" spans="1:19" s="15" customFormat="1" x14ac:dyDescent="0.3">
      <c r="A965" s="17"/>
      <c r="B965"/>
      <c r="C965"/>
      <c r="D965"/>
      <c r="E965"/>
      <c r="F965"/>
      <c r="G965"/>
      <c r="H965"/>
      <c r="I965"/>
      <c r="J965"/>
      <c r="K965"/>
      <c r="L965"/>
      <c r="M965"/>
      <c r="S965" s="54"/>
    </row>
    <row r="966" spans="1:19" s="15" customFormat="1" x14ac:dyDescent="0.3">
      <c r="A966" s="17"/>
      <c r="B966"/>
      <c r="C966"/>
      <c r="D966"/>
      <c r="E966"/>
      <c r="F966"/>
      <c r="G966"/>
      <c r="H966"/>
      <c r="I966"/>
      <c r="J966"/>
      <c r="K966"/>
      <c r="L966"/>
      <c r="M966"/>
      <c r="S966" s="54"/>
    </row>
    <row r="967" spans="1:19" s="15" customFormat="1" x14ac:dyDescent="0.3">
      <c r="A967" s="17"/>
      <c r="B967"/>
      <c r="C967"/>
      <c r="D967"/>
      <c r="E967"/>
      <c r="F967"/>
      <c r="G967"/>
      <c r="H967"/>
      <c r="I967"/>
      <c r="J967"/>
      <c r="K967"/>
      <c r="L967"/>
      <c r="M967"/>
      <c r="S967" s="54"/>
    </row>
    <row r="968" spans="1:19" s="15" customFormat="1" x14ac:dyDescent="0.3">
      <c r="A968" s="17"/>
      <c r="B968"/>
      <c r="C968"/>
      <c r="D968"/>
      <c r="E968"/>
      <c r="F968"/>
      <c r="G968"/>
      <c r="H968"/>
      <c r="I968"/>
      <c r="J968"/>
      <c r="K968"/>
      <c r="L968"/>
      <c r="M968"/>
      <c r="S968" s="54"/>
    </row>
    <row r="969" spans="1:19" s="15" customFormat="1" x14ac:dyDescent="0.3">
      <c r="A969" s="17"/>
      <c r="B969"/>
      <c r="C969"/>
      <c r="D969"/>
      <c r="E969"/>
      <c r="F969"/>
      <c r="G969"/>
      <c r="H969"/>
      <c r="I969"/>
      <c r="J969"/>
      <c r="K969"/>
      <c r="L969"/>
      <c r="M969"/>
      <c r="S969" s="54"/>
    </row>
    <row r="970" spans="1:19" s="15" customFormat="1" x14ac:dyDescent="0.3">
      <c r="A970" s="17"/>
      <c r="B970"/>
      <c r="C970"/>
      <c r="D970"/>
      <c r="E970"/>
      <c r="F970"/>
      <c r="G970"/>
      <c r="H970"/>
      <c r="I970"/>
      <c r="J970"/>
      <c r="K970"/>
      <c r="L970"/>
      <c r="M970"/>
      <c r="S970" s="54"/>
    </row>
    <row r="971" spans="1:19" s="15" customFormat="1" x14ac:dyDescent="0.3">
      <c r="A971" s="17"/>
      <c r="B971"/>
      <c r="C971"/>
      <c r="D971"/>
      <c r="E971"/>
      <c r="F971"/>
      <c r="G971"/>
      <c r="H971"/>
      <c r="I971"/>
      <c r="J971"/>
      <c r="K971"/>
      <c r="L971"/>
      <c r="M971"/>
      <c r="S971" s="54"/>
    </row>
    <row r="972" spans="1:19" s="15" customFormat="1" x14ac:dyDescent="0.3">
      <c r="A972" s="17"/>
      <c r="B972"/>
      <c r="C972"/>
      <c r="D972"/>
      <c r="E972"/>
      <c r="F972"/>
      <c r="G972"/>
      <c r="H972"/>
      <c r="I972"/>
      <c r="J972"/>
      <c r="K972"/>
      <c r="L972"/>
      <c r="M972"/>
      <c r="S972" s="54"/>
    </row>
    <row r="973" spans="1:19" s="15" customFormat="1" x14ac:dyDescent="0.3">
      <c r="A973" s="17"/>
      <c r="B973"/>
      <c r="C973"/>
      <c r="D973"/>
      <c r="E973"/>
      <c r="F973"/>
      <c r="G973"/>
      <c r="H973"/>
      <c r="I973"/>
      <c r="J973"/>
      <c r="K973"/>
      <c r="L973"/>
      <c r="M973"/>
      <c r="S973" s="54"/>
    </row>
    <row r="974" spans="1:19" s="15" customFormat="1" x14ac:dyDescent="0.3">
      <c r="A974" s="17"/>
      <c r="B974"/>
      <c r="C974"/>
      <c r="D974"/>
      <c r="E974"/>
      <c r="F974"/>
      <c r="G974"/>
      <c r="H974"/>
      <c r="I974"/>
      <c r="J974"/>
      <c r="K974"/>
      <c r="L974"/>
      <c r="M974"/>
      <c r="S974" s="54"/>
    </row>
    <row r="975" spans="1:19" s="15" customFormat="1" x14ac:dyDescent="0.3">
      <c r="A975" s="17"/>
      <c r="B975"/>
      <c r="C975"/>
      <c r="D975"/>
      <c r="E975"/>
      <c r="F975"/>
      <c r="G975"/>
      <c r="H975"/>
      <c r="I975"/>
      <c r="J975"/>
      <c r="K975"/>
      <c r="L975"/>
      <c r="M975"/>
      <c r="S975" s="54"/>
    </row>
    <row r="976" spans="1:19" s="15" customFormat="1" x14ac:dyDescent="0.3">
      <c r="A976" s="17"/>
      <c r="B976"/>
      <c r="C976"/>
      <c r="D976"/>
      <c r="E976"/>
      <c r="F976"/>
      <c r="G976"/>
      <c r="H976"/>
      <c r="I976"/>
      <c r="J976"/>
      <c r="K976"/>
      <c r="L976"/>
      <c r="M976"/>
      <c r="S976" s="54"/>
    </row>
    <row r="977" spans="1:19" s="15" customFormat="1" x14ac:dyDescent="0.3">
      <c r="A977" s="17"/>
      <c r="B977"/>
      <c r="C977"/>
      <c r="D977"/>
      <c r="E977"/>
      <c r="F977"/>
      <c r="G977"/>
      <c r="H977"/>
      <c r="I977"/>
      <c r="J977"/>
      <c r="K977"/>
      <c r="L977"/>
      <c r="M977"/>
      <c r="S977" s="54"/>
    </row>
    <row r="978" spans="1:19" s="15" customFormat="1" x14ac:dyDescent="0.3">
      <c r="A978" s="17"/>
      <c r="B978"/>
      <c r="C978"/>
      <c r="D978"/>
      <c r="E978"/>
      <c r="F978"/>
      <c r="G978"/>
      <c r="H978"/>
      <c r="I978"/>
      <c r="J978"/>
      <c r="K978"/>
      <c r="L978"/>
      <c r="M978"/>
      <c r="S978" s="54"/>
    </row>
    <row r="979" spans="1:19" s="15" customFormat="1" x14ac:dyDescent="0.3">
      <c r="A979" s="17"/>
      <c r="B979"/>
      <c r="C979"/>
      <c r="D979"/>
      <c r="E979"/>
      <c r="F979"/>
      <c r="G979"/>
      <c r="H979"/>
      <c r="I979"/>
      <c r="J979"/>
      <c r="K979"/>
      <c r="L979"/>
      <c r="M979"/>
      <c r="S979" s="54"/>
    </row>
    <row r="980" spans="1:19" s="15" customFormat="1" x14ac:dyDescent="0.3">
      <c r="A980" s="17"/>
      <c r="B980"/>
      <c r="C980"/>
      <c r="D980"/>
      <c r="E980"/>
      <c r="F980"/>
      <c r="G980"/>
      <c r="H980"/>
      <c r="I980"/>
      <c r="J980"/>
      <c r="K980"/>
      <c r="L980"/>
      <c r="M980"/>
      <c r="S980" s="54"/>
    </row>
    <row r="981" spans="1:19" s="15" customFormat="1" x14ac:dyDescent="0.3">
      <c r="A981" s="17"/>
      <c r="B981"/>
      <c r="C981"/>
      <c r="D981"/>
      <c r="E981"/>
      <c r="F981"/>
      <c r="G981"/>
      <c r="H981"/>
      <c r="I981"/>
      <c r="J981"/>
      <c r="K981"/>
      <c r="L981"/>
      <c r="M981"/>
      <c r="S981" s="54"/>
    </row>
    <row r="982" spans="1:19" s="15" customFormat="1" x14ac:dyDescent="0.3">
      <c r="A982" s="17"/>
      <c r="B982"/>
      <c r="C982"/>
      <c r="D982"/>
      <c r="E982"/>
      <c r="F982"/>
      <c r="G982"/>
      <c r="H982"/>
      <c r="I982"/>
      <c r="J982"/>
      <c r="K982"/>
      <c r="L982"/>
      <c r="M982"/>
      <c r="S982" s="54"/>
    </row>
    <row r="983" spans="1:19" s="15" customFormat="1" x14ac:dyDescent="0.3">
      <c r="A983" s="17"/>
      <c r="B983"/>
      <c r="C983"/>
      <c r="D983"/>
      <c r="E983"/>
      <c r="F983"/>
      <c r="G983"/>
      <c r="H983"/>
      <c r="I983"/>
      <c r="J983"/>
      <c r="K983"/>
      <c r="L983"/>
      <c r="M983"/>
      <c r="S983" s="54"/>
    </row>
    <row r="984" spans="1:19" s="15" customFormat="1" x14ac:dyDescent="0.3">
      <c r="A984" s="17"/>
      <c r="B984"/>
      <c r="C984"/>
      <c r="D984"/>
      <c r="E984"/>
      <c r="F984"/>
      <c r="G984"/>
      <c r="H984"/>
      <c r="I984"/>
      <c r="J984"/>
      <c r="K984"/>
      <c r="L984"/>
      <c r="M984"/>
      <c r="S984" s="54"/>
    </row>
    <row r="985" spans="1:19" s="15" customFormat="1" x14ac:dyDescent="0.3">
      <c r="A985" s="17"/>
      <c r="B985"/>
      <c r="C985"/>
      <c r="D985"/>
      <c r="E985"/>
      <c r="F985"/>
      <c r="G985"/>
      <c r="H985"/>
      <c r="I985"/>
      <c r="J985"/>
      <c r="K985"/>
      <c r="L985"/>
      <c r="M985"/>
      <c r="S985" s="54"/>
    </row>
    <row r="986" spans="1:19" s="15" customFormat="1" x14ac:dyDescent="0.3">
      <c r="A986" s="17"/>
      <c r="B986"/>
      <c r="C986"/>
      <c r="D986"/>
      <c r="E986"/>
      <c r="F986"/>
      <c r="G986"/>
      <c r="H986"/>
      <c r="I986"/>
      <c r="J986"/>
      <c r="K986"/>
      <c r="L986"/>
      <c r="M986"/>
      <c r="S986" s="54"/>
    </row>
    <row r="987" spans="1:19" s="15" customFormat="1" x14ac:dyDescent="0.3">
      <c r="A987" s="17"/>
      <c r="B987"/>
      <c r="C987"/>
      <c r="D987"/>
      <c r="E987"/>
      <c r="F987"/>
      <c r="G987"/>
      <c r="H987"/>
      <c r="I987"/>
      <c r="J987"/>
      <c r="K987"/>
      <c r="L987"/>
      <c r="M987"/>
      <c r="S987" s="54"/>
    </row>
    <row r="988" spans="1:19" s="15" customFormat="1" x14ac:dyDescent="0.3">
      <c r="A988" s="17"/>
      <c r="B988"/>
      <c r="C988"/>
      <c r="D988"/>
      <c r="E988"/>
      <c r="F988"/>
      <c r="G988"/>
      <c r="H988"/>
      <c r="I988"/>
      <c r="J988"/>
      <c r="K988"/>
      <c r="L988"/>
      <c r="M988"/>
      <c r="S988" s="54"/>
    </row>
    <row r="989" spans="1:19" s="15" customFormat="1" x14ac:dyDescent="0.3">
      <c r="A989" s="17"/>
      <c r="B989"/>
      <c r="C989"/>
      <c r="D989"/>
      <c r="E989"/>
      <c r="F989"/>
      <c r="G989"/>
      <c r="H989"/>
      <c r="I989"/>
      <c r="J989"/>
      <c r="K989"/>
      <c r="L989"/>
      <c r="M989"/>
      <c r="S989" s="54"/>
    </row>
    <row r="990" spans="1:19" s="15" customFormat="1" x14ac:dyDescent="0.3">
      <c r="A990" s="17"/>
      <c r="B990"/>
      <c r="C990"/>
      <c r="D990"/>
      <c r="E990"/>
      <c r="F990"/>
      <c r="G990"/>
      <c r="H990"/>
      <c r="I990"/>
      <c r="J990"/>
      <c r="K990"/>
      <c r="L990"/>
      <c r="M990"/>
      <c r="S990" s="54"/>
    </row>
    <row r="991" spans="1:19" s="15" customFormat="1" x14ac:dyDescent="0.3">
      <c r="A991" s="17"/>
      <c r="B991"/>
      <c r="C991"/>
      <c r="D991"/>
      <c r="E991"/>
      <c r="F991"/>
      <c r="G991"/>
      <c r="H991"/>
      <c r="I991"/>
      <c r="J991"/>
      <c r="K991"/>
      <c r="L991"/>
      <c r="M991"/>
      <c r="S991" s="54"/>
    </row>
    <row r="992" spans="1:19" s="15" customFormat="1" x14ac:dyDescent="0.3">
      <c r="A992" s="17"/>
      <c r="B992"/>
      <c r="C992"/>
      <c r="D992"/>
      <c r="E992"/>
      <c r="F992"/>
      <c r="G992"/>
      <c r="H992"/>
      <c r="I992"/>
      <c r="J992"/>
      <c r="K992"/>
      <c r="L992"/>
      <c r="M992"/>
      <c r="S992" s="54"/>
    </row>
    <row r="993" spans="1:19" s="15" customFormat="1" x14ac:dyDescent="0.3">
      <c r="A993" s="17"/>
      <c r="B993"/>
      <c r="C993"/>
      <c r="D993"/>
      <c r="E993"/>
      <c r="F993"/>
      <c r="G993"/>
      <c r="H993"/>
      <c r="I993"/>
      <c r="J993"/>
      <c r="K993"/>
      <c r="L993"/>
      <c r="M993"/>
      <c r="S993" s="54"/>
    </row>
    <row r="994" spans="1:19" s="15" customFormat="1" x14ac:dyDescent="0.3">
      <c r="A994" s="17"/>
      <c r="B994"/>
      <c r="C994"/>
      <c r="D994"/>
      <c r="E994"/>
      <c r="F994"/>
      <c r="G994"/>
      <c r="H994"/>
      <c r="I994"/>
      <c r="J994"/>
      <c r="K994"/>
      <c r="L994"/>
      <c r="M994"/>
      <c r="S994" s="54"/>
    </row>
    <row r="995" spans="1:19" s="15" customFormat="1" x14ac:dyDescent="0.3">
      <c r="A995" s="17"/>
      <c r="B995"/>
      <c r="C995"/>
      <c r="D995"/>
      <c r="E995"/>
      <c r="F995"/>
      <c r="G995"/>
      <c r="H995"/>
      <c r="I995"/>
      <c r="J995"/>
      <c r="K995"/>
      <c r="L995"/>
      <c r="M995"/>
      <c r="S995" s="54"/>
    </row>
    <row r="996" spans="1:19" s="15" customFormat="1" x14ac:dyDescent="0.3">
      <c r="A996" s="17"/>
      <c r="B996"/>
      <c r="C996"/>
      <c r="D996"/>
      <c r="E996"/>
      <c r="F996"/>
      <c r="G996"/>
      <c r="H996"/>
      <c r="I996"/>
      <c r="J996"/>
      <c r="K996"/>
      <c r="L996"/>
      <c r="M996"/>
      <c r="S996" s="54"/>
    </row>
    <row r="997" spans="1:19" s="15" customFormat="1" x14ac:dyDescent="0.3">
      <c r="A997" s="17"/>
      <c r="B997"/>
      <c r="C997"/>
      <c r="D997"/>
      <c r="E997"/>
      <c r="F997"/>
      <c r="G997"/>
      <c r="H997"/>
      <c r="I997"/>
      <c r="J997"/>
      <c r="K997"/>
      <c r="L997"/>
      <c r="M997"/>
      <c r="S997" s="54"/>
    </row>
    <row r="998" spans="1:19" s="15" customFormat="1" x14ac:dyDescent="0.3">
      <c r="A998" s="17"/>
      <c r="B998"/>
      <c r="C998"/>
      <c r="D998"/>
      <c r="E998"/>
      <c r="F998"/>
      <c r="G998"/>
      <c r="H998"/>
      <c r="I998"/>
      <c r="J998"/>
      <c r="K998"/>
      <c r="L998"/>
      <c r="M998"/>
      <c r="S998" s="54"/>
    </row>
    <row r="999" spans="1:19" s="15" customFormat="1" x14ac:dyDescent="0.3">
      <c r="A999" s="17"/>
      <c r="B999"/>
      <c r="C999"/>
      <c r="D999"/>
      <c r="E999"/>
      <c r="F999"/>
      <c r="G999"/>
      <c r="H999"/>
      <c r="I999"/>
      <c r="J999"/>
      <c r="K999"/>
      <c r="L999"/>
      <c r="M999"/>
      <c r="S999" s="54"/>
    </row>
    <row r="1000" spans="1:19" s="15" customFormat="1" x14ac:dyDescent="0.3">
      <c r="A1000" s="17"/>
      <c r="B1000"/>
      <c r="C1000"/>
      <c r="D1000"/>
      <c r="E1000"/>
      <c r="F1000"/>
      <c r="G1000"/>
      <c r="H1000"/>
      <c r="I1000"/>
      <c r="J1000"/>
      <c r="K1000"/>
      <c r="L1000"/>
      <c r="M1000"/>
      <c r="S1000" s="54"/>
    </row>
    <row r="1001" spans="1:19" s="15" customFormat="1" x14ac:dyDescent="0.3">
      <c r="A1001" s="17"/>
      <c r="B1001"/>
      <c r="C1001"/>
      <c r="D1001"/>
      <c r="E1001"/>
      <c r="F1001"/>
      <c r="G1001"/>
      <c r="H1001"/>
      <c r="I1001"/>
      <c r="J1001"/>
      <c r="K1001"/>
      <c r="L1001"/>
      <c r="M1001"/>
      <c r="S1001" s="54"/>
    </row>
    <row r="1002" spans="1:19" s="15" customFormat="1" x14ac:dyDescent="0.3">
      <c r="A1002" s="17"/>
      <c r="B1002"/>
      <c r="C1002"/>
      <c r="D1002"/>
      <c r="E1002"/>
      <c r="F1002"/>
      <c r="G1002"/>
      <c r="H1002"/>
      <c r="I1002"/>
      <c r="J1002"/>
      <c r="K1002"/>
      <c r="L1002"/>
      <c r="M1002"/>
      <c r="S1002" s="54"/>
    </row>
    <row r="1003" spans="1:19" s="15" customFormat="1" x14ac:dyDescent="0.3">
      <c r="A1003" s="17"/>
      <c r="B1003"/>
      <c r="C1003"/>
      <c r="D1003"/>
      <c r="E1003"/>
      <c r="F1003"/>
      <c r="G1003"/>
      <c r="H1003"/>
      <c r="I1003"/>
      <c r="J1003"/>
      <c r="K1003"/>
      <c r="L1003"/>
      <c r="M1003"/>
      <c r="S1003" s="54"/>
    </row>
    <row r="1004" spans="1:19" s="15" customFormat="1" x14ac:dyDescent="0.3">
      <c r="A1004" s="17"/>
      <c r="B1004"/>
      <c r="C1004"/>
      <c r="D1004"/>
      <c r="E1004"/>
      <c r="F1004"/>
      <c r="G1004"/>
      <c r="H1004"/>
      <c r="I1004"/>
      <c r="J1004"/>
      <c r="K1004"/>
      <c r="L1004"/>
      <c r="M1004"/>
      <c r="S1004" s="54"/>
    </row>
    <row r="1005" spans="1:19" s="15" customFormat="1" x14ac:dyDescent="0.3">
      <c r="A1005" s="17"/>
      <c r="B1005"/>
      <c r="C1005"/>
      <c r="D1005"/>
      <c r="E1005"/>
      <c r="F1005"/>
      <c r="G1005"/>
      <c r="H1005"/>
      <c r="I1005"/>
      <c r="J1005"/>
      <c r="K1005"/>
      <c r="L1005"/>
      <c r="M1005"/>
      <c r="S1005" s="54"/>
    </row>
    <row r="1006" spans="1:19" s="15" customFormat="1" x14ac:dyDescent="0.3">
      <c r="A1006" s="17"/>
      <c r="B1006"/>
      <c r="C1006"/>
      <c r="D1006"/>
      <c r="E1006"/>
      <c r="F1006"/>
      <c r="G1006"/>
      <c r="H1006"/>
      <c r="I1006"/>
      <c r="J1006"/>
      <c r="K1006"/>
      <c r="L1006"/>
      <c r="M1006"/>
      <c r="S1006" s="54"/>
    </row>
    <row r="1007" spans="1:19" s="15" customFormat="1" x14ac:dyDescent="0.3">
      <c r="A1007" s="17"/>
      <c r="B1007"/>
      <c r="C1007"/>
      <c r="D1007"/>
      <c r="E1007"/>
      <c r="F1007"/>
      <c r="G1007"/>
      <c r="H1007"/>
      <c r="I1007"/>
      <c r="J1007"/>
      <c r="K1007"/>
      <c r="L1007"/>
      <c r="M1007"/>
      <c r="S1007" s="54"/>
    </row>
    <row r="1008" spans="1:19" s="15" customFormat="1" x14ac:dyDescent="0.3">
      <c r="A1008" s="17"/>
      <c r="B1008"/>
      <c r="C1008"/>
      <c r="D1008"/>
      <c r="E1008"/>
      <c r="F1008"/>
      <c r="G1008"/>
      <c r="H1008"/>
      <c r="I1008"/>
      <c r="J1008"/>
      <c r="K1008"/>
      <c r="L1008"/>
      <c r="M1008"/>
      <c r="S1008" s="54"/>
    </row>
    <row r="1009" spans="1:19" s="15" customFormat="1" x14ac:dyDescent="0.3">
      <c r="A1009" s="17"/>
      <c r="B1009"/>
      <c r="C1009"/>
      <c r="D1009"/>
      <c r="E1009"/>
      <c r="F1009"/>
      <c r="G1009"/>
      <c r="H1009"/>
      <c r="I1009"/>
      <c r="J1009"/>
      <c r="K1009"/>
      <c r="L1009"/>
      <c r="M1009"/>
      <c r="S1009" s="54"/>
    </row>
    <row r="1010" spans="1:19" s="15" customFormat="1" x14ac:dyDescent="0.3">
      <c r="A1010" s="17"/>
      <c r="B1010"/>
      <c r="C1010"/>
      <c r="D1010"/>
      <c r="E1010"/>
      <c r="F1010"/>
      <c r="G1010"/>
      <c r="H1010"/>
      <c r="I1010"/>
      <c r="J1010"/>
      <c r="K1010"/>
      <c r="L1010"/>
      <c r="M1010"/>
      <c r="S1010" s="54"/>
    </row>
    <row r="1011" spans="1:19" s="15" customFormat="1" x14ac:dyDescent="0.3">
      <c r="A1011" s="17"/>
      <c r="B1011"/>
      <c r="C1011"/>
      <c r="D1011"/>
      <c r="E1011"/>
      <c r="F1011"/>
      <c r="G1011"/>
      <c r="H1011"/>
      <c r="I1011"/>
      <c r="J1011"/>
      <c r="K1011"/>
      <c r="L1011"/>
      <c r="M1011"/>
      <c r="S1011" s="54"/>
    </row>
    <row r="1012" spans="1:19" s="15" customFormat="1" x14ac:dyDescent="0.3">
      <c r="A1012" s="17"/>
      <c r="B1012"/>
      <c r="C1012"/>
      <c r="D1012"/>
      <c r="E1012"/>
      <c r="F1012"/>
      <c r="G1012"/>
      <c r="H1012"/>
      <c r="I1012"/>
      <c r="J1012"/>
      <c r="K1012"/>
      <c r="L1012"/>
      <c r="M1012"/>
      <c r="S1012" s="54"/>
    </row>
    <row r="1013" spans="1:19" s="15" customFormat="1" x14ac:dyDescent="0.3">
      <c r="A1013" s="17"/>
      <c r="B1013"/>
      <c r="C1013"/>
      <c r="D1013"/>
      <c r="E1013"/>
      <c r="F1013"/>
      <c r="G1013"/>
      <c r="H1013"/>
      <c r="I1013"/>
      <c r="J1013"/>
      <c r="K1013"/>
      <c r="L1013"/>
      <c r="M1013"/>
      <c r="S1013" s="54"/>
    </row>
    <row r="1014" spans="1:19" s="15" customFormat="1" x14ac:dyDescent="0.3">
      <c r="A1014" s="17"/>
      <c r="B1014"/>
      <c r="C1014"/>
      <c r="D1014"/>
      <c r="E1014"/>
      <c r="F1014"/>
      <c r="G1014"/>
      <c r="H1014"/>
      <c r="I1014"/>
      <c r="J1014"/>
      <c r="K1014"/>
      <c r="L1014"/>
      <c r="M1014"/>
      <c r="S1014" s="54"/>
    </row>
    <row r="1015" spans="1:19" s="15" customFormat="1" x14ac:dyDescent="0.3">
      <c r="A1015" s="17"/>
      <c r="B1015"/>
      <c r="C1015"/>
      <c r="D1015"/>
      <c r="E1015"/>
      <c r="F1015"/>
      <c r="G1015"/>
      <c r="H1015"/>
      <c r="I1015"/>
      <c r="J1015"/>
      <c r="K1015"/>
      <c r="L1015"/>
      <c r="M1015"/>
      <c r="S1015" s="54"/>
    </row>
    <row r="1016" spans="1:19" s="15" customFormat="1" x14ac:dyDescent="0.3">
      <c r="A1016" s="17"/>
      <c r="B1016"/>
      <c r="C1016"/>
      <c r="D1016"/>
      <c r="E1016"/>
      <c r="F1016"/>
      <c r="G1016"/>
      <c r="H1016"/>
      <c r="I1016"/>
      <c r="J1016"/>
      <c r="K1016"/>
      <c r="L1016"/>
      <c r="M1016"/>
      <c r="S1016" s="54"/>
    </row>
    <row r="1017" spans="1:19" s="15" customFormat="1" x14ac:dyDescent="0.3">
      <c r="A1017" s="17"/>
      <c r="B1017"/>
      <c r="C1017"/>
      <c r="D1017"/>
      <c r="E1017"/>
      <c r="F1017"/>
      <c r="G1017"/>
      <c r="H1017"/>
      <c r="I1017"/>
      <c r="J1017"/>
      <c r="K1017"/>
      <c r="L1017"/>
      <c r="M1017"/>
      <c r="S1017" s="54"/>
    </row>
    <row r="1018" spans="1:19" s="15" customFormat="1" x14ac:dyDescent="0.3">
      <c r="A1018" s="17"/>
      <c r="B1018"/>
      <c r="C1018"/>
      <c r="D1018"/>
      <c r="E1018"/>
      <c r="F1018"/>
      <c r="G1018"/>
      <c r="H1018"/>
      <c r="I1018"/>
      <c r="J1018"/>
      <c r="K1018"/>
      <c r="L1018"/>
      <c r="M1018"/>
      <c r="S1018" s="54"/>
    </row>
    <row r="1019" spans="1:19" s="15" customFormat="1" x14ac:dyDescent="0.3">
      <c r="A1019" s="17"/>
      <c r="B1019"/>
      <c r="C1019"/>
      <c r="D1019"/>
      <c r="E1019"/>
      <c r="F1019"/>
      <c r="G1019"/>
      <c r="H1019"/>
      <c r="I1019"/>
      <c r="J1019"/>
      <c r="K1019"/>
      <c r="L1019"/>
      <c r="M1019"/>
      <c r="S1019" s="54"/>
    </row>
    <row r="1020" spans="1:19" s="15" customFormat="1" x14ac:dyDescent="0.3">
      <c r="A1020" s="17"/>
      <c r="B1020"/>
      <c r="C1020"/>
      <c r="D1020"/>
      <c r="E1020"/>
      <c r="F1020"/>
      <c r="G1020"/>
      <c r="H1020"/>
      <c r="I1020"/>
      <c r="J1020"/>
      <c r="K1020"/>
      <c r="L1020"/>
      <c r="M1020"/>
      <c r="S1020" s="54"/>
    </row>
    <row r="1021" spans="1:19" s="15" customFormat="1" x14ac:dyDescent="0.3">
      <c r="A1021" s="17"/>
      <c r="B1021"/>
      <c r="C1021"/>
      <c r="D1021"/>
      <c r="E1021"/>
      <c r="F1021"/>
      <c r="G1021"/>
      <c r="H1021"/>
      <c r="I1021"/>
      <c r="J1021"/>
      <c r="K1021"/>
      <c r="L1021"/>
      <c r="M1021"/>
      <c r="S1021" s="54"/>
    </row>
    <row r="1022" spans="1:19" s="15" customFormat="1" x14ac:dyDescent="0.3">
      <c r="A1022" s="17"/>
      <c r="B1022"/>
      <c r="C1022"/>
      <c r="D1022"/>
      <c r="E1022"/>
      <c r="F1022"/>
      <c r="G1022"/>
      <c r="H1022"/>
      <c r="I1022"/>
      <c r="J1022"/>
      <c r="K1022"/>
      <c r="L1022"/>
      <c r="M1022"/>
      <c r="S1022" s="54"/>
    </row>
    <row r="1023" spans="1:19" s="15" customFormat="1" x14ac:dyDescent="0.3">
      <c r="A1023" s="17"/>
      <c r="B1023"/>
      <c r="C1023"/>
      <c r="D1023"/>
      <c r="E1023"/>
      <c r="F1023"/>
      <c r="G1023"/>
      <c r="H1023"/>
      <c r="I1023"/>
      <c r="J1023"/>
      <c r="K1023"/>
      <c r="L1023"/>
      <c r="M1023"/>
      <c r="S1023" s="54"/>
    </row>
    <row r="1024" spans="1:19" s="15" customFormat="1" x14ac:dyDescent="0.3">
      <c r="A1024" s="17"/>
      <c r="B1024"/>
      <c r="C1024"/>
      <c r="D1024"/>
      <c r="E1024"/>
      <c r="F1024"/>
      <c r="G1024"/>
      <c r="H1024"/>
      <c r="I1024"/>
      <c r="J1024"/>
      <c r="K1024"/>
      <c r="L1024"/>
      <c r="M1024"/>
      <c r="S1024" s="54"/>
    </row>
    <row r="1025" spans="1:19" s="15" customFormat="1" x14ac:dyDescent="0.3">
      <c r="A1025" s="17"/>
      <c r="B1025"/>
      <c r="C1025"/>
      <c r="D1025"/>
      <c r="E1025"/>
      <c r="F1025"/>
      <c r="G1025"/>
      <c r="H1025"/>
      <c r="I1025"/>
      <c r="J1025"/>
      <c r="K1025"/>
      <c r="L1025"/>
      <c r="M1025"/>
      <c r="S1025" s="54"/>
    </row>
    <row r="1026" spans="1:19" s="15" customFormat="1" x14ac:dyDescent="0.3">
      <c r="A1026" s="17"/>
      <c r="B1026"/>
      <c r="C1026"/>
      <c r="D1026"/>
      <c r="E1026"/>
      <c r="F1026"/>
      <c r="G1026"/>
      <c r="H1026"/>
      <c r="I1026"/>
      <c r="J1026"/>
      <c r="K1026"/>
      <c r="L1026"/>
      <c r="M1026"/>
      <c r="S1026" s="54"/>
    </row>
    <row r="1027" spans="1:19" s="15" customFormat="1" x14ac:dyDescent="0.3">
      <c r="A1027" s="17"/>
      <c r="B1027"/>
      <c r="C1027"/>
      <c r="D1027"/>
      <c r="E1027"/>
      <c r="F1027"/>
      <c r="G1027"/>
      <c r="H1027"/>
      <c r="I1027"/>
      <c r="J1027"/>
      <c r="K1027"/>
      <c r="L1027"/>
      <c r="M1027"/>
      <c r="S1027" s="54"/>
    </row>
    <row r="1028" spans="1:19" s="15" customFormat="1" x14ac:dyDescent="0.3">
      <c r="A1028" s="17"/>
      <c r="B1028"/>
      <c r="C1028"/>
      <c r="D1028"/>
      <c r="E1028"/>
      <c r="F1028"/>
      <c r="G1028"/>
      <c r="H1028"/>
      <c r="I1028"/>
      <c r="J1028"/>
      <c r="K1028"/>
      <c r="L1028"/>
      <c r="M1028"/>
      <c r="S1028" s="54"/>
    </row>
    <row r="1029" spans="1:19" s="15" customFormat="1" x14ac:dyDescent="0.3">
      <c r="A1029" s="17"/>
      <c r="B1029"/>
      <c r="C1029"/>
      <c r="D1029"/>
      <c r="E1029"/>
      <c r="F1029"/>
      <c r="G1029"/>
      <c r="H1029"/>
      <c r="I1029"/>
      <c r="J1029"/>
      <c r="K1029"/>
      <c r="L1029"/>
      <c r="M1029"/>
      <c r="S1029" s="54"/>
    </row>
    <row r="1030" spans="1:19" s="15" customFormat="1" x14ac:dyDescent="0.3">
      <c r="A1030" s="17"/>
      <c r="B1030"/>
      <c r="C1030"/>
      <c r="D1030"/>
      <c r="E1030"/>
      <c r="F1030"/>
      <c r="G1030"/>
      <c r="H1030"/>
      <c r="I1030"/>
      <c r="J1030"/>
      <c r="K1030"/>
      <c r="L1030"/>
      <c r="M1030"/>
      <c r="S1030" s="54"/>
    </row>
    <row r="1031" spans="1:19" s="15" customFormat="1" x14ac:dyDescent="0.3">
      <c r="A1031" s="17"/>
      <c r="B1031"/>
      <c r="C1031"/>
      <c r="D1031"/>
      <c r="E1031"/>
      <c r="F1031"/>
      <c r="G1031"/>
      <c r="H1031"/>
      <c r="I1031"/>
      <c r="J1031"/>
      <c r="K1031"/>
      <c r="L1031"/>
      <c r="M1031"/>
      <c r="S1031" s="54"/>
    </row>
    <row r="1032" spans="1:19" s="15" customFormat="1" x14ac:dyDescent="0.3">
      <c r="A1032" s="17"/>
      <c r="B1032"/>
      <c r="C1032"/>
      <c r="D1032"/>
      <c r="E1032"/>
      <c r="F1032"/>
      <c r="G1032"/>
      <c r="H1032"/>
      <c r="I1032"/>
      <c r="J1032"/>
      <c r="K1032"/>
      <c r="L1032"/>
      <c r="M1032"/>
      <c r="S1032" s="54"/>
    </row>
    <row r="1033" spans="1:19" s="15" customFormat="1" x14ac:dyDescent="0.3">
      <c r="A1033" s="17"/>
      <c r="B1033"/>
      <c r="C1033"/>
      <c r="D1033"/>
      <c r="E1033"/>
      <c r="F1033"/>
      <c r="G1033"/>
      <c r="H1033"/>
      <c r="I1033"/>
      <c r="J1033"/>
      <c r="K1033"/>
      <c r="L1033"/>
      <c r="M1033"/>
      <c r="S1033" s="54"/>
    </row>
    <row r="1034" spans="1:19" s="15" customFormat="1" x14ac:dyDescent="0.3">
      <c r="A1034" s="17"/>
      <c r="B1034"/>
      <c r="C1034"/>
      <c r="D1034"/>
      <c r="E1034"/>
      <c r="F1034"/>
      <c r="G1034"/>
      <c r="H1034"/>
      <c r="I1034"/>
      <c r="J1034"/>
      <c r="K1034"/>
      <c r="L1034"/>
      <c r="M1034"/>
      <c r="S1034" s="54"/>
    </row>
    <row r="1035" spans="1:19" s="15" customFormat="1" x14ac:dyDescent="0.3">
      <c r="A1035" s="17"/>
      <c r="B1035"/>
      <c r="C1035"/>
      <c r="D1035"/>
      <c r="E1035"/>
      <c r="F1035"/>
      <c r="G1035"/>
      <c r="H1035"/>
      <c r="I1035"/>
      <c r="J1035"/>
      <c r="K1035"/>
      <c r="L1035"/>
      <c r="M1035"/>
      <c r="S1035" s="54"/>
    </row>
    <row r="1036" spans="1:19" s="15" customFormat="1" x14ac:dyDescent="0.3">
      <c r="A1036" s="17"/>
      <c r="B1036"/>
      <c r="C1036"/>
      <c r="D1036"/>
      <c r="E1036"/>
      <c r="F1036"/>
      <c r="G1036"/>
      <c r="H1036"/>
      <c r="I1036"/>
      <c r="J1036"/>
      <c r="K1036"/>
      <c r="L1036"/>
      <c r="M1036"/>
      <c r="S1036" s="54"/>
    </row>
    <row r="1037" spans="1:19" s="15" customFormat="1" x14ac:dyDescent="0.3">
      <c r="A1037" s="17"/>
      <c r="B1037"/>
      <c r="C1037"/>
      <c r="D1037"/>
      <c r="E1037"/>
      <c r="F1037"/>
      <c r="G1037"/>
      <c r="H1037"/>
      <c r="I1037"/>
      <c r="J1037"/>
      <c r="K1037"/>
      <c r="L1037"/>
      <c r="M1037"/>
      <c r="S1037" s="54"/>
    </row>
    <row r="1038" spans="1:19" s="15" customFormat="1" x14ac:dyDescent="0.3">
      <c r="A1038" s="17"/>
      <c r="B1038"/>
      <c r="C1038"/>
      <c r="D1038"/>
      <c r="E1038"/>
      <c r="F1038"/>
      <c r="G1038"/>
      <c r="H1038"/>
      <c r="I1038"/>
      <c r="J1038"/>
      <c r="K1038"/>
      <c r="L1038"/>
      <c r="M1038"/>
      <c r="S1038" s="54"/>
    </row>
    <row r="1039" spans="1:19" s="15" customFormat="1" x14ac:dyDescent="0.3">
      <c r="A1039" s="17"/>
      <c r="B1039"/>
      <c r="C1039"/>
      <c r="D1039"/>
      <c r="E1039"/>
      <c r="F1039"/>
      <c r="G1039"/>
      <c r="H1039"/>
      <c r="I1039"/>
      <c r="J1039"/>
      <c r="K1039"/>
      <c r="L1039"/>
      <c r="M1039"/>
      <c r="S1039" s="54"/>
    </row>
    <row r="1040" spans="1:19" s="15" customFormat="1" x14ac:dyDescent="0.3">
      <c r="A1040" s="17"/>
      <c r="B1040"/>
      <c r="C1040"/>
      <c r="D1040"/>
      <c r="E1040"/>
      <c r="F1040"/>
      <c r="G1040"/>
      <c r="H1040"/>
      <c r="I1040"/>
      <c r="J1040"/>
      <c r="K1040"/>
      <c r="L1040"/>
      <c r="M1040"/>
      <c r="S1040" s="54"/>
    </row>
    <row r="1041" spans="1:19" s="15" customFormat="1" x14ac:dyDescent="0.3">
      <c r="A1041" s="17"/>
      <c r="B1041"/>
      <c r="C1041"/>
      <c r="D1041"/>
      <c r="E1041"/>
      <c r="F1041"/>
      <c r="G1041"/>
      <c r="H1041"/>
      <c r="I1041"/>
      <c r="J1041"/>
      <c r="K1041"/>
      <c r="L1041"/>
      <c r="M1041"/>
      <c r="S1041" s="54"/>
    </row>
    <row r="1042" spans="1:19" s="15" customFormat="1" x14ac:dyDescent="0.3">
      <c r="A1042" s="17"/>
      <c r="B1042"/>
      <c r="C1042"/>
      <c r="D1042"/>
      <c r="E1042"/>
      <c r="F1042"/>
      <c r="G1042"/>
      <c r="H1042"/>
      <c r="I1042"/>
      <c r="J1042"/>
      <c r="K1042"/>
      <c r="L1042"/>
      <c r="M1042"/>
      <c r="S1042" s="54"/>
    </row>
    <row r="1043" spans="1:19" s="15" customFormat="1" x14ac:dyDescent="0.3">
      <c r="A1043" s="17"/>
      <c r="B1043"/>
      <c r="C1043"/>
      <c r="D1043"/>
      <c r="E1043"/>
      <c r="F1043"/>
      <c r="G1043"/>
      <c r="H1043"/>
      <c r="I1043"/>
      <c r="J1043"/>
      <c r="K1043"/>
      <c r="L1043"/>
      <c r="M1043"/>
      <c r="S1043" s="54"/>
    </row>
    <row r="1044" spans="1:19" s="15" customFormat="1" x14ac:dyDescent="0.3">
      <c r="A1044" s="17"/>
      <c r="B1044"/>
      <c r="C1044"/>
      <c r="D1044"/>
      <c r="E1044"/>
      <c r="F1044"/>
      <c r="G1044"/>
      <c r="H1044"/>
      <c r="I1044"/>
      <c r="J1044"/>
      <c r="K1044"/>
      <c r="L1044"/>
      <c r="M1044"/>
      <c r="S1044" s="54"/>
    </row>
    <row r="1045" spans="1:19" s="15" customFormat="1" x14ac:dyDescent="0.3">
      <c r="A1045" s="17"/>
      <c r="B1045"/>
      <c r="C1045"/>
      <c r="D1045"/>
      <c r="E1045"/>
      <c r="F1045"/>
      <c r="G1045"/>
      <c r="H1045"/>
      <c r="I1045"/>
      <c r="J1045"/>
      <c r="K1045"/>
      <c r="L1045"/>
      <c r="M1045"/>
      <c r="S1045" s="54"/>
    </row>
    <row r="1046" spans="1:19" s="15" customFormat="1" x14ac:dyDescent="0.3">
      <c r="A1046" s="17"/>
      <c r="B1046"/>
      <c r="C1046"/>
      <c r="D1046"/>
      <c r="E1046"/>
      <c r="F1046"/>
      <c r="G1046"/>
      <c r="H1046"/>
      <c r="I1046"/>
      <c r="J1046"/>
      <c r="K1046"/>
      <c r="L1046"/>
      <c r="M1046"/>
      <c r="S1046" s="54"/>
    </row>
    <row r="1047" spans="1:19" s="15" customFormat="1" x14ac:dyDescent="0.3">
      <c r="A1047" s="17"/>
      <c r="B1047"/>
      <c r="C1047"/>
      <c r="D1047"/>
      <c r="E1047"/>
      <c r="F1047"/>
      <c r="G1047"/>
      <c r="H1047"/>
      <c r="I1047"/>
      <c r="J1047"/>
      <c r="K1047"/>
      <c r="L1047"/>
      <c r="M1047"/>
      <c r="S1047" s="54"/>
    </row>
    <row r="1048" spans="1:19" s="15" customFormat="1" x14ac:dyDescent="0.3">
      <c r="A1048" s="17"/>
      <c r="B1048"/>
      <c r="C1048"/>
      <c r="D1048"/>
      <c r="E1048"/>
      <c r="F1048"/>
      <c r="G1048"/>
      <c r="H1048"/>
      <c r="I1048"/>
      <c r="J1048"/>
      <c r="K1048"/>
      <c r="L1048"/>
      <c r="M1048"/>
      <c r="S1048" s="54"/>
    </row>
    <row r="1049" spans="1:19" s="15" customFormat="1" x14ac:dyDescent="0.3">
      <c r="A1049" s="17"/>
      <c r="B1049"/>
      <c r="C1049"/>
      <c r="D1049"/>
      <c r="E1049"/>
      <c r="F1049"/>
      <c r="G1049"/>
      <c r="H1049"/>
      <c r="I1049"/>
      <c r="J1049"/>
      <c r="K1049"/>
      <c r="L1049"/>
      <c r="M1049"/>
      <c r="S1049" s="54"/>
    </row>
    <row r="1050" spans="1:19" s="15" customFormat="1" x14ac:dyDescent="0.3">
      <c r="A1050" s="17"/>
      <c r="B1050"/>
      <c r="C1050"/>
      <c r="D1050"/>
      <c r="E1050"/>
      <c r="F1050"/>
      <c r="G1050"/>
      <c r="H1050"/>
      <c r="I1050"/>
      <c r="J1050"/>
      <c r="K1050"/>
      <c r="L1050"/>
      <c r="M1050"/>
      <c r="S1050" s="54"/>
    </row>
    <row r="1051" spans="1:19" s="15" customFormat="1" x14ac:dyDescent="0.3">
      <c r="A1051" s="17"/>
      <c r="B1051"/>
      <c r="C1051"/>
      <c r="D1051"/>
      <c r="E1051"/>
      <c r="F1051"/>
      <c r="G1051"/>
      <c r="H1051"/>
      <c r="I1051"/>
      <c r="J1051"/>
      <c r="K1051"/>
      <c r="L1051"/>
      <c r="M1051"/>
      <c r="S1051" s="54"/>
    </row>
    <row r="1052" spans="1:19" s="15" customFormat="1" x14ac:dyDescent="0.3">
      <c r="A1052" s="17"/>
      <c r="B1052"/>
      <c r="C1052"/>
      <c r="D1052"/>
      <c r="E1052"/>
      <c r="F1052"/>
      <c r="G1052"/>
      <c r="H1052"/>
      <c r="I1052"/>
      <c r="J1052"/>
      <c r="K1052"/>
      <c r="L1052"/>
      <c r="M1052"/>
      <c r="S1052" s="54"/>
    </row>
    <row r="1053" spans="1:19" s="15" customFormat="1" x14ac:dyDescent="0.3">
      <c r="A1053" s="17"/>
      <c r="B1053"/>
      <c r="C1053"/>
      <c r="D1053"/>
      <c r="E1053"/>
      <c r="F1053"/>
      <c r="G1053"/>
      <c r="H1053"/>
      <c r="I1053"/>
      <c r="J1053"/>
      <c r="K1053"/>
      <c r="L1053"/>
      <c r="M1053"/>
      <c r="S1053" s="54"/>
    </row>
    <row r="1054" spans="1:19" s="15" customFormat="1" x14ac:dyDescent="0.3">
      <c r="A1054" s="17"/>
      <c r="B1054"/>
      <c r="C1054"/>
      <c r="D1054"/>
      <c r="E1054"/>
      <c r="F1054"/>
      <c r="G1054"/>
      <c r="H1054"/>
      <c r="I1054"/>
      <c r="J1054"/>
      <c r="K1054"/>
      <c r="L1054"/>
      <c r="M1054"/>
      <c r="S1054" s="54"/>
    </row>
    <row r="1055" spans="1:19" s="15" customFormat="1" x14ac:dyDescent="0.3">
      <c r="A1055" s="17"/>
      <c r="B1055"/>
      <c r="C1055"/>
      <c r="D1055"/>
      <c r="E1055"/>
      <c r="F1055"/>
      <c r="G1055"/>
      <c r="H1055"/>
      <c r="I1055"/>
      <c r="J1055"/>
      <c r="K1055"/>
      <c r="L1055"/>
      <c r="M1055"/>
      <c r="S1055" s="54"/>
    </row>
    <row r="1056" spans="1:19" s="15" customFormat="1" x14ac:dyDescent="0.3">
      <c r="A1056" s="17"/>
      <c r="B1056"/>
      <c r="C1056"/>
      <c r="D1056"/>
      <c r="E1056"/>
      <c r="F1056"/>
      <c r="G1056"/>
      <c r="H1056"/>
      <c r="I1056"/>
      <c r="J1056"/>
      <c r="K1056"/>
      <c r="L1056"/>
      <c r="M1056"/>
      <c r="S1056" s="54"/>
    </row>
    <row r="1057" spans="1:19" s="15" customFormat="1" x14ac:dyDescent="0.3">
      <c r="A1057" s="17"/>
      <c r="B1057"/>
      <c r="C1057"/>
      <c r="D1057"/>
      <c r="E1057"/>
      <c r="F1057"/>
      <c r="G1057"/>
      <c r="H1057"/>
      <c r="I1057"/>
      <c r="J1057"/>
      <c r="K1057"/>
      <c r="L1057"/>
      <c r="M1057"/>
      <c r="S1057" s="54"/>
    </row>
    <row r="1058" spans="1:19" s="15" customFormat="1" x14ac:dyDescent="0.3">
      <c r="A1058" s="17"/>
      <c r="B1058"/>
      <c r="C1058"/>
      <c r="D1058"/>
      <c r="E1058"/>
      <c r="F1058"/>
      <c r="G1058"/>
      <c r="H1058"/>
      <c r="I1058"/>
      <c r="J1058"/>
      <c r="K1058"/>
      <c r="L1058"/>
      <c r="M1058"/>
      <c r="S1058" s="54"/>
    </row>
    <row r="1059" spans="1:19" s="15" customFormat="1" x14ac:dyDescent="0.3">
      <c r="A1059" s="17"/>
      <c r="B1059"/>
      <c r="C1059"/>
      <c r="D1059"/>
      <c r="E1059"/>
      <c r="F1059"/>
      <c r="G1059"/>
      <c r="H1059"/>
      <c r="I1059"/>
      <c r="J1059"/>
      <c r="K1059"/>
      <c r="L1059"/>
      <c r="M1059"/>
      <c r="S1059" s="54"/>
    </row>
    <row r="1060" spans="1:19" s="15" customFormat="1" x14ac:dyDescent="0.3">
      <c r="A1060" s="17"/>
      <c r="B1060"/>
      <c r="C1060"/>
      <c r="D1060"/>
      <c r="E1060"/>
      <c r="F1060"/>
      <c r="G1060"/>
      <c r="H1060"/>
      <c r="I1060"/>
      <c r="J1060"/>
      <c r="K1060"/>
      <c r="L1060"/>
      <c r="M1060"/>
      <c r="S1060" s="54"/>
    </row>
    <row r="1061" spans="1:19" s="15" customFormat="1" x14ac:dyDescent="0.3">
      <c r="A1061" s="17"/>
      <c r="B1061"/>
      <c r="C1061"/>
      <c r="D1061"/>
      <c r="E1061"/>
      <c r="F1061"/>
      <c r="G1061"/>
      <c r="H1061"/>
      <c r="I1061"/>
      <c r="J1061"/>
      <c r="K1061"/>
      <c r="L1061"/>
      <c r="M1061"/>
      <c r="S1061" s="54"/>
    </row>
    <row r="1062" spans="1:19" s="15" customFormat="1" x14ac:dyDescent="0.3">
      <c r="A1062" s="17"/>
      <c r="B1062"/>
      <c r="C1062"/>
      <c r="D1062"/>
      <c r="E1062"/>
      <c r="F1062"/>
      <c r="G1062"/>
      <c r="H1062"/>
      <c r="I1062"/>
      <c r="J1062"/>
      <c r="K1062"/>
      <c r="L1062"/>
      <c r="M1062"/>
      <c r="S1062" s="54"/>
    </row>
    <row r="1063" spans="1:19" s="15" customFormat="1" x14ac:dyDescent="0.3">
      <c r="A1063" s="17"/>
      <c r="B1063"/>
      <c r="C1063"/>
      <c r="D1063"/>
      <c r="E1063"/>
      <c r="F1063"/>
      <c r="G1063"/>
      <c r="H1063"/>
      <c r="I1063"/>
      <c r="J1063"/>
      <c r="K1063"/>
      <c r="L1063"/>
      <c r="M1063"/>
      <c r="S1063" s="54"/>
    </row>
    <row r="1064" spans="1:19" s="15" customFormat="1" x14ac:dyDescent="0.3">
      <c r="A1064" s="17"/>
      <c r="B1064"/>
      <c r="C1064"/>
      <c r="D1064"/>
      <c r="E1064"/>
      <c r="F1064"/>
      <c r="G1064"/>
      <c r="H1064"/>
      <c r="I1064"/>
      <c r="J1064"/>
      <c r="K1064"/>
      <c r="L1064"/>
      <c r="M1064"/>
      <c r="S1064" s="54"/>
    </row>
    <row r="1065" spans="1:19" s="15" customFormat="1" x14ac:dyDescent="0.3">
      <c r="A1065" s="17"/>
      <c r="B1065"/>
      <c r="C1065"/>
      <c r="D1065"/>
      <c r="E1065"/>
      <c r="F1065"/>
      <c r="G1065"/>
      <c r="H1065"/>
      <c r="I1065"/>
      <c r="J1065"/>
      <c r="K1065"/>
      <c r="L1065"/>
      <c r="M1065"/>
      <c r="S1065" s="54"/>
    </row>
    <row r="1066" spans="1:19" s="15" customFormat="1" x14ac:dyDescent="0.3">
      <c r="A1066" s="17"/>
      <c r="B1066"/>
      <c r="C1066"/>
      <c r="D1066"/>
      <c r="E1066"/>
      <c r="F1066"/>
      <c r="G1066"/>
      <c r="H1066"/>
      <c r="I1066"/>
      <c r="J1066"/>
      <c r="K1066"/>
      <c r="L1066"/>
      <c r="M1066"/>
      <c r="S1066" s="54"/>
    </row>
    <row r="1067" spans="1:19" s="15" customFormat="1" x14ac:dyDescent="0.3">
      <c r="A1067" s="17"/>
      <c r="B1067"/>
      <c r="C1067"/>
      <c r="D1067"/>
      <c r="E1067"/>
      <c r="F1067"/>
      <c r="G1067"/>
      <c r="H1067"/>
      <c r="I1067"/>
      <c r="J1067"/>
      <c r="K1067"/>
      <c r="L1067"/>
      <c r="M1067"/>
      <c r="S1067" s="54"/>
    </row>
    <row r="1068" spans="1:19" s="15" customFormat="1" x14ac:dyDescent="0.3">
      <c r="A1068" s="17"/>
      <c r="B1068"/>
      <c r="C1068"/>
      <c r="D1068"/>
      <c r="E1068"/>
      <c r="F1068"/>
      <c r="G1068"/>
      <c r="H1068"/>
      <c r="I1068"/>
      <c r="J1068"/>
      <c r="K1068"/>
      <c r="L1068"/>
      <c r="M1068"/>
      <c r="S1068" s="54"/>
    </row>
    <row r="1069" spans="1:19" s="15" customFormat="1" x14ac:dyDescent="0.3">
      <c r="A1069" s="17"/>
      <c r="B1069"/>
      <c r="C1069"/>
      <c r="D1069"/>
      <c r="E1069"/>
      <c r="F1069"/>
      <c r="G1069"/>
      <c r="H1069"/>
      <c r="I1069"/>
      <c r="J1069"/>
      <c r="K1069"/>
      <c r="L1069"/>
      <c r="M1069"/>
      <c r="S1069" s="54"/>
    </row>
    <row r="1070" spans="1:19" s="15" customFormat="1" x14ac:dyDescent="0.3">
      <c r="A1070" s="17"/>
      <c r="B1070"/>
      <c r="C1070"/>
      <c r="D1070"/>
      <c r="E1070"/>
      <c r="F1070"/>
      <c r="G1070"/>
      <c r="H1070"/>
      <c r="I1070"/>
      <c r="J1070"/>
      <c r="K1070"/>
      <c r="L1070"/>
      <c r="M1070"/>
      <c r="S1070" s="54"/>
    </row>
    <row r="1071" spans="1:19" s="15" customFormat="1" x14ac:dyDescent="0.3">
      <c r="A1071" s="17"/>
      <c r="B1071"/>
      <c r="C1071"/>
      <c r="D1071"/>
      <c r="E1071"/>
      <c r="F1071"/>
      <c r="G1071"/>
      <c r="H1071"/>
      <c r="I1071"/>
      <c r="J1071"/>
      <c r="K1071"/>
      <c r="L1071"/>
      <c r="M1071"/>
      <c r="S1071" s="54"/>
    </row>
    <row r="1072" spans="1:19" s="15" customFormat="1" x14ac:dyDescent="0.3">
      <c r="A1072" s="17"/>
      <c r="B1072"/>
      <c r="C1072"/>
      <c r="D1072"/>
      <c r="E1072"/>
      <c r="F1072"/>
      <c r="G1072"/>
      <c r="H1072"/>
      <c r="I1072"/>
      <c r="J1072"/>
      <c r="K1072"/>
      <c r="L1072"/>
      <c r="M1072"/>
      <c r="S1072" s="54"/>
    </row>
    <row r="1073" spans="1:19" s="15" customFormat="1" x14ac:dyDescent="0.3">
      <c r="A1073" s="17"/>
      <c r="B1073"/>
      <c r="C1073"/>
      <c r="D1073"/>
      <c r="E1073"/>
      <c r="F1073"/>
      <c r="G1073"/>
      <c r="H1073"/>
      <c r="I1073"/>
      <c r="J1073"/>
      <c r="K1073"/>
      <c r="L1073"/>
      <c r="M1073"/>
      <c r="S1073" s="54"/>
    </row>
    <row r="1074" spans="1:19" s="15" customFormat="1" x14ac:dyDescent="0.3">
      <c r="A1074" s="17"/>
      <c r="B1074"/>
      <c r="C1074"/>
      <c r="D1074"/>
      <c r="E1074"/>
      <c r="F1074"/>
      <c r="G1074"/>
      <c r="H1074"/>
      <c r="I1074"/>
      <c r="J1074"/>
      <c r="K1074"/>
      <c r="L1074"/>
      <c r="M1074"/>
      <c r="S1074" s="54"/>
    </row>
    <row r="1075" spans="1:19" s="15" customFormat="1" x14ac:dyDescent="0.3">
      <c r="A1075" s="17"/>
      <c r="B1075"/>
      <c r="C1075"/>
      <c r="D1075"/>
      <c r="E1075"/>
      <c r="F1075"/>
      <c r="G1075"/>
      <c r="H1075"/>
      <c r="I1075"/>
      <c r="J1075"/>
      <c r="K1075"/>
      <c r="L1075"/>
      <c r="M1075"/>
      <c r="S1075" s="54"/>
    </row>
    <row r="1076" spans="1:19" s="15" customFormat="1" x14ac:dyDescent="0.3">
      <c r="A1076" s="17"/>
      <c r="B1076"/>
      <c r="C1076"/>
      <c r="D1076"/>
      <c r="E1076"/>
      <c r="F1076"/>
      <c r="G1076"/>
      <c r="H1076"/>
      <c r="I1076"/>
      <c r="J1076"/>
      <c r="K1076"/>
      <c r="L1076"/>
      <c r="M1076"/>
      <c r="S1076" s="54"/>
    </row>
    <row r="1077" spans="1:19" s="15" customFormat="1" x14ac:dyDescent="0.3">
      <c r="A1077" s="17"/>
      <c r="B1077"/>
      <c r="C1077"/>
      <c r="D1077"/>
      <c r="E1077"/>
      <c r="F1077"/>
      <c r="G1077"/>
      <c r="H1077"/>
      <c r="I1077"/>
      <c r="J1077"/>
      <c r="K1077"/>
      <c r="L1077"/>
      <c r="M1077"/>
      <c r="S1077" s="54"/>
    </row>
    <row r="1078" spans="1:19" s="15" customFormat="1" x14ac:dyDescent="0.3">
      <c r="A1078" s="17"/>
      <c r="B1078"/>
      <c r="C1078"/>
      <c r="D1078"/>
      <c r="E1078"/>
      <c r="F1078"/>
      <c r="G1078"/>
      <c r="H1078"/>
      <c r="I1078"/>
      <c r="J1078"/>
      <c r="K1078"/>
      <c r="L1078"/>
      <c r="M1078"/>
      <c r="S1078" s="54"/>
    </row>
    <row r="1079" spans="1:19" s="15" customFormat="1" x14ac:dyDescent="0.3">
      <c r="A1079" s="17"/>
      <c r="B1079"/>
      <c r="C1079"/>
      <c r="D1079"/>
      <c r="E1079"/>
      <c r="F1079"/>
      <c r="G1079"/>
      <c r="H1079"/>
      <c r="I1079"/>
      <c r="J1079"/>
      <c r="K1079"/>
      <c r="L1079"/>
      <c r="M1079"/>
      <c r="S1079" s="54"/>
    </row>
    <row r="1080" spans="1:19" s="15" customFormat="1" x14ac:dyDescent="0.3">
      <c r="A1080" s="17"/>
      <c r="B1080"/>
      <c r="C1080"/>
      <c r="D1080"/>
      <c r="E1080"/>
      <c r="F1080"/>
      <c r="G1080"/>
      <c r="H1080"/>
      <c r="I1080"/>
      <c r="J1080"/>
      <c r="K1080"/>
      <c r="L1080"/>
      <c r="M1080"/>
      <c r="S1080" s="54"/>
    </row>
    <row r="1081" spans="1:19" s="15" customFormat="1" x14ac:dyDescent="0.3">
      <c r="A1081" s="17"/>
      <c r="B1081"/>
      <c r="C1081"/>
      <c r="D1081"/>
      <c r="E1081"/>
      <c r="F1081"/>
      <c r="G1081"/>
      <c r="H1081"/>
      <c r="I1081"/>
      <c r="J1081"/>
      <c r="K1081"/>
      <c r="L1081"/>
      <c r="M1081"/>
      <c r="S1081" s="54"/>
    </row>
    <row r="1082" spans="1:19" s="15" customFormat="1" x14ac:dyDescent="0.3">
      <c r="A1082" s="17"/>
      <c r="B1082"/>
      <c r="C1082"/>
      <c r="D1082"/>
      <c r="E1082"/>
      <c r="F1082"/>
      <c r="G1082"/>
      <c r="H1082"/>
      <c r="I1082"/>
      <c r="J1082"/>
      <c r="K1082"/>
      <c r="L1082"/>
      <c r="M1082"/>
      <c r="S1082" s="54"/>
    </row>
    <row r="1083" spans="1:19" s="15" customFormat="1" x14ac:dyDescent="0.3">
      <c r="A1083" s="17"/>
      <c r="B1083"/>
      <c r="C1083"/>
      <c r="D1083"/>
      <c r="E1083"/>
      <c r="F1083"/>
      <c r="G1083"/>
      <c r="H1083"/>
      <c r="I1083"/>
      <c r="J1083"/>
      <c r="K1083"/>
      <c r="L1083"/>
      <c r="M1083"/>
      <c r="S1083" s="54"/>
    </row>
    <row r="1084" spans="1:19" s="15" customFormat="1" x14ac:dyDescent="0.3">
      <c r="A1084" s="17"/>
      <c r="B1084"/>
      <c r="C1084"/>
      <c r="D1084"/>
      <c r="E1084"/>
      <c r="F1084"/>
      <c r="G1084"/>
      <c r="H1084"/>
      <c r="I1084"/>
      <c r="J1084"/>
      <c r="K1084"/>
      <c r="L1084"/>
      <c r="M1084"/>
      <c r="S1084" s="54"/>
    </row>
    <row r="1085" spans="1:19" s="15" customFormat="1" x14ac:dyDescent="0.3">
      <c r="A1085" s="17"/>
      <c r="B1085"/>
      <c r="C1085"/>
      <c r="D1085"/>
      <c r="E1085"/>
      <c r="F1085"/>
      <c r="G1085"/>
      <c r="H1085"/>
      <c r="I1085"/>
      <c r="J1085"/>
      <c r="K1085"/>
      <c r="L1085"/>
      <c r="M1085"/>
      <c r="S1085" s="54"/>
    </row>
    <row r="1086" spans="1:19" s="15" customFormat="1" x14ac:dyDescent="0.3">
      <c r="A1086" s="17"/>
      <c r="B1086"/>
      <c r="C1086"/>
      <c r="D1086"/>
      <c r="E1086"/>
      <c r="F1086"/>
      <c r="G1086"/>
      <c r="H1086"/>
      <c r="I1086"/>
      <c r="J1086"/>
      <c r="K1086"/>
      <c r="L1086"/>
      <c r="M1086"/>
      <c r="S1086" s="54"/>
    </row>
    <row r="1087" spans="1:19" s="15" customFormat="1" x14ac:dyDescent="0.3">
      <c r="A1087" s="17"/>
      <c r="B1087"/>
      <c r="C1087"/>
      <c r="D1087"/>
      <c r="E1087"/>
      <c r="F1087"/>
      <c r="G1087"/>
      <c r="H1087"/>
      <c r="I1087"/>
      <c r="J1087"/>
      <c r="K1087"/>
      <c r="L1087"/>
      <c r="M1087"/>
      <c r="S1087" s="54"/>
    </row>
    <row r="1088" spans="1:19" s="15" customFormat="1" x14ac:dyDescent="0.3">
      <c r="A1088" s="17"/>
      <c r="B1088"/>
      <c r="C1088"/>
      <c r="D1088"/>
      <c r="E1088"/>
      <c r="F1088"/>
      <c r="G1088"/>
      <c r="H1088"/>
      <c r="I1088"/>
      <c r="J1088"/>
      <c r="K1088"/>
      <c r="L1088"/>
      <c r="M1088"/>
      <c r="S1088" s="54"/>
    </row>
    <row r="1089" spans="1:19" s="15" customFormat="1" x14ac:dyDescent="0.3">
      <c r="A1089" s="17"/>
      <c r="B1089"/>
      <c r="C1089"/>
      <c r="D1089"/>
      <c r="E1089"/>
      <c r="F1089"/>
      <c r="G1089"/>
      <c r="H1089"/>
      <c r="I1089"/>
      <c r="J1089"/>
      <c r="K1089"/>
      <c r="L1089"/>
      <c r="M1089"/>
      <c r="S1089" s="54"/>
    </row>
    <row r="1090" spans="1:19" s="15" customFormat="1" x14ac:dyDescent="0.3">
      <c r="A1090" s="17"/>
      <c r="B1090"/>
      <c r="C1090"/>
      <c r="D1090"/>
      <c r="E1090"/>
      <c r="F1090"/>
      <c r="G1090"/>
      <c r="H1090"/>
      <c r="I1090"/>
      <c r="J1090"/>
      <c r="K1090"/>
      <c r="L1090"/>
      <c r="M1090"/>
      <c r="S1090" s="54"/>
    </row>
    <row r="1091" spans="1:19" s="15" customFormat="1" x14ac:dyDescent="0.3">
      <c r="A1091" s="17"/>
      <c r="B1091"/>
      <c r="C1091"/>
      <c r="D1091"/>
      <c r="E1091"/>
      <c r="F1091"/>
      <c r="G1091"/>
      <c r="H1091"/>
      <c r="I1091"/>
      <c r="J1091"/>
      <c r="K1091"/>
      <c r="L1091"/>
      <c r="M1091"/>
      <c r="S1091" s="54"/>
    </row>
    <row r="1092" spans="1:19" s="15" customFormat="1" x14ac:dyDescent="0.3">
      <c r="A1092" s="17"/>
      <c r="B1092"/>
      <c r="C1092"/>
      <c r="D1092"/>
      <c r="E1092"/>
      <c r="F1092"/>
      <c r="G1092"/>
      <c r="H1092"/>
      <c r="I1092"/>
      <c r="J1092"/>
      <c r="K1092"/>
      <c r="L1092"/>
      <c r="M1092"/>
      <c r="S1092" s="54"/>
    </row>
    <row r="1093" spans="1:19" s="15" customFormat="1" x14ac:dyDescent="0.3">
      <c r="A1093" s="17"/>
      <c r="B1093"/>
      <c r="C1093"/>
      <c r="D1093"/>
      <c r="E1093"/>
      <c r="F1093"/>
      <c r="G1093"/>
      <c r="H1093"/>
      <c r="I1093"/>
      <c r="J1093"/>
      <c r="K1093"/>
      <c r="L1093"/>
      <c r="M1093"/>
      <c r="S1093" s="54"/>
    </row>
    <row r="1094" spans="1:19" s="15" customFormat="1" x14ac:dyDescent="0.3">
      <c r="A1094" s="17"/>
      <c r="B1094"/>
      <c r="C1094"/>
      <c r="D1094"/>
      <c r="E1094"/>
      <c r="F1094"/>
      <c r="G1094"/>
      <c r="H1094"/>
      <c r="I1094"/>
      <c r="J1094"/>
      <c r="K1094"/>
      <c r="L1094"/>
      <c r="M1094"/>
      <c r="S1094" s="54"/>
    </row>
    <row r="1095" spans="1:19" s="15" customFormat="1" x14ac:dyDescent="0.3">
      <c r="A1095" s="17"/>
      <c r="B1095"/>
      <c r="C1095"/>
      <c r="D1095"/>
      <c r="E1095"/>
      <c r="F1095"/>
      <c r="G1095"/>
      <c r="H1095"/>
      <c r="I1095"/>
      <c r="J1095"/>
      <c r="K1095"/>
      <c r="L1095"/>
      <c r="M1095"/>
      <c r="S1095" s="54"/>
    </row>
    <row r="1096" spans="1:19" s="15" customFormat="1" x14ac:dyDescent="0.3">
      <c r="A1096" s="17"/>
      <c r="B1096"/>
      <c r="C1096"/>
      <c r="D1096"/>
      <c r="E1096"/>
      <c r="F1096"/>
      <c r="G1096"/>
      <c r="H1096"/>
      <c r="I1096"/>
      <c r="J1096"/>
      <c r="K1096"/>
      <c r="L1096"/>
      <c r="M1096"/>
      <c r="S1096" s="54"/>
    </row>
    <row r="1097" spans="1:19" s="15" customFormat="1" x14ac:dyDescent="0.3">
      <c r="A1097" s="17"/>
      <c r="B1097"/>
      <c r="C1097"/>
      <c r="D1097"/>
      <c r="E1097"/>
      <c r="F1097"/>
      <c r="G1097"/>
      <c r="H1097"/>
      <c r="I1097"/>
      <c r="J1097"/>
      <c r="K1097"/>
      <c r="L1097"/>
      <c r="M1097"/>
      <c r="S1097" s="54"/>
    </row>
    <row r="1098" spans="1:19" s="15" customFormat="1" x14ac:dyDescent="0.3">
      <c r="A1098" s="17"/>
      <c r="B1098"/>
      <c r="C1098"/>
      <c r="D1098"/>
      <c r="E1098"/>
      <c r="F1098"/>
      <c r="G1098"/>
      <c r="H1098"/>
      <c r="I1098"/>
      <c r="J1098"/>
      <c r="K1098"/>
      <c r="L1098"/>
      <c r="M1098"/>
      <c r="S1098" s="54"/>
    </row>
    <row r="1099" spans="1:19" s="15" customFormat="1" x14ac:dyDescent="0.3">
      <c r="A1099" s="17"/>
      <c r="B1099"/>
      <c r="C1099"/>
      <c r="D1099"/>
      <c r="E1099"/>
      <c r="F1099"/>
      <c r="G1099"/>
      <c r="H1099"/>
      <c r="I1099"/>
      <c r="J1099"/>
      <c r="K1099"/>
      <c r="L1099"/>
      <c r="M1099"/>
      <c r="S1099" s="54"/>
    </row>
    <row r="1100" spans="1:19" s="15" customFormat="1" x14ac:dyDescent="0.3">
      <c r="A1100" s="17"/>
      <c r="B1100"/>
      <c r="C1100"/>
      <c r="D1100"/>
      <c r="E1100"/>
      <c r="F1100"/>
      <c r="G1100"/>
      <c r="H1100"/>
      <c r="I1100"/>
      <c r="J1100"/>
      <c r="K1100"/>
      <c r="L1100"/>
      <c r="M1100"/>
      <c r="S1100" s="54"/>
    </row>
    <row r="1101" spans="1:19" s="15" customFormat="1" x14ac:dyDescent="0.3">
      <c r="A1101" s="17"/>
      <c r="B1101"/>
      <c r="C1101"/>
      <c r="D1101"/>
      <c r="E1101"/>
      <c r="F1101"/>
      <c r="G1101"/>
      <c r="H1101"/>
      <c r="I1101"/>
      <c r="J1101"/>
      <c r="K1101"/>
      <c r="L1101"/>
      <c r="M1101"/>
      <c r="S1101" s="54"/>
    </row>
    <row r="1102" spans="1:19" s="15" customFormat="1" x14ac:dyDescent="0.3">
      <c r="A1102" s="17"/>
      <c r="B1102"/>
      <c r="C1102"/>
      <c r="D1102"/>
      <c r="E1102"/>
      <c r="F1102"/>
      <c r="G1102"/>
      <c r="H1102"/>
      <c r="I1102"/>
      <c r="J1102"/>
      <c r="K1102"/>
      <c r="L1102"/>
      <c r="M1102"/>
      <c r="S1102" s="54"/>
    </row>
    <row r="1103" spans="1:19" s="15" customFormat="1" x14ac:dyDescent="0.3">
      <c r="A1103" s="17"/>
      <c r="B1103"/>
      <c r="C1103"/>
      <c r="D1103"/>
      <c r="E1103"/>
      <c r="F1103"/>
      <c r="G1103"/>
      <c r="H1103"/>
      <c r="I1103"/>
      <c r="J1103"/>
      <c r="K1103"/>
      <c r="L1103"/>
      <c r="M1103"/>
      <c r="S1103" s="54"/>
    </row>
    <row r="1104" spans="1:19" s="15" customFormat="1" x14ac:dyDescent="0.3">
      <c r="A1104" s="17"/>
      <c r="B1104"/>
      <c r="C1104"/>
      <c r="D1104"/>
      <c r="E1104"/>
      <c r="F1104"/>
      <c r="G1104"/>
      <c r="H1104"/>
      <c r="I1104"/>
      <c r="J1104"/>
      <c r="K1104"/>
      <c r="L1104"/>
      <c r="M1104"/>
      <c r="S1104" s="54"/>
    </row>
    <row r="1105" spans="1:19" s="15" customFormat="1" x14ac:dyDescent="0.3">
      <c r="A1105" s="17"/>
      <c r="B1105"/>
      <c r="C1105"/>
      <c r="D1105"/>
      <c r="E1105"/>
      <c r="F1105"/>
      <c r="G1105"/>
      <c r="H1105"/>
      <c r="I1105"/>
      <c r="J1105"/>
      <c r="K1105"/>
      <c r="L1105"/>
      <c r="M1105"/>
      <c r="S1105" s="54"/>
    </row>
    <row r="1106" spans="1:19" s="15" customFormat="1" x14ac:dyDescent="0.3">
      <c r="A1106" s="17"/>
      <c r="B1106"/>
      <c r="C1106"/>
      <c r="D1106"/>
      <c r="E1106"/>
      <c r="F1106"/>
      <c r="G1106"/>
      <c r="H1106"/>
      <c r="I1106"/>
      <c r="J1106"/>
      <c r="K1106"/>
      <c r="L1106"/>
      <c r="M1106"/>
      <c r="S1106" s="54"/>
    </row>
    <row r="1107" spans="1:19" s="15" customFormat="1" x14ac:dyDescent="0.3">
      <c r="A1107" s="17"/>
      <c r="B1107"/>
      <c r="C1107"/>
      <c r="D1107"/>
      <c r="E1107"/>
      <c r="F1107"/>
      <c r="G1107"/>
      <c r="H1107"/>
      <c r="I1107"/>
      <c r="J1107"/>
      <c r="K1107"/>
      <c r="L1107"/>
      <c r="M1107"/>
      <c r="S1107" s="54"/>
    </row>
    <row r="1108" spans="1:19" s="15" customFormat="1" x14ac:dyDescent="0.3">
      <c r="A1108" s="17"/>
      <c r="B1108"/>
      <c r="C1108"/>
      <c r="D1108"/>
      <c r="E1108"/>
      <c r="F1108"/>
      <c r="G1108"/>
      <c r="H1108"/>
      <c r="I1108"/>
      <c r="J1108"/>
      <c r="K1108"/>
      <c r="L1108"/>
      <c r="M1108"/>
      <c r="S1108" s="54"/>
    </row>
    <row r="1109" spans="1:19" s="15" customFormat="1" x14ac:dyDescent="0.3">
      <c r="A1109" s="17"/>
      <c r="B1109"/>
      <c r="C1109"/>
      <c r="D1109"/>
      <c r="E1109"/>
      <c r="F1109"/>
      <c r="G1109"/>
      <c r="H1109"/>
      <c r="I1109"/>
      <c r="J1109"/>
      <c r="K1109"/>
      <c r="L1109"/>
      <c r="M1109"/>
      <c r="S1109" s="54"/>
    </row>
    <row r="1110" spans="1:19" s="15" customFormat="1" x14ac:dyDescent="0.3">
      <c r="A1110" s="17"/>
      <c r="B1110"/>
      <c r="C1110"/>
      <c r="D1110"/>
      <c r="E1110"/>
      <c r="F1110"/>
      <c r="G1110"/>
      <c r="H1110"/>
      <c r="I1110"/>
      <c r="J1110"/>
      <c r="K1110"/>
      <c r="L1110"/>
      <c r="M1110"/>
      <c r="S1110" s="54"/>
    </row>
    <row r="1111" spans="1:19" s="15" customFormat="1" x14ac:dyDescent="0.3">
      <c r="A1111" s="17"/>
      <c r="B1111"/>
      <c r="C1111"/>
      <c r="D1111"/>
      <c r="E1111"/>
      <c r="F1111"/>
      <c r="G1111"/>
      <c r="H1111"/>
      <c r="I1111"/>
      <c r="J1111"/>
      <c r="K1111"/>
      <c r="L1111"/>
      <c r="M1111"/>
      <c r="S1111" s="54"/>
    </row>
    <row r="1112" spans="1:19" s="15" customFormat="1" x14ac:dyDescent="0.3">
      <c r="A1112" s="17"/>
      <c r="B1112"/>
      <c r="C1112"/>
      <c r="D1112"/>
      <c r="E1112"/>
      <c r="F1112"/>
      <c r="G1112"/>
      <c r="H1112"/>
      <c r="I1112"/>
      <c r="J1112"/>
      <c r="K1112"/>
      <c r="L1112"/>
      <c r="M1112"/>
      <c r="S1112" s="54"/>
    </row>
    <row r="1113" spans="1:19" s="15" customFormat="1" x14ac:dyDescent="0.3">
      <c r="A1113" s="17"/>
      <c r="B1113"/>
      <c r="C1113"/>
      <c r="D1113"/>
      <c r="E1113"/>
      <c r="F1113"/>
      <c r="G1113"/>
      <c r="H1113"/>
      <c r="I1113"/>
      <c r="J1113"/>
      <c r="K1113"/>
      <c r="L1113"/>
      <c r="M1113"/>
      <c r="S1113" s="54"/>
    </row>
    <row r="1114" spans="1:19" s="15" customFormat="1" x14ac:dyDescent="0.3">
      <c r="A1114" s="17"/>
      <c r="B1114"/>
      <c r="C1114"/>
      <c r="D1114"/>
      <c r="E1114"/>
      <c r="F1114"/>
      <c r="G1114"/>
      <c r="H1114"/>
      <c r="I1114"/>
      <c r="J1114"/>
      <c r="K1114"/>
      <c r="L1114"/>
      <c r="M1114"/>
      <c r="S1114" s="54"/>
    </row>
    <row r="1115" spans="1:19" s="15" customFormat="1" x14ac:dyDescent="0.3">
      <c r="A1115" s="17"/>
      <c r="B1115"/>
      <c r="C1115"/>
      <c r="D1115"/>
      <c r="E1115"/>
      <c r="F1115"/>
      <c r="G1115"/>
      <c r="H1115"/>
      <c r="I1115"/>
      <c r="J1115"/>
      <c r="K1115"/>
      <c r="L1115"/>
      <c r="M1115"/>
      <c r="S1115" s="54"/>
    </row>
    <row r="1116" spans="1:19" s="15" customFormat="1" x14ac:dyDescent="0.3">
      <c r="A1116" s="17"/>
      <c r="B1116"/>
      <c r="C1116"/>
      <c r="D1116"/>
      <c r="E1116"/>
      <c r="F1116"/>
      <c r="G1116"/>
      <c r="H1116"/>
      <c r="I1116"/>
      <c r="J1116"/>
      <c r="K1116"/>
      <c r="L1116"/>
      <c r="M1116"/>
      <c r="S1116" s="54"/>
    </row>
    <row r="1117" spans="1:19" s="15" customFormat="1" x14ac:dyDescent="0.3">
      <c r="A1117" s="17"/>
      <c r="B1117"/>
      <c r="C1117"/>
      <c r="D1117"/>
      <c r="E1117"/>
      <c r="F1117"/>
      <c r="G1117"/>
      <c r="H1117"/>
      <c r="I1117"/>
      <c r="J1117"/>
      <c r="K1117"/>
      <c r="L1117"/>
      <c r="M1117"/>
      <c r="S1117" s="54"/>
    </row>
    <row r="1118" spans="1:19" s="15" customFormat="1" x14ac:dyDescent="0.3">
      <c r="A1118" s="17"/>
      <c r="B1118"/>
      <c r="C1118"/>
      <c r="D1118"/>
      <c r="E1118"/>
      <c r="F1118"/>
      <c r="G1118"/>
      <c r="H1118"/>
      <c r="I1118"/>
      <c r="J1118"/>
      <c r="K1118"/>
      <c r="L1118"/>
      <c r="M1118"/>
      <c r="S1118" s="54"/>
    </row>
    <row r="1119" spans="1:19" s="15" customFormat="1" x14ac:dyDescent="0.3">
      <c r="A1119" s="17"/>
      <c r="B1119"/>
      <c r="C1119"/>
      <c r="D1119"/>
      <c r="E1119"/>
      <c r="F1119"/>
      <c r="G1119"/>
      <c r="H1119"/>
      <c r="I1119"/>
      <c r="J1119"/>
      <c r="K1119"/>
      <c r="L1119"/>
      <c r="M1119"/>
      <c r="S1119" s="54"/>
    </row>
    <row r="1120" spans="1:19" s="15" customFormat="1" x14ac:dyDescent="0.3">
      <c r="A1120" s="17"/>
      <c r="B1120"/>
      <c r="C1120"/>
      <c r="D1120"/>
      <c r="E1120"/>
      <c r="F1120"/>
      <c r="G1120"/>
      <c r="H1120"/>
      <c r="I1120"/>
      <c r="J1120"/>
      <c r="K1120"/>
      <c r="L1120"/>
      <c r="M1120"/>
      <c r="S1120" s="54"/>
    </row>
    <row r="1121" spans="1:19" s="15" customFormat="1" x14ac:dyDescent="0.3">
      <c r="A1121" s="17"/>
      <c r="B1121"/>
      <c r="C1121"/>
      <c r="D1121"/>
      <c r="E1121"/>
      <c r="F1121"/>
      <c r="G1121"/>
      <c r="H1121"/>
      <c r="I1121"/>
      <c r="J1121"/>
      <c r="K1121"/>
      <c r="L1121"/>
      <c r="M1121"/>
      <c r="S1121" s="54"/>
    </row>
    <row r="1122" spans="1:19" s="15" customFormat="1" x14ac:dyDescent="0.3">
      <c r="A1122" s="17"/>
      <c r="B1122"/>
      <c r="C1122"/>
      <c r="D1122"/>
      <c r="E1122"/>
      <c r="F1122"/>
      <c r="G1122"/>
      <c r="H1122"/>
      <c r="I1122"/>
      <c r="J1122"/>
      <c r="K1122"/>
      <c r="L1122"/>
      <c r="M1122"/>
      <c r="S1122" s="54"/>
    </row>
    <row r="1123" spans="1:19" s="15" customFormat="1" x14ac:dyDescent="0.3">
      <c r="A1123" s="17"/>
      <c r="B1123"/>
      <c r="C1123"/>
      <c r="D1123"/>
      <c r="E1123"/>
      <c r="F1123"/>
      <c r="G1123"/>
      <c r="H1123"/>
      <c r="I1123"/>
      <c r="J1123"/>
      <c r="K1123"/>
      <c r="L1123"/>
      <c r="M1123"/>
      <c r="S1123" s="54"/>
    </row>
    <row r="1124" spans="1:19" s="15" customFormat="1" x14ac:dyDescent="0.3">
      <c r="A1124" s="17"/>
      <c r="B1124"/>
      <c r="C1124"/>
      <c r="D1124"/>
      <c r="E1124"/>
      <c r="F1124"/>
      <c r="G1124"/>
      <c r="H1124"/>
      <c r="I1124"/>
      <c r="J1124"/>
      <c r="K1124"/>
      <c r="L1124"/>
      <c r="M1124"/>
      <c r="S1124" s="54"/>
    </row>
    <row r="1125" spans="1:19" s="15" customFormat="1" x14ac:dyDescent="0.3">
      <c r="A1125" s="17"/>
      <c r="B1125"/>
      <c r="C1125"/>
      <c r="D1125"/>
      <c r="E1125"/>
      <c r="F1125"/>
      <c r="G1125"/>
      <c r="H1125"/>
      <c r="I1125"/>
      <c r="J1125"/>
      <c r="K1125"/>
      <c r="L1125"/>
      <c r="M1125"/>
      <c r="S1125" s="54"/>
    </row>
    <row r="1126" spans="1:19" s="15" customFormat="1" x14ac:dyDescent="0.3">
      <c r="A1126" s="17"/>
      <c r="B1126"/>
      <c r="C1126"/>
      <c r="D1126"/>
      <c r="E1126"/>
      <c r="F1126"/>
      <c r="G1126"/>
      <c r="H1126"/>
      <c r="I1126"/>
      <c r="J1126"/>
      <c r="K1126"/>
      <c r="L1126"/>
      <c r="M1126"/>
      <c r="S1126" s="54"/>
    </row>
    <row r="1127" spans="1:19" s="15" customFormat="1" x14ac:dyDescent="0.3">
      <c r="A1127" s="17"/>
      <c r="B1127"/>
      <c r="C1127"/>
      <c r="D1127"/>
      <c r="E1127"/>
      <c r="F1127"/>
      <c r="G1127"/>
      <c r="H1127"/>
      <c r="I1127"/>
      <c r="J1127"/>
      <c r="K1127"/>
      <c r="L1127"/>
      <c r="M1127"/>
      <c r="S1127" s="54"/>
    </row>
    <row r="1128" spans="1:19" s="15" customFormat="1" x14ac:dyDescent="0.3">
      <c r="A1128" s="17"/>
      <c r="B1128"/>
      <c r="C1128"/>
      <c r="D1128"/>
      <c r="E1128"/>
      <c r="F1128"/>
      <c r="G1128"/>
      <c r="H1128"/>
      <c r="I1128"/>
      <c r="J1128"/>
      <c r="K1128"/>
      <c r="L1128"/>
      <c r="M1128"/>
      <c r="S1128" s="54"/>
    </row>
    <row r="1129" spans="1:19" s="15" customFormat="1" x14ac:dyDescent="0.3">
      <c r="A1129" s="17"/>
      <c r="B1129"/>
      <c r="C1129"/>
      <c r="D1129"/>
      <c r="E1129"/>
      <c r="F1129"/>
      <c r="G1129"/>
      <c r="H1129"/>
      <c r="I1129"/>
      <c r="J1129"/>
      <c r="K1129"/>
      <c r="L1129"/>
      <c r="M1129"/>
      <c r="S1129" s="54"/>
    </row>
    <row r="1130" spans="1:19" s="15" customFormat="1" x14ac:dyDescent="0.3">
      <c r="A1130" s="17"/>
      <c r="B1130"/>
      <c r="C1130"/>
      <c r="D1130"/>
      <c r="E1130"/>
      <c r="F1130"/>
      <c r="G1130"/>
      <c r="H1130"/>
      <c r="I1130"/>
      <c r="J1130"/>
      <c r="K1130"/>
      <c r="L1130"/>
      <c r="M1130"/>
      <c r="S1130" s="54"/>
    </row>
    <row r="1131" spans="1:19" s="15" customFormat="1" x14ac:dyDescent="0.3">
      <c r="A1131" s="17"/>
      <c r="B1131"/>
      <c r="C1131"/>
      <c r="D1131"/>
      <c r="E1131"/>
      <c r="F1131"/>
      <c r="G1131"/>
      <c r="H1131"/>
      <c r="I1131"/>
      <c r="J1131"/>
      <c r="K1131"/>
      <c r="L1131"/>
      <c r="M1131"/>
      <c r="S1131" s="54"/>
    </row>
    <row r="1132" spans="1:19" s="15" customFormat="1" x14ac:dyDescent="0.3">
      <c r="A1132" s="17"/>
      <c r="B1132"/>
      <c r="C1132"/>
      <c r="D1132"/>
      <c r="E1132"/>
      <c r="F1132"/>
      <c r="G1132"/>
      <c r="H1132"/>
      <c r="I1132"/>
      <c r="J1132"/>
      <c r="K1132"/>
      <c r="L1132"/>
      <c r="M1132"/>
      <c r="S1132" s="54"/>
    </row>
    <row r="1133" spans="1:19" s="15" customFormat="1" x14ac:dyDescent="0.3">
      <c r="A1133" s="17"/>
      <c r="B1133"/>
      <c r="C1133"/>
      <c r="D1133"/>
      <c r="E1133"/>
      <c r="F1133"/>
      <c r="G1133"/>
      <c r="H1133"/>
      <c r="I1133"/>
      <c r="J1133"/>
      <c r="K1133"/>
      <c r="L1133"/>
      <c r="M1133"/>
      <c r="S1133" s="54"/>
    </row>
    <row r="1134" spans="1:19" s="15" customFormat="1" x14ac:dyDescent="0.3">
      <c r="A1134" s="17"/>
      <c r="B1134"/>
      <c r="C1134"/>
      <c r="D1134"/>
      <c r="E1134"/>
      <c r="F1134"/>
      <c r="G1134"/>
      <c r="H1134"/>
      <c r="I1134"/>
      <c r="J1134"/>
      <c r="K1134"/>
      <c r="L1134"/>
      <c r="M1134"/>
      <c r="S1134" s="54"/>
    </row>
    <row r="1135" spans="1:19" s="15" customFormat="1" x14ac:dyDescent="0.3">
      <c r="A1135" s="17"/>
      <c r="B1135"/>
      <c r="C1135"/>
      <c r="D1135"/>
      <c r="E1135"/>
      <c r="F1135"/>
      <c r="G1135"/>
      <c r="H1135"/>
      <c r="I1135"/>
      <c r="J1135"/>
      <c r="K1135"/>
      <c r="L1135"/>
      <c r="M1135"/>
      <c r="S1135" s="54"/>
    </row>
    <row r="1136" spans="1:19" s="15" customFormat="1" x14ac:dyDescent="0.3">
      <c r="A1136" s="17"/>
      <c r="B1136"/>
      <c r="C1136"/>
      <c r="D1136"/>
      <c r="E1136"/>
      <c r="F1136"/>
      <c r="G1136"/>
      <c r="H1136"/>
      <c r="I1136"/>
      <c r="J1136"/>
      <c r="K1136"/>
      <c r="L1136"/>
      <c r="M1136"/>
      <c r="S1136" s="54"/>
    </row>
    <row r="1137" spans="1:19" s="15" customFormat="1" x14ac:dyDescent="0.3">
      <c r="A1137" s="17"/>
      <c r="B1137"/>
      <c r="C1137"/>
      <c r="D1137"/>
      <c r="E1137"/>
      <c r="F1137"/>
      <c r="G1137"/>
      <c r="H1137"/>
      <c r="I1137"/>
      <c r="J1137"/>
      <c r="K1137"/>
      <c r="L1137"/>
      <c r="M1137"/>
      <c r="S1137" s="54"/>
    </row>
    <row r="1138" spans="1:19" s="15" customFormat="1" x14ac:dyDescent="0.3">
      <c r="A1138" s="17"/>
      <c r="B1138"/>
      <c r="C1138"/>
      <c r="D1138"/>
      <c r="E1138"/>
      <c r="F1138"/>
      <c r="G1138"/>
      <c r="H1138"/>
      <c r="I1138"/>
      <c r="J1138"/>
      <c r="K1138"/>
      <c r="L1138"/>
      <c r="M1138"/>
      <c r="S1138" s="54"/>
    </row>
    <row r="1139" spans="1:19" s="15" customFormat="1" x14ac:dyDescent="0.3">
      <c r="A1139" s="17"/>
      <c r="B1139"/>
      <c r="C1139"/>
      <c r="D1139"/>
      <c r="E1139"/>
      <c r="F1139"/>
      <c r="G1139"/>
      <c r="H1139"/>
      <c r="I1139"/>
      <c r="J1139"/>
      <c r="K1139"/>
      <c r="L1139"/>
      <c r="M1139"/>
      <c r="S1139" s="54"/>
    </row>
    <row r="1140" spans="1:19" s="15" customFormat="1" x14ac:dyDescent="0.3">
      <c r="A1140" s="17"/>
      <c r="B1140"/>
      <c r="C1140"/>
      <c r="D1140"/>
      <c r="E1140"/>
      <c r="F1140"/>
      <c r="G1140"/>
      <c r="H1140"/>
      <c r="I1140"/>
      <c r="J1140"/>
      <c r="K1140"/>
      <c r="L1140"/>
      <c r="M1140"/>
      <c r="S1140" s="54"/>
    </row>
    <row r="1141" spans="1:19" s="15" customFormat="1" x14ac:dyDescent="0.3">
      <c r="A1141" s="17"/>
      <c r="B1141"/>
      <c r="C1141"/>
      <c r="D1141"/>
      <c r="E1141"/>
      <c r="F1141"/>
      <c r="G1141"/>
      <c r="H1141"/>
      <c r="I1141"/>
      <c r="J1141"/>
      <c r="K1141"/>
      <c r="L1141"/>
      <c r="M1141"/>
      <c r="S1141" s="54"/>
    </row>
    <row r="1142" spans="1:19" s="15" customFormat="1" x14ac:dyDescent="0.3">
      <c r="A1142" s="17"/>
      <c r="B1142"/>
      <c r="C1142"/>
      <c r="D1142"/>
      <c r="E1142"/>
      <c r="F1142"/>
      <c r="G1142"/>
      <c r="H1142"/>
      <c r="I1142"/>
      <c r="J1142"/>
      <c r="K1142"/>
      <c r="L1142"/>
      <c r="M1142"/>
      <c r="S1142" s="54"/>
    </row>
    <row r="1143" spans="1:19" s="15" customFormat="1" x14ac:dyDescent="0.3">
      <c r="A1143" s="17"/>
      <c r="B1143"/>
      <c r="C1143"/>
      <c r="D1143"/>
      <c r="E1143"/>
      <c r="F1143"/>
      <c r="G1143"/>
      <c r="H1143"/>
      <c r="I1143"/>
      <c r="J1143"/>
      <c r="K1143"/>
      <c r="L1143"/>
      <c r="M1143"/>
      <c r="S1143" s="54"/>
    </row>
    <row r="1144" spans="1:19" s="15" customFormat="1" x14ac:dyDescent="0.3">
      <c r="A1144" s="17"/>
      <c r="B1144"/>
      <c r="C1144"/>
      <c r="D1144"/>
      <c r="E1144"/>
      <c r="F1144"/>
      <c r="G1144"/>
      <c r="H1144"/>
      <c r="I1144"/>
      <c r="J1144"/>
      <c r="K1144"/>
      <c r="L1144"/>
      <c r="M1144"/>
      <c r="S1144" s="54"/>
    </row>
    <row r="1145" spans="1:19" s="15" customFormat="1" x14ac:dyDescent="0.3">
      <c r="A1145" s="17"/>
      <c r="B1145"/>
      <c r="C1145"/>
      <c r="D1145"/>
      <c r="E1145"/>
      <c r="F1145"/>
      <c r="G1145"/>
      <c r="H1145"/>
      <c r="I1145"/>
      <c r="J1145"/>
      <c r="K1145"/>
      <c r="L1145"/>
      <c r="M1145"/>
      <c r="S1145" s="54"/>
    </row>
    <row r="1146" spans="1:19" s="15" customFormat="1" x14ac:dyDescent="0.3">
      <c r="A1146" s="17"/>
      <c r="B1146"/>
      <c r="C1146"/>
      <c r="D1146"/>
      <c r="E1146"/>
      <c r="F1146"/>
      <c r="G1146"/>
      <c r="H1146"/>
      <c r="I1146"/>
      <c r="J1146"/>
      <c r="K1146"/>
      <c r="L1146"/>
      <c r="M1146"/>
      <c r="S1146" s="54"/>
    </row>
    <row r="1147" spans="1:19" s="15" customFormat="1" x14ac:dyDescent="0.3">
      <c r="A1147" s="17"/>
      <c r="B1147"/>
      <c r="C1147"/>
      <c r="D1147"/>
      <c r="E1147"/>
      <c r="F1147"/>
      <c r="G1147"/>
      <c r="H1147"/>
      <c r="I1147"/>
      <c r="J1147"/>
      <c r="K1147"/>
      <c r="L1147"/>
      <c r="M1147"/>
      <c r="S1147" s="54"/>
    </row>
    <row r="1148" spans="1:19" s="15" customFormat="1" x14ac:dyDescent="0.3">
      <c r="A1148" s="17"/>
      <c r="B1148"/>
      <c r="C1148"/>
      <c r="D1148"/>
      <c r="E1148"/>
      <c r="F1148"/>
      <c r="G1148"/>
      <c r="H1148"/>
      <c r="I1148"/>
      <c r="J1148"/>
      <c r="K1148"/>
      <c r="L1148"/>
      <c r="M1148"/>
      <c r="S1148" s="54"/>
    </row>
    <row r="1149" spans="1:19" s="15" customFormat="1" x14ac:dyDescent="0.3">
      <c r="A1149" s="17"/>
      <c r="B1149"/>
      <c r="C1149"/>
      <c r="D1149"/>
      <c r="E1149"/>
      <c r="F1149"/>
      <c r="G1149"/>
      <c r="H1149"/>
      <c r="I1149"/>
      <c r="J1149"/>
      <c r="K1149"/>
      <c r="L1149"/>
      <c r="M1149"/>
      <c r="S1149" s="54"/>
    </row>
    <row r="1150" spans="1:19" s="15" customFormat="1" x14ac:dyDescent="0.3">
      <c r="A1150" s="17"/>
      <c r="B1150"/>
      <c r="C1150"/>
      <c r="D1150"/>
      <c r="E1150"/>
      <c r="F1150"/>
      <c r="G1150"/>
      <c r="H1150"/>
      <c r="I1150"/>
      <c r="J1150"/>
      <c r="K1150"/>
      <c r="L1150"/>
      <c r="M1150"/>
      <c r="S1150" s="54"/>
    </row>
    <row r="1151" spans="1:19" s="15" customFormat="1" x14ac:dyDescent="0.3">
      <c r="A1151" s="17"/>
      <c r="B1151"/>
      <c r="C1151"/>
      <c r="D1151"/>
      <c r="E1151"/>
      <c r="F1151"/>
      <c r="G1151"/>
      <c r="H1151"/>
      <c r="I1151"/>
      <c r="J1151"/>
      <c r="K1151"/>
      <c r="L1151"/>
      <c r="M1151"/>
      <c r="S1151" s="54"/>
    </row>
    <row r="1152" spans="1:19" s="15" customFormat="1" x14ac:dyDescent="0.3">
      <c r="A1152" s="17"/>
      <c r="B1152"/>
      <c r="C1152"/>
      <c r="D1152"/>
      <c r="E1152"/>
      <c r="F1152"/>
      <c r="G1152"/>
      <c r="H1152"/>
      <c r="I1152"/>
      <c r="J1152"/>
      <c r="K1152"/>
      <c r="L1152"/>
      <c r="M1152"/>
      <c r="S1152" s="54"/>
    </row>
    <row r="1153" spans="1:19" s="15" customFormat="1" x14ac:dyDescent="0.3">
      <c r="A1153" s="17"/>
      <c r="B1153"/>
      <c r="C1153"/>
      <c r="D1153"/>
      <c r="E1153"/>
      <c r="F1153"/>
      <c r="G1153"/>
      <c r="H1153"/>
      <c r="I1153"/>
      <c r="J1153"/>
      <c r="K1153"/>
      <c r="L1153"/>
      <c r="M1153"/>
      <c r="S1153" s="54"/>
    </row>
    <row r="1154" spans="1:19" s="15" customFormat="1" x14ac:dyDescent="0.3">
      <c r="A1154" s="17"/>
      <c r="B1154"/>
      <c r="C1154"/>
      <c r="D1154"/>
      <c r="E1154"/>
      <c r="F1154"/>
      <c r="G1154"/>
      <c r="H1154"/>
      <c r="I1154"/>
      <c r="J1154"/>
      <c r="K1154"/>
      <c r="L1154"/>
      <c r="M1154"/>
      <c r="S1154" s="54"/>
    </row>
    <row r="1155" spans="1:19" s="15" customFormat="1" x14ac:dyDescent="0.3">
      <c r="A1155" s="17"/>
      <c r="B1155"/>
      <c r="C1155"/>
      <c r="D1155"/>
      <c r="E1155"/>
      <c r="F1155"/>
      <c r="G1155"/>
      <c r="H1155"/>
      <c r="I1155"/>
      <c r="J1155"/>
      <c r="K1155"/>
      <c r="L1155"/>
      <c r="M1155"/>
      <c r="S1155" s="54"/>
    </row>
    <row r="1156" spans="1:19" s="15" customFormat="1" x14ac:dyDescent="0.3">
      <c r="A1156" s="17"/>
      <c r="B1156"/>
      <c r="C1156"/>
      <c r="D1156"/>
      <c r="E1156"/>
      <c r="F1156"/>
      <c r="G1156"/>
      <c r="H1156"/>
      <c r="I1156"/>
      <c r="J1156"/>
      <c r="K1156"/>
      <c r="L1156"/>
      <c r="M1156"/>
      <c r="S1156" s="54"/>
    </row>
    <row r="1157" spans="1:19" s="15" customFormat="1" x14ac:dyDescent="0.3">
      <c r="A1157" s="17"/>
      <c r="B1157"/>
      <c r="C1157"/>
      <c r="D1157"/>
      <c r="E1157"/>
      <c r="F1157"/>
      <c r="G1157"/>
      <c r="H1157"/>
      <c r="I1157"/>
      <c r="J1157"/>
      <c r="K1157"/>
      <c r="L1157"/>
      <c r="M1157"/>
      <c r="S1157" s="54"/>
    </row>
    <row r="1158" spans="1:19" s="15" customFormat="1" x14ac:dyDescent="0.3">
      <c r="A1158" s="17"/>
      <c r="B1158"/>
      <c r="C1158"/>
      <c r="D1158"/>
      <c r="E1158"/>
      <c r="F1158"/>
      <c r="G1158"/>
      <c r="H1158"/>
      <c r="I1158"/>
      <c r="J1158"/>
      <c r="K1158"/>
      <c r="L1158"/>
      <c r="M1158"/>
      <c r="S1158" s="54"/>
    </row>
    <row r="1159" spans="1:19" s="15" customFormat="1" x14ac:dyDescent="0.3">
      <c r="A1159" s="17"/>
      <c r="B1159"/>
      <c r="C1159"/>
      <c r="D1159"/>
      <c r="E1159"/>
      <c r="F1159"/>
      <c r="G1159"/>
      <c r="H1159"/>
      <c r="I1159"/>
      <c r="J1159"/>
      <c r="K1159"/>
      <c r="L1159"/>
      <c r="M1159"/>
      <c r="S1159" s="54"/>
    </row>
    <row r="1160" spans="1:19" s="15" customFormat="1" x14ac:dyDescent="0.3">
      <c r="A1160" s="17"/>
      <c r="B1160"/>
      <c r="C1160"/>
      <c r="D1160"/>
      <c r="E1160"/>
      <c r="F1160"/>
      <c r="G1160"/>
      <c r="H1160"/>
      <c r="I1160"/>
      <c r="J1160"/>
      <c r="K1160"/>
      <c r="L1160"/>
      <c r="M1160"/>
      <c r="S1160" s="54"/>
    </row>
    <row r="1161" spans="1:19" s="15" customFormat="1" x14ac:dyDescent="0.3">
      <c r="A1161" s="17"/>
      <c r="B1161"/>
      <c r="C1161"/>
      <c r="D1161"/>
      <c r="E1161"/>
      <c r="F1161"/>
      <c r="G1161"/>
      <c r="H1161"/>
      <c r="I1161"/>
      <c r="J1161"/>
      <c r="K1161"/>
      <c r="L1161"/>
      <c r="M1161"/>
      <c r="S1161" s="54"/>
    </row>
    <row r="1162" spans="1:19" s="15" customFormat="1" x14ac:dyDescent="0.3">
      <c r="A1162" s="17"/>
      <c r="B1162"/>
      <c r="C1162"/>
      <c r="D1162"/>
      <c r="E1162"/>
      <c r="F1162"/>
      <c r="G1162"/>
      <c r="H1162"/>
      <c r="I1162"/>
      <c r="J1162"/>
      <c r="K1162"/>
      <c r="L1162"/>
      <c r="M1162"/>
      <c r="S1162" s="54"/>
    </row>
    <row r="1163" spans="1:19" s="15" customFormat="1" x14ac:dyDescent="0.3">
      <c r="A1163" s="17"/>
      <c r="B1163"/>
      <c r="C1163"/>
      <c r="D1163"/>
      <c r="E1163"/>
      <c r="F1163"/>
      <c r="G1163"/>
      <c r="H1163"/>
      <c r="I1163"/>
      <c r="J1163"/>
      <c r="K1163"/>
      <c r="L1163"/>
      <c r="M1163"/>
      <c r="S1163" s="54"/>
    </row>
    <row r="1164" spans="1:19" s="15" customFormat="1" x14ac:dyDescent="0.3">
      <c r="A1164" s="17"/>
      <c r="B1164"/>
      <c r="C1164"/>
      <c r="D1164"/>
      <c r="E1164"/>
      <c r="F1164"/>
      <c r="G1164"/>
      <c r="H1164"/>
      <c r="I1164"/>
      <c r="J1164"/>
      <c r="K1164"/>
      <c r="L1164"/>
      <c r="M1164"/>
      <c r="S1164" s="54"/>
    </row>
    <row r="1165" spans="1:19" s="15" customFormat="1" x14ac:dyDescent="0.3">
      <c r="A1165" s="17"/>
      <c r="B1165"/>
      <c r="C1165"/>
      <c r="D1165"/>
      <c r="E1165"/>
      <c r="F1165"/>
      <c r="G1165"/>
      <c r="H1165"/>
      <c r="I1165"/>
      <c r="J1165"/>
      <c r="K1165"/>
      <c r="L1165"/>
      <c r="M1165"/>
      <c r="S1165" s="54"/>
    </row>
    <row r="1166" spans="1:19" s="15" customFormat="1" x14ac:dyDescent="0.3">
      <c r="A1166" s="17"/>
      <c r="B1166"/>
      <c r="C1166"/>
      <c r="D1166"/>
      <c r="E1166"/>
      <c r="F1166"/>
      <c r="G1166"/>
      <c r="H1166"/>
      <c r="I1166"/>
      <c r="J1166"/>
      <c r="K1166"/>
      <c r="L1166"/>
      <c r="M1166"/>
      <c r="S1166" s="54"/>
    </row>
    <row r="1167" spans="1:19" s="15" customFormat="1" x14ac:dyDescent="0.3">
      <c r="A1167" s="17"/>
      <c r="B1167"/>
      <c r="C1167"/>
      <c r="D1167"/>
      <c r="E1167"/>
      <c r="F1167"/>
      <c r="G1167"/>
      <c r="H1167"/>
      <c r="I1167"/>
      <c r="J1167"/>
      <c r="K1167"/>
      <c r="L1167"/>
      <c r="M1167"/>
      <c r="S1167" s="54"/>
    </row>
    <row r="1168" spans="1:19" s="15" customFormat="1" x14ac:dyDescent="0.3">
      <c r="A1168" s="17"/>
      <c r="B1168"/>
      <c r="C1168"/>
      <c r="D1168"/>
      <c r="E1168"/>
      <c r="F1168"/>
      <c r="G1168"/>
      <c r="H1168"/>
      <c r="I1168"/>
      <c r="J1168"/>
      <c r="K1168"/>
      <c r="L1168"/>
      <c r="M1168"/>
      <c r="S1168" s="54"/>
    </row>
    <row r="1169" spans="1:19" s="15" customFormat="1" x14ac:dyDescent="0.3">
      <c r="A1169" s="17"/>
      <c r="B1169"/>
      <c r="C1169"/>
      <c r="D1169"/>
      <c r="E1169"/>
      <c r="F1169"/>
      <c r="G1169"/>
      <c r="H1169"/>
      <c r="I1169"/>
      <c r="J1169"/>
      <c r="K1169"/>
      <c r="L1169"/>
      <c r="M1169"/>
      <c r="S1169" s="54"/>
    </row>
    <row r="1170" spans="1:19" s="15" customFormat="1" x14ac:dyDescent="0.3">
      <c r="A1170" s="17"/>
      <c r="B1170"/>
      <c r="C1170"/>
      <c r="D1170"/>
      <c r="E1170"/>
      <c r="F1170"/>
      <c r="G1170"/>
      <c r="H1170"/>
      <c r="I1170"/>
      <c r="J1170"/>
      <c r="K1170"/>
      <c r="L1170"/>
      <c r="M1170"/>
      <c r="S1170" s="54"/>
    </row>
    <row r="1171" spans="1:19" s="15" customFormat="1" x14ac:dyDescent="0.3">
      <c r="A1171" s="17"/>
      <c r="B1171"/>
      <c r="C1171"/>
      <c r="D1171"/>
      <c r="E1171"/>
      <c r="F1171"/>
      <c r="G1171"/>
      <c r="H1171"/>
      <c r="I1171"/>
      <c r="J1171"/>
      <c r="K1171"/>
      <c r="L1171"/>
      <c r="M1171"/>
      <c r="S1171" s="54"/>
    </row>
    <row r="1172" spans="1:19" s="15" customFormat="1" x14ac:dyDescent="0.3">
      <c r="A1172" s="17"/>
      <c r="B1172"/>
      <c r="C1172"/>
      <c r="D1172"/>
      <c r="E1172"/>
      <c r="F1172"/>
      <c r="G1172"/>
      <c r="H1172"/>
      <c r="I1172"/>
      <c r="J1172"/>
      <c r="K1172"/>
      <c r="L1172"/>
      <c r="M1172"/>
      <c r="S1172" s="54"/>
    </row>
    <row r="1173" spans="1:19" s="15" customFormat="1" x14ac:dyDescent="0.3">
      <c r="A1173" s="17"/>
      <c r="B1173"/>
      <c r="C1173"/>
      <c r="D1173"/>
      <c r="E1173"/>
      <c r="F1173"/>
      <c r="G1173"/>
      <c r="H1173"/>
      <c r="I1173"/>
      <c r="J1173"/>
      <c r="K1173"/>
      <c r="L1173"/>
      <c r="M1173"/>
      <c r="S1173" s="54"/>
    </row>
    <row r="1174" spans="1:19" s="15" customFormat="1" x14ac:dyDescent="0.3">
      <c r="A1174" s="17"/>
      <c r="B1174"/>
      <c r="C1174"/>
      <c r="D1174"/>
      <c r="E1174"/>
      <c r="F1174"/>
      <c r="G1174"/>
      <c r="H1174"/>
      <c r="I1174"/>
      <c r="J1174"/>
      <c r="K1174"/>
      <c r="L1174"/>
      <c r="M1174"/>
      <c r="S1174" s="54"/>
    </row>
    <row r="1175" spans="1:19" s="15" customFormat="1" x14ac:dyDescent="0.3">
      <c r="A1175" s="17"/>
      <c r="B1175"/>
      <c r="C1175"/>
      <c r="D1175"/>
      <c r="E1175"/>
      <c r="F1175"/>
      <c r="G1175"/>
      <c r="H1175"/>
      <c r="I1175"/>
      <c r="J1175"/>
      <c r="K1175"/>
      <c r="L1175"/>
      <c r="M1175"/>
      <c r="S1175" s="54"/>
    </row>
    <row r="1176" spans="1:19" s="15" customFormat="1" x14ac:dyDescent="0.3">
      <c r="A1176" s="17"/>
      <c r="B1176"/>
      <c r="C1176"/>
      <c r="D1176"/>
      <c r="E1176"/>
      <c r="F1176"/>
      <c r="G1176"/>
      <c r="H1176"/>
      <c r="I1176"/>
      <c r="J1176"/>
      <c r="K1176"/>
      <c r="L1176"/>
      <c r="M1176"/>
      <c r="S1176" s="54"/>
    </row>
    <row r="1177" spans="1:19" s="15" customFormat="1" x14ac:dyDescent="0.3">
      <c r="A1177" s="17"/>
      <c r="B1177"/>
      <c r="C1177"/>
      <c r="D1177"/>
      <c r="E1177"/>
      <c r="F1177"/>
      <c r="G1177"/>
      <c r="H1177"/>
      <c r="I1177"/>
      <c r="J1177"/>
      <c r="K1177"/>
      <c r="L1177"/>
      <c r="M1177"/>
      <c r="S1177" s="54"/>
    </row>
    <row r="1178" spans="1:19" s="15" customFormat="1" x14ac:dyDescent="0.3">
      <c r="A1178" s="17"/>
      <c r="B1178"/>
      <c r="C1178"/>
      <c r="D1178"/>
      <c r="E1178"/>
      <c r="F1178"/>
      <c r="G1178"/>
      <c r="H1178"/>
      <c r="I1178"/>
      <c r="J1178"/>
      <c r="K1178"/>
      <c r="L1178"/>
      <c r="M1178"/>
      <c r="S1178" s="54"/>
    </row>
    <row r="1179" spans="1:19" s="15" customFormat="1" x14ac:dyDescent="0.3">
      <c r="A1179" s="17"/>
      <c r="B1179"/>
      <c r="C1179"/>
      <c r="D1179"/>
      <c r="E1179"/>
      <c r="F1179"/>
      <c r="G1179"/>
      <c r="H1179"/>
      <c r="I1179"/>
      <c r="J1179"/>
      <c r="K1179"/>
      <c r="L1179"/>
      <c r="M1179"/>
      <c r="S1179" s="54"/>
    </row>
    <row r="1180" spans="1:19" s="15" customFormat="1" x14ac:dyDescent="0.3">
      <c r="A1180" s="17"/>
      <c r="B1180"/>
      <c r="C1180"/>
      <c r="D1180"/>
      <c r="E1180"/>
      <c r="F1180"/>
      <c r="G1180"/>
      <c r="H1180"/>
      <c r="I1180"/>
      <c r="J1180"/>
      <c r="K1180"/>
      <c r="L1180"/>
      <c r="M1180"/>
      <c r="S1180" s="54"/>
    </row>
    <row r="1181" spans="1:19" s="15" customFormat="1" x14ac:dyDescent="0.3">
      <c r="A1181" s="17"/>
      <c r="B1181"/>
      <c r="C1181"/>
      <c r="D1181"/>
      <c r="E1181"/>
      <c r="F1181"/>
      <c r="G1181"/>
      <c r="H1181"/>
      <c r="I1181"/>
      <c r="J1181"/>
      <c r="K1181"/>
      <c r="L1181"/>
      <c r="M1181"/>
      <c r="S1181" s="54"/>
    </row>
    <row r="1182" spans="1:19" s="15" customFormat="1" x14ac:dyDescent="0.3">
      <c r="A1182" s="17"/>
      <c r="B1182"/>
      <c r="C1182"/>
      <c r="D1182"/>
      <c r="E1182"/>
      <c r="F1182"/>
      <c r="G1182"/>
      <c r="H1182"/>
      <c r="I1182"/>
      <c r="J1182"/>
      <c r="K1182"/>
      <c r="L1182"/>
      <c r="M1182"/>
      <c r="S1182" s="54"/>
    </row>
    <row r="1183" spans="1:19" s="15" customFormat="1" x14ac:dyDescent="0.3">
      <c r="A1183" s="17"/>
      <c r="B1183"/>
      <c r="C1183"/>
      <c r="D1183"/>
      <c r="E1183"/>
      <c r="F1183"/>
      <c r="G1183"/>
      <c r="H1183"/>
      <c r="I1183"/>
      <c r="J1183"/>
      <c r="K1183"/>
      <c r="L1183"/>
      <c r="M1183"/>
      <c r="S1183" s="54"/>
    </row>
    <row r="1184" spans="1:19" s="15" customFormat="1" x14ac:dyDescent="0.3">
      <c r="A1184" s="17"/>
      <c r="B1184"/>
      <c r="C1184"/>
      <c r="D1184"/>
      <c r="E1184"/>
      <c r="F1184"/>
      <c r="G1184"/>
      <c r="H1184"/>
      <c r="I1184"/>
      <c r="J1184"/>
      <c r="K1184"/>
      <c r="L1184"/>
      <c r="M1184"/>
      <c r="S1184" s="54"/>
    </row>
    <row r="1185" spans="1:19" s="15" customFormat="1" x14ac:dyDescent="0.3">
      <c r="A1185" s="17"/>
      <c r="B1185"/>
      <c r="C1185"/>
      <c r="D1185"/>
      <c r="E1185"/>
      <c r="F1185"/>
      <c r="G1185"/>
      <c r="H1185"/>
      <c r="I1185"/>
      <c r="J1185"/>
      <c r="K1185"/>
      <c r="L1185"/>
      <c r="M1185"/>
      <c r="S1185" s="54"/>
    </row>
    <row r="1186" spans="1:19" s="15" customFormat="1" x14ac:dyDescent="0.3">
      <c r="A1186" s="17"/>
      <c r="B1186"/>
      <c r="C1186"/>
      <c r="D1186"/>
      <c r="E1186"/>
      <c r="F1186"/>
      <c r="G1186"/>
      <c r="H1186"/>
      <c r="I1186"/>
      <c r="J1186"/>
      <c r="K1186"/>
      <c r="L1186"/>
      <c r="M1186"/>
      <c r="S1186" s="54"/>
    </row>
    <row r="1187" spans="1:19" s="15" customFormat="1" x14ac:dyDescent="0.3">
      <c r="A1187" s="17"/>
      <c r="B1187"/>
      <c r="C1187"/>
      <c r="D1187"/>
      <c r="E1187"/>
      <c r="F1187"/>
      <c r="G1187"/>
      <c r="H1187"/>
      <c r="I1187"/>
      <c r="J1187"/>
      <c r="K1187"/>
      <c r="L1187"/>
      <c r="M1187"/>
      <c r="S1187" s="54"/>
    </row>
    <row r="1188" spans="1:19" s="15" customFormat="1" x14ac:dyDescent="0.3">
      <c r="A1188" s="17"/>
      <c r="B1188"/>
      <c r="C1188"/>
      <c r="D1188"/>
      <c r="E1188"/>
      <c r="F1188"/>
      <c r="G1188"/>
      <c r="H1188"/>
      <c r="I1188"/>
      <c r="J1188"/>
      <c r="K1188"/>
      <c r="L1188"/>
      <c r="M1188"/>
      <c r="S1188" s="54"/>
    </row>
    <row r="1189" spans="1:19" s="15" customFormat="1" x14ac:dyDescent="0.3">
      <c r="A1189" s="17"/>
      <c r="B1189"/>
      <c r="C1189"/>
      <c r="D1189"/>
      <c r="E1189"/>
      <c r="F1189"/>
      <c r="G1189"/>
      <c r="H1189"/>
      <c r="I1189"/>
      <c r="J1189"/>
      <c r="K1189"/>
      <c r="L1189"/>
      <c r="M1189"/>
      <c r="S1189" s="54"/>
    </row>
    <row r="1190" spans="1:19" s="15" customFormat="1" x14ac:dyDescent="0.3">
      <c r="A1190" s="17"/>
      <c r="B1190"/>
      <c r="C1190"/>
      <c r="D1190"/>
      <c r="E1190"/>
      <c r="F1190"/>
      <c r="G1190"/>
      <c r="H1190"/>
      <c r="I1190"/>
      <c r="J1190"/>
      <c r="K1190"/>
      <c r="L1190"/>
      <c r="M1190"/>
      <c r="S1190" s="54"/>
    </row>
    <row r="1191" spans="1:19" s="15" customFormat="1" x14ac:dyDescent="0.3">
      <c r="A1191" s="17"/>
      <c r="B1191"/>
      <c r="C1191"/>
      <c r="D1191"/>
      <c r="E1191"/>
      <c r="F1191"/>
      <c r="G1191"/>
      <c r="H1191"/>
      <c r="I1191"/>
      <c r="J1191"/>
      <c r="K1191"/>
      <c r="L1191"/>
      <c r="M1191"/>
      <c r="S1191" s="54"/>
    </row>
    <row r="1192" spans="1:19" s="15" customFormat="1" x14ac:dyDescent="0.3">
      <c r="A1192" s="17"/>
      <c r="B1192"/>
      <c r="C1192"/>
      <c r="D1192"/>
      <c r="E1192"/>
      <c r="F1192"/>
      <c r="G1192"/>
      <c r="H1192"/>
      <c r="I1192"/>
      <c r="J1192"/>
      <c r="K1192"/>
      <c r="L1192"/>
      <c r="M1192"/>
      <c r="S1192" s="54"/>
    </row>
    <row r="1193" spans="1:19" s="15" customFormat="1" x14ac:dyDescent="0.3">
      <c r="A1193" s="17"/>
      <c r="B1193"/>
      <c r="C1193"/>
      <c r="D1193"/>
      <c r="E1193"/>
      <c r="F1193"/>
      <c r="G1193"/>
      <c r="H1193"/>
      <c r="I1193"/>
      <c r="J1193"/>
      <c r="K1193"/>
      <c r="L1193"/>
      <c r="M1193"/>
      <c r="S1193" s="54"/>
    </row>
    <row r="1194" spans="1:19" s="15" customFormat="1" x14ac:dyDescent="0.3">
      <c r="A1194" s="17"/>
      <c r="B1194"/>
      <c r="C1194"/>
      <c r="D1194"/>
      <c r="E1194"/>
      <c r="F1194"/>
      <c r="G1194"/>
      <c r="H1194"/>
      <c r="I1194"/>
      <c r="J1194"/>
      <c r="K1194"/>
      <c r="L1194"/>
      <c r="M1194"/>
      <c r="S1194" s="54"/>
    </row>
    <row r="1195" spans="1:19" s="15" customFormat="1" x14ac:dyDescent="0.3">
      <c r="A1195" s="17"/>
      <c r="B1195"/>
      <c r="C1195"/>
      <c r="D1195"/>
      <c r="E1195"/>
      <c r="F1195"/>
      <c r="G1195"/>
      <c r="H1195"/>
      <c r="I1195"/>
      <c r="J1195"/>
      <c r="K1195"/>
      <c r="L1195"/>
      <c r="M1195"/>
      <c r="S1195" s="54"/>
    </row>
    <row r="1196" spans="1:19" s="15" customFormat="1" x14ac:dyDescent="0.3">
      <c r="A1196" s="17"/>
      <c r="B1196"/>
      <c r="C1196"/>
      <c r="D1196"/>
      <c r="E1196"/>
      <c r="F1196"/>
      <c r="G1196"/>
      <c r="H1196"/>
      <c r="I1196"/>
      <c r="J1196"/>
      <c r="K1196"/>
      <c r="L1196"/>
      <c r="M1196"/>
      <c r="S1196" s="54"/>
    </row>
    <row r="1197" spans="1:19" s="15" customFormat="1" x14ac:dyDescent="0.3">
      <c r="A1197" s="17"/>
      <c r="B1197"/>
      <c r="C1197"/>
      <c r="D1197"/>
      <c r="E1197"/>
      <c r="F1197"/>
      <c r="G1197"/>
      <c r="H1197"/>
      <c r="I1197"/>
      <c r="J1197"/>
      <c r="K1197"/>
      <c r="L1197"/>
      <c r="M1197"/>
      <c r="S1197" s="54"/>
    </row>
    <row r="1198" spans="1:19" s="15" customFormat="1" x14ac:dyDescent="0.3">
      <c r="A1198" s="17"/>
      <c r="B1198"/>
      <c r="C1198"/>
      <c r="D1198"/>
      <c r="E1198"/>
      <c r="F1198"/>
      <c r="G1198"/>
      <c r="H1198"/>
      <c r="I1198"/>
      <c r="J1198"/>
      <c r="K1198"/>
      <c r="L1198"/>
      <c r="M1198"/>
      <c r="S1198" s="54"/>
    </row>
    <row r="1199" spans="1:19" s="15" customFormat="1" x14ac:dyDescent="0.3">
      <c r="A1199" s="17"/>
      <c r="B1199"/>
      <c r="C1199"/>
      <c r="D1199"/>
      <c r="E1199"/>
      <c r="F1199"/>
      <c r="G1199"/>
      <c r="H1199"/>
      <c r="I1199"/>
      <c r="J1199"/>
      <c r="K1199"/>
      <c r="L1199"/>
      <c r="M1199"/>
      <c r="S1199" s="54"/>
    </row>
    <row r="1200" spans="1:19" s="15" customFormat="1" x14ac:dyDescent="0.3">
      <c r="A1200" s="17"/>
      <c r="B1200"/>
      <c r="C1200"/>
      <c r="D1200"/>
      <c r="E1200"/>
      <c r="F1200"/>
      <c r="G1200"/>
      <c r="H1200"/>
      <c r="I1200"/>
      <c r="J1200"/>
      <c r="K1200"/>
      <c r="L1200"/>
      <c r="M1200"/>
      <c r="S1200" s="54"/>
    </row>
    <row r="1201" spans="1:19" s="15" customFormat="1" x14ac:dyDescent="0.3">
      <c r="A1201" s="17"/>
      <c r="B1201"/>
      <c r="C1201"/>
      <c r="D1201"/>
      <c r="E1201"/>
      <c r="F1201"/>
      <c r="G1201"/>
      <c r="H1201"/>
      <c r="I1201"/>
      <c r="J1201"/>
      <c r="K1201"/>
      <c r="L1201"/>
      <c r="M1201"/>
      <c r="S1201" s="54"/>
    </row>
    <row r="1202" spans="1:19" s="15" customFormat="1" x14ac:dyDescent="0.3">
      <c r="A1202" s="17"/>
      <c r="B1202"/>
      <c r="C1202"/>
      <c r="D1202"/>
      <c r="E1202"/>
      <c r="F1202"/>
      <c r="G1202"/>
      <c r="H1202"/>
      <c r="I1202"/>
      <c r="J1202"/>
      <c r="K1202"/>
      <c r="L1202"/>
      <c r="M1202"/>
      <c r="S1202" s="54"/>
    </row>
    <row r="1203" spans="1:19" s="15" customFormat="1" x14ac:dyDescent="0.3">
      <c r="A1203" s="17"/>
      <c r="B1203"/>
      <c r="C1203"/>
      <c r="D1203"/>
      <c r="E1203"/>
      <c r="F1203"/>
      <c r="G1203"/>
      <c r="H1203"/>
      <c r="I1203"/>
      <c r="J1203"/>
      <c r="K1203"/>
      <c r="L1203"/>
      <c r="M1203"/>
      <c r="S1203" s="54"/>
    </row>
    <row r="1204" spans="1:19" s="15" customFormat="1" x14ac:dyDescent="0.3">
      <c r="A1204" s="17"/>
      <c r="B1204"/>
      <c r="C1204"/>
      <c r="D1204"/>
      <c r="E1204"/>
      <c r="F1204"/>
      <c r="G1204"/>
      <c r="H1204"/>
      <c r="I1204"/>
      <c r="J1204"/>
      <c r="K1204"/>
      <c r="L1204"/>
      <c r="M1204"/>
      <c r="S1204" s="54"/>
    </row>
    <row r="1205" spans="1:19" s="15" customFormat="1" x14ac:dyDescent="0.3">
      <c r="A1205" s="17"/>
      <c r="B1205"/>
      <c r="C1205"/>
      <c r="D1205"/>
      <c r="E1205"/>
      <c r="F1205"/>
      <c r="G1205"/>
      <c r="H1205"/>
      <c r="I1205"/>
      <c r="J1205"/>
      <c r="K1205"/>
      <c r="L1205"/>
      <c r="M1205"/>
      <c r="S1205" s="54"/>
    </row>
    <row r="1206" spans="1:19" s="15" customFormat="1" x14ac:dyDescent="0.3">
      <c r="A1206" s="17"/>
      <c r="B1206"/>
      <c r="C1206"/>
      <c r="D1206"/>
      <c r="E1206"/>
      <c r="F1206"/>
      <c r="G1206"/>
      <c r="H1206"/>
      <c r="I1206"/>
      <c r="J1206"/>
      <c r="K1206"/>
      <c r="L1206"/>
      <c r="M1206"/>
      <c r="S1206" s="54"/>
    </row>
    <row r="1207" spans="1:19" s="15" customFormat="1" x14ac:dyDescent="0.3">
      <c r="A1207" s="17"/>
      <c r="B1207"/>
      <c r="C1207"/>
      <c r="D1207"/>
      <c r="E1207"/>
      <c r="F1207"/>
      <c r="G1207"/>
      <c r="H1207"/>
      <c r="I1207"/>
      <c r="J1207"/>
      <c r="K1207"/>
      <c r="L1207"/>
      <c r="M1207"/>
      <c r="S1207" s="54"/>
    </row>
    <row r="1208" spans="1:19" s="15" customFormat="1" x14ac:dyDescent="0.3">
      <c r="A1208" s="17"/>
      <c r="B1208"/>
      <c r="C1208"/>
      <c r="D1208"/>
      <c r="E1208"/>
      <c r="F1208"/>
      <c r="G1208"/>
      <c r="H1208"/>
      <c r="I1208"/>
      <c r="J1208"/>
      <c r="K1208"/>
      <c r="L1208"/>
      <c r="M1208"/>
      <c r="S1208" s="54"/>
    </row>
    <row r="1209" spans="1:19" s="15" customFormat="1" x14ac:dyDescent="0.3">
      <c r="A1209" s="17"/>
      <c r="B1209"/>
      <c r="C1209"/>
      <c r="D1209"/>
      <c r="E1209"/>
      <c r="F1209"/>
      <c r="G1209"/>
      <c r="H1209"/>
      <c r="I1209"/>
      <c r="J1209"/>
      <c r="K1209"/>
      <c r="L1209"/>
      <c r="M1209"/>
      <c r="S1209" s="54"/>
    </row>
    <row r="1210" spans="1:19" s="15" customFormat="1" x14ac:dyDescent="0.3">
      <c r="A1210" s="17"/>
      <c r="B1210"/>
      <c r="C1210"/>
      <c r="D1210"/>
      <c r="E1210"/>
      <c r="F1210"/>
      <c r="G1210"/>
      <c r="H1210"/>
      <c r="I1210"/>
      <c r="J1210"/>
      <c r="K1210"/>
      <c r="L1210"/>
      <c r="M1210"/>
      <c r="S1210" s="54"/>
    </row>
    <row r="1211" spans="1:19" s="15" customFormat="1" x14ac:dyDescent="0.3">
      <c r="A1211" s="17"/>
      <c r="B1211"/>
      <c r="C1211"/>
      <c r="D1211"/>
      <c r="E1211"/>
      <c r="F1211"/>
      <c r="G1211"/>
      <c r="H1211"/>
      <c r="I1211"/>
      <c r="J1211"/>
      <c r="K1211"/>
      <c r="L1211"/>
      <c r="M1211"/>
      <c r="S1211" s="54"/>
    </row>
    <row r="1212" spans="1:19" s="15" customFormat="1" x14ac:dyDescent="0.3">
      <c r="A1212" s="17"/>
      <c r="B1212"/>
      <c r="C1212"/>
      <c r="D1212"/>
      <c r="E1212"/>
      <c r="F1212"/>
      <c r="G1212"/>
      <c r="H1212"/>
      <c r="I1212"/>
      <c r="J1212"/>
      <c r="K1212"/>
      <c r="L1212"/>
      <c r="M1212"/>
      <c r="S1212" s="54"/>
    </row>
    <row r="1213" spans="1:19" s="15" customFormat="1" x14ac:dyDescent="0.3">
      <c r="A1213" s="17"/>
      <c r="B1213"/>
      <c r="C1213"/>
      <c r="D1213"/>
      <c r="E1213"/>
      <c r="F1213"/>
      <c r="G1213"/>
      <c r="H1213"/>
      <c r="I1213"/>
      <c r="J1213"/>
      <c r="K1213"/>
      <c r="L1213"/>
      <c r="M1213"/>
      <c r="S1213" s="54"/>
    </row>
    <row r="1214" spans="1:19" s="15" customFormat="1" x14ac:dyDescent="0.3">
      <c r="A1214" s="17"/>
      <c r="B1214"/>
      <c r="C1214"/>
      <c r="D1214"/>
      <c r="E1214"/>
      <c r="F1214"/>
      <c r="G1214"/>
      <c r="H1214"/>
      <c r="I1214"/>
      <c r="J1214"/>
      <c r="K1214"/>
      <c r="L1214"/>
      <c r="M1214"/>
      <c r="S1214" s="54"/>
    </row>
    <row r="1215" spans="1:19" s="15" customFormat="1" x14ac:dyDescent="0.3">
      <c r="A1215" s="17"/>
      <c r="B1215"/>
      <c r="C1215"/>
      <c r="D1215"/>
      <c r="E1215"/>
      <c r="F1215"/>
      <c r="G1215"/>
      <c r="H1215"/>
      <c r="I1215"/>
      <c r="J1215"/>
      <c r="K1215"/>
      <c r="L1215"/>
      <c r="M1215"/>
      <c r="S1215" s="54"/>
    </row>
    <row r="1216" spans="1:19" s="15" customFormat="1" x14ac:dyDescent="0.3">
      <c r="A1216" s="17"/>
      <c r="B1216"/>
      <c r="C1216"/>
      <c r="D1216"/>
      <c r="E1216"/>
      <c r="F1216"/>
      <c r="G1216"/>
      <c r="H1216"/>
      <c r="I1216"/>
      <c r="J1216"/>
      <c r="K1216"/>
      <c r="L1216"/>
      <c r="M1216"/>
      <c r="S1216" s="54"/>
    </row>
    <row r="1217" spans="1:19" s="15" customFormat="1" x14ac:dyDescent="0.3">
      <c r="A1217" s="17"/>
      <c r="B1217"/>
      <c r="C1217"/>
      <c r="D1217"/>
      <c r="E1217"/>
      <c r="F1217"/>
      <c r="G1217"/>
      <c r="H1217"/>
      <c r="I1217"/>
      <c r="J1217"/>
      <c r="K1217"/>
      <c r="L1217"/>
      <c r="M1217"/>
      <c r="S1217" s="54"/>
    </row>
    <row r="1218" spans="1:19" s="15" customFormat="1" x14ac:dyDescent="0.3">
      <c r="A1218" s="17"/>
      <c r="B1218"/>
      <c r="C1218"/>
      <c r="D1218"/>
      <c r="E1218"/>
      <c r="F1218"/>
      <c r="G1218"/>
      <c r="H1218"/>
      <c r="I1218"/>
      <c r="J1218"/>
      <c r="K1218"/>
      <c r="L1218"/>
      <c r="M1218"/>
      <c r="S1218" s="54"/>
    </row>
    <row r="1219" spans="1:19" s="15" customFormat="1" x14ac:dyDescent="0.3">
      <c r="A1219" s="17"/>
      <c r="B1219"/>
      <c r="C1219"/>
      <c r="D1219"/>
      <c r="E1219"/>
      <c r="F1219"/>
      <c r="G1219"/>
      <c r="H1219"/>
      <c r="I1219"/>
      <c r="J1219"/>
      <c r="K1219"/>
      <c r="L1219"/>
      <c r="M1219"/>
      <c r="S1219" s="54"/>
    </row>
    <row r="1220" spans="1:19" s="15" customFormat="1" x14ac:dyDescent="0.3">
      <c r="A1220" s="17"/>
      <c r="B1220"/>
      <c r="C1220"/>
      <c r="D1220"/>
      <c r="E1220"/>
      <c r="F1220"/>
      <c r="G1220"/>
      <c r="H1220"/>
      <c r="I1220"/>
      <c r="J1220"/>
      <c r="K1220"/>
      <c r="L1220"/>
      <c r="M1220"/>
      <c r="S1220" s="54"/>
    </row>
    <row r="1221" spans="1:19" s="15" customFormat="1" x14ac:dyDescent="0.3">
      <c r="A1221" s="17"/>
      <c r="B1221"/>
      <c r="C1221"/>
      <c r="D1221"/>
      <c r="E1221"/>
      <c r="F1221"/>
      <c r="G1221"/>
      <c r="H1221"/>
      <c r="I1221"/>
      <c r="J1221"/>
      <c r="K1221"/>
      <c r="L1221"/>
      <c r="M1221"/>
      <c r="S1221" s="54"/>
    </row>
    <row r="1222" spans="1:19" s="15" customFormat="1" x14ac:dyDescent="0.3">
      <c r="A1222" s="17"/>
      <c r="B1222"/>
      <c r="C1222"/>
      <c r="D1222"/>
      <c r="E1222"/>
      <c r="F1222"/>
      <c r="G1222"/>
      <c r="H1222"/>
      <c r="I1222"/>
      <c r="J1222"/>
      <c r="K1222"/>
      <c r="L1222"/>
      <c r="M1222"/>
      <c r="S1222" s="54"/>
    </row>
    <row r="1223" spans="1:19" s="15" customFormat="1" x14ac:dyDescent="0.3">
      <c r="A1223" s="17"/>
      <c r="B1223"/>
      <c r="C1223"/>
      <c r="D1223"/>
      <c r="E1223"/>
      <c r="F1223"/>
      <c r="G1223"/>
      <c r="H1223"/>
      <c r="I1223"/>
      <c r="J1223"/>
      <c r="K1223"/>
      <c r="L1223"/>
      <c r="M1223"/>
      <c r="S1223" s="54"/>
    </row>
    <row r="1224" spans="1:19" s="15" customFormat="1" x14ac:dyDescent="0.3">
      <c r="A1224" s="17"/>
      <c r="B1224"/>
      <c r="C1224"/>
      <c r="D1224"/>
      <c r="E1224"/>
      <c r="F1224"/>
      <c r="G1224"/>
      <c r="H1224"/>
      <c r="I1224"/>
      <c r="J1224"/>
      <c r="K1224"/>
      <c r="L1224"/>
      <c r="M1224"/>
      <c r="S1224" s="54"/>
    </row>
    <row r="1225" spans="1:19" s="15" customFormat="1" x14ac:dyDescent="0.3">
      <c r="A1225" s="17"/>
      <c r="B1225"/>
      <c r="C1225"/>
      <c r="D1225"/>
      <c r="E1225"/>
      <c r="F1225"/>
      <c r="G1225"/>
      <c r="H1225"/>
      <c r="I1225"/>
      <c r="J1225"/>
      <c r="K1225"/>
      <c r="L1225"/>
      <c r="M1225"/>
      <c r="S1225" s="54"/>
    </row>
    <row r="1226" spans="1:19" s="15" customFormat="1" x14ac:dyDescent="0.3">
      <c r="A1226" s="17"/>
      <c r="B1226"/>
      <c r="C1226"/>
      <c r="D1226"/>
      <c r="E1226"/>
      <c r="F1226"/>
      <c r="G1226"/>
      <c r="H1226"/>
      <c r="I1226"/>
      <c r="J1226"/>
      <c r="K1226"/>
      <c r="L1226"/>
      <c r="M1226"/>
      <c r="S1226" s="54"/>
    </row>
    <row r="1227" spans="1:19" s="15" customFormat="1" x14ac:dyDescent="0.3">
      <c r="A1227" s="17"/>
      <c r="B1227"/>
      <c r="C1227"/>
      <c r="D1227"/>
      <c r="E1227"/>
      <c r="F1227"/>
      <c r="G1227"/>
      <c r="H1227"/>
      <c r="I1227"/>
      <c r="J1227"/>
      <c r="K1227"/>
      <c r="L1227"/>
      <c r="M1227"/>
      <c r="S1227" s="54"/>
    </row>
    <row r="1228" spans="1:19" s="15" customFormat="1" x14ac:dyDescent="0.3">
      <c r="A1228" s="17"/>
      <c r="B1228"/>
      <c r="C1228"/>
      <c r="D1228"/>
      <c r="E1228"/>
      <c r="F1228"/>
      <c r="G1228"/>
      <c r="H1228"/>
      <c r="I1228"/>
      <c r="J1228"/>
      <c r="K1228"/>
      <c r="L1228"/>
      <c r="M1228"/>
      <c r="S1228" s="54"/>
    </row>
    <row r="1229" spans="1:19" s="15" customFormat="1" x14ac:dyDescent="0.3">
      <c r="A1229" s="17"/>
      <c r="B1229"/>
      <c r="C1229"/>
      <c r="D1229"/>
      <c r="E1229"/>
      <c r="F1229"/>
      <c r="G1229"/>
      <c r="H1229"/>
      <c r="I1229"/>
      <c r="J1229"/>
      <c r="K1229"/>
      <c r="L1229"/>
      <c r="M1229"/>
      <c r="S1229" s="54"/>
    </row>
    <row r="1230" spans="1:19" s="15" customFormat="1" x14ac:dyDescent="0.3">
      <c r="A1230" s="17"/>
      <c r="B1230"/>
      <c r="C1230"/>
      <c r="D1230"/>
      <c r="E1230"/>
      <c r="F1230"/>
      <c r="G1230"/>
      <c r="H1230"/>
      <c r="I1230"/>
      <c r="J1230"/>
      <c r="K1230"/>
      <c r="L1230"/>
      <c r="M1230"/>
      <c r="S1230" s="54"/>
    </row>
    <row r="1231" spans="1:19" s="15" customFormat="1" x14ac:dyDescent="0.3">
      <c r="A1231" s="17"/>
      <c r="B1231"/>
      <c r="C1231"/>
      <c r="D1231"/>
      <c r="E1231"/>
      <c r="F1231"/>
      <c r="G1231"/>
      <c r="H1231"/>
      <c r="I1231"/>
      <c r="J1231"/>
      <c r="K1231"/>
      <c r="L1231"/>
      <c r="M1231"/>
      <c r="S1231" s="54"/>
    </row>
    <row r="1232" spans="1:19" s="15" customFormat="1" x14ac:dyDescent="0.3">
      <c r="A1232" s="17"/>
      <c r="B1232"/>
      <c r="C1232"/>
      <c r="D1232"/>
      <c r="E1232"/>
      <c r="F1232"/>
      <c r="G1232"/>
      <c r="H1232"/>
      <c r="I1232"/>
      <c r="J1232"/>
      <c r="K1232"/>
      <c r="L1232"/>
      <c r="M1232"/>
      <c r="S1232" s="54"/>
    </row>
    <row r="1233" spans="1:19" s="15" customFormat="1" x14ac:dyDescent="0.3">
      <c r="A1233" s="17"/>
      <c r="B1233"/>
      <c r="C1233"/>
      <c r="D1233"/>
      <c r="E1233"/>
      <c r="F1233"/>
      <c r="G1233"/>
      <c r="H1233"/>
      <c r="I1233"/>
      <c r="J1233"/>
      <c r="K1233"/>
      <c r="L1233"/>
      <c r="M1233"/>
      <c r="S1233" s="54"/>
    </row>
    <row r="1234" spans="1:19" s="15" customFormat="1" x14ac:dyDescent="0.3">
      <c r="A1234" s="17"/>
      <c r="B1234"/>
      <c r="C1234"/>
      <c r="D1234"/>
      <c r="E1234"/>
      <c r="F1234"/>
      <c r="G1234"/>
      <c r="H1234"/>
      <c r="I1234"/>
      <c r="J1234"/>
      <c r="K1234"/>
      <c r="L1234"/>
      <c r="M1234"/>
      <c r="S1234" s="54"/>
    </row>
    <row r="1235" spans="1:19" s="15" customFormat="1" x14ac:dyDescent="0.3">
      <c r="A1235" s="17"/>
      <c r="B1235"/>
      <c r="C1235"/>
      <c r="D1235"/>
      <c r="E1235"/>
      <c r="F1235"/>
      <c r="G1235"/>
      <c r="H1235"/>
      <c r="I1235"/>
      <c r="J1235"/>
      <c r="K1235"/>
      <c r="L1235"/>
      <c r="M1235"/>
      <c r="S1235" s="54"/>
    </row>
    <row r="1236" spans="1:19" s="15" customFormat="1" x14ac:dyDescent="0.3">
      <c r="A1236" s="17"/>
      <c r="B1236"/>
      <c r="C1236"/>
      <c r="D1236"/>
      <c r="E1236"/>
      <c r="F1236"/>
      <c r="G1236"/>
      <c r="H1236"/>
      <c r="I1236"/>
      <c r="J1236"/>
      <c r="K1236"/>
      <c r="L1236"/>
      <c r="M1236"/>
      <c r="S1236" s="54"/>
    </row>
    <row r="1237" spans="1:19" s="15" customFormat="1" x14ac:dyDescent="0.3">
      <c r="A1237" s="17"/>
      <c r="B1237"/>
      <c r="C1237"/>
      <c r="D1237"/>
      <c r="E1237"/>
      <c r="F1237"/>
      <c r="G1237"/>
      <c r="H1237"/>
      <c r="I1237"/>
      <c r="J1237"/>
      <c r="K1237"/>
      <c r="L1237"/>
      <c r="M1237"/>
      <c r="S1237" s="54"/>
    </row>
    <row r="1238" spans="1:19" s="15" customFormat="1" x14ac:dyDescent="0.3">
      <c r="A1238" s="17"/>
      <c r="B1238"/>
      <c r="C1238"/>
      <c r="D1238"/>
      <c r="E1238"/>
      <c r="F1238"/>
      <c r="G1238"/>
      <c r="H1238"/>
      <c r="I1238"/>
      <c r="J1238"/>
      <c r="K1238"/>
      <c r="L1238"/>
      <c r="M1238"/>
      <c r="S1238" s="54"/>
    </row>
    <row r="1239" spans="1:19" s="15" customFormat="1" x14ac:dyDescent="0.3">
      <c r="A1239" s="17"/>
      <c r="B1239"/>
      <c r="C1239"/>
      <c r="D1239"/>
      <c r="E1239"/>
      <c r="F1239"/>
      <c r="G1239"/>
      <c r="H1239"/>
      <c r="I1239"/>
      <c r="J1239"/>
      <c r="K1239"/>
      <c r="L1239"/>
      <c r="M1239"/>
      <c r="S1239" s="54"/>
    </row>
    <row r="1240" spans="1:19" s="15" customFormat="1" x14ac:dyDescent="0.3">
      <c r="A1240" s="17"/>
      <c r="B1240"/>
      <c r="C1240"/>
      <c r="D1240"/>
      <c r="E1240"/>
      <c r="F1240"/>
      <c r="G1240"/>
      <c r="H1240"/>
      <c r="I1240"/>
      <c r="J1240"/>
      <c r="K1240"/>
      <c r="L1240"/>
      <c r="M1240"/>
      <c r="S1240" s="54"/>
    </row>
    <row r="1241" spans="1:19" s="15" customFormat="1" x14ac:dyDescent="0.3">
      <c r="A1241" s="17"/>
      <c r="B1241"/>
      <c r="C1241"/>
      <c r="D1241"/>
      <c r="E1241"/>
      <c r="F1241"/>
      <c r="G1241"/>
      <c r="H1241"/>
      <c r="I1241"/>
      <c r="J1241"/>
      <c r="K1241"/>
      <c r="L1241"/>
      <c r="M1241"/>
      <c r="S1241" s="54"/>
    </row>
    <row r="1242" spans="1:19" s="15" customFormat="1" x14ac:dyDescent="0.3">
      <c r="A1242" s="17"/>
      <c r="B1242"/>
      <c r="C1242"/>
      <c r="D1242"/>
      <c r="E1242"/>
      <c r="F1242"/>
      <c r="G1242"/>
      <c r="H1242"/>
      <c r="I1242"/>
      <c r="J1242"/>
      <c r="K1242"/>
      <c r="L1242"/>
      <c r="M1242"/>
      <c r="S1242" s="54"/>
    </row>
    <row r="1243" spans="1:19" s="15" customFormat="1" x14ac:dyDescent="0.3">
      <c r="A1243" s="17"/>
      <c r="B1243"/>
      <c r="C1243"/>
      <c r="D1243"/>
      <c r="E1243"/>
      <c r="F1243"/>
      <c r="G1243"/>
      <c r="H1243"/>
      <c r="I1243"/>
      <c r="J1243"/>
      <c r="K1243"/>
      <c r="L1243"/>
      <c r="M1243"/>
      <c r="S1243" s="54"/>
    </row>
    <row r="1244" spans="1:19" s="15" customFormat="1" x14ac:dyDescent="0.3">
      <c r="A1244" s="17"/>
      <c r="B1244"/>
      <c r="C1244"/>
      <c r="D1244"/>
      <c r="E1244"/>
      <c r="F1244"/>
      <c r="G1244"/>
      <c r="H1244"/>
      <c r="I1244"/>
      <c r="J1244"/>
      <c r="K1244"/>
      <c r="L1244"/>
      <c r="M1244"/>
      <c r="S1244" s="54"/>
    </row>
    <row r="1245" spans="1:19" s="15" customFormat="1" x14ac:dyDescent="0.3">
      <c r="A1245" s="17"/>
      <c r="B1245"/>
      <c r="C1245"/>
      <c r="D1245"/>
      <c r="E1245"/>
      <c r="F1245"/>
      <c r="G1245"/>
      <c r="H1245"/>
      <c r="I1245"/>
      <c r="J1245"/>
      <c r="K1245"/>
      <c r="L1245"/>
      <c r="M1245"/>
      <c r="S1245" s="54"/>
    </row>
    <row r="1246" spans="1:19" s="15" customFormat="1" x14ac:dyDescent="0.3">
      <c r="A1246" s="17"/>
      <c r="B1246"/>
      <c r="C1246"/>
      <c r="D1246"/>
      <c r="E1246"/>
      <c r="F1246"/>
      <c r="G1246"/>
      <c r="H1246"/>
      <c r="I1246"/>
      <c r="J1246"/>
      <c r="K1246"/>
      <c r="L1246"/>
      <c r="M1246"/>
      <c r="S1246" s="54"/>
    </row>
    <row r="1247" spans="1:19" s="15" customFormat="1" x14ac:dyDescent="0.3">
      <c r="A1247" s="17"/>
      <c r="B1247"/>
      <c r="C1247"/>
      <c r="D1247"/>
      <c r="E1247"/>
      <c r="F1247"/>
      <c r="G1247"/>
      <c r="H1247"/>
      <c r="I1247"/>
      <c r="J1247"/>
      <c r="K1247"/>
      <c r="L1247"/>
      <c r="M1247"/>
      <c r="S1247" s="54"/>
    </row>
    <row r="1248" spans="1:19" s="15" customFormat="1" x14ac:dyDescent="0.3">
      <c r="A1248" s="17"/>
      <c r="B1248"/>
      <c r="C1248"/>
      <c r="D1248"/>
      <c r="E1248"/>
      <c r="F1248"/>
      <c r="G1248"/>
      <c r="H1248"/>
      <c r="I1248"/>
      <c r="J1248"/>
      <c r="K1248"/>
      <c r="L1248"/>
      <c r="M1248"/>
      <c r="S1248" s="54"/>
    </row>
    <row r="1249" spans="1:19" s="15" customFormat="1" x14ac:dyDescent="0.3">
      <c r="A1249" s="17"/>
      <c r="B1249"/>
      <c r="C1249"/>
      <c r="D1249"/>
      <c r="E1249"/>
      <c r="F1249"/>
      <c r="G1249"/>
      <c r="H1249"/>
      <c r="I1249"/>
      <c r="J1249"/>
      <c r="K1249"/>
      <c r="L1249"/>
      <c r="M1249"/>
      <c r="S1249" s="54"/>
    </row>
    <row r="1250" spans="1:19" s="15" customFormat="1" x14ac:dyDescent="0.3">
      <c r="A1250" s="17"/>
      <c r="B1250"/>
      <c r="C1250"/>
      <c r="D1250"/>
      <c r="E1250"/>
      <c r="F1250"/>
      <c r="G1250"/>
      <c r="H1250"/>
      <c r="I1250"/>
      <c r="J1250"/>
      <c r="K1250"/>
      <c r="L1250"/>
      <c r="M1250"/>
      <c r="S1250" s="54"/>
    </row>
    <row r="1251" spans="1:19" s="15" customFormat="1" x14ac:dyDescent="0.3">
      <c r="A1251" s="17"/>
      <c r="B1251"/>
      <c r="C1251"/>
      <c r="D1251"/>
      <c r="E1251"/>
      <c r="F1251"/>
      <c r="G1251"/>
      <c r="H1251"/>
      <c r="I1251"/>
      <c r="J1251"/>
      <c r="K1251"/>
      <c r="L1251"/>
      <c r="M1251"/>
      <c r="S1251" s="54"/>
    </row>
    <row r="1252" spans="1:19" s="15" customFormat="1" x14ac:dyDescent="0.3">
      <c r="A1252" s="17"/>
      <c r="B1252"/>
      <c r="C1252"/>
      <c r="D1252"/>
      <c r="E1252"/>
      <c r="F1252"/>
      <c r="G1252"/>
      <c r="H1252"/>
      <c r="I1252"/>
      <c r="J1252"/>
      <c r="K1252"/>
      <c r="L1252"/>
      <c r="M1252"/>
      <c r="S1252" s="54"/>
    </row>
    <row r="1253" spans="1:19" s="15" customFormat="1" x14ac:dyDescent="0.3">
      <c r="A1253" s="17"/>
      <c r="B1253"/>
      <c r="C1253"/>
      <c r="D1253"/>
      <c r="E1253"/>
      <c r="F1253"/>
      <c r="G1253"/>
      <c r="H1253"/>
      <c r="I1253"/>
      <c r="J1253"/>
      <c r="K1253"/>
      <c r="L1253"/>
      <c r="M1253"/>
      <c r="S1253" s="54"/>
    </row>
    <row r="1254" spans="1:19" s="15" customFormat="1" x14ac:dyDescent="0.3">
      <c r="A1254" s="17"/>
      <c r="B1254"/>
      <c r="C1254"/>
      <c r="D1254"/>
      <c r="E1254"/>
      <c r="F1254"/>
      <c r="G1254"/>
      <c r="H1254"/>
      <c r="I1254"/>
      <c r="J1254"/>
      <c r="K1254"/>
      <c r="L1254"/>
      <c r="M1254"/>
      <c r="S1254" s="54"/>
    </row>
    <row r="1255" spans="1:19" s="15" customFormat="1" x14ac:dyDescent="0.3">
      <c r="A1255" s="17"/>
      <c r="B1255"/>
      <c r="C1255"/>
      <c r="D1255"/>
      <c r="E1255"/>
      <c r="F1255"/>
      <c r="G1255"/>
      <c r="H1255"/>
      <c r="I1255"/>
      <c r="J1255"/>
      <c r="K1255"/>
      <c r="L1255"/>
      <c r="M1255"/>
      <c r="S1255" s="54"/>
    </row>
    <row r="1256" spans="1:19" s="15" customFormat="1" x14ac:dyDescent="0.3">
      <c r="A1256" s="17"/>
      <c r="B1256"/>
      <c r="C1256"/>
      <c r="D1256"/>
      <c r="E1256"/>
      <c r="F1256"/>
      <c r="G1256"/>
      <c r="H1256"/>
      <c r="I1256"/>
      <c r="J1256"/>
      <c r="K1256"/>
      <c r="L1256"/>
      <c r="M1256"/>
      <c r="S1256" s="54"/>
    </row>
    <row r="1257" spans="1:19" s="15" customFormat="1" x14ac:dyDescent="0.3">
      <c r="A1257" s="17"/>
      <c r="B1257"/>
      <c r="C1257"/>
      <c r="D1257"/>
      <c r="E1257"/>
      <c r="F1257"/>
      <c r="G1257"/>
      <c r="H1257"/>
      <c r="I1257"/>
      <c r="J1257"/>
      <c r="K1257"/>
      <c r="L1257"/>
      <c r="M1257"/>
      <c r="S1257" s="54"/>
    </row>
    <row r="1258" spans="1:19" s="15" customFormat="1" x14ac:dyDescent="0.3">
      <c r="A1258" s="17"/>
      <c r="B1258"/>
      <c r="C1258"/>
      <c r="D1258"/>
      <c r="E1258"/>
      <c r="F1258"/>
      <c r="G1258"/>
      <c r="H1258"/>
      <c r="I1258"/>
      <c r="J1258"/>
      <c r="K1258"/>
      <c r="L1258"/>
      <c r="M1258"/>
      <c r="S1258" s="54"/>
    </row>
    <row r="1259" spans="1:19" s="15" customFormat="1" x14ac:dyDescent="0.3">
      <c r="A1259" s="17"/>
      <c r="B1259"/>
      <c r="C1259"/>
      <c r="D1259"/>
      <c r="E1259"/>
      <c r="F1259"/>
      <c r="G1259"/>
      <c r="H1259"/>
      <c r="I1259"/>
      <c r="J1259"/>
      <c r="K1259"/>
      <c r="L1259"/>
      <c r="M1259"/>
      <c r="S1259" s="54"/>
    </row>
    <row r="1260" spans="1:19" s="15" customFormat="1" x14ac:dyDescent="0.3">
      <c r="A1260" s="17"/>
      <c r="B1260"/>
      <c r="C1260"/>
      <c r="D1260"/>
      <c r="E1260"/>
      <c r="F1260"/>
      <c r="G1260"/>
      <c r="H1260"/>
      <c r="I1260"/>
      <c r="J1260"/>
      <c r="K1260"/>
      <c r="L1260"/>
      <c r="M1260"/>
      <c r="S1260" s="54"/>
    </row>
    <row r="1261" spans="1:19" s="15" customFormat="1" x14ac:dyDescent="0.3">
      <c r="A1261" s="17"/>
      <c r="B1261"/>
      <c r="C1261"/>
      <c r="D1261"/>
      <c r="E1261"/>
      <c r="F1261"/>
      <c r="G1261"/>
      <c r="H1261"/>
      <c r="I1261"/>
      <c r="J1261"/>
      <c r="K1261"/>
      <c r="L1261"/>
      <c r="M1261"/>
      <c r="S1261" s="54"/>
    </row>
    <row r="1262" spans="1:19" s="15" customFormat="1" x14ac:dyDescent="0.3">
      <c r="A1262" s="17"/>
      <c r="B1262"/>
      <c r="C1262"/>
      <c r="D1262"/>
      <c r="E1262"/>
      <c r="F1262"/>
      <c r="G1262"/>
      <c r="H1262"/>
      <c r="I1262"/>
      <c r="J1262"/>
      <c r="K1262"/>
      <c r="L1262"/>
      <c r="M1262"/>
      <c r="S1262" s="54"/>
    </row>
    <row r="1263" spans="1:19" s="15" customFormat="1" x14ac:dyDescent="0.3">
      <c r="A1263" s="17"/>
      <c r="B1263"/>
      <c r="C1263"/>
      <c r="D1263"/>
      <c r="E1263"/>
      <c r="F1263"/>
      <c r="G1263"/>
      <c r="H1263"/>
      <c r="I1263"/>
      <c r="J1263"/>
      <c r="K1263"/>
      <c r="L1263"/>
      <c r="M1263"/>
      <c r="S1263" s="54"/>
    </row>
    <row r="1264" spans="1:19" s="15" customFormat="1" x14ac:dyDescent="0.3">
      <c r="A1264" s="17"/>
      <c r="B1264"/>
      <c r="C1264"/>
      <c r="D1264"/>
      <c r="E1264"/>
      <c r="F1264"/>
      <c r="G1264"/>
      <c r="H1264"/>
      <c r="I1264"/>
      <c r="J1264"/>
      <c r="K1264"/>
      <c r="L1264"/>
      <c r="M1264"/>
      <c r="S1264" s="54"/>
    </row>
    <row r="1265" spans="1:19" s="15" customFormat="1" x14ac:dyDescent="0.3">
      <c r="A1265" s="17"/>
      <c r="B1265"/>
      <c r="C1265"/>
      <c r="D1265"/>
      <c r="E1265"/>
      <c r="F1265"/>
      <c r="G1265"/>
      <c r="H1265"/>
      <c r="I1265"/>
      <c r="J1265"/>
      <c r="K1265"/>
      <c r="L1265"/>
      <c r="M1265"/>
      <c r="S1265" s="54"/>
    </row>
    <row r="1266" spans="1:19" s="15" customFormat="1" x14ac:dyDescent="0.3">
      <c r="A1266" s="17"/>
      <c r="B1266"/>
      <c r="C1266"/>
      <c r="D1266"/>
      <c r="E1266"/>
      <c r="F1266"/>
      <c r="G1266"/>
      <c r="H1266"/>
      <c r="I1266"/>
      <c r="J1266"/>
      <c r="K1266"/>
      <c r="L1266"/>
      <c r="M1266"/>
      <c r="S1266" s="54"/>
    </row>
    <row r="1267" spans="1:19" s="15" customFormat="1" x14ac:dyDescent="0.3">
      <c r="A1267" s="17"/>
      <c r="B1267"/>
      <c r="C1267"/>
      <c r="D1267"/>
      <c r="E1267"/>
      <c r="F1267"/>
      <c r="G1267"/>
      <c r="H1267"/>
      <c r="I1267"/>
      <c r="J1267"/>
      <c r="K1267"/>
      <c r="L1267"/>
      <c r="M1267"/>
      <c r="S1267" s="54"/>
    </row>
    <row r="1268" spans="1:19" s="15" customFormat="1" x14ac:dyDescent="0.3">
      <c r="A1268" s="17"/>
      <c r="B1268"/>
      <c r="C1268"/>
      <c r="D1268"/>
      <c r="E1268"/>
      <c r="F1268"/>
      <c r="G1268"/>
      <c r="H1268"/>
      <c r="I1268"/>
      <c r="J1268"/>
      <c r="K1268"/>
      <c r="L1268"/>
      <c r="M1268"/>
      <c r="S1268" s="54"/>
    </row>
    <row r="1269" spans="1:19" s="15" customFormat="1" x14ac:dyDescent="0.3">
      <c r="A1269" s="17"/>
      <c r="B1269"/>
      <c r="C1269"/>
      <c r="D1269"/>
      <c r="E1269"/>
      <c r="F1269"/>
      <c r="G1269"/>
      <c r="H1269"/>
      <c r="I1269"/>
      <c r="J1269"/>
      <c r="K1269"/>
      <c r="L1269"/>
      <c r="M1269"/>
      <c r="S1269" s="54"/>
    </row>
    <row r="1270" spans="1:19" s="15" customFormat="1" x14ac:dyDescent="0.3">
      <c r="A1270" s="17"/>
      <c r="B1270"/>
      <c r="C1270"/>
      <c r="D1270"/>
      <c r="E1270"/>
      <c r="F1270"/>
      <c r="G1270"/>
      <c r="H1270"/>
      <c r="I1270"/>
      <c r="J1270"/>
      <c r="K1270"/>
      <c r="L1270"/>
      <c r="M1270"/>
      <c r="S1270" s="54"/>
    </row>
    <row r="1271" spans="1:19" s="15" customFormat="1" x14ac:dyDescent="0.3">
      <c r="A1271" s="17"/>
      <c r="B1271"/>
      <c r="C1271"/>
      <c r="D1271"/>
      <c r="E1271"/>
      <c r="F1271"/>
      <c r="G1271"/>
      <c r="H1271"/>
      <c r="I1271"/>
      <c r="J1271"/>
      <c r="K1271"/>
      <c r="L1271"/>
      <c r="M1271"/>
      <c r="S1271" s="54"/>
    </row>
    <row r="1272" spans="1:19" s="15" customFormat="1" x14ac:dyDescent="0.3">
      <c r="A1272" s="17"/>
      <c r="B1272"/>
      <c r="C1272"/>
      <c r="D1272"/>
      <c r="E1272"/>
      <c r="F1272"/>
      <c r="G1272"/>
      <c r="H1272"/>
      <c r="I1272"/>
      <c r="J1272"/>
      <c r="K1272"/>
      <c r="L1272"/>
      <c r="M1272"/>
      <c r="S1272" s="54"/>
    </row>
    <row r="1273" spans="1:19" s="15" customFormat="1" x14ac:dyDescent="0.3">
      <c r="A1273" s="17"/>
      <c r="B1273"/>
      <c r="C1273"/>
      <c r="D1273"/>
      <c r="E1273"/>
      <c r="F1273"/>
      <c r="G1273"/>
      <c r="H1273"/>
      <c r="I1273"/>
      <c r="J1273"/>
      <c r="K1273"/>
      <c r="L1273"/>
      <c r="M1273"/>
      <c r="S1273" s="54"/>
    </row>
    <row r="1274" spans="1:19" s="15" customFormat="1" x14ac:dyDescent="0.3">
      <c r="A1274" s="17"/>
      <c r="B1274"/>
      <c r="C1274"/>
      <c r="D1274"/>
      <c r="E1274"/>
      <c r="F1274"/>
      <c r="G1274"/>
      <c r="H1274"/>
      <c r="I1274"/>
      <c r="J1274"/>
      <c r="K1274"/>
      <c r="L1274"/>
      <c r="M1274"/>
      <c r="S1274" s="54"/>
    </row>
    <row r="1275" spans="1:19" s="15" customFormat="1" x14ac:dyDescent="0.3">
      <c r="A1275" s="17"/>
      <c r="B1275"/>
      <c r="C1275"/>
      <c r="D1275"/>
      <c r="E1275"/>
      <c r="F1275"/>
      <c r="G1275"/>
      <c r="H1275"/>
      <c r="I1275"/>
      <c r="J1275"/>
      <c r="K1275"/>
      <c r="L1275"/>
      <c r="M1275"/>
      <c r="S1275" s="54"/>
    </row>
    <row r="1276" spans="1:19" s="15" customFormat="1" x14ac:dyDescent="0.3">
      <c r="A1276" s="17"/>
      <c r="B1276"/>
      <c r="C1276"/>
      <c r="D1276"/>
      <c r="E1276"/>
      <c r="F1276"/>
      <c r="G1276"/>
      <c r="H1276"/>
      <c r="I1276"/>
      <c r="J1276"/>
      <c r="K1276"/>
      <c r="L1276"/>
      <c r="M1276"/>
      <c r="S1276" s="54"/>
    </row>
    <row r="1277" spans="1:19" s="15" customFormat="1" x14ac:dyDescent="0.3">
      <c r="A1277" s="17"/>
      <c r="B1277"/>
      <c r="C1277"/>
      <c r="D1277"/>
      <c r="E1277"/>
      <c r="F1277"/>
      <c r="G1277"/>
      <c r="H1277"/>
      <c r="I1277"/>
      <c r="J1277"/>
      <c r="K1277"/>
      <c r="L1277"/>
      <c r="M1277"/>
      <c r="S1277" s="54"/>
    </row>
    <row r="1278" spans="1:19" s="15" customFormat="1" x14ac:dyDescent="0.3">
      <c r="A1278" s="17"/>
      <c r="B1278"/>
      <c r="C1278"/>
      <c r="D1278"/>
      <c r="E1278"/>
      <c r="F1278"/>
      <c r="G1278"/>
      <c r="H1278"/>
      <c r="I1278"/>
      <c r="J1278"/>
      <c r="K1278"/>
      <c r="L1278"/>
      <c r="M1278"/>
      <c r="S1278" s="54"/>
    </row>
    <row r="1279" spans="1:19" s="15" customFormat="1" x14ac:dyDescent="0.3">
      <c r="A1279" s="17"/>
      <c r="B1279"/>
      <c r="C1279"/>
      <c r="D1279"/>
      <c r="E1279"/>
      <c r="F1279"/>
      <c r="G1279"/>
      <c r="H1279"/>
      <c r="I1279"/>
      <c r="J1279"/>
      <c r="K1279"/>
      <c r="L1279"/>
      <c r="M1279"/>
      <c r="S1279" s="54"/>
    </row>
    <row r="1280" spans="1:19" s="15" customFormat="1" x14ac:dyDescent="0.3">
      <c r="A1280" s="17"/>
      <c r="B1280"/>
      <c r="C1280"/>
      <c r="D1280"/>
      <c r="E1280"/>
      <c r="F1280"/>
      <c r="G1280"/>
      <c r="H1280"/>
      <c r="I1280"/>
      <c r="J1280"/>
      <c r="K1280"/>
      <c r="L1280"/>
      <c r="M1280"/>
      <c r="S1280" s="54"/>
    </row>
    <row r="1281" spans="1:19" s="15" customFormat="1" x14ac:dyDescent="0.3">
      <c r="A1281" s="17"/>
      <c r="B1281"/>
      <c r="C1281"/>
      <c r="D1281"/>
      <c r="E1281"/>
      <c r="F1281"/>
      <c r="G1281"/>
      <c r="H1281"/>
      <c r="I1281"/>
      <c r="J1281"/>
      <c r="K1281"/>
      <c r="L1281"/>
      <c r="M1281"/>
      <c r="S1281" s="54"/>
    </row>
    <row r="1282" spans="1:19" s="15" customFormat="1" x14ac:dyDescent="0.3">
      <c r="A1282" s="17"/>
      <c r="B1282"/>
      <c r="C1282"/>
      <c r="D1282"/>
      <c r="E1282"/>
      <c r="F1282"/>
      <c r="G1282"/>
      <c r="H1282"/>
      <c r="I1282"/>
      <c r="J1282"/>
      <c r="K1282"/>
      <c r="L1282"/>
      <c r="M1282"/>
      <c r="S1282" s="54"/>
    </row>
    <row r="1283" spans="1:19" s="15" customFormat="1" x14ac:dyDescent="0.3">
      <c r="A1283" s="17"/>
      <c r="B1283"/>
      <c r="C1283"/>
      <c r="D1283"/>
      <c r="E1283"/>
      <c r="F1283"/>
      <c r="G1283"/>
      <c r="H1283"/>
      <c r="I1283"/>
      <c r="J1283"/>
      <c r="K1283"/>
      <c r="L1283"/>
      <c r="M1283"/>
      <c r="S1283" s="54"/>
    </row>
    <row r="1284" spans="1:19" s="15" customFormat="1" x14ac:dyDescent="0.3">
      <c r="A1284" s="17"/>
      <c r="B1284"/>
      <c r="C1284"/>
      <c r="D1284"/>
      <c r="E1284"/>
      <c r="F1284"/>
      <c r="G1284"/>
      <c r="H1284"/>
      <c r="I1284"/>
      <c r="J1284"/>
      <c r="K1284"/>
      <c r="L1284"/>
      <c r="M1284"/>
      <c r="S1284" s="54"/>
    </row>
    <row r="1285" spans="1:19" s="15" customFormat="1" x14ac:dyDescent="0.3">
      <c r="A1285" s="17"/>
      <c r="B1285"/>
      <c r="C1285"/>
      <c r="D1285"/>
      <c r="E1285"/>
      <c r="F1285"/>
      <c r="G1285"/>
      <c r="H1285"/>
      <c r="I1285"/>
      <c r="J1285"/>
      <c r="K1285"/>
      <c r="L1285"/>
      <c r="M1285"/>
      <c r="S1285" s="54"/>
    </row>
    <row r="1286" spans="1:19" s="15" customFormat="1" x14ac:dyDescent="0.3">
      <c r="A1286" s="17"/>
      <c r="B1286"/>
      <c r="C1286"/>
      <c r="D1286"/>
      <c r="E1286"/>
      <c r="F1286"/>
      <c r="G1286"/>
      <c r="H1286"/>
      <c r="I1286"/>
      <c r="J1286"/>
      <c r="K1286"/>
      <c r="L1286"/>
      <c r="M1286"/>
      <c r="S1286" s="54"/>
    </row>
    <row r="1287" spans="1:19" s="15" customFormat="1" x14ac:dyDescent="0.3">
      <c r="A1287" s="17"/>
      <c r="B1287"/>
      <c r="C1287"/>
      <c r="D1287"/>
      <c r="E1287"/>
      <c r="F1287"/>
      <c r="G1287"/>
      <c r="H1287"/>
      <c r="I1287"/>
      <c r="J1287"/>
      <c r="K1287"/>
      <c r="L1287"/>
      <c r="M1287"/>
      <c r="S1287" s="54"/>
    </row>
    <row r="1288" spans="1:19" s="15" customFormat="1" x14ac:dyDescent="0.3">
      <c r="A1288" s="17"/>
      <c r="B1288"/>
      <c r="C1288"/>
      <c r="D1288"/>
      <c r="E1288"/>
      <c r="F1288"/>
      <c r="G1288"/>
      <c r="H1288"/>
      <c r="I1288"/>
      <c r="J1288"/>
      <c r="K1288"/>
      <c r="L1288"/>
      <c r="M1288"/>
      <c r="S1288" s="54"/>
    </row>
    <row r="1289" spans="1:19" s="15" customFormat="1" x14ac:dyDescent="0.3">
      <c r="A1289" s="17"/>
      <c r="B1289"/>
      <c r="C1289"/>
      <c r="D1289"/>
      <c r="E1289"/>
      <c r="F1289"/>
      <c r="G1289"/>
      <c r="H1289"/>
      <c r="I1289"/>
      <c r="J1289"/>
      <c r="K1289"/>
      <c r="L1289"/>
      <c r="M1289"/>
      <c r="S1289" s="54"/>
    </row>
    <row r="1290" spans="1:19" s="15" customFormat="1" x14ac:dyDescent="0.3">
      <c r="A1290" s="17"/>
      <c r="B1290"/>
      <c r="C1290"/>
      <c r="D1290"/>
      <c r="E1290"/>
      <c r="F1290"/>
      <c r="G1290"/>
      <c r="H1290"/>
      <c r="I1290"/>
      <c r="J1290"/>
      <c r="K1290"/>
      <c r="L1290"/>
      <c r="M1290"/>
      <c r="S1290" s="54"/>
    </row>
    <row r="1291" spans="1:19" s="15" customFormat="1" x14ac:dyDescent="0.3">
      <c r="A1291" s="17"/>
      <c r="B1291"/>
      <c r="C1291"/>
      <c r="D1291"/>
      <c r="E1291"/>
      <c r="F1291"/>
      <c r="G1291"/>
      <c r="H1291"/>
      <c r="I1291"/>
      <c r="J1291"/>
      <c r="K1291"/>
      <c r="L1291"/>
      <c r="M1291"/>
      <c r="S1291" s="54"/>
    </row>
    <row r="1292" spans="1:19" s="15" customFormat="1" x14ac:dyDescent="0.3">
      <c r="A1292" s="17"/>
      <c r="B1292"/>
      <c r="C1292"/>
      <c r="D1292"/>
      <c r="E1292"/>
      <c r="F1292"/>
      <c r="G1292"/>
      <c r="H1292"/>
      <c r="I1292"/>
      <c r="J1292"/>
      <c r="K1292"/>
      <c r="L1292"/>
      <c r="M1292"/>
      <c r="S1292" s="54"/>
    </row>
    <row r="1293" spans="1:19" s="15" customFormat="1" x14ac:dyDescent="0.3">
      <c r="A1293" s="17"/>
      <c r="B1293"/>
      <c r="C1293"/>
      <c r="D1293"/>
      <c r="E1293"/>
      <c r="F1293"/>
      <c r="G1293"/>
      <c r="H1293"/>
      <c r="I1293"/>
      <c r="J1293"/>
      <c r="K1293"/>
      <c r="L1293"/>
      <c r="M1293"/>
      <c r="S1293" s="54"/>
    </row>
    <row r="1294" spans="1:19" s="15" customFormat="1" x14ac:dyDescent="0.3">
      <c r="A1294" s="17"/>
      <c r="B1294"/>
      <c r="C1294"/>
      <c r="D1294"/>
      <c r="E1294"/>
      <c r="F1294"/>
      <c r="G1294"/>
      <c r="H1294"/>
      <c r="I1294"/>
      <c r="J1294"/>
      <c r="K1294"/>
      <c r="L1294"/>
      <c r="M1294"/>
      <c r="S1294" s="54"/>
    </row>
    <row r="1295" spans="1:19" s="15" customFormat="1" x14ac:dyDescent="0.3">
      <c r="A1295" s="17"/>
      <c r="B1295"/>
      <c r="C1295"/>
      <c r="D1295"/>
      <c r="E1295"/>
      <c r="F1295"/>
      <c r="G1295"/>
      <c r="H1295"/>
      <c r="I1295"/>
      <c r="J1295"/>
      <c r="K1295"/>
      <c r="L1295"/>
      <c r="M1295"/>
      <c r="S1295" s="54"/>
    </row>
    <row r="1296" spans="1:19" s="15" customFormat="1" x14ac:dyDescent="0.3">
      <c r="A1296" s="17"/>
      <c r="B1296"/>
      <c r="C1296"/>
      <c r="D1296"/>
      <c r="E1296"/>
      <c r="F1296"/>
      <c r="G1296"/>
      <c r="H1296"/>
      <c r="I1296"/>
      <c r="J1296"/>
      <c r="K1296"/>
      <c r="L1296"/>
      <c r="M1296"/>
      <c r="S1296" s="54"/>
    </row>
    <row r="1297" spans="1:19" s="15" customFormat="1" x14ac:dyDescent="0.3">
      <c r="A1297" s="17"/>
      <c r="B1297"/>
      <c r="C1297"/>
      <c r="D1297"/>
      <c r="E1297"/>
      <c r="F1297"/>
      <c r="G1297"/>
      <c r="H1297"/>
      <c r="I1297"/>
      <c r="J1297"/>
      <c r="K1297"/>
      <c r="L1297"/>
      <c r="M1297"/>
      <c r="S1297" s="54"/>
    </row>
    <row r="1298" spans="1:19" s="15" customFormat="1" x14ac:dyDescent="0.3">
      <c r="A1298" s="17"/>
      <c r="B1298"/>
      <c r="C1298"/>
      <c r="D1298"/>
      <c r="E1298"/>
      <c r="F1298"/>
      <c r="G1298"/>
      <c r="H1298"/>
      <c r="I1298"/>
      <c r="J1298"/>
      <c r="K1298"/>
      <c r="L1298"/>
      <c r="M1298"/>
      <c r="S1298" s="54"/>
    </row>
    <row r="1299" spans="1:19" s="15" customFormat="1" x14ac:dyDescent="0.3">
      <c r="A1299" s="17"/>
      <c r="B1299"/>
      <c r="C1299"/>
      <c r="D1299"/>
      <c r="E1299"/>
      <c r="F1299"/>
      <c r="G1299"/>
      <c r="H1299"/>
      <c r="I1299"/>
      <c r="J1299"/>
      <c r="K1299"/>
      <c r="L1299"/>
      <c r="M1299"/>
      <c r="S1299" s="54"/>
    </row>
    <row r="1300" spans="1:19" s="15" customFormat="1" x14ac:dyDescent="0.3">
      <c r="A1300" s="17"/>
      <c r="B1300"/>
      <c r="C1300"/>
      <c r="D1300"/>
      <c r="E1300"/>
      <c r="F1300"/>
      <c r="G1300"/>
      <c r="H1300"/>
      <c r="I1300"/>
      <c r="J1300"/>
      <c r="K1300"/>
      <c r="L1300"/>
      <c r="M1300"/>
      <c r="S1300" s="54"/>
    </row>
    <row r="1301" spans="1:19" s="15" customFormat="1" x14ac:dyDescent="0.3">
      <c r="A1301" s="17"/>
      <c r="B1301"/>
      <c r="C1301"/>
      <c r="D1301"/>
      <c r="E1301"/>
      <c r="F1301"/>
      <c r="G1301"/>
      <c r="H1301"/>
      <c r="I1301"/>
      <c r="J1301"/>
      <c r="K1301"/>
      <c r="L1301"/>
      <c r="M1301"/>
      <c r="S1301" s="54"/>
    </row>
    <row r="1302" spans="1:19" s="15" customFormat="1" x14ac:dyDescent="0.3">
      <c r="A1302" s="17"/>
      <c r="B1302"/>
      <c r="C1302"/>
      <c r="D1302"/>
      <c r="E1302"/>
      <c r="F1302"/>
      <c r="G1302"/>
      <c r="H1302"/>
      <c r="I1302"/>
      <c r="J1302"/>
      <c r="K1302"/>
      <c r="L1302"/>
      <c r="M1302"/>
      <c r="S1302" s="54"/>
    </row>
    <row r="1303" spans="1:19" s="15" customFormat="1" x14ac:dyDescent="0.3">
      <c r="A1303" s="17"/>
      <c r="B1303"/>
      <c r="C1303"/>
      <c r="D1303"/>
      <c r="E1303"/>
      <c r="F1303"/>
      <c r="G1303"/>
      <c r="H1303"/>
      <c r="I1303"/>
      <c r="J1303"/>
      <c r="K1303"/>
      <c r="L1303"/>
      <c r="M1303"/>
      <c r="S1303" s="54"/>
    </row>
    <row r="1304" spans="1:19" s="15" customFormat="1" x14ac:dyDescent="0.3">
      <c r="A1304" s="17"/>
      <c r="B1304"/>
      <c r="C1304"/>
      <c r="D1304"/>
      <c r="E1304"/>
      <c r="F1304"/>
      <c r="G1304"/>
      <c r="H1304"/>
      <c r="I1304"/>
      <c r="J1304"/>
      <c r="K1304"/>
      <c r="L1304"/>
      <c r="M1304"/>
      <c r="S1304" s="54"/>
    </row>
    <row r="1305" spans="1:19" s="15" customFormat="1" x14ac:dyDescent="0.3">
      <c r="A1305" s="17"/>
      <c r="B1305"/>
      <c r="C1305"/>
      <c r="D1305"/>
      <c r="E1305"/>
      <c r="F1305"/>
      <c r="G1305"/>
      <c r="H1305"/>
      <c r="I1305"/>
      <c r="J1305"/>
      <c r="K1305"/>
      <c r="L1305"/>
      <c r="M1305"/>
      <c r="S1305" s="54"/>
    </row>
    <row r="1306" spans="1:19" s="15" customFormat="1" x14ac:dyDescent="0.3">
      <c r="A1306" s="17"/>
      <c r="B1306"/>
      <c r="C1306"/>
      <c r="D1306"/>
      <c r="E1306"/>
      <c r="F1306"/>
      <c r="G1306"/>
      <c r="H1306"/>
      <c r="I1306"/>
      <c r="J1306"/>
      <c r="K1306"/>
      <c r="L1306"/>
      <c r="M1306"/>
      <c r="S1306" s="54"/>
    </row>
    <row r="1307" spans="1:19" s="15" customFormat="1" x14ac:dyDescent="0.3">
      <c r="A1307" s="17"/>
      <c r="B1307"/>
      <c r="C1307"/>
      <c r="D1307"/>
      <c r="E1307"/>
      <c r="F1307"/>
      <c r="G1307"/>
      <c r="H1307"/>
      <c r="I1307"/>
      <c r="J1307"/>
      <c r="K1307"/>
      <c r="L1307"/>
      <c r="M1307"/>
      <c r="S1307" s="54"/>
    </row>
    <row r="1308" spans="1:19" s="15" customFormat="1" x14ac:dyDescent="0.3">
      <c r="A1308" s="17"/>
      <c r="B1308"/>
      <c r="C1308"/>
      <c r="D1308"/>
      <c r="E1308"/>
      <c r="F1308"/>
      <c r="G1308"/>
      <c r="H1308"/>
      <c r="I1308"/>
      <c r="J1308"/>
      <c r="K1308"/>
      <c r="L1308"/>
      <c r="M1308"/>
      <c r="S1308" s="54"/>
    </row>
    <row r="1309" spans="1:19" s="15" customFormat="1" x14ac:dyDescent="0.3">
      <c r="A1309" s="17"/>
      <c r="B1309"/>
      <c r="C1309"/>
      <c r="D1309"/>
      <c r="E1309"/>
      <c r="F1309"/>
      <c r="G1309"/>
      <c r="H1309"/>
      <c r="I1309"/>
      <c r="J1309"/>
      <c r="K1309"/>
      <c r="L1309"/>
      <c r="M1309"/>
      <c r="S1309" s="54"/>
    </row>
    <row r="1310" spans="1:19" s="15" customFormat="1" x14ac:dyDescent="0.3">
      <c r="A1310" s="17"/>
      <c r="B1310"/>
      <c r="C1310"/>
      <c r="D1310"/>
      <c r="E1310"/>
      <c r="F1310"/>
      <c r="G1310"/>
      <c r="H1310"/>
      <c r="I1310"/>
      <c r="J1310"/>
      <c r="K1310"/>
      <c r="L1310"/>
      <c r="M1310"/>
      <c r="S1310" s="54"/>
    </row>
    <row r="1311" spans="1:19" s="15" customFormat="1" x14ac:dyDescent="0.3">
      <c r="A1311" s="17"/>
      <c r="B1311"/>
      <c r="C1311"/>
      <c r="D1311"/>
      <c r="E1311"/>
      <c r="F1311"/>
      <c r="G1311"/>
      <c r="H1311"/>
      <c r="I1311"/>
      <c r="J1311"/>
      <c r="K1311"/>
      <c r="L1311"/>
      <c r="M1311"/>
      <c r="S1311" s="54"/>
    </row>
    <row r="1312" spans="1:19" s="15" customFormat="1" x14ac:dyDescent="0.3">
      <c r="A1312" s="17"/>
      <c r="B1312"/>
      <c r="C1312"/>
      <c r="D1312"/>
      <c r="E1312"/>
      <c r="F1312"/>
      <c r="G1312"/>
      <c r="H1312"/>
      <c r="I1312"/>
      <c r="J1312"/>
      <c r="K1312"/>
      <c r="L1312"/>
      <c r="M1312"/>
      <c r="S1312" s="54"/>
    </row>
    <row r="1313" spans="1:19" s="15" customFormat="1" x14ac:dyDescent="0.3">
      <c r="A1313" s="17"/>
      <c r="B1313"/>
      <c r="C1313"/>
      <c r="D1313"/>
      <c r="E1313"/>
      <c r="F1313"/>
      <c r="G1313"/>
      <c r="H1313"/>
      <c r="I1313"/>
      <c r="J1313"/>
      <c r="K1313"/>
      <c r="L1313"/>
      <c r="M1313"/>
      <c r="S1313" s="54"/>
    </row>
    <row r="1314" spans="1:19" s="15" customFormat="1" x14ac:dyDescent="0.3">
      <c r="A1314" s="17"/>
      <c r="B1314"/>
      <c r="C1314"/>
      <c r="D1314"/>
      <c r="E1314"/>
      <c r="F1314"/>
      <c r="G1314"/>
      <c r="H1314"/>
      <c r="I1314"/>
      <c r="J1314"/>
      <c r="K1314"/>
      <c r="L1314"/>
      <c r="M1314"/>
      <c r="S1314" s="54"/>
    </row>
    <row r="1315" spans="1:19" s="15" customFormat="1" x14ac:dyDescent="0.3">
      <c r="A1315" s="17"/>
      <c r="B1315"/>
      <c r="C1315"/>
      <c r="D1315"/>
      <c r="E1315"/>
      <c r="F1315"/>
      <c r="G1315"/>
      <c r="H1315"/>
      <c r="I1315"/>
      <c r="J1315"/>
      <c r="K1315"/>
      <c r="L1315"/>
      <c r="M1315"/>
      <c r="S1315" s="54"/>
    </row>
    <row r="1316" spans="1:19" s="15" customFormat="1" x14ac:dyDescent="0.3">
      <c r="A1316" s="17"/>
      <c r="B1316"/>
      <c r="C1316"/>
      <c r="D1316"/>
      <c r="E1316"/>
      <c r="F1316"/>
      <c r="G1316"/>
      <c r="H1316"/>
      <c r="I1316"/>
      <c r="J1316"/>
      <c r="K1316"/>
      <c r="L1316"/>
      <c r="M1316"/>
      <c r="S1316" s="54"/>
    </row>
    <row r="1317" spans="1:19" s="15" customFormat="1" x14ac:dyDescent="0.3">
      <c r="A1317" s="17"/>
      <c r="B1317"/>
      <c r="C1317"/>
      <c r="D1317"/>
      <c r="E1317"/>
      <c r="F1317"/>
      <c r="G1317"/>
      <c r="H1317"/>
      <c r="I1317"/>
      <c r="J1317"/>
      <c r="K1317"/>
      <c r="L1317"/>
      <c r="M1317"/>
      <c r="S1317" s="54"/>
    </row>
    <row r="1318" spans="1:19" s="15" customFormat="1" x14ac:dyDescent="0.3">
      <c r="A1318" s="17"/>
      <c r="B1318"/>
      <c r="C1318"/>
      <c r="D1318"/>
      <c r="E1318"/>
      <c r="F1318"/>
      <c r="G1318"/>
      <c r="H1318"/>
      <c r="I1318"/>
      <c r="J1318"/>
      <c r="K1318"/>
      <c r="L1318"/>
      <c r="M1318"/>
      <c r="S1318" s="54"/>
    </row>
    <row r="1319" spans="1:19" s="15" customFormat="1" x14ac:dyDescent="0.3">
      <c r="A1319" s="17"/>
      <c r="B1319"/>
      <c r="C1319"/>
      <c r="D1319"/>
      <c r="E1319"/>
      <c r="F1319"/>
      <c r="G1319"/>
      <c r="H1319"/>
      <c r="I1319"/>
      <c r="J1319"/>
      <c r="K1319"/>
      <c r="L1319"/>
      <c r="M1319"/>
      <c r="S1319" s="54"/>
    </row>
    <row r="1320" spans="1:19" s="15" customFormat="1" x14ac:dyDescent="0.3">
      <c r="A1320" s="17"/>
      <c r="B1320"/>
      <c r="C1320"/>
      <c r="D1320"/>
      <c r="E1320"/>
      <c r="F1320"/>
      <c r="G1320"/>
      <c r="H1320"/>
      <c r="I1320"/>
      <c r="J1320"/>
      <c r="K1320"/>
      <c r="L1320"/>
      <c r="M1320"/>
      <c r="S1320" s="54"/>
    </row>
    <row r="1321" spans="1:19" s="15" customFormat="1" x14ac:dyDescent="0.3">
      <c r="A1321" s="17"/>
      <c r="B1321"/>
      <c r="C1321"/>
      <c r="D1321"/>
      <c r="E1321"/>
      <c r="F1321"/>
      <c r="G1321"/>
      <c r="H1321"/>
      <c r="I1321"/>
      <c r="J1321"/>
      <c r="K1321"/>
      <c r="L1321"/>
      <c r="M1321"/>
      <c r="S1321" s="54"/>
    </row>
    <row r="1322" spans="1:19" s="15" customFormat="1" x14ac:dyDescent="0.3">
      <c r="A1322" s="17"/>
      <c r="B1322"/>
      <c r="C1322"/>
      <c r="D1322"/>
      <c r="E1322"/>
      <c r="F1322"/>
      <c r="G1322"/>
      <c r="H1322"/>
      <c r="I1322"/>
      <c r="J1322"/>
      <c r="K1322"/>
      <c r="L1322"/>
      <c r="M1322"/>
      <c r="S1322" s="54"/>
    </row>
    <row r="1323" spans="1:19" s="15" customFormat="1" x14ac:dyDescent="0.3">
      <c r="A1323" s="17"/>
      <c r="B1323"/>
      <c r="C1323"/>
      <c r="D1323"/>
      <c r="E1323"/>
      <c r="F1323"/>
      <c r="G1323"/>
      <c r="H1323"/>
      <c r="I1323"/>
      <c r="J1323"/>
      <c r="K1323"/>
      <c r="L1323"/>
      <c r="M1323"/>
      <c r="S1323" s="54"/>
    </row>
    <row r="1324" spans="1:19" s="15" customFormat="1" x14ac:dyDescent="0.3">
      <c r="A1324" s="17"/>
      <c r="B1324"/>
      <c r="C1324"/>
      <c r="D1324"/>
      <c r="E1324"/>
      <c r="F1324"/>
      <c r="G1324"/>
      <c r="H1324"/>
      <c r="I1324"/>
      <c r="J1324"/>
      <c r="K1324"/>
      <c r="L1324"/>
      <c r="M1324"/>
      <c r="S1324" s="54"/>
    </row>
    <row r="1325" spans="1:19" s="15" customFormat="1" x14ac:dyDescent="0.3">
      <c r="A1325" s="17"/>
      <c r="B1325"/>
      <c r="C1325"/>
      <c r="D1325"/>
      <c r="E1325"/>
      <c r="F1325"/>
      <c r="G1325"/>
      <c r="H1325"/>
      <c r="I1325"/>
      <c r="J1325"/>
      <c r="K1325"/>
      <c r="L1325"/>
      <c r="M1325"/>
      <c r="S1325" s="54"/>
    </row>
    <row r="1326" spans="1:19" s="15" customFormat="1" x14ac:dyDescent="0.3">
      <c r="A1326" s="17"/>
      <c r="B1326"/>
      <c r="C1326"/>
      <c r="D1326"/>
      <c r="E1326"/>
      <c r="F1326"/>
      <c r="G1326"/>
      <c r="H1326"/>
      <c r="I1326"/>
      <c r="J1326"/>
      <c r="K1326"/>
      <c r="L1326"/>
      <c r="M1326"/>
      <c r="S1326" s="54"/>
    </row>
    <row r="1327" spans="1:19" s="15" customFormat="1" x14ac:dyDescent="0.3">
      <c r="A1327" s="17"/>
      <c r="B1327"/>
      <c r="C1327"/>
      <c r="D1327"/>
      <c r="E1327"/>
      <c r="F1327"/>
      <c r="G1327"/>
      <c r="H1327"/>
      <c r="I1327"/>
      <c r="J1327"/>
      <c r="K1327"/>
      <c r="L1327"/>
      <c r="M1327"/>
      <c r="S1327" s="54"/>
    </row>
    <row r="1328" spans="1:19" s="15" customFormat="1" x14ac:dyDescent="0.3">
      <c r="A1328" s="17"/>
      <c r="B1328"/>
      <c r="C1328"/>
      <c r="D1328"/>
      <c r="E1328"/>
      <c r="F1328"/>
      <c r="G1328"/>
      <c r="H1328"/>
      <c r="I1328"/>
      <c r="J1328"/>
      <c r="K1328"/>
      <c r="L1328"/>
      <c r="M1328"/>
      <c r="S1328" s="54"/>
    </row>
    <row r="1329" spans="1:19" s="15" customFormat="1" x14ac:dyDescent="0.3">
      <c r="A1329" s="17"/>
      <c r="B1329"/>
      <c r="C1329"/>
      <c r="D1329"/>
      <c r="E1329"/>
      <c r="F1329"/>
      <c r="G1329"/>
      <c r="H1329"/>
      <c r="I1329"/>
      <c r="J1329"/>
      <c r="K1329"/>
      <c r="L1329"/>
      <c r="M1329"/>
      <c r="S1329" s="54"/>
    </row>
    <row r="1330" spans="1:19" s="15" customFormat="1" x14ac:dyDescent="0.3">
      <c r="A1330" s="17"/>
      <c r="B1330"/>
      <c r="C1330"/>
      <c r="D1330"/>
      <c r="E1330"/>
      <c r="F1330"/>
      <c r="G1330"/>
      <c r="H1330"/>
      <c r="I1330"/>
      <c r="J1330"/>
      <c r="K1330"/>
      <c r="L1330"/>
      <c r="M1330"/>
      <c r="S1330" s="54"/>
    </row>
    <row r="1331" spans="1:19" s="15" customFormat="1" x14ac:dyDescent="0.3">
      <c r="A1331" s="17"/>
      <c r="B1331"/>
      <c r="C1331"/>
      <c r="D1331"/>
      <c r="E1331"/>
      <c r="F1331"/>
      <c r="G1331"/>
      <c r="H1331"/>
      <c r="I1331"/>
      <c r="J1331"/>
      <c r="K1331"/>
      <c r="L1331"/>
      <c r="M1331"/>
      <c r="S1331" s="54"/>
    </row>
    <row r="1332" spans="1:19" s="15" customFormat="1" x14ac:dyDescent="0.3">
      <c r="A1332" s="17"/>
      <c r="B1332"/>
      <c r="C1332"/>
      <c r="D1332"/>
      <c r="E1332"/>
      <c r="F1332"/>
      <c r="G1332"/>
      <c r="H1332"/>
      <c r="I1332"/>
      <c r="J1332"/>
      <c r="K1332"/>
      <c r="L1332"/>
      <c r="M1332"/>
      <c r="S1332" s="54"/>
    </row>
    <row r="1333" spans="1:19" s="15" customFormat="1" x14ac:dyDescent="0.3">
      <c r="A1333" s="17"/>
      <c r="B1333"/>
      <c r="C1333"/>
      <c r="D1333"/>
      <c r="E1333"/>
      <c r="F1333"/>
      <c r="G1333"/>
      <c r="H1333"/>
      <c r="I1333"/>
      <c r="J1333"/>
      <c r="K1333"/>
      <c r="L1333"/>
      <c r="M1333"/>
      <c r="S1333" s="54"/>
    </row>
    <row r="1334" spans="1:19" s="15" customFormat="1" x14ac:dyDescent="0.3">
      <c r="A1334" s="17"/>
      <c r="B1334"/>
      <c r="C1334"/>
      <c r="D1334"/>
      <c r="E1334"/>
      <c r="F1334"/>
      <c r="G1334"/>
      <c r="H1334"/>
      <c r="I1334"/>
      <c r="J1334"/>
      <c r="K1334"/>
      <c r="L1334"/>
      <c r="M1334"/>
      <c r="S1334" s="54"/>
    </row>
    <row r="1335" spans="1:19" s="15" customFormat="1" x14ac:dyDescent="0.3">
      <c r="A1335" s="17"/>
      <c r="B1335"/>
      <c r="C1335"/>
      <c r="D1335"/>
      <c r="E1335"/>
      <c r="F1335"/>
      <c r="G1335"/>
      <c r="H1335"/>
      <c r="I1335"/>
      <c r="J1335"/>
      <c r="K1335"/>
      <c r="L1335"/>
      <c r="M1335"/>
      <c r="S1335" s="54"/>
    </row>
    <row r="1336" spans="1:19" s="15" customFormat="1" x14ac:dyDescent="0.3">
      <c r="A1336" s="17"/>
      <c r="B1336"/>
      <c r="C1336"/>
      <c r="D1336"/>
      <c r="E1336"/>
      <c r="F1336"/>
      <c r="G1336"/>
      <c r="H1336"/>
      <c r="I1336"/>
      <c r="J1336"/>
      <c r="K1336"/>
      <c r="L1336"/>
      <c r="M1336"/>
      <c r="S1336" s="54"/>
    </row>
    <row r="1337" spans="1:19" s="15" customFormat="1" x14ac:dyDescent="0.3">
      <c r="A1337" s="17"/>
      <c r="B1337"/>
      <c r="C1337"/>
      <c r="D1337"/>
      <c r="E1337"/>
      <c r="F1337"/>
      <c r="G1337"/>
      <c r="H1337"/>
      <c r="I1337"/>
      <c r="J1337"/>
      <c r="K1337"/>
      <c r="L1337"/>
      <c r="M1337"/>
      <c r="S1337" s="54"/>
    </row>
    <row r="1338" spans="1:19" s="15" customFormat="1" x14ac:dyDescent="0.3">
      <c r="A1338" s="17"/>
      <c r="B1338"/>
      <c r="C1338"/>
      <c r="D1338"/>
      <c r="E1338"/>
      <c r="F1338"/>
      <c r="G1338"/>
      <c r="H1338"/>
      <c r="I1338"/>
      <c r="J1338"/>
      <c r="K1338"/>
      <c r="L1338"/>
      <c r="M1338"/>
      <c r="S1338" s="54"/>
    </row>
    <row r="1339" spans="1:19" s="15" customFormat="1" x14ac:dyDescent="0.3">
      <c r="A1339" s="17"/>
      <c r="B1339"/>
      <c r="C1339"/>
      <c r="D1339"/>
      <c r="E1339"/>
      <c r="F1339"/>
      <c r="G1339"/>
      <c r="H1339"/>
      <c r="I1339"/>
      <c r="J1339"/>
      <c r="K1339"/>
      <c r="L1339"/>
      <c r="M1339"/>
      <c r="S1339" s="54"/>
    </row>
    <row r="1340" spans="1:19" s="15" customFormat="1" x14ac:dyDescent="0.3">
      <c r="A1340" s="17"/>
      <c r="B1340"/>
      <c r="C1340"/>
      <c r="D1340"/>
      <c r="E1340"/>
      <c r="F1340"/>
      <c r="G1340"/>
      <c r="H1340"/>
      <c r="I1340"/>
      <c r="J1340"/>
      <c r="K1340"/>
      <c r="L1340"/>
      <c r="M1340"/>
      <c r="S1340" s="54"/>
    </row>
    <row r="1341" spans="1:19" s="15" customFormat="1" x14ac:dyDescent="0.3">
      <c r="A1341" s="17"/>
      <c r="B1341"/>
      <c r="C1341"/>
      <c r="D1341"/>
      <c r="E1341"/>
      <c r="F1341"/>
      <c r="G1341"/>
      <c r="H1341"/>
      <c r="I1341"/>
      <c r="J1341"/>
      <c r="K1341"/>
      <c r="L1341"/>
      <c r="M1341"/>
      <c r="S1341" s="54"/>
    </row>
    <row r="1342" spans="1:19" s="15" customFormat="1" x14ac:dyDescent="0.3">
      <c r="A1342" s="17"/>
      <c r="B1342"/>
      <c r="C1342"/>
      <c r="D1342"/>
      <c r="E1342"/>
      <c r="F1342"/>
      <c r="G1342"/>
      <c r="H1342"/>
      <c r="I1342"/>
      <c r="J1342"/>
      <c r="K1342"/>
      <c r="L1342"/>
      <c r="M1342"/>
      <c r="S1342" s="54"/>
    </row>
    <row r="1343" spans="1:19" s="15" customFormat="1" x14ac:dyDescent="0.3">
      <c r="A1343" s="17"/>
      <c r="B1343"/>
      <c r="C1343"/>
      <c r="D1343"/>
      <c r="E1343"/>
      <c r="F1343"/>
      <c r="G1343"/>
      <c r="H1343"/>
      <c r="I1343"/>
      <c r="J1343"/>
      <c r="K1343"/>
      <c r="L1343"/>
      <c r="M1343"/>
      <c r="S1343" s="54"/>
    </row>
    <row r="1344" spans="1:19" s="15" customFormat="1" x14ac:dyDescent="0.3">
      <c r="A1344" s="17"/>
      <c r="B1344"/>
      <c r="C1344"/>
      <c r="D1344"/>
      <c r="E1344"/>
      <c r="F1344"/>
      <c r="G1344"/>
      <c r="H1344"/>
      <c r="I1344"/>
      <c r="J1344"/>
      <c r="K1344"/>
      <c r="L1344"/>
      <c r="M1344"/>
      <c r="S1344" s="54"/>
    </row>
    <row r="1345" spans="1:19" s="15" customFormat="1" x14ac:dyDescent="0.3">
      <c r="A1345" s="17"/>
      <c r="B1345"/>
      <c r="C1345"/>
      <c r="D1345"/>
      <c r="E1345"/>
      <c r="F1345"/>
      <c r="G1345"/>
      <c r="H1345"/>
      <c r="I1345"/>
      <c r="J1345"/>
      <c r="K1345"/>
      <c r="L1345"/>
      <c r="M1345"/>
      <c r="S1345" s="54"/>
    </row>
    <row r="1346" spans="1:19" s="15" customFormat="1" x14ac:dyDescent="0.3">
      <c r="A1346" s="17"/>
      <c r="B1346"/>
      <c r="C1346"/>
      <c r="D1346"/>
      <c r="E1346"/>
      <c r="F1346"/>
      <c r="G1346"/>
      <c r="H1346"/>
      <c r="I1346"/>
      <c r="J1346"/>
      <c r="K1346"/>
      <c r="L1346"/>
      <c r="M1346"/>
      <c r="S1346" s="54"/>
    </row>
    <row r="1347" spans="1:19" s="15" customFormat="1" x14ac:dyDescent="0.3">
      <c r="A1347" s="17"/>
      <c r="B1347"/>
      <c r="C1347"/>
      <c r="D1347"/>
      <c r="E1347"/>
      <c r="F1347"/>
      <c r="G1347"/>
      <c r="H1347"/>
      <c r="I1347"/>
      <c r="J1347"/>
      <c r="K1347"/>
      <c r="L1347"/>
      <c r="M1347"/>
      <c r="S1347" s="54"/>
    </row>
    <row r="1348" spans="1:19" s="15" customFormat="1" x14ac:dyDescent="0.3">
      <c r="A1348" s="17"/>
      <c r="B1348"/>
      <c r="C1348"/>
      <c r="D1348"/>
      <c r="E1348"/>
      <c r="F1348"/>
      <c r="G1348"/>
      <c r="H1348"/>
      <c r="I1348"/>
      <c r="J1348"/>
      <c r="K1348"/>
      <c r="L1348"/>
      <c r="M1348"/>
      <c r="S1348" s="54"/>
    </row>
    <row r="1349" spans="1:19" s="15" customFormat="1" x14ac:dyDescent="0.3">
      <c r="A1349" s="17"/>
      <c r="B1349"/>
      <c r="C1349"/>
      <c r="D1349"/>
      <c r="E1349"/>
      <c r="F1349"/>
      <c r="G1349"/>
      <c r="H1349"/>
      <c r="I1349"/>
      <c r="J1349"/>
      <c r="K1349"/>
      <c r="L1349"/>
      <c r="M1349"/>
      <c r="S1349" s="54"/>
    </row>
    <row r="1350" spans="1:19" s="15" customFormat="1" x14ac:dyDescent="0.3">
      <c r="A1350" s="17"/>
      <c r="B1350"/>
      <c r="C1350"/>
      <c r="D1350"/>
      <c r="E1350"/>
      <c r="F1350"/>
      <c r="G1350"/>
      <c r="H1350"/>
      <c r="I1350"/>
      <c r="J1350"/>
      <c r="K1350"/>
      <c r="L1350"/>
      <c r="M1350"/>
      <c r="S1350" s="54"/>
    </row>
    <row r="1351" spans="1:19" s="15" customFormat="1" x14ac:dyDescent="0.3">
      <c r="A1351" s="17"/>
      <c r="B1351"/>
      <c r="C1351"/>
      <c r="D1351"/>
      <c r="E1351"/>
      <c r="F1351"/>
      <c r="G1351"/>
      <c r="H1351"/>
      <c r="I1351"/>
      <c r="J1351"/>
      <c r="K1351"/>
      <c r="L1351"/>
      <c r="M1351"/>
      <c r="S1351" s="54"/>
    </row>
    <row r="1352" spans="1:19" s="15" customFormat="1" x14ac:dyDescent="0.3">
      <c r="A1352" s="17"/>
      <c r="B1352"/>
      <c r="C1352"/>
      <c r="D1352"/>
      <c r="E1352"/>
      <c r="F1352"/>
      <c r="G1352"/>
      <c r="H1352"/>
      <c r="I1352"/>
      <c r="J1352"/>
      <c r="K1352"/>
      <c r="L1352"/>
      <c r="M1352"/>
      <c r="S1352" s="54"/>
    </row>
    <row r="1353" spans="1:19" s="15" customFormat="1" x14ac:dyDescent="0.3">
      <c r="A1353" s="17"/>
      <c r="B1353"/>
      <c r="C1353"/>
      <c r="D1353"/>
      <c r="E1353"/>
      <c r="F1353"/>
      <c r="G1353"/>
      <c r="H1353"/>
      <c r="I1353"/>
      <c r="J1353"/>
      <c r="K1353"/>
      <c r="L1353"/>
      <c r="M1353"/>
      <c r="S1353" s="54"/>
    </row>
    <row r="1354" spans="1:19" s="15" customFormat="1" x14ac:dyDescent="0.3">
      <c r="A1354" s="17"/>
      <c r="B1354"/>
      <c r="C1354"/>
      <c r="D1354"/>
      <c r="E1354"/>
      <c r="F1354"/>
      <c r="G1354"/>
      <c r="H1354"/>
      <c r="I1354"/>
      <c r="J1354"/>
      <c r="K1354"/>
      <c r="L1354"/>
      <c r="M1354"/>
      <c r="S1354" s="54"/>
    </row>
    <row r="1355" spans="1:19" s="15" customFormat="1" x14ac:dyDescent="0.3">
      <c r="A1355" s="17"/>
      <c r="B1355"/>
      <c r="C1355"/>
      <c r="D1355"/>
      <c r="E1355"/>
      <c r="F1355"/>
      <c r="G1355"/>
      <c r="H1355"/>
      <c r="I1355"/>
      <c r="J1355"/>
      <c r="K1355"/>
      <c r="L1355"/>
      <c r="M1355"/>
      <c r="S1355" s="54"/>
    </row>
    <row r="1356" spans="1:19" s="15" customFormat="1" x14ac:dyDescent="0.3">
      <c r="A1356" s="17"/>
      <c r="B1356"/>
      <c r="C1356"/>
      <c r="D1356"/>
      <c r="E1356"/>
      <c r="F1356"/>
      <c r="G1356"/>
      <c r="H1356"/>
      <c r="I1356"/>
      <c r="J1356"/>
      <c r="K1356"/>
      <c r="L1356"/>
      <c r="M1356"/>
      <c r="S1356" s="54"/>
    </row>
    <row r="1357" spans="1:19" s="15" customFormat="1" x14ac:dyDescent="0.3">
      <c r="A1357" s="17"/>
      <c r="B1357"/>
      <c r="C1357"/>
      <c r="D1357"/>
      <c r="E1357"/>
      <c r="F1357"/>
      <c r="G1357"/>
      <c r="H1357"/>
      <c r="I1357"/>
      <c r="J1357"/>
      <c r="K1357"/>
      <c r="L1357"/>
      <c r="M1357"/>
      <c r="S1357" s="54"/>
    </row>
    <row r="1358" spans="1:19" s="15" customFormat="1" x14ac:dyDescent="0.3">
      <c r="A1358" s="17"/>
      <c r="B1358"/>
      <c r="C1358"/>
      <c r="D1358"/>
      <c r="E1358"/>
      <c r="F1358"/>
      <c r="G1358"/>
      <c r="H1358"/>
      <c r="I1358"/>
      <c r="J1358"/>
      <c r="K1358"/>
      <c r="L1358"/>
      <c r="M1358"/>
      <c r="S1358" s="54"/>
    </row>
    <row r="1359" spans="1:19" s="15" customFormat="1" x14ac:dyDescent="0.3">
      <c r="A1359" s="17"/>
      <c r="B1359"/>
      <c r="C1359"/>
      <c r="D1359"/>
      <c r="E1359"/>
      <c r="F1359"/>
      <c r="G1359"/>
      <c r="H1359"/>
      <c r="I1359"/>
      <c r="J1359"/>
      <c r="K1359"/>
      <c r="L1359"/>
      <c r="M1359"/>
      <c r="S1359" s="54"/>
    </row>
    <row r="1360" spans="1:19" s="15" customFormat="1" x14ac:dyDescent="0.3">
      <c r="A1360" s="17"/>
      <c r="B1360"/>
      <c r="C1360"/>
      <c r="D1360"/>
      <c r="E1360"/>
      <c r="F1360"/>
      <c r="G1360"/>
      <c r="H1360"/>
      <c r="I1360"/>
      <c r="J1360"/>
      <c r="K1360"/>
      <c r="L1360"/>
      <c r="M1360"/>
      <c r="S1360" s="54"/>
    </row>
    <row r="1361" spans="1:19" s="15" customFormat="1" x14ac:dyDescent="0.3">
      <c r="A1361" s="17"/>
      <c r="B1361"/>
      <c r="C1361"/>
      <c r="D1361"/>
      <c r="E1361"/>
      <c r="F1361"/>
      <c r="G1361"/>
      <c r="H1361"/>
      <c r="I1361"/>
      <c r="J1361"/>
      <c r="K1361"/>
      <c r="L1361"/>
      <c r="M1361"/>
      <c r="S1361" s="54"/>
    </row>
    <row r="1362" spans="1:19" s="15" customFormat="1" x14ac:dyDescent="0.3">
      <c r="A1362" s="17"/>
      <c r="B1362"/>
      <c r="C1362"/>
      <c r="D1362"/>
      <c r="E1362"/>
      <c r="F1362"/>
      <c r="G1362"/>
      <c r="H1362"/>
      <c r="I1362"/>
      <c r="J1362"/>
      <c r="K1362"/>
      <c r="L1362"/>
      <c r="M1362"/>
      <c r="S1362" s="54"/>
    </row>
    <row r="1363" spans="1:19" s="15" customFormat="1" x14ac:dyDescent="0.3">
      <c r="A1363" s="17"/>
      <c r="B1363"/>
      <c r="C1363"/>
      <c r="D1363"/>
      <c r="E1363"/>
      <c r="F1363"/>
      <c r="G1363"/>
      <c r="H1363"/>
      <c r="I1363"/>
      <c r="J1363"/>
      <c r="K1363"/>
      <c r="L1363"/>
      <c r="M1363"/>
      <c r="S1363" s="54"/>
    </row>
    <row r="1364" spans="1:19" s="15" customFormat="1" x14ac:dyDescent="0.3">
      <c r="A1364" s="17"/>
      <c r="B1364"/>
      <c r="C1364"/>
      <c r="D1364"/>
      <c r="E1364"/>
      <c r="F1364"/>
      <c r="G1364"/>
      <c r="H1364"/>
      <c r="I1364"/>
      <c r="J1364"/>
      <c r="K1364"/>
      <c r="L1364"/>
      <c r="M1364"/>
      <c r="S1364" s="54"/>
    </row>
    <row r="1365" spans="1:19" s="15" customFormat="1" x14ac:dyDescent="0.3">
      <c r="A1365" s="17"/>
      <c r="B1365"/>
      <c r="C1365"/>
      <c r="D1365"/>
      <c r="E1365"/>
      <c r="F1365"/>
      <c r="G1365"/>
      <c r="H1365"/>
      <c r="I1365"/>
      <c r="J1365"/>
      <c r="K1365"/>
      <c r="L1365"/>
      <c r="M1365"/>
      <c r="S1365" s="54"/>
    </row>
    <row r="1366" spans="1:19" s="15" customFormat="1" x14ac:dyDescent="0.3">
      <c r="A1366" s="17"/>
      <c r="B1366"/>
      <c r="C1366"/>
      <c r="D1366"/>
      <c r="E1366"/>
      <c r="F1366"/>
      <c r="G1366"/>
      <c r="H1366"/>
      <c r="I1366"/>
      <c r="J1366"/>
      <c r="K1366"/>
      <c r="L1366"/>
      <c r="M1366"/>
      <c r="S1366" s="54"/>
    </row>
    <row r="1367" spans="1:19" s="15" customFormat="1" x14ac:dyDescent="0.3">
      <c r="A1367" s="17"/>
      <c r="B1367"/>
      <c r="C1367"/>
      <c r="D1367"/>
      <c r="E1367"/>
      <c r="F1367"/>
      <c r="G1367"/>
      <c r="H1367"/>
      <c r="I1367"/>
      <c r="J1367"/>
      <c r="K1367"/>
      <c r="L1367"/>
      <c r="M1367"/>
      <c r="S1367" s="54"/>
    </row>
    <row r="1368" spans="1:19" s="15" customFormat="1" x14ac:dyDescent="0.3">
      <c r="A1368" s="17"/>
      <c r="B1368"/>
      <c r="C1368"/>
      <c r="D1368"/>
      <c r="E1368"/>
      <c r="F1368"/>
      <c r="G1368"/>
      <c r="H1368"/>
      <c r="I1368"/>
      <c r="J1368"/>
      <c r="K1368"/>
      <c r="L1368"/>
      <c r="M1368"/>
      <c r="S1368" s="54"/>
    </row>
    <row r="1369" spans="1:19" s="15" customFormat="1" x14ac:dyDescent="0.3">
      <c r="A1369" s="17"/>
      <c r="B1369"/>
      <c r="C1369"/>
      <c r="D1369"/>
      <c r="E1369"/>
      <c r="F1369"/>
      <c r="G1369"/>
      <c r="H1369"/>
      <c r="I1369"/>
      <c r="J1369"/>
      <c r="K1369"/>
      <c r="L1369"/>
      <c r="M1369"/>
      <c r="S1369" s="54"/>
    </row>
    <row r="1370" spans="1:19" s="15" customFormat="1" x14ac:dyDescent="0.3">
      <c r="A1370" s="17"/>
      <c r="B1370"/>
      <c r="C1370"/>
      <c r="D1370"/>
      <c r="E1370"/>
      <c r="F1370"/>
      <c r="G1370"/>
      <c r="H1370"/>
      <c r="I1370"/>
      <c r="J1370"/>
      <c r="K1370"/>
      <c r="L1370"/>
      <c r="M1370"/>
      <c r="S1370" s="54"/>
    </row>
    <row r="1371" spans="1:19" s="15" customFormat="1" x14ac:dyDescent="0.3">
      <c r="A1371" s="17"/>
      <c r="B1371"/>
      <c r="C1371"/>
      <c r="D1371"/>
      <c r="E1371"/>
      <c r="F1371"/>
      <c r="G1371"/>
      <c r="H1371"/>
      <c r="I1371"/>
      <c r="J1371"/>
      <c r="K1371"/>
      <c r="L1371"/>
      <c r="M1371"/>
      <c r="S1371" s="54"/>
    </row>
    <row r="1372" spans="1:19" s="15" customFormat="1" x14ac:dyDescent="0.3">
      <c r="A1372" s="17"/>
      <c r="B1372"/>
      <c r="C1372"/>
      <c r="D1372"/>
      <c r="E1372"/>
      <c r="F1372"/>
      <c r="G1372"/>
      <c r="H1372"/>
      <c r="I1372"/>
      <c r="J1372"/>
      <c r="K1372"/>
      <c r="L1372"/>
      <c r="M1372"/>
      <c r="S1372" s="54"/>
    </row>
    <row r="1373" spans="1:19" s="15" customFormat="1" x14ac:dyDescent="0.3">
      <c r="A1373" s="17"/>
      <c r="B1373"/>
      <c r="C1373"/>
      <c r="D1373"/>
      <c r="E1373"/>
      <c r="F1373"/>
      <c r="G1373"/>
      <c r="H1373"/>
      <c r="I1373"/>
      <c r="J1373"/>
      <c r="K1373"/>
      <c r="L1373"/>
      <c r="M1373"/>
      <c r="S1373" s="54"/>
    </row>
    <row r="1374" spans="1:19" s="15" customFormat="1" x14ac:dyDescent="0.3">
      <c r="A1374" s="17"/>
      <c r="B1374"/>
      <c r="C1374"/>
      <c r="D1374"/>
      <c r="E1374"/>
      <c r="F1374"/>
      <c r="G1374"/>
      <c r="H1374"/>
      <c r="I1374"/>
      <c r="J1374"/>
      <c r="K1374"/>
      <c r="L1374"/>
      <c r="M1374"/>
      <c r="S1374" s="54"/>
    </row>
    <row r="1375" spans="1:19" s="15" customFormat="1" x14ac:dyDescent="0.3">
      <c r="A1375" s="17"/>
      <c r="B1375"/>
      <c r="C1375"/>
      <c r="D1375"/>
      <c r="E1375"/>
      <c r="F1375"/>
      <c r="G1375"/>
      <c r="H1375"/>
      <c r="I1375"/>
      <c r="J1375"/>
      <c r="K1375"/>
      <c r="L1375"/>
      <c r="M1375"/>
      <c r="S1375" s="54"/>
    </row>
    <row r="1376" spans="1:19" s="15" customFormat="1" x14ac:dyDescent="0.3">
      <c r="A1376" s="17"/>
      <c r="B1376"/>
      <c r="C1376"/>
      <c r="D1376"/>
      <c r="E1376"/>
      <c r="F1376"/>
      <c r="G1376"/>
      <c r="H1376"/>
      <c r="I1376"/>
      <c r="J1376"/>
      <c r="K1376"/>
      <c r="L1376"/>
      <c r="M1376"/>
      <c r="S1376" s="54"/>
    </row>
    <row r="1377" spans="1:19" s="15" customFormat="1" x14ac:dyDescent="0.3">
      <c r="A1377" s="17"/>
      <c r="B1377"/>
      <c r="C1377"/>
      <c r="D1377"/>
      <c r="E1377"/>
      <c r="F1377"/>
      <c r="G1377"/>
      <c r="H1377"/>
      <c r="I1377"/>
      <c r="J1377"/>
      <c r="K1377"/>
      <c r="L1377"/>
      <c r="M1377"/>
      <c r="S1377" s="54"/>
    </row>
    <row r="1378" spans="1:19" s="15" customFormat="1" x14ac:dyDescent="0.3">
      <c r="A1378" s="17"/>
      <c r="B1378"/>
      <c r="C1378"/>
      <c r="D1378"/>
      <c r="E1378"/>
      <c r="F1378"/>
      <c r="G1378"/>
      <c r="H1378"/>
      <c r="I1378"/>
      <c r="J1378"/>
      <c r="K1378"/>
      <c r="L1378"/>
      <c r="M1378"/>
      <c r="S1378" s="54"/>
    </row>
    <row r="1379" spans="1:19" s="15" customFormat="1" x14ac:dyDescent="0.3">
      <c r="A1379" s="17"/>
      <c r="B1379"/>
      <c r="C1379"/>
      <c r="D1379"/>
      <c r="E1379"/>
      <c r="F1379"/>
      <c r="G1379"/>
      <c r="H1379"/>
      <c r="I1379"/>
      <c r="J1379"/>
      <c r="K1379"/>
      <c r="L1379"/>
      <c r="M1379"/>
      <c r="S1379" s="54"/>
    </row>
    <row r="1380" spans="1:19" s="15" customFormat="1" x14ac:dyDescent="0.3">
      <c r="A1380" s="17"/>
      <c r="B1380"/>
      <c r="C1380"/>
      <c r="D1380"/>
      <c r="E1380"/>
      <c r="F1380"/>
      <c r="G1380"/>
      <c r="H1380"/>
      <c r="I1380"/>
      <c r="J1380"/>
      <c r="K1380"/>
      <c r="L1380"/>
      <c r="M1380"/>
      <c r="S1380" s="54"/>
    </row>
    <row r="1381" spans="1:19" s="15" customFormat="1" x14ac:dyDescent="0.3">
      <c r="A1381" s="17"/>
      <c r="B1381"/>
      <c r="C1381"/>
      <c r="D1381"/>
      <c r="E1381"/>
      <c r="F1381"/>
      <c r="G1381"/>
      <c r="H1381"/>
      <c r="I1381"/>
      <c r="J1381"/>
      <c r="K1381"/>
      <c r="L1381"/>
      <c r="M1381"/>
      <c r="S1381" s="54"/>
    </row>
    <row r="1382" spans="1:19" s="15" customFormat="1" x14ac:dyDescent="0.3">
      <c r="A1382" s="17"/>
      <c r="B1382"/>
      <c r="C1382"/>
      <c r="D1382"/>
      <c r="E1382"/>
      <c r="F1382"/>
      <c r="G1382"/>
      <c r="H1382"/>
      <c r="I1382"/>
      <c r="J1382"/>
      <c r="K1382"/>
      <c r="L1382"/>
      <c r="M1382"/>
      <c r="S1382" s="54"/>
    </row>
    <row r="1383" spans="1:19" s="15" customFormat="1" x14ac:dyDescent="0.3">
      <c r="A1383" s="17"/>
      <c r="B1383"/>
      <c r="C1383"/>
      <c r="D1383"/>
      <c r="E1383"/>
      <c r="F1383"/>
      <c r="G1383"/>
      <c r="H1383"/>
      <c r="I1383"/>
      <c r="J1383"/>
      <c r="K1383"/>
      <c r="L1383"/>
      <c r="M1383"/>
      <c r="S1383" s="54"/>
    </row>
    <row r="1384" spans="1:19" s="15" customFormat="1" x14ac:dyDescent="0.3">
      <c r="A1384" s="17"/>
      <c r="B1384"/>
      <c r="C1384"/>
      <c r="D1384"/>
      <c r="E1384"/>
      <c r="F1384"/>
      <c r="G1384"/>
      <c r="H1384"/>
      <c r="I1384"/>
      <c r="J1384"/>
      <c r="K1384"/>
      <c r="L1384"/>
      <c r="M1384"/>
      <c r="S1384" s="54"/>
    </row>
    <row r="1385" spans="1:19" s="15" customFormat="1" x14ac:dyDescent="0.3">
      <c r="A1385" s="17"/>
      <c r="B1385"/>
      <c r="C1385"/>
      <c r="D1385"/>
      <c r="E1385"/>
      <c r="F1385"/>
      <c r="G1385"/>
      <c r="H1385"/>
      <c r="I1385"/>
      <c r="J1385"/>
      <c r="K1385"/>
      <c r="L1385"/>
      <c r="M1385"/>
      <c r="S1385" s="54"/>
    </row>
    <row r="1386" spans="1:19" s="15" customFormat="1" x14ac:dyDescent="0.3">
      <c r="A1386" s="17"/>
      <c r="B1386"/>
      <c r="C1386"/>
      <c r="D1386"/>
      <c r="E1386"/>
      <c r="F1386"/>
      <c r="G1386"/>
      <c r="H1386"/>
      <c r="I1386"/>
      <c r="J1386"/>
      <c r="K1386"/>
      <c r="L1386"/>
      <c r="M1386"/>
      <c r="S1386" s="54"/>
    </row>
    <row r="1387" spans="1:19" s="15" customFormat="1" x14ac:dyDescent="0.3">
      <c r="A1387" s="17"/>
      <c r="B1387"/>
      <c r="C1387"/>
      <c r="D1387"/>
      <c r="E1387"/>
      <c r="F1387"/>
      <c r="G1387"/>
      <c r="H1387"/>
      <c r="I1387"/>
      <c r="J1387"/>
      <c r="K1387"/>
      <c r="L1387"/>
      <c r="M1387"/>
      <c r="S1387" s="54"/>
    </row>
    <row r="1388" spans="1:19" s="15" customFormat="1" x14ac:dyDescent="0.3">
      <c r="A1388" s="17"/>
      <c r="B1388"/>
      <c r="C1388"/>
      <c r="D1388"/>
      <c r="E1388"/>
      <c r="F1388"/>
      <c r="G1388"/>
      <c r="H1388"/>
      <c r="I1388"/>
      <c r="J1388"/>
      <c r="K1388"/>
      <c r="L1388"/>
      <c r="M1388"/>
      <c r="S1388" s="54"/>
    </row>
    <row r="1389" spans="1:19" s="15" customFormat="1" x14ac:dyDescent="0.3">
      <c r="A1389" s="17"/>
      <c r="B1389"/>
      <c r="C1389"/>
      <c r="D1389"/>
      <c r="E1389"/>
      <c r="F1389"/>
      <c r="G1389"/>
      <c r="H1389"/>
      <c r="I1389"/>
      <c r="J1389"/>
      <c r="K1389"/>
      <c r="L1389"/>
      <c r="M1389"/>
      <c r="S1389" s="54"/>
    </row>
    <row r="1390" spans="1:19" s="15" customFormat="1" x14ac:dyDescent="0.3">
      <c r="A1390" s="17"/>
      <c r="B1390"/>
      <c r="C1390"/>
      <c r="D1390"/>
      <c r="E1390"/>
      <c r="F1390"/>
      <c r="G1390"/>
      <c r="H1390"/>
      <c r="I1390"/>
      <c r="J1390"/>
      <c r="K1390"/>
      <c r="L1390"/>
      <c r="M1390"/>
      <c r="S1390" s="54"/>
    </row>
    <row r="1391" spans="1:19" s="15" customFormat="1" x14ac:dyDescent="0.3">
      <c r="A1391" s="17"/>
      <c r="B1391"/>
      <c r="C1391"/>
      <c r="D1391"/>
      <c r="E1391"/>
      <c r="F1391"/>
      <c r="G1391"/>
      <c r="H1391"/>
      <c r="I1391"/>
      <c r="J1391"/>
      <c r="K1391"/>
      <c r="L1391"/>
      <c r="M1391"/>
      <c r="S1391" s="54"/>
    </row>
    <row r="1392" spans="1:19" s="15" customFormat="1" x14ac:dyDescent="0.3">
      <c r="A1392" s="17"/>
      <c r="B1392"/>
      <c r="C1392"/>
      <c r="D1392"/>
      <c r="E1392"/>
      <c r="F1392"/>
      <c r="G1392"/>
      <c r="H1392"/>
      <c r="I1392"/>
      <c r="J1392"/>
      <c r="K1392"/>
      <c r="L1392"/>
      <c r="M1392"/>
      <c r="S1392" s="54"/>
    </row>
    <row r="1393" spans="1:19" s="15" customFormat="1" x14ac:dyDescent="0.3">
      <c r="A1393" s="17"/>
      <c r="B1393"/>
      <c r="C1393"/>
      <c r="D1393"/>
      <c r="E1393"/>
      <c r="F1393"/>
      <c r="G1393"/>
      <c r="H1393"/>
      <c r="I1393"/>
      <c r="J1393"/>
      <c r="K1393"/>
      <c r="L1393"/>
      <c r="M1393"/>
      <c r="S1393" s="54"/>
    </row>
    <row r="1394" spans="1:19" s="15" customFormat="1" x14ac:dyDescent="0.3">
      <c r="A1394" s="17"/>
      <c r="B1394"/>
      <c r="C1394"/>
      <c r="D1394"/>
      <c r="E1394"/>
      <c r="F1394"/>
      <c r="G1394"/>
      <c r="H1394"/>
      <c r="I1394"/>
      <c r="J1394"/>
      <c r="K1394"/>
      <c r="L1394"/>
      <c r="M1394"/>
      <c r="S1394" s="54"/>
    </row>
    <row r="1395" spans="1:19" s="15" customFormat="1" x14ac:dyDescent="0.3">
      <c r="A1395" s="17"/>
      <c r="B1395"/>
      <c r="C1395"/>
      <c r="D1395"/>
      <c r="E1395"/>
      <c r="F1395"/>
      <c r="G1395"/>
      <c r="H1395"/>
      <c r="I1395"/>
      <c r="J1395"/>
      <c r="K1395"/>
      <c r="L1395"/>
      <c r="M1395"/>
      <c r="S1395" s="54"/>
    </row>
    <row r="1396" spans="1:19" s="15" customFormat="1" x14ac:dyDescent="0.3">
      <c r="A1396" s="17"/>
      <c r="B1396"/>
      <c r="C1396"/>
      <c r="D1396"/>
      <c r="E1396"/>
      <c r="F1396"/>
      <c r="G1396"/>
      <c r="H1396"/>
      <c r="I1396"/>
      <c r="J1396"/>
      <c r="K1396"/>
      <c r="L1396"/>
      <c r="M1396"/>
      <c r="S1396" s="54"/>
    </row>
    <row r="1397" spans="1:19" s="15" customFormat="1" x14ac:dyDescent="0.3">
      <c r="A1397" s="17"/>
      <c r="B1397"/>
      <c r="C1397"/>
      <c r="D1397"/>
      <c r="E1397"/>
      <c r="F1397"/>
      <c r="G1397"/>
      <c r="H1397"/>
      <c r="I1397"/>
      <c r="J1397"/>
      <c r="K1397"/>
      <c r="L1397"/>
      <c r="M1397"/>
      <c r="S1397" s="54"/>
    </row>
    <row r="1398" spans="1:19" s="15" customFormat="1" x14ac:dyDescent="0.3">
      <c r="A1398" s="17"/>
      <c r="B1398"/>
      <c r="C1398"/>
      <c r="D1398"/>
      <c r="E1398"/>
      <c r="F1398"/>
      <c r="G1398"/>
      <c r="H1398"/>
      <c r="I1398"/>
      <c r="J1398"/>
      <c r="K1398"/>
      <c r="L1398"/>
      <c r="M1398"/>
      <c r="S1398" s="54"/>
    </row>
    <row r="1399" spans="1:19" s="15" customFormat="1" x14ac:dyDescent="0.3">
      <c r="A1399" s="17"/>
      <c r="B1399"/>
      <c r="C1399"/>
      <c r="D1399"/>
      <c r="E1399"/>
      <c r="F1399"/>
      <c r="G1399"/>
      <c r="H1399"/>
      <c r="I1399"/>
      <c r="J1399"/>
      <c r="K1399"/>
      <c r="L1399"/>
      <c r="M1399"/>
      <c r="S1399" s="54"/>
    </row>
    <row r="1400" spans="1:19" s="15" customFormat="1" x14ac:dyDescent="0.3">
      <c r="A1400" s="17"/>
      <c r="B1400"/>
      <c r="C1400"/>
      <c r="D1400"/>
      <c r="E1400"/>
      <c r="F1400"/>
      <c r="G1400"/>
      <c r="H1400"/>
      <c r="I1400"/>
      <c r="J1400"/>
      <c r="K1400"/>
      <c r="L1400"/>
      <c r="M1400"/>
      <c r="S1400" s="54"/>
    </row>
    <row r="1401" spans="1:19" s="15" customFormat="1" x14ac:dyDescent="0.3">
      <c r="A1401" s="17"/>
      <c r="B1401"/>
      <c r="C1401"/>
      <c r="D1401"/>
      <c r="E1401"/>
      <c r="F1401"/>
      <c r="G1401"/>
      <c r="H1401"/>
      <c r="I1401"/>
      <c r="J1401"/>
      <c r="K1401"/>
      <c r="L1401"/>
      <c r="M1401"/>
      <c r="S1401" s="54"/>
    </row>
    <row r="1402" spans="1:19" s="15" customFormat="1" x14ac:dyDescent="0.3">
      <c r="A1402" s="17"/>
      <c r="B1402"/>
      <c r="C1402"/>
      <c r="D1402"/>
      <c r="E1402"/>
      <c r="F1402"/>
      <c r="G1402"/>
      <c r="H1402"/>
      <c r="I1402"/>
      <c r="J1402"/>
      <c r="K1402"/>
      <c r="L1402"/>
      <c r="M1402"/>
      <c r="S1402" s="54"/>
    </row>
    <row r="1403" spans="1:19" s="15" customFormat="1" x14ac:dyDescent="0.3">
      <c r="A1403" s="17"/>
      <c r="B1403"/>
      <c r="C1403"/>
      <c r="D1403"/>
      <c r="E1403"/>
      <c r="F1403"/>
      <c r="G1403"/>
      <c r="H1403"/>
      <c r="I1403"/>
      <c r="J1403"/>
      <c r="K1403"/>
      <c r="L1403"/>
      <c r="M1403"/>
      <c r="S1403" s="54"/>
    </row>
    <row r="1404" spans="1:19" s="15" customFormat="1" x14ac:dyDescent="0.3">
      <c r="A1404" s="17"/>
      <c r="B1404"/>
      <c r="C1404"/>
      <c r="D1404"/>
      <c r="E1404"/>
      <c r="F1404"/>
      <c r="G1404"/>
      <c r="H1404"/>
      <c r="I1404"/>
      <c r="J1404"/>
      <c r="K1404"/>
      <c r="L1404"/>
      <c r="M1404"/>
      <c r="S1404" s="54"/>
    </row>
    <row r="1405" spans="1:19" s="15" customFormat="1" x14ac:dyDescent="0.3">
      <c r="A1405" s="17"/>
      <c r="B1405"/>
      <c r="C1405"/>
      <c r="D1405"/>
      <c r="E1405"/>
      <c r="F1405"/>
      <c r="G1405"/>
      <c r="H1405"/>
      <c r="I1405"/>
      <c r="J1405"/>
      <c r="K1405"/>
      <c r="L1405"/>
      <c r="M1405"/>
      <c r="S1405" s="54"/>
    </row>
    <row r="1406" spans="1:19" s="15" customFormat="1" x14ac:dyDescent="0.3">
      <c r="A1406" s="17"/>
      <c r="B1406"/>
      <c r="C1406"/>
      <c r="D1406"/>
      <c r="E1406"/>
      <c r="F1406"/>
      <c r="G1406"/>
      <c r="H1406"/>
      <c r="I1406"/>
      <c r="J1406"/>
      <c r="K1406"/>
      <c r="L1406"/>
      <c r="M1406"/>
      <c r="S1406" s="54"/>
    </row>
    <row r="1407" spans="1:19" s="15" customFormat="1" x14ac:dyDescent="0.3">
      <c r="A1407" s="17"/>
      <c r="B1407"/>
      <c r="C1407"/>
      <c r="D1407"/>
      <c r="E1407"/>
      <c r="F1407"/>
      <c r="G1407"/>
      <c r="H1407"/>
      <c r="I1407"/>
      <c r="J1407"/>
      <c r="K1407"/>
      <c r="L1407"/>
      <c r="M1407"/>
      <c r="S1407" s="54"/>
    </row>
    <row r="1408" spans="1:19" s="15" customFormat="1" x14ac:dyDescent="0.3">
      <c r="A1408" s="17"/>
      <c r="B1408"/>
      <c r="C1408"/>
      <c r="D1408"/>
      <c r="E1408"/>
      <c r="F1408"/>
      <c r="G1408"/>
      <c r="H1408"/>
      <c r="I1408"/>
      <c r="J1408"/>
      <c r="K1408"/>
      <c r="L1408"/>
      <c r="M1408"/>
      <c r="S1408" s="54"/>
    </row>
    <row r="1409" spans="1:19" s="15" customFormat="1" x14ac:dyDescent="0.3">
      <c r="A1409" s="17"/>
      <c r="B1409"/>
      <c r="C1409"/>
      <c r="D1409"/>
      <c r="E1409"/>
      <c r="F1409"/>
      <c r="G1409"/>
      <c r="H1409"/>
      <c r="I1409"/>
      <c r="J1409"/>
      <c r="K1409"/>
      <c r="L1409"/>
      <c r="M1409"/>
      <c r="S1409" s="54"/>
    </row>
    <row r="1410" spans="1:19" s="15" customFormat="1" x14ac:dyDescent="0.3">
      <c r="A1410" s="17"/>
      <c r="B1410"/>
      <c r="C1410"/>
      <c r="D1410"/>
      <c r="E1410"/>
      <c r="F1410"/>
      <c r="G1410"/>
      <c r="H1410"/>
      <c r="I1410"/>
      <c r="J1410"/>
      <c r="K1410"/>
      <c r="L1410"/>
      <c r="M1410"/>
      <c r="S1410" s="54"/>
    </row>
    <row r="1411" spans="1:19" s="15" customFormat="1" x14ac:dyDescent="0.3">
      <c r="A1411" s="17"/>
      <c r="B1411"/>
      <c r="C1411"/>
      <c r="D1411"/>
      <c r="E1411"/>
      <c r="F1411"/>
      <c r="G1411"/>
      <c r="H1411"/>
      <c r="I1411"/>
      <c r="J1411"/>
      <c r="K1411"/>
      <c r="L1411"/>
      <c r="M1411"/>
      <c r="S1411" s="54"/>
    </row>
    <row r="1412" spans="1:19" s="15" customFormat="1" x14ac:dyDescent="0.3">
      <c r="A1412" s="17"/>
      <c r="B1412"/>
      <c r="C1412"/>
      <c r="D1412"/>
      <c r="E1412"/>
      <c r="F1412"/>
      <c r="G1412"/>
      <c r="H1412"/>
      <c r="I1412"/>
      <c r="J1412"/>
      <c r="K1412"/>
      <c r="L1412"/>
      <c r="M1412"/>
      <c r="S1412" s="54"/>
    </row>
    <row r="1413" spans="1:19" s="15" customFormat="1" x14ac:dyDescent="0.3">
      <c r="A1413" s="17"/>
      <c r="B1413"/>
      <c r="C1413"/>
      <c r="D1413"/>
      <c r="E1413"/>
      <c r="F1413"/>
      <c r="G1413"/>
      <c r="H1413"/>
      <c r="I1413"/>
      <c r="J1413"/>
      <c r="K1413"/>
      <c r="L1413"/>
      <c r="M1413"/>
      <c r="S1413" s="54"/>
    </row>
    <row r="1414" spans="1:19" s="15" customFormat="1" x14ac:dyDescent="0.3">
      <c r="A1414" s="17"/>
      <c r="B1414"/>
      <c r="C1414"/>
      <c r="D1414"/>
      <c r="E1414"/>
      <c r="F1414"/>
      <c r="G1414"/>
      <c r="H1414"/>
      <c r="I1414"/>
      <c r="J1414"/>
      <c r="K1414"/>
      <c r="L1414"/>
      <c r="M1414"/>
      <c r="S1414" s="54"/>
    </row>
    <row r="1415" spans="1:19" s="15" customFormat="1" x14ac:dyDescent="0.3">
      <c r="A1415" s="17"/>
      <c r="B1415"/>
      <c r="C1415"/>
      <c r="D1415"/>
      <c r="E1415"/>
      <c r="F1415"/>
      <c r="G1415"/>
      <c r="H1415"/>
      <c r="I1415"/>
      <c r="J1415"/>
      <c r="K1415"/>
      <c r="L1415"/>
      <c r="M1415"/>
      <c r="S1415" s="54"/>
    </row>
    <row r="1416" spans="1:19" s="15" customFormat="1" x14ac:dyDescent="0.3">
      <c r="A1416" s="17"/>
      <c r="B1416"/>
      <c r="C1416"/>
      <c r="D1416"/>
      <c r="E1416"/>
      <c r="F1416"/>
      <c r="G1416"/>
      <c r="H1416"/>
      <c r="I1416"/>
      <c r="J1416"/>
      <c r="K1416"/>
      <c r="L1416"/>
      <c r="M1416"/>
      <c r="S1416" s="54"/>
    </row>
    <row r="1417" spans="1:19" s="15" customFormat="1" x14ac:dyDescent="0.3">
      <c r="A1417" s="17"/>
      <c r="B1417"/>
      <c r="C1417"/>
      <c r="D1417"/>
      <c r="E1417"/>
      <c r="F1417"/>
      <c r="G1417"/>
      <c r="H1417"/>
      <c r="I1417"/>
      <c r="J1417"/>
      <c r="K1417"/>
      <c r="L1417"/>
      <c r="M1417"/>
      <c r="S1417" s="54"/>
    </row>
    <row r="1418" spans="1:19" s="15" customFormat="1" x14ac:dyDescent="0.3">
      <c r="A1418" s="17"/>
      <c r="B1418"/>
      <c r="C1418"/>
      <c r="D1418"/>
      <c r="E1418"/>
      <c r="F1418"/>
      <c r="G1418"/>
      <c r="H1418"/>
      <c r="I1418"/>
      <c r="J1418"/>
      <c r="K1418"/>
      <c r="L1418"/>
      <c r="M1418"/>
      <c r="S1418" s="54"/>
    </row>
    <row r="1419" spans="1:19" s="15" customFormat="1" x14ac:dyDescent="0.3">
      <c r="A1419" s="17"/>
      <c r="B1419"/>
      <c r="C1419"/>
      <c r="D1419"/>
      <c r="E1419"/>
      <c r="F1419"/>
      <c r="G1419"/>
      <c r="H1419"/>
      <c r="I1419"/>
      <c r="J1419"/>
      <c r="K1419"/>
      <c r="L1419"/>
      <c r="M1419"/>
      <c r="S1419" s="54"/>
    </row>
    <row r="1420" spans="1:19" s="15" customFormat="1" x14ac:dyDescent="0.3">
      <c r="A1420" s="17"/>
      <c r="B1420"/>
      <c r="C1420"/>
      <c r="D1420"/>
      <c r="E1420"/>
      <c r="F1420"/>
      <c r="G1420"/>
      <c r="H1420"/>
      <c r="I1420"/>
      <c r="J1420"/>
      <c r="K1420"/>
      <c r="L1420"/>
      <c r="M1420"/>
      <c r="S1420" s="54"/>
    </row>
    <row r="1421" spans="1:19" s="15" customFormat="1" x14ac:dyDescent="0.3">
      <c r="A1421" s="17"/>
      <c r="B1421"/>
      <c r="C1421"/>
      <c r="D1421"/>
      <c r="E1421"/>
      <c r="F1421"/>
      <c r="G1421"/>
      <c r="H1421"/>
      <c r="I1421"/>
      <c r="J1421"/>
      <c r="K1421"/>
      <c r="L1421"/>
      <c r="M1421"/>
      <c r="S1421" s="54"/>
    </row>
    <row r="1422" spans="1:19" s="15" customFormat="1" x14ac:dyDescent="0.3">
      <c r="A1422" s="17"/>
      <c r="B1422"/>
      <c r="C1422"/>
      <c r="D1422"/>
      <c r="E1422"/>
      <c r="F1422"/>
      <c r="G1422"/>
      <c r="H1422"/>
      <c r="I1422"/>
      <c r="J1422"/>
      <c r="K1422"/>
      <c r="L1422"/>
      <c r="M1422"/>
      <c r="S1422" s="54"/>
    </row>
    <row r="1423" spans="1:19" s="15" customFormat="1" x14ac:dyDescent="0.3">
      <c r="A1423" s="17"/>
      <c r="B1423"/>
      <c r="C1423"/>
      <c r="D1423"/>
      <c r="E1423"/>
      <c r="F1423"/>
      <c r="G1423"/>
      <c r="H1423"/>
      <c r="I1423"/>
      <c r="J1423"/>
      <c r="K1423"/>
      <c r="L1423"/>
      <c r="M1423"/>
      <c r="S1423" s="54"/>
    </row>
    <row r="1424" spans="1:19" s="15" customFormat="1" x14ac:dyDescent="0.3">
      <c r="A1424" s="17"/>
      <c r="B1424"/>
      <c r="C1424"/>
      <c r="D1424"/>
      <c r="E1424"/>
      <c r="F1424"/>
      <c r="G1424"/>
      <c r="H1424"/>
      <c r="I1424"/>
      <c r="J1424"/>
      <c r="K1424"/>
      <c r="L1424"/>
      <c r="M1424"/>
      <c r="S1424" s="54"/>
    </row>
    <row r="1425" spans="1:19" s="15" customFormat="1" x14ac:dyDescent="0.3">
      <c r="A1425" s="17"/>
      <c r="B1425"/>
      <c r="C1425"/>
      <c r="D1425"/>
      <c r="E1425"/>
      <c r="F1425"/>
      <c r="G1425"/>
      <c r="H1425"/>
      <c r="I1425"/>
      <c r="J1425"/>
      <c r="K1425"/>
      <c r="L1425"/>
      <c r="M1425"/>
      <c r="S1425" s="54"/>
    </row>
    <row r="1426" spans="1:19" s="15" customFormat="1" x14ac:dyDescent="0.3">
      <c r="A1426" s="17"/>
      <c r="B1426"/>
      <c r="C1426"/>
      <c r="D1426"/>
      <c r="E1426"/>
      <c r="F1426"/>
      <c r="G1426"/>
      <c r="H1426"/>
      <c r="I1426"/>
      <c r="J1426"/>
      <c r="K1426"/>
      <c r="L1426"/>
      <c r="M1426"/>
      <c r="S1426" s="54"/>
    </row>
    <row r="1427" spans="1:19" s="15" customFormat="1" x14ac:dyDescent="0.3">
      <c r="A1427" s="17"/>
      <c r="B1427"/>
      <c r="C1427"/>
      <c r="D1427"/>
      <c r="E1427"/>
      <c r="F1427"/>
      <c r="G1427"/>
      <c r="H1427"/>
      <c r="I1427"/>
      <c r="J1427"/>
      <c r="K1427"/>
      <c r="L1427"/>
      <c r="M1427"/>
      <c r="S1427" s="54"/>
    </row>
    <row r="1428" spans="1:19" s="15" customFormat="1" x14ac:dyDescent="0.3">
      <c r="A1428" s="17"/>
      <c r="B1428"/>
      <c r="C1428"/>
      <c r="D1428"/>
      <c r="E1428"/>
      <c r="F1428"/>
      <c r="G1428"/>
      <c r="H1428"/>
      <c r="I1428"/>
      <c r="J1428"/>
      <c r="K1428"/>
      <c r="L1428"/>
      <c r="M1428"/>
      <c r="S1428" s="54"/>
    </row>
    <row r="1429" spans="1:19" s="15" customFormat="1" x14ac:dyDescent="0.3">
      <c r="A1429" s="17"/>
      <c r="B1429"/>
      <c r="C1429"/>
      <c r="D1429"/>
      <c r="E1429"/>
      <c r="F1429"/>
      <c r="G1429"/>
      <c r="H1429"/>
      <c r="I1429"/>
      <c r="J1429"/>
      <c r="K1429"/>
      <c r="L1429"/>
      <c r="M1429"/>
      <c r="S1429" s="54"/>
    </row>
    <row r="1430" spans="1:19" s="15" customFormat="1" x14ac:dyDescent="0.3">
      <c r="A1430" s="17"/>
      <c r="B1430"/>
      <c r="C1430"/>
      <c r="D1430"/>
      <c r="E1430"/>
      <c r="F1430"/>
      <c r="G1430"/>
      <c r="H1430"/>
      <c r="I1430"/>
      <c r="J1430"/>
      <c r="K1430"/>
      <c r="L1430"/>
      <c r="M1430"/>
      <c r="S1430" s="54"/>
    </row>
    <row r="1431" spans="1:19" s="15" customFormat="1" x14ac:dyDescent="0.3">
      <c r="A1431" s="17"/>
      <c r="B1431"/>
      <c r="C1431"/>
      <c r="D1431"/>
      <c r="E1431"/>
      <c r="F1431"/>
      <c r="G1431"/>
      <c r="H1431"/>
      <c r="I1431"/>
      <c r="J1431"/>
      <c r="K1431"/>
      <c r="L1431"/>
      <c r="M1431"/>
      <c r="S1431" s="54"/>
    </row>
    <row r="1432" spans="1:19" s="15" customFormat="1" x14ac:dyDescent="0.3">
      <c r="A1432" s="17"/>
      <c r="B1432"/>
      <c r="C1432"/>
      <c r="D1432"/>
      <c r="E1432"/>
      <c r="F1432"/>
      <c r="G1432"/>
      <c r="H1432"/>
      <c r="I1432"/>
      <c r="J1432"/>
      <c r="K1432"/>
      <c r="L1432"/>
      <c r="M1432"/>
      <c r="S1432" s="54"/>
    </row>
    <row r="1433" spans="1:19" s="15" customFormat="1" x14ac:dyDescent="0.3">
      <c r="A1433" s="17"/>
      <c r="B1433"/>
      <c r="C1433"/>
      <c r="D1433"/>
      <c r="E1433"/>
      <c r="F1433"/>
      <c r="G1433"/>
      <c r="H1433"/>
      <c r="I1433"/>
      <c r="J1433"/>
      <c r="K1433"/>
      <c r="L1433"/>
      <c r="M1433"/>
      <c r="S1433" s="54"/>
    </row>
    <row r="1434" spans="1:19" s="15" customFormat="1" x14ac:dyDescent="0.3">
      <c r="A1434" s="17"/>
      <c r="B1434"/>
      <c r="C1434"/>
      <c r="D1434"/>
      <c r="E1434"/>
      <c r="F1434"/>
      <c r="G1434"/>
      <c r="H1434"/>
      <c r="I1434"/>
      <c r="J1434"/>
      <c r="K1434"/>
      <c r="L1434"/>
      <c r="M1434"/>
      <c r="S1434" s="54"/>
    </row>
    <row r="1435" spans="1:19" s="15" customFormat="1" x14ac:dyDescent="0.3">
      <c r="A1435" s="17"/>
      <c r="B1435"/>
      <c r="C1435"/>
      <c r="D1435"/>
      <c r="E1435"/>
      <c r="F1435"/>
      <c r="G1435"/>
      <c r="H1435"/>
      <c r="I1435"/>
      <c r="J1435"/>
      <c r="K1435"/>
      <c r="L1435"/>
      <c r="M1435"/>
      <c r="S1435" s="54"/>
    </row>
    <row r="1436" spans="1:19" s="15" customFormat="1" x14ac:dyDescent="0.3">
      <c r="A1436" s="17"/>
      <c r="B1436"/>
      <c r="C1436"/>
      <c r="D1436"/>
      <c r="E1436"/>
      <c r="F1436"/>
      <c r="G1436"/>
      <c r="H1436"/>
      <c r="I1436"/>
      <c r="J1436"/>
      <c r="K1436"/>
      <c r="L1436"/>
      <c r="M1436"/>
      <c r="S1436" s="54"/>
    </row>
    <row r="1437" spans="1:19" s="15" customFormat="1" x14ac:dyDescent="0.3">
      <c r="A1437" s="17"/>
      <c r="B1437"/>
      <c r="C1437"/>
      <c r="D1437"/>
      <c r="E1437"/>
      <c r="F1437"/>
      <c r="G1437"/>
      <c r="H1437"/>
      <c r="I1437"/>
      <c r="J1437"/>
      <c r="K1437"/>
      <c r="L1437"/>
      <c r="M1437"/>
      <c r="S1437" s="54"/>
    </row>
    <row r="1438" spans="1:19" s="15" customFormat="1" x14ac:dyDescent="0.3">
      <c r="A1438" s="17"/>
      <c r="B1438"/>
      <c r="C1438"/>
      <c r="D1438"/>
      <c r="E1438"/>
      <c r="F1438"/>
      <c r="G1438"/>
      <c r="H1438"/>
      <c r="I1438"/>
      <c r="J1438"/>
      <c r="K1438"/>
      <c r="L1438"/>
      <c r="M1438"/>
      <c r="S1438" s="54"/>
    </row>
    <row r="1439" spans="1:19" s="15" customFormat="1" x14ac:dyDescent="0.3">
      <c r="A1439" s="17"/>
      <c r="B1439"/>
      <c r="C1439"/>
      <c r="D1439"/>
      <c r="E1439"/>
      <c r="F1439"/>
      <c r="G1439"/>
      <c r="H1439"/>
      <c r="I1439"/>
      <c r="J1439"/>
      <c r="K1439"/>
      <c r="L1439"/>
      <c r="M1439"/>
      <c r="S1439" s="54"/>
    </row>
    <row r="1440" spans="1:19" s="15" customFormat="1" x14ac:dyDescent="0.3">
      <c r="A1440" s="17"/>
      <c r="B1440"/>
      <c r="C1440"/>
      <c r="D1440"/>
      <c r="E1440"/>
      <c r="F1440"/>
      <c r="G1440"/>
      <c r="H1440"/>
      <c r="I1440"/>
      <c r="J1440"/>
      <c r="K1440"/>
      <c r="L1440"/>
      <c r="M1440"/>
      <c r="S1440" s="54"/>
    </row>
    <row r="1441" spans="1:19" s="15" customFormat="1" x14ac:dyDescent="0.3">
      <c r="A1441" s="17"/>
      <c r="B1441"/>
      <c r="C1441"/>
      <c r="D1441"/>
      <c r="E1441"/>
      <c r="F1441"/>
      <c r="G1441"/>
      <c r="H1441"/>
      <c r="I1441"/>
      <c r="J1441"/>
      <c r="K1441"/>
      <c r="L1441"/>
      <c r="M1441"/>
      <c r="S1441" s="54"/>
    </row>
    <row r="1442" spans="1:19" s="15" customFormat="1" x14ac:dyDescent="0.3">
      <c r="A1442" s="17"/>
      <c r="B1442"/>
      <c r="C1442"/>
      <c r="D1442"/>
      <c r="E1442"/>
      <c r="F1442"/>
      <c r="G1442"/>
      <c r="H1442"/>
      <c r="I1442"/>
      <c r="J1442"/>
      <c r="K1442"/>
      <c r="L1442"/>
      <c r="M1442"/>
      <c r="S1442" s="54"/>
    </row>
    <row r="1443" spans="1:19" s="15" customFormat="1" x14ac:dyDescent="0.3">
      <c r="A1443" s="17"/>
      <c r="B1443"/>
      <c r="C1443"/>
      <c r="D1443"/>
      <c r="E1443"/>
      <c r="F1443"/>
      <c r="G1443"/>
      <c r="H1443"/>
      <c r="I1443"/>
      <c r="J1443"/>
      <c r="K1443"/>
      <c r="L1443"/>
      <c r="M1443"/>
      <c r="S1443" s="54"/>
    </row>
    <row r="1444" spans="1:19" s="15" customFormat="1" x14ac:dyDescent="0.3">
      <c r="A1444" s="17"/>
      <c r="B1444"/>
      <c r="C1444"/>
      <c r="D1444"/>
      <c r="E1444"/>
      <c r="F1444"/>
      <c r="G1444"/>
      <c r="H1444"/>
      <c r="I1444"/>
      <c r="J1444"/>
      <c r="K1444"/>
      <c r="L1444"/>
      <c r="M1444"/>
      <c r="S1444" s="54"/>
    </row>
    <row r="1445" spans="1:19" s="15" customFormat="1" x14ac:dyDescent="0.3">
      <c r="A1445" s="17"/>
      <c r="B1445"/>
      <c r="C1445"/>
      <c r="D1445"/>
      <c r="E1445"/>
      <c r="F1445"/>
      <c r="G1445"/>
      <c r="H1445"/>
      <c r="I1445"/>
      <c r="J1445"/>
      <c r="K1445"/>
      <c r="L1445"/>
      <c r="M1445"/>
      <c r="S1445" s="54"/>
    </row>
    <row r="1446" spans="1:19" s="15" customFormat="1" x14ac:dyDescent="0.3">
      <c r="A1446" s="17"/>
      <c r="B1446"/>
      <c r="C1446"/>
      <c r="D1446"/>
      <c r="E1446"/>
      <c r="F1446"/>
      <c r="G1446"/>
      <c r="H1446"/>
      <c r="I1446"/>
      <c r="J1446"/>
      <c r="K1446"/>
      <c r="L1446"/>
      <c r="M1446"/>
      <c r="S1446" s="54"/>
    </row>
    <row r="1447" spans="1:19" s="15" customFormat="1" x14ac:dyDescent="0.3">
      <c r="A1447" s="17"/>
      <c r="B1447"/>
      <c r="C1447"/>
      <c r="D1447"/>
      <c r="E1447"/>
      <c r="F1447"/>
      <c r="G1447"/>
      <c r="H1447"/>
      <c r="I1447"/>
      <c r="J1447"/>
      <c r="K1447"/>
      <c r="L1447"/>
      <c r="M1447"/>
      <c r="S1447" s="54"/>
    </row>
    <row r="1448" spans="1:19" s="15" customFormat="1" x14ac:dyDescent="0.3">
      <c r="A1448" s="17"/>
      <c r="B1448"/>
      <c r="C1448"/>
      <c r="D1448"/>
      <c r="E1448"/>
      <c r="F1448"/>
      <c r="G1448"/>
      <c r="H1448"/>
      <c r="I1448"/>
      <c r="J1448"/>
      <c r="K1448"/>
      <c r="L1448"/>
      <c r="M1448"/>
      <c r="S1448" s="54"/>
    </row>
    <row r="1449" spans="1:19" s="15" customFormat="1" x14ac:dyDescent="0.3">
      <c r="A1449" s="17"/>
      <c r="B1449"/>
      <c r="C1449"/>
      <c r="D1449"/>
      <c r="E1449"/>
      <c r="F1449"/>
      <c r="G1449"/>
      <c r="H1449"/>
      <c r="I1449"/>
      <c r="J1449"/>
      <c r="K1449"/>
      <c r="L1449"/>
      <c r="M1449"/>
      <c r="S1449" s="54"/>
    </row>
    <row r="1450" spans="1:19" s="15" customFormat="1" x14ac:dyDescent="0.3">
      <c r="A1450" s="17"/>
      <c r="B1450"/>
      <c r="C1450"/>
      <c r="D1450"/>
      <c r="E1450"/>
      <c r="F1450"/>
      <c r="G1450"/>
      <c r="H1450"/>
      <c r="I1450"/>
      <c r="J1450"/>
      <c r="K1450"/>
      <c r="L1450"/>
      <c r="M1450"/>
      <c r="S1450" s="54"/>
    </row>
    <row r="1451" spans="1:19" s="15" customFormat="1" x14ac:dyDescent="0.3">
      <c r="A1451" s="17"/>
      <c r="B1451"/>
      <c r="C1451"/>
      <c r="D1451"/>
      <c r="E1451"/>
      <c r="F1451"/>
      <c r="G1451"/>
      <c r="H1451"/>
      <c r="I1451"/>
      <c r="J1451"/>
      <c r="K1451"/>
      <c r="L1451"/>
      <c r="M1451"/>
      <c r="S1451" s="54"/>
    </row>
    <row r="1452" spans="1:19" s="15" customFormat="1" x14ac:dyDescent="0.3">
      <c r="A1452" s="17"/>
      <c r="B1452"/>
      <c r="C1452"/>
      <c r="D1452"/>
      <c r="E1452"/>
      <c r="F1452"/>
      <c r="G1452"/>
      <c r="H1452"/>
      <c r="I1452"/>
      <c r="J1452"/>
      <c r="K1452"/>
      <c r="L1452"/>
      <c r="M1452"/>
      <c r="S1452" s="54"/>
    </row>
    <row r="1453" spans="1:19" s="15" customFormat="1" x14ac:dyDescent="0.3">
      <c r="A1453" s="17"/>
      <c r="B1453"/>
      <c r="C1453"/>
      <c r="D1453"/>
      <c r="E1453"/>
      <c r="F1453"/>
      <c r="G1453"/>
      <c r="H1453"/>
      <c r="I1453"/>
      <c r="J1453"/>
      <c r="K1453"/>
      <c r="L1453"/>
      <c r="M1453"/>
      <c r="S1453" s="54"/>
    </row>
    <row r="1454" spans="1:19" s="15" customFormat="1" x14ac:dyDescent="0.3">
      <c r="A1454" s="17"/>
      <c r="B1454"/>
      <c r="C1454"/>
      <c r="D1454"/>
      <c r="E1454"/>
      <c r="F1454"/>
      <c r="G1454"/>
      <c r="H1454"/>
      <c r="I1454"/>
      <c r="J1454"/>
      <c r="K1454"/>
      <c r="L1454"/>
      <c r="M1454"/>
      <c r="S1454" s="54"/>
    </row>
    <row r="1455" spans="1:19" s="15" customFormat="1" x14ac:dyDescent="0.3">
      <c r="A1455" s="17"/>
      <c r="B1455"/>
      <c r="C1455"/>
      <c r="D1455"/>
      <c r="E1455"/>
      <c r="F1455"/>
      <c r="G1455"/>
      <c r="H1455"/>
      <c r="I1455"/>
      <c r="J1455"/>
      <c r="K1455"/>
      <c r="L1455"/>
      <c r="M1455"/>
      <c r="S1455" s="54"/>
    </row>
    <row r="1456" spans="1:19" s="15" customFormat="1" x14ac:dyDescent="0.3">
      <c r="A1456" s="17"/>
      <c r="B1456"/>
      <c r="C1456"/>
      <c r="D1456"/>
      <c r="E1456"/>
      <c r="F1456"/>
      <c r="G1456"/>
      <c r="H1456"/>
      <c r="I1456"/>
      <c r="J1456"/>
      <c r="K1456"/>
      <c r="L1456"/>
      <c r="M1456"/>
      <c r="S1456" s="54"/>
    </row>
    <row r="1457" spans="1:19" s="15" customFormat="1" x14ac:dyDescent="0.3">
      <c r="A1457" s="17"/>
      <c r="B1457"/>
      <c r="C1457"/>
      <c r="D1457"/>
      <c r="E1457"/>
      <c r="F1457"/>
      <c r="G1457"/>
      <c r="H1457"/>
      <c r="I1457"/>
      <c r="J1457"/>
      <c r="K1457"/>
      <c r="L1457"/>
      <c r="M1457"/>
      <c r="S1457" s="54"/>
    </row>
    <row r="1458" spans="1:19" s="15" customFormat="1" x14ac:dyDescent="0.3">
      <c r="A1458" s="17"/>
      <c r="B1458"/>
      <c r="C1458"/>
      <c r="D1458"/>
      <c r="E1458"/>
      <c r="F1458"/>
      <c r="G1458"/>
      <c r="H1458"/>
      <c r="I1458"/>
      <c r="J1458"/>
      <c r="K1458"/>
      <c r="L1458"/>
      <c r="M1458"/>
      <c r="S1458" s="54"/>
    </row>
    <row r="1459" spans="1:19" s="15" customFormat="1" x14ac:dyDescent="0.3">
      <c r="A1459" s="17"/>
      <c r="B1459"/>
      <c r="C1459"/>
      <c r="D1459"/>
      <c r="E1459"/>
      <c r="F1459"/>
      <c r="G1459"/>
      <c r="H1459"/>
      <c r="I1459"/>
      <c r="J1459"/>
      <c r="K1459"/>
      <c r="L1459"/>
      <c r="M1459"/>
      <c r="S1459" s="54"/>
    </row>
    <row r="1460" spans="1:19" s="15" customFormat="1" x14ac:dyDescent="0.3">
      <c r="A1460" s="17"/>
      <c r="B1460"/>
      <c r="C1460"/>
      <c r="D1460"/>
      <c r="E1460"/>
      <c r="F1460"/>
      <c r="G1460"/>
      <c r="H1460"/>
      <c r="I1460"/>
      <c r="J1460"/>
      <c r="K1460"/>
      <c r="L1460"/>
      <c r="M1460"/>
      <c r="S1460" s="54"/>
    </row>
    <row r="1461" spans="1:19" s="15" customFormat="1" x14ac:dyDescent="0.3">
      <c r="A1461" s="17"/>
      <c r="B1461"/>
      <c r="C1461"/>
      <c r="D1461"/>
      <c r="E1461"/>
      <c r="F1461"/>
      <c r="G1461"/>
      <c r="H1461"/>
      <c r="I1461"/>
      <c r="J1461"/>
      <c r="K1461"/>
      <c r="L1461"/>
      <c r="M1461"/>
      <c r="S1461" s="54"/>
    </row>
    <row r="1462" spans="1:19" s="15" customFormat="1" x14ac:dyDescent="0.3">
      <c r="A1462" s="17"/>
      <c r="B1462"/>
      <c r="C1462"/>
      <c r="D1462"/>
      <c r="E1462"/>
      <c r="F1462"/>
      <c r="G1462"/>
      <c r="H1462"/>
      <c r="I1462"/>
      <c r="J1462"/>
      <c r="K1462"/>
      <c r="L1462"/>
      <c r="M1462"/>
      <c r="S1462" s="54"/>
    </row>
    <row r="1463" spans="1:19" s="15" customFormat="1" x14ac:dyDescent="0.3">
      <c r="A1463" s="17"/>
      <c r="B1463"/>
      <c r="C1463"/>
      <c r="D1463"/>
      <c r="E1463"/>
      <c r="F1463"/>
      <c r="G1463"/>
      <c r="H1463"/>
      <c r="I1463"/>
      <c r="J1463"/>
      <c r="K1463"/>
      <c r="L1463"/>
      <c r="M1463"/>
      <c r="S1463" s="54"/>
    </row>
    <row r="1464" spans="1:19" s="15" customFormat="1" x14ac:dyDescent="0.3">
      <c r="A1464" s="17"/>
      <c r="B1464"/>
      <c r="C1464"/>
      <c r="D1464"/>
      <c r="E1464"/>
      <c r="F1464"/>
      <c r="G1464"/>
      <c r="H1464"/>
      <c r="I1464"/>
      <c r="J1464"/>
      <c r="K1464"/>
      <c r="L1464"/>
      <c r="M1464"/>
      <c r="S1464" s="54"/>
    </row>
    <row r="1465" spans="1:19" s="15" customFormat="1" x14ac:dyDescent="0.3">
      <c r="A1465" s="17"/>
      <c r="B1465"/>
      <c r="C1465"/>
      <c r="D1465"/>
      <c r="E1465"/>
      <c r="F1465"/>
      <c r="G1465"/>
      <c r="H1465"/>
      <c r="I1465"/>
      <c r="J1465"/>
      <c r="K1465"/>
      <c r="L1465"/>
      <c r="M1465"/>
      <c r="S1465" s="54"/>
    </row>
    <row r="1466" spans="1:19" s="15" customFormat="1" x14ac:dyDescent="0.3">
      <c r="A1466" s="17"/>
      <c r="B1466"/>
      <c r="C1466"/>
      <c r="D1466"/>
      <c r="E1466"/>
      <c r="F1466"/>
      <c r="G1466"/>
      <c r="H1466"/>
      <c r="I1466"/>
      <c r="J1466"/>
      <c r="K1466"/>
      <c r="L1466"/>
      <c r="M1466"/>
      <c r="S1466" s="54"/>
    </row>
    <row r="1467" spans="1:19" s="15" customFormat="1" x14ac:dyDescent="0.3">
      <c r="A1467" s="17"/>
      <c r="B1467"/>
      <c r="C1467"/>
      <c r="D1467"/>
      <c r="E1467"/>
      <c r="F1467"/>
      <c r="G1467"/>
      <c r="H1467"/>
      <c r="I1467"/>
      <c r="J1467"/>
      <c r="K1467"/>
      <c r="L1467"/>
      <c r="M1467"/>
      <c r="S1467" s="54"/>
    </row>
    <row r="1468" spans="1:19" s="15" customFormat="1" x14ac:dyDescent="0.3">
      <c r="A1468" s="17"/>
      <c r="B1468"/>
      <c r="C1468"/>
      <c r="D1468"/>
      <c r="E1468"/>
      <c r="F1468"/>
      <c r="G1468"/>
      <c r="H1468"/>
      <c r="I1468"/>
      <c r="J1468"/>
      <c r="K1468"/>
      <c r="L1468"/>
      <c r="M1468"/>
      <c r="S1468" s="54"/>
    </row>
    <row r="1469" spans="1:19" s="15" customFormat="1" x14ac:dyDescent="0.3">
      <c r="A1469" s="17"/>
      <c r="B1469"/>
      <c r="C1469"/>
      <c r="D1469"/>
      <c r="E1469"/>
      <c r="F1469"/>
      <c r="G1469"/>
      <c r="H1469"/>
      <c r="I1469"/>
      <c r="J1469"/>
      <c r="K1469"/>
      <c r="L1469"/>
      <c r="M1469"/>
      <c r="S1469" s="54"/>
    </row>
    <row r="1470" spans="1:19" s="15" customFormat="1" x14ac:dyDescent="0.3">
      <c r="A1470" s="17"/>
      <c r="B1470"/>
      <c r="C1470"/>
      <c r="D1470"/>
      <c r="E1470"/>
      <c r="F1470"/>
      <c r="G1470"/>
      <c r="H1470"/>
      <c r="I1470"/>
      <c r="J1470"/>
      <c r="K1470"/>
      <c r="L1470"/>
      <c r="M1470"/>
      <c r="S1470" s="54"/>
    </row>
    <row r="1471" spans="1:19" s="15" customFormat="1" x14ac:dyDescent="0.3">
      <c r="A1471" s="17"/>
      <c r="B1471"/>
      <c r="C1471"/>
      <c r="D1471"/>
      <c r="E1471"/>
      <c r="F1471"/>
      <c r="G1471"/>
      <c r="H1471"/>
      <c r="I1471"/>
      <c r="J1471"/>
      <c r="K1471"/>
      <c r="L1471"/>
      <c r="M1471"/>
      <c r="S1471" s="54"/>
    </row>
    <row r="1472" spans="1:19" s="15" customFormat="1" x14ac:dyDescent="0.3">
      <c r="A1472" s="17"/>
      <c r="B1472"/>
      <c r="C1472"/>
      <c r="D1472"/>
      <c r="E1472"/>
      <c r="F1472"/>
      <c r="G1472"/>
      <c r="H1472"/>
      <c r="I1472"/>
      <c r="J1472"/>
      <c r="K1472"/>
      <c r="L1472"/>
      <c r="M1472"/>
      <c r="S1472" s="54"/>
    </row>
    <row r="1473" spans="1:19" s="15" customFormat="1" x14ac:dyDescent="0.3">
      <c r="A1473" s="17"/>
      <c r="B1473"/>
      <c r="C1473"/>
      <c r="D1473"/>
      <c r="E1473"/>
      <c r="F1473"/>
      <c r="G1473"/>
      <c r="H1473"/>
      <c r="I1473"/>
      <c r="J1473"/>
      <c r="K1473"/>
      <c r="L1473"/>
      <c r="M1473"/>
      <c r="S1473" s="54"/>
    </row>
    <row r="1474" spans="1:19" s="15" customFormat="1" x14ac:dyDescent="0.3">
      <c r="A1474" s="17"/>
      <c r="B1474"/>
      <c r="C1474"/>
      <c r="D1474"/>
      <c r="E1474"/>
      <c r="F1474"/>
      <c r="G1474"/>
      <c r="H1474"/>
      <c r="I1474"/>
      <c r="J1474"/>
      <c r="K1474"/>
      <c r="L1474"/>
      <c r="M1474"/>
      <c r="S1474" s="54"/>
    </row>
    <row r="1475" spans="1:19" s="15" customFormat="1" x14ac:dyDescent="0.3">
      <c r="A1475" s="17"/>
      <c r="B1475"/>
      <c r="C1475"/>
      <c r="D1475"/>
      <c r="E1475"/>
      <c r="F1475"/>
      <c r="G1475"/>
      <c r="H1475"/>
      <c r="I1475"/>
      <c r="J1475"/>
      <c r="K1475"/>
      <c r="L1475"/>
      <c r="M1475"/>
      <c r="S1475" s="54"/>
    </row>
    <row r="1476" spans="1:19" s="15" customFormat="1" x14ac:dyDescent="0.3">
      <c r="A1476" s="17"/>
      <c r="B1476"/>
      <c r="C1476"/>
      <c r="D1476"/>
      <c r="E1476"/>
      <c r="F1476"/>
      <c r="G1476"/>
      <c r="H1476"/>
      <c r="I1476"/>
      <c r="J1476"/>
      <c r="K1476"/>
      <c r="L1476"/>
      <c r="M1476"/>
      <c r="S1476" s="54"/>
    </row>
    <row r="1477" spans="1:19" s="15" customFormat="1" x14ac:dyDescent="0.3">
      <c r="A1477" s="17"/>
      <c r="B1477"/>
      <c r="C1477"/>
      <c r="D1477"/>
      <c r="E1477"/>
      <c r="F1477"/>
      <c r="G1477"/>
      <c r="H1477"/>
      <c r="I1477"/>
      <c r="J1477"/>
      <c r="K1477"/>
      <c r="L1477"/>
      <c r="M1477"/>
      <c r="S1477" s="54"/>
    </row>
    <row r="1478" spans="1:19" s="15" customFormat="1" x14ac:dyDescent="0.3">
      <c r="A1478" s="17"/>
      <c r="B1478"/>
      <c r="C1478"/>
      <c r="D1478"/>
      <c r="E1478"/>
      <c r="F1478"/>
      <c r="G1478"/>
      <c r="H1478"/>
      <c r="I1478"/>
      <c r="J1478"/>
      <c r="K1478"/>
      <c r="L1478"/>
      <c r="M1478"/>
      <c r="S1478" s="54"/>
    </row>
    <row r="1479" spans="1:19" s="15" customFormat="1" x14ac:dyDescent="0.3">
      <c r="A1479" s="17"/>
      <c r="B1479"/>
      <c r="C1479"/>
      <c r="D1479"/>
      <c r="E1479"/>
      <c r="F1479"/>
      <c r="G1479"/>
      <c r="H1479"/>
      <c r="I1479"/>
      <c r="J1479"/>
      <c r="K1479"/>
      <c r="L1479"/>
      <c r="M1479"/>
      <c r="S1479" s="54"/>
    </row>
    <row r="1480" spans="1:19" s="15" customFormat="1" x14ac:dyDescent="0.3">
      <c r="A1480" s="17"/>
      <c r="B1480"/>
      <c r="C1480"/>
      <c r="D1480"/>
      <c r="E1480"/>
      <c r="F1480"/>
      <c r="G1480"/>
      <c r="H1480"/>
      <c r="I1480"/>
      <c r="J1480"/>
      <c r="K1480"/>
      <c r="L1480"/>
      <c r="M1480"/>
      <c r="S1480" s="54"/>
    </row>
    <row r="1481" spans="1:19" s="15" customFormat="1" x14ac:dyDescent="0.3">
      <c r="A1481" s="17"/>
      <c r="B1481"/>
      <c r="C1481"/>
      <c r="D1481"/>
      <c r="E1481"/>
      <c r="F1481"/>
      <c r="G1481"/>
      <c r="H1481"/>
      <c r="I1481"/>
      <c r="J1481"/>
      <c r="K1481"/>
      <c r="L1481"/>
      <c r="M1481"/>
      <c r="S1481" s="54"/>
    </row>
    <row r="1482" spans="1:19" s="15" customFormat="1" x14ac:dyDescent="0.3">
      <c r="A1482" s="17"/>
      <c r="B1482"/>
      <c r="C1482"/>
      <c r="D1482"/>
      <c r="E1482"/>
      <c r="F1482"/>
      <c r="G1482"/>
      <c r="H1482"/>
      <c r="I1482"/>
      <c r="J1482"/>
      <c r="K1482"/>
      <c r="L1482"/>
      <c r="M1482"/>
      <c r="S1482" s="54"/>
    </row>
    <row r="1483" spans="1:19" s="15" customFormat="1" x14ac:dyDescent="0.3">
      <c r="A1483" s="17"/>
      <c r="B1483"/>
      <c r="C1483"/>
      <c r="D1483"/>
      <c r="E1483"/>
      <c r="F1483"/>
      <c r="G1483"/>
      <c r="H1483"/>
      <c r="I1483"/>
      <c r="J1483"/>
      <c r="K1483"/>
      <c r="L1483"/>
      <c r="M1483"/>
      <c r="S1483" s="54"/>
    </row>
    <row r="1484" spans="1:19" s="15" customFormat="1" x14ac:dyDescent="0.3">
      <c r="A1484" s="17"/>
      <c r="B1484"/>
      <c r="C1484"/>
      <c r="D1484"/>
      <c r="E1484"/>
      <c r="F1484"/>
      <c r="G1484"/>
      <c r="H1484"/>
      <c r="I1484"/>
      <c r="J1484"/>
      <c r="K1484"/>
      <c r="L1484"/>
      <c r="M1484"/>
      <c r="S1484" s="54"/>
    </row>
    <row r="1485" spans="1:19" s="15" customFormat="1" x14ac:dyDescent="0.3">
      <c r="A1485" s="17"/>
      <c r="B1485"/>
      <c r="C1485"/>
      <c r="D1485"/>
      <c r="E1485"/>
      <c r="F1485"/>
      <c r="G1485"/>
      <c r="H1485"/>
      <c r="I1485"/>
      <c r="J1485"/>
      <c r="K1485"/>
      <c r="L1485"/>
      <c r="M1485"/>
      <c r="S1485" s="54"/>
    </row>
    <row r="1486" spans="1:19" s="15" customFormat="1" x14ac:dyDescent="0.3">
      <c r="A1486" s="17"/>
      <c r="B1486"/>
      <c r="C1486"/>
      <c r="D1486"/>
      <c r="E1486"/>
      <c r="F1486"/>
      <c r="G1486"/>
      <c r="H1486"/>
      <c r="I1486"/>
      <c r="J1486"/>
      <c r="K1486"/>
      <c r="L1486"/>
      <c r="M1486"/>
      <c r="S1486" s="54"/>
    </row>
    <row r="1487" spans="1:19" s="15" customFormat="1" x14ac:dyDescent="0.3">
      <c r="A1487" s="17"/>
      <c r="B1487"/>
      <c r="C1487"/>
      <c r="D1487"/>
      <c r="E1487"/>
      <c r="F1487"/>
      <c r="G1487"/>
      <c r="H1487"/>
      <c r="I1487"/>
      <c r="J1487"/>
      <c r="K1487"/>
      <c r="L1487"/>
      <c r="M1487"/>
      <c r="S1487" s="54"/>
    </row>
    <row r="1488" spans="1:19" s="15" customFormat="1" x14ac:dyDescent="0.3">
      <c r="A1488" s="17"/>
      <c r="B1488"/>
      <c r="C1488"/>
      <c r="D1488"/>
      <c r="E1488"/>
      <c r="F1488"/>
      <c r="G1488"/>
      <c r="H1488"/>
      <c r="I1488"/>
      <c r="J1488"/>
      <c r="K1488"/>
      <c r="L1488"/>
      <c r="M1488"/>
      <c r="S1488" s="54"/>
    </row>
    <row r="1489" spans="1:19" s="15" customFormat="1" x14ac:dyDescent="0.3">
      <c r="A1489" s="17"/>
      <c r="B1489"/>
      <c r="C1489"/>
      <c r="D1489"/>
      <c r="E1489"/>
      <c r="F1489"/>
      <c r="G1489"/>
      <c r="H1489"/>
      <c r="I1489"/>
      <c r="J1489"/>
      <c r="K1489"/>
      <c r="L1489"/>
      <c r="M1489"/>
      <c r="S1489" s="54"/>
    </row>
    <row r="1490" spans="1:19" s="15" customFormat="1" x14ac:dyDescent="0.3">
      <c r="A1490" s="17"/>
      <c r="B1490"/>
      <c r="C1490"/>
      <c r="D1490"/>
      <c r="E1490"/>
      <c r="F1490"/>
      <c r="G1490"/>
      <c r="H1490"/>
      <c r="I1490"/>
      <c r="J1490"/>
      <c r="K1490"/>
      <c r="L1490"/>
      <c r="M1490"/>
      <c r="S1490" s="54"/>
    </row>
    <row r="1491" spans="1:19" s="15" customFormat="1" x14ac:dyDescent="0.3">
      <c r="A1491" s="17"/>
      <c r="B1491"/>
      <c r="C1491"/>
      <c r="D1491"/>
      <c r="E1491"/>
      <c r="F1491"/>
      <c r="G1491"/>
      <c r="H1491"/>
      <c r="I1491"/>
      <c r="J1491"/>
      <c r="K1491"/>
      <c r="L1491"/>
      <c r="M1491"/>
      <c r="S1491" s="54"/>
    </row>
    <row r="1492" spans="1:19" s="15" customFormat="1" x14ac:dyDescent="0.3">
      <c r="A1492" s="17"/>
      <c r="B1492"/>
      <c r="C1492"/>
      <c r="D1492"/>
      <c r="E1492"/>
      <c r="F1492"/>
      <c r="G1492"/>
      <c r="H1492"/>
      <c r="I1492"/>
      <c r="J1492"/>
      <c r="K1492"/>
      <c r="L1492"/>
      <c r="M1492"/>
      <c r="S1492" s="54"/>
    </row>
    <row r="1493" spans="1:19" s="15" customFormat="1" x14ac:dyDescent="0.3">
      <c r="A1493" s="17"/>
      <c r="B1493"/>
      <c r="C1493"/>
      <c r="D1493"/>
      <c r="E1493"/>
      <c r="F1493"/>
      <c r="G1493"/>
      <c r="H1493"/>
      <c r="I1493"/>
      <c r="J1493"/>
      <c r="K1493"/>
      <c r="L1493"/>
      <c r="M1493"/>
      <c r="S1493" s="54"/>
    </row>
    <row r="1494" spans="1:19" s="15" customFormat="1" x14ac:dyDescent="0.3">
      <c r="A1494" s="17"/>
      <c r="B1494"/>
      <c r="C1494"/>
      <c r="D1494"/>
      <c r="E1494"/>
      <c r="F1494"/>
      <c r="G1494"/>
      <c r="H1494"/>
      <c r="I1494"/>
      <c r="J1494"/>
      <c r="K1494"/>
      <c r="L1494"/>
      <c r="M1494"/>
      <c r="S1494" s="54"/>
    </row>
    <row r="1495" spans="1:19" s="15" customFormat="1" x14ac:dyDescent="0.3">
      <c r="A1495" s="17"/>
      <c r="B1495"/>
      <c r="C1495"/>
      <c r="D1495"/>
      <c r="E1495"/>
      <c r="F1495"/>
      <c r="G1495"/>
      <c r="H1495"/>
      <c r="I1495"/>
      <c r="J1495"/>
      <c r="K1495"/>
      <c r="L1495"/>
      <c r="M1495"/>
      <c r="S1495" s="54"/>
    </row>
    <row r="1496" spans="1:19" s="15" customFormat="1" x14ac:dyDescent="0.3">
      <c r="A1496" s="17"/>
      <c r="B1496"/>
      <c r="C1496"/>
      <c r="D1496"/>
      <c r="E1496"/>
      <c r="F1496"/>
      <c r="G1496"/>
      <c r="H1496"/>
      <c r="I1496"/>
      <c r="J1496"/>
      <c r="K1496"/>
      <c r="L1496"/>
      <c r="M1496"/>
      <c r="S1496" s="54"/>
    </row>
    <row r="1497" spans="1:19" s="15" customFormat="1" x14ac:dyDescent="0.3">
      <c r="A1497" s="17"/>
      <c r="B1497"/>
      <c r="C1497"/>
      <c r="D1497"/>
      <c r="E1497"/>
      <c r="F1497"/>
      <c r="G1497"/>
      <c r="H1497"/>
      <c r="I1497"/>
      <c r="J1497"/>
      <c r="K1497"/>
      <c r="L1497"/>
      <c r="M1497"/>
      <c r="S1497" s="54"/>
    </row>
    <row r="1498" spans="1:19" s="15" customFormat="1" x14ac:dyDescent="0.3">
      <c r="A1498" s="17"/>
      <c r="B1498"/>
      <c r="C1498"/>
      <c r="D1498"/>
      <c r="E1498"/>
      <c r="F1498"/>
      <c r="G1498"/>
      <c r="H1498"/>
      <c r="I1498"/>
      <c r="J1498"/>
      <c r="K1498"/>
      <c r="L1498"/>
      <c r="M1498"/>
      <c r="S1498" s="54"/>
    </row>
    <row r="1499" spans="1:19" s="15" customFormat="1" x14ac:dyDescent="0.3">
      <c r="A1499" s="17"/>
      <c r="B1499"/>
      <c r="C1499"/>
      <c r="D1499"/>
      <c r="E1499"/>
      <c r="F1499"/>
      <c r="G1499"/>
      <c r="H1499"/>
      <c r="I1499"/>
      <c r="J1499"/>
      <c r="K1499"/>
      <c r="L1499"/>
      <c r="M1499"/>
      <c r="S1499" s="54"/>
    </row>
    <row r="1500" spans="1:19" s="15" customFormat="1" x14ac:dyDescent="0.3">
      <c r="A1500" s="17"/>
      <c r="B1500"/>
      <c r="C1500"/>
      <c r="D1500"/>
      <c r="E1500"/>
      <c r="F1500"/>
      <c r="G1500"/>
      <c r="H1500"/>
      <c r="I1500"/>
      <c r="J1500"/>
      <c r="K1500"/>
      <c r="L1500"/>
      <c r="M1500"/>
      <c r="S1500" s="54"/>
    </row>
    <row r="1501" spans="1:19" s="15" customFormat="1" x14ac:dyDescent="0.3">
      <c r="A1501" s="17"/>
      <c r="B1501"/>
      <c r="C1501"/>
      <c r="D1501"/>
      <c r="E1501"/>
      <c r="F1501"/>
      <c r="G1501"/>
      <c r="H1501"/>
      <c r="I1501"/>
      <c r="J1501"/>
      <c r="K1501"/>
      <c r="L1501"/>
      <c r="M1501"/>
      <c r="S1501" s="54"/>
    </row>
    <row r="1502" spans="1:19" s="15" customFormat="1" x14ac:dyDescent="0.3">
      <c r="A1502" s="17"/>
      <c r="B1502"/>
      <c r="C1502"/>
      <c r="D1502"/>
      <c r="E1502"/>
      <c r="F1502"/>
      <c r="G1502"/>
      <c r="H1502"/>
      <c r="I1502"/>
      <c r="J1502"/>
      <c r="K1502"/>
      <c r="L1502"/>
      <c r="M1502"/>
      <c r="S1502" s="54"/>
    </row>
    <row r="1503" spans="1:19" s="15" customFormat="1" x14ac:dyDescent="0.3">
      <c r="A1503" s="17"/>
      <c r="B1503"/>
      <c r="C1503"/>
      <c r="D1503"/>
      <c r="E1503"/>
      <c r="F1503"/>
      <c r="G1503"/>
      <c r="H1503"/>
      <c r="I1503"/>
      <c r="J1503"/>
      <c r="K1503"/>
      <c r="L1503"/>
      <c r="M1503"/>
      <c r="S1503" s="54"/>
    </row>
    <row r="1504" spans="1:19" s="15" customFormat="1" x14ac:dyDescent="0.3">
      <c r="A1504" s="17"/>
      <c r="B1504"/>
      <c r="C1504"/>
      <c r="D1504"/>
      <c r="E1504"/>
      <c r="F1504"/>
      <c r="G1504"/>
      <c r="H1504"/>
      <c r="I1504"/>
      <c r="J1504"/>
      <c r="K1504"/>
      <c r="L1504"/>
      <c r="M1504"/>
      <c r="S1504" s="54"/>
    </row>
    <row r="1505" spans="1:19" s="15" customFormat="1" x14ac:dyDescent="0.3">
      <c r="A1505" s="17"/>
      <c r="B1505"/>
      <c r="C1505"/>
      <c r="D1505"/>
      <c r="E1505"/>
      <c r="F1505"/>
      <c r="G1505"/>
      <c r="H1505"/>
      <c r="I1505"/>
      <c r="J1505"/>
      <c r="K1505"/>
      <c r="L1505"/>
      <c r="M1505"/>
      <c r="S1505" s="54"/>
    </row>
    <row r="1506" spans="1:19" s="15" customFormat="1" x14ac:dyDescent="0.3">
      <c r="A1506" s="17"/>
      <c r="B1506"/>
      <c r="C1506"/>
      <c r="D1506"/>
      <c r="E1506"/>
      <c r="F1506"/>
      <c r="G1506"/>
      <c r="H1506"/>
      <c r="I1506"/>
      <c r="J1506"/>
      <c r="K1506"/>
      <c r="L1506"/>
      <c r="M1506"/>
      <c r="S1506" s="54"/>
    </row>
    <row r="1507" spans="1:19" s="15" customFormat="1" x14ac:dyDescent="0.3">
      <c r="A1507" s="17"/>
      <c r="B1507"/>
      <c r="C1507"/>
      <c r="D1507"/>
      <c r="E1507"/>
      <c r="F1507"/>
      <c r="G1507"/>
      <c r="H1507"/>
      <c r="I1507"/>
      <c r="J1507"/>
      <c r="K1507"/>
      <c r="L1507"/>
      <c r="M1507"/>
      <c r="S1507" s="54"/>
    </row>
    <row r="1508" spans="1:19" s="15" customFormat="1" x14ac:dyDescent="0.3">
      <c r="A1508" s="17"/>
      <c r="B1508"/>
      <c r="C1508"/>
      <c r="D1508"/>
      <c r="E1508"/>
      <c r="F1508"/>
      <c r="G1508"/>
      <c r="H1508"/>
      <c r="I1508"/>
      <c r="J1508"/>
      <c r="K1508"/>
      <c r="L1508"/>
      <c r="M1508"/>
      <c r="S1508" s="54"/>
    </row>
    <row r="1509" spans="1:19" s="15" customFormat="1" x14ac:dyDescent="0.3">
      <c r="A1509" s="17"/>
      <c r="B1509"/>
      <c r="C1509"/>
      <c r="D1509"/>
      <c r="E1509"/>
      <c r="F1509"/>
      <c r="G1509"/>
      <c r="H1509"/>
      <c r="I1509"/>
      <c r="J1509"/>
      <c r="K1509"/>
      <c r="L1509"/>
      <c r="M1509"/>
      <c r="S1509" s="54"/>
    </row>
    <row r="1510" spans="1:19" s="15" customFormat="1" x14ac:dyDescent="0.3">
      <c r="A1510" s="17"/>
      <c r="B1510"/>
      <c r="C1510"/>
      <c r="D1510"/>
      <c r="E1510"/>
      <c r="F1510"/>
      <c r="G1510"/>
      <c r="H1510"/>
      <c r="I1510"/>
      <c r="J1510"/>
      <c r="K1510"/>
      <c r="L1510"/>
      <c r="M1510"/>
      <c r="S1510" s="54"/>
    </row>
    <row r="1511" spans="1:19" s="15" customFormat="1" x14ac:dyDescent="0.3">
      <c r="A1511" s="17"/>
      <c r="B1511"/>
      <c r="C1511"/>
      <c r="D1511"/>
      <c r="E1511"/>
      <c r="F1511"/>
      <c r="G1511"/>
      <c r="H1511"/>
      <c r="I1511"/>
      <c r="J1511"/>
      <c r="K1511"/>
      <c r="L1511"/>
      <c r="M1511"/>
      <c r="S1511" s="54"/>
    </row>
    <row r="1512" spans="1:19" s="15" customFormat="1" x14ac:dyDescent="0.3">
      <c r="A1512" s="17"/>
      <c r="B1512"/>
      <c r="C1512"/>
      <c r="D1512"/>
      <c r="E1512"/>
      <c r="F1512"/>
      <c r="G1512"/>
      <c r="H1512"/>
      <c r="I1512"/>
      <c r="J1512"/>
      <c r="K1512"/>
      <c r="L1512"/>
      <c r="M1512"/>
      <c r="S1512" s="54"/>
    </row>
    <row r="1513" spans="1:19" s="15" customFormat="1" x14ac:dyDescent="0.3">
      <c r="A1513" s="17"/>
      <c r="B1513"/>
      <c r="C1513"/>
      <c r="D1513"/>
      <c r="E1513"/>
      <c r="F1513"/>
      <c r="G1513"/>
      <c r="H1513"/>
      <c r="I1513"/>
      <c r="J1513"/>
      <c r="K1513"/>
      <c r="L1513"/>
      <c r="M1513"/>
      <c r="S1513" s="54"/>
    </row>
    <row r="1514" spans="1:19" s="15" customFormat="1" x14ac:dyDescent="0.3">
      <c r="A1514" s="17"/>
      <c r="B1514"/>
      <c r="C1514"/>
      <c r="D1514"/>
      <c r="E1514"/>
      <c r="F1514"/>
      <c r="G1514"/>
      <c r="H1514"/>
      <c r="I1514"/>
      <c r="J1514"/>
      <c r="K1514"/>
      <c r="L1514"/>
      <c r="M1514"/>
      <c r="S1514" s="54"/>
    </row>
    <row r="1515" spans="1:19" s="15" customFormat="1" x14ac:dyDescent="0.3">
      <c r="A1515" s="17"/>
      <c r="B1515"/>
      <c r="C1515"/>
      <c r="D1515"/>
      <c r="E1515"/>
      <c r="F1515"/>
      <c r="G1515"/>
      <c r="H1515"/>
      <c r="I1515"/>
      <c r="J1515"/>
      <c r="K1515"/>
      <c r="L1515"/>
      <c r="M1515"/>
      <c r="S1515" s="54"/>
    </row>
    <row r="1516" spans="1:19" s="15" customFormat="1" x14ac:dyDescent="0.3">
      <c r="A1516" s="17"/>
      <c r="B1516"/>
      <c r="C1516"/>
      <c r="D1516"/>
      <c r="E1516"/>
      <c r="F1516"/>
      <c r="G1516"/>
      <c r="H1516"/>
      <c r="I1516"/>
      <c r="J1516"/>
      <c r="K1516"/>
      <c r="L1516"/>
      <c r="M1516"/>
      <c r="S1516" s="54"/>
    </row>
    <row r="1517" spans="1:19" s="15" customFormat="1" x14ac:dyDescent="0.3">
      <c r="A1517" s="17"/>
      <c r="B1517"/>
      <c r="C1517"/>
      <c r="D1517"/>
      <c r="E1517"/>
      <c r="F1517"/>
      <c r="G1517"/>
      <c r="H1517"/>
      <c r="I1517"/>
      <c r="J1517"/>
      <c r="K1517"/>
      <c r="L1517"/>
      <c r="M1517"/>
      <c r="S1517" s="54"/>
    </row>
    <row r="1518" spans="1:19" s="15" customFormat="1" x14ac:dyDescent="0.3">
      <c r="A1518" s="17"/>
      <c r="B1518"/>
      <c r="C1518"/>
      <c r="D1518"/>
      <c r="E1518"/>
      <c r="F1518"/>
      <c r="G1518"/>
      <c r="H1518"/>
      <c r="I1518"/>
      <c r="J1518"/>
      <c r="K1518"/>
      <c r="L1518"/>
      <c r="M1518"/>
      <c r="S1518" s="54"/>
    </row>
    <row r="1519" spans="1:19" s="15" customFormat="1" x14ac:dyDescent="0.3">
      <c r="A1519" s="17"/>
      <c r="B1519"/>
      <c r="C1519"/>
      <c r="D1519"/>
      <c r="E1519"/>
      <c r="F1519"/>
      <c r="G1519"/>
      <c r="H1519"/>
      <c r="I1519"/>
      <c r="J1519"/>
      <c r="K1519"/>
      <c r="L1519"/>
      <c r="M1519"/>
      <c r="S1519" s="54"/>
    </row>
    <row r="1520" spans="1:19" s="15" customFormat="1" x14ac:dyDescent="0.3">
      <c r="A1520" s="17"/>
      <c r="B1520"/>
      <c r="C1520"/>
      <c r="D1520"/>
      <c r="E1520"/>
      <c r="F1520"/>
      <c r="G1520"/>
      <c r="H1520"/>
      <c r="I1520"/>
      <c r="J1520"/>
      <c r="K1520"/>
      <c r="L1520"/>
      <c r="M1520"/>
      <c r="S1520" s="54"/>
    </row>
    <row r="1521" spans="1:19" s="15" customFormat="1" x14ac:dyDescent="0.3">
      <c r="A1521" s="17"/>
      <c r="B1521"/>
      <c r="C1521"/>
      <c r="D1521"/>
      <c r="E1521"/>
      <c r="F1521"/>
      <c r="G1521"/>
      <c r="H1521"/>
      <c r="I1521"/>
      <c r="J1521"/>
      <c r="K1521"/>
      <c r="L1521"/>
      <c r="M1521"/>
      <c r="S1521" s="54"/>
    </row>
    <row r="1522" spans="1:19" s="15" customFormat="1" x14ac:dyDescent="0.3">
      <c r="A1522" s="17"/>
      <c r="B1522"/>
      <c r="C1522"/>
      <c r="D1522"/>
      <c r="E1522"/>
      <c r="F1522"/>
      <c r="G1522"/>
      <c r="H1522"/>
      <c r="I1522"/>
      <c r="J1522"/>
      <c r="K1522"/>
      <c r="L1522"/>
      <c r="M1522"/>
      <c r="S1522" s="54"/>
    </row>
    <row r="1523" spans="1:19" s="15" customFormat="1" x14ac:dyDescent="0.3">
      <c r="A1523" s="17"/>
      <c r="B1523"/>
      <c r="C1523"/>
      <c r="D1523"/>
      <c r="E1523"/>
      <c r="F1523"/>
      <c r="G1523"/>
      <c r="H1523"/>
      <c r="I1523"/>
      <c r="J1523"/>
      <c r="K1523"/>
      <c r="L1523"/>
      <c r="M1523"/>
      <c r="S1523" s="54"/>
    </row>
    <row r="1524" spans="1:19" s="15" customFormat="1" x14ac:dyDescent="0.3">
      <c r="A1524" s="17"/>
      <c r="B1524"/>
      <c r="C1524"/>
      <c r="D1524"/>
      <c r="E1524"/>
      <c r="F1524"/>
      <c r="G1524"/>
      <c r="H1524"/>
      <c r="I1524"/>
      <c r="J1524"/>
      <c r="K1524"/>
      <c r="L1524"/>
      <c r="M1524"/>
      <c r="S1524" s="54"/>
    </row>
    <row r="1525" spans="1:19" s="15" customFormat="1" x14ac:dyDescent="0.3">
      <c r="A1525" s="17"/>
      <c r="B1525"/>
      <c r="C1525"/>
      <c r="D1525"/>
      <c r="E1525"/>
      <c r="F1525"/>
      <c r="G1525"/>
      <c r="H1525"/>
      <c r="I1525"/>
      <c r="J1525"/>
      <c r="K1525"/>
      <c r="L1525"/>
      <c r="M1525"/>
      <c r="S1525" s="54"/>
    </row>
    <row r="1526" spans="1:19" s="15" customFormat="1" x14ac:dyDescent="0.3">
      <c r="A1526" s="17"/>
      <c r="B1526"/>
      <c r="C1526"/>
      <c r="D1526"/>
      <c r="E1526"/>
      <c r="F1526"/>
      <c r="G1526"/>
      <c r="H1526"/>
      <c r="I1526"/>
      <c r="J1526"/>
      <c r="K1526"/>
      <c r="L1526"/>
      <c r="M1526"/>
      <c r="S1526" s="54"/>
    </row>
    <row r="1527" spans="1:19" s="15" customFormat="1" x14ac:dyDescent="0.3">
      <c r="A1527" s="17"/>
      <c r="B1527"/>
      <c r="C1527"/>
      <c r="D1527"/>
      <c r="E1527"/>
      <c r="F1527"/>
      <c r="G1527"/>
      <c r="H1527"/>
      <c r="I1527"/>
      <c r="J1527"/>
      <c r="K1527"/>
      <c r="L1527"/>
      <c r="M1527"/>
      <c r="S1527" s="54"/>
    </row>
    <row r="1528" spans="1:19" s="15" customFormat="1" x14ac:dyDescent="0.3">
      <c r="A1528" s="17"/>
      <c r="B1528"/>
      <c r="C1528"/>
      <c r="D1528"/>
      <c r="E1528"/>
      <c r="F1528"/>
      <c r="G1528"/>
      <c r="H1528"/>
      <c r="I1528"/>
      <c r="J1528"/>
      <c r="K1528"/>
      <c r="L1528"/>
      <c r="M1528"/>
      <c r="S1528" s="54"/>
    </row>
    <row r="1529" spans="1:19" s="15" customFormat="1" x14ac:dyDescent="0.3">
      <c r="A1529" s="17"/>
      <c r="B1529"/>
      <c r="C1529"/>
      <c r="D1529"/>
      <c r="E1529"/>
      <c r="F1529"/>
      <c r="G1529"/>
      <c r="H1529"/>
      <c r="I1529"/>
      <c r="J1529"/>
      <c r="K1529"/>
      <c r="L1529"/>
      <c r="M1529"/>
      <c r="S1529" s="54"/>
    </row>
    <row r="1530" spans="1:19" s="15" customFormat="1" x14ac:dyDescent="0.3">
      <c r="A1530" s="17"/>
      <c r="B1530"/>
      <c r="C1530"/>
      <c r="D1530"/>
      <c r="E1530"/>
      <c r="F1530"/>
      <c r="G1530"/>
      <c r="H1530"/>
      <c r="I1530"/>
      <c r="J1530"/>
      <c r="K1530"/>
      <c r="L1530"/>
      <c r="M1530"/>
      <c r="S1530" s="54"/>
    </row>
    <row r="1531" spans="1:19" s="15" customFormat="1" x14ac:dyDescent="0.3">
      <c r="A1531" s="17"/>
      <c r="B1531"/>
      <c r="C1531"/>
      <c r="D1531"/>
      <c r="E1531"/>
      <c r="F1531"/>
      <c r="G1531"/>
      <c r="H1531"/>
      <c r="I1531"/>
      <c r="J1531"/>
      <c r="K1531"/>
      <c r="L1531"/>
      <c r="M1531"/>
      <c r="S1531" s="54"/>
    </row>
    <row r="1532" spans="1:19" s="15" customFormat="1" x14ac:dyDescent="0.3">
      <c r="A1532" s="17"/>
      <c r="B1532"/>
      <c r="C1532"/>
      <c r="D1532"/>
      <c r="E1532"/>
      <c r="F1532"/>
      <c r="G1532"/>
      <c r="H1532"/>
      <c r="I1532"/>
      <c r="J1532"/>
      <c r="K1532"/>
      <c r="L1532"/>
      <c r="M1532"/>
      <c r="S1532" s="54"/>
    </row>
    <row r="1533" spans="1:19" s="15" customFormat="1" x14ac:dyDescent="0.3">
      <c r="A1533" s="17"/>
      <c r="B1533"/>
      <c r="C1533"/>
      <c r="D1533"/>
      <c r="E1533"/>
      <c r="F1533"/>
      <c r="G1533"/>
      <c r="H1533"/>
      <c r="I1533"/>
      <c r="J1533"/>
      <c r="K1533"/>
      <c r="L1533"/>
      <c r="M1533"/>
      <c r="S1533" s="54"/>
    </row>
    <row r="1534" spans="1:19" s="15" customFormat="1" x14ac:dyDescent="0.3">
      <c r="A1534" s="17"/>
      <c r="B1534"/>
      <c r="C1534"/>
      <c r="D1534"/>
      <c r="E1534"/>
      <c r="F1534"/>
      <c r="G1534"/>
      <c r="H1534"/>
      <c r="I1534"/>
      <c r="J1534"/>
      <c r="K1534"/>
      <c r="L1534"/>
      <c r="M1534"/>
      <c r="S1534" s="54"/>
    </row>
    <row r="1535" spans="1:19" s="15" customFormat="1" x14ac:dyDescent="0.3">
      <c r="A1535" s="17"/>
      <c r="B1535"/>
      <c r="C1535"/>
      <c r="D1535"/>
      <c r="E1535"/>
      <c r="F1535"/>
      <c r="G1535"/>
      <c r="H1535"/>
      <c r="I1535"/>
      <c r="J1535"/>
      <c r="K1535"/>
      <c r="L1535"/>
      <c r="M1535"/>
      <c r="S1535" s="54"/>
    </row>
    <row r="1536" spans="1:19" s="15" customFormat="1" x14ac:dyDescent="0.3">
      <c r="A1536" s="17"/>
      <c r="B1536"/>
      <c r="C1536"/>
      <c r="D1536"/>
      <c r="E1536"/>
      <c r="F1536"/>
      <c r="G1536"/>
      <c r="H1536"/>
      <c r="I1536"/>
      <c r="J1536"/>
      <c r="K1536"/>
      <c r="L1536"/>
      <c r="M1536"/>
      <c r="S1536" s="54"/>
    </row>
    <row r="1537" spans="1:19" s="15" customFormat="1" x14ac:dyDescent="0.3">
      <c r="A1537" s="17"/>
      <c r="B1537"/>
      <c r="C1537"/>
      <c r="D1537"/>
      <c r="E1537"/>
      <c r="F1537"/>
      <c r="G1537"/>
      <c r="H1537"/>
      <c r="I1537"/>
      <c r="J1537"/>
      <c r="K1537"/>
      <c r="L1537"/>
      <c r="M1537"/>
      <c r="S1537" s="54"/>
    </row>
    <row r="1538" spans="1:19" s="15" customFormat="1" x14ac:dyDescent="0.3">
      <c r="A1538" s="17"/>
      <c r="B1538"/>
      <c r="C1538"/>
      <c r="D1538"/>
      <c r="E1538"/>
      <c r="F1538"/>
      <c r="G1538"/>
      <c r="H1538"/>
      <c r="I1538"/>
      <c r="J1538"/>
      <c r="K1538"/>
      <c r="L1538"/>
      <c r="M1538"/>
      <c r="S1538" s="54"/>
    </row>
    <row r="1539" spans="1:19" s="15" customFormat="1" x14ac:dyDescent="0.3">
      <c r="A1539" s="17"/>
      <c r="B1539"/>
      <c r="C1539"/>
      <c r="D1539"/>
      <c r="E1539"/>
      <c r="F1539"/>
      <c r="G1539"/>
      <c r="H1539"/>
      <c r="I1539"/>
      <c r="J1539"/>
      <c r="K1539"/>
      <c r="L1539"/>
      <c r="M1539"/>
      <c r="S1539" s="54"/>
    </row>
    <row r="1540" spans="1:19" s="15" customFormat="1" x14ac:dyDescent="0.3">
      <c r="A1540" s="17"/>
      <c r="B1540"/>
      <c r="C1540"/>
      <c r="D1540"/>
      <c r="E1540"/>
      <c r="F1540"/>
      <c r="G1540"/>
      <c r="H1540"/>
      <c r="I1540"/>
      <c r="J1540"/>
      <c r="K1540"/>
      <c r="L1540"/>
      <c r="M1540"/>
      <c r="S1540" s="54"/>
    </row>
    <row r="1541" spans="1:19" s="15" customFormat="1" x14ac:dyDescent="0.3">
      <c r="A1541" s="17"/>
      <c r="B1541"/>
      <c r="C1541"/>
      <c r="D1541"/>
      <c r="E1541"/>
      <c r="F1541"/>
      <c r="G1541"/>
      <c r="H1541"/>
      <c r="I1541"/>
      <c r="J1541"/>
      <c r="K1541"/>
      <c r="L1541"/>
      <c r="M1541"/>
      <c r="S1541" s="54"/>
    </row>
    <row r="1542" spans="1:19" s="15" customFormat="1" x14ac:dyDescent="0.3">
      <c r="A1542" s="17"/>
      <c r="B1542"/>
      <c r="C1542"/>
      <c r="D1542"/>
      <c r="E1542"/>
      <c r="F1542"/>
      <c r="G1542"/>
      <c r="H1542"/>
      <c r="I1542"/>
      <c r="J1542"/>
      <c r="K1542"/>
      <c r="L1542"/>
      <c r="M1542"/>
      <c r="S1542" s="54"/>
    </row>
    <row r="1543" spans="1:19" s="15" customFormat="1" x14ac:dyDescent="0.3">
      <c r="A1543" s="17"/>
      <c r="B1543"/>
      <c r="C1543"/>
      <c r="D1543"/>
      <c r="E1543"/>
      <c r="F1543"/>
      <c r="G1543"/>
      <c r="H1543"/>
      <c r="I1543"/>
      <c r="J1543"/>
      <c r="K1543"/>
      <c r="L1543"/>
      <c r="M1543"/>
      <c r="S1543" s="54"/>
    </row>
    <row r="1544" spans="1:19" s="15" customFormat="1" x14ac:dyDescent="0.3">
      <c r="A1544" s="17"/>
      <c r="B1544"/>
      <c r="C1544"/>
      <c r="D1544"/>
      <c r="E1544"/>
      <c r="F1544"/>
      <c r="G1544"/>
      <c r="H1544"/>
      <c r="I1544"/>
      <c r="J1544"/>
      <c r="K1544"/>
      <c r="L1544"/>
      <c r="M1544"/>
      <c r="S1544" s="54"/>
    </row>
    <row r="1545" spans="1:19" s="15" customFormat="1" x14ac:dyDescent="0.3">
      <c r="A1545" s="17"/>
      <c r="B1545"/>
      <c r="C1545"/>
      <c r="D1545"/>
      <c r="E1545"/>
      <c r="F1545"/>
      <c r="G1545"/>
      <c r="H1545"/>
      <c r="I1545"/>
      <c r="J1545"/>
      <c r="K1545"/>
      <c r="L1545"/>
      <c r="M1545"/>
      <c r="S1545" s="54"/>
    </row>
    <row r="1546" spans="1:19" s="15" customFormat="1" x14ac:dyDescent="0.3">
      <c r="A1546" s="17"/>
      <c r="B1546"/>
      <c r="C1546"/>
      <c r="D1546"/>
      <c r="E1546"/>
      <c r="F1546"/>
      <c r="G1546"/>
      <c r="H1546"/>
      <c r="I1546"/>
      <c r="J1546"/>
      <c r="K1546"/>
      <c r="L1546"/>
      <c r="M1546"/>
      <c r="S1546" s="54"/>
    </row>
    <row r="1547" spans="1:19" s="15" customFormat="1" x14ac:dyDescent="0.3">
      <c r="A1547" s="17"/>
      <c r="B1547"/>
      <c r="C1547"/>
      <c r="D1547"/>
      <c r="E1547"/>
      <c r="F1547"/>
      <c r="G1547"/>
      <c r="H1547"/>
      <c r="I1547"/>
      <c r="J1547"/>
      <c r="K1547"/>
      <c r="L1547"/>
      <c r="M1547"/>
      <c r="S1547" s="54"/>
    </row>
    <row r="1548" spans="1:19" s="15" customFormat="1" x14ac:dyDescent="0.3">
      <c r="A1548" s="17"/>
      <c r="B1548"/>
      <c r="C1548"/>
      <c r="D1548"/>
      <c r="E1548"/>
      <c r="F1548"/>
      <c r="G1548"/>
      <c r="H1548"/>
      <c r="I1548"/>
      <c r="J1548"/>
      <c r="K1548"/>
      <c r="L1548"/>
      <c r="M1548"/>
      <c r="S1548" s="54"/>
    </row>
    <row r="1549" spans="1:19" s="15" customFormat="1" x14ac:dyDescent="0.3">
      <c r="A1549" s="17"/>
      <c r="B1549"/>
      <c r="C1549"/>
      <c r="D1549"/>
      <c r="E1549"/>
      <c r="F1549"/>
      <c r="G1549"/>
      <c r="H1549"/>
      <c r="I1549"/>
      <c r="J1549"/>
      <c r="K1549"/>
      <c r="L1549"/>
      <c r="M1549"/>
      <c r="S1549" s="54"/>
    </row>
    <row r="1550" spans="1:19" s="15" customFormat="1" x14ac:dyDescent="0.3">
      <c r="A1550" s="17"/>
      <c r="B1550"/>
      <c r="C1550"/>
      <c r="D1550"/>
      <c r="E1550"/>
      <c r="F1550"/>
      <c r="G1550"/>
      <c r="H1550"/>
      <c r="I1550"/>
      <c r="J1550"/>
      <c r="K1550"/>
      <c r="L1550"/>
      <c r="M1550"/>
      <c r="S1550" s="54"/>
    </row>
    <row r="1551" spans="1:19" s="15" customFormat="1" x14ac:dyDescent="0.3">
      <c r="A1551" s="17"/>
      <c r="B1551"/>
      <c r="C1551"/>
      <c r="D1551"/>
      <c r="E1551"/>
      <c r="F1551"/>
      <c r="G1551"/>
      <c r="H1551"/>
      <c r="I1551"/>
      <c r="J1551"/>
      <c r="K1551"/>
      <c r="L1551"/>
      <c r="M1551"/>
      <c r="S1551" s="54"/>
    </row>
    <row r="1552" spans="1:19" s="15" customFormat="1" x14ac:dyDescent="0.3">
      <c r="A1552" s="17"/>
      <c r="B1552"/>
      <c r="C1552"/>
      <c r="D1552"/>
      <c r="E1552"/>
      <c r="F1552"/>
      <c r="G1552"/>
      <c r="H1552"/>
      <c r="I1552"/>
      <c r="J1552"/>
      <c r="K1552"/>
      <c r="L1552"/>
      <c r="M1552"/>
      <c r="S1552" s="54"/>
    </row>
    <row r="1553" spans="1:19" s="15" customFormat="1" x14ac:dyDescent="0.3">
      <c r="A1553" s="17"/>
      <c r="B1553"/>
      <c r="C1553"/>
      <c r="D1553"/>
      <c r="E1553"/>
      <c r="F1553"/>
      <c r="G1553"/>
      <c r="H1553"/>
      <c r="I1553"/>
      <c r="J1553"/>
      <c r="K1553"/>
      <c r="L1553"/>
      <c r="M1553"/>
      <c r="S1553" s="54"/>
    </row>
    <row r="1554" spans="1:19" s="15" customFormat="1" x14ac:dyDescent="0.3">
      <c r="A1554" s="17"/>
      <c r="B1554"/>
      <c r="C1554"/>
      <c r="D1554"/>
      <c r="E1554"/>
      <c r="F1554"/>
      <c r="G1554"/>
      <c r="H1554"/>
      <c r="I1554"/>
      <c r="J1554"/>
      <c r="K1554"/>
      <c r="L1554"/>
      <c r="M1554"/>
      <c r="S1554" s="54"/>
    </row>
    <row r="1555" spans="1:19" s="15" customFormat="1" x14ac:dyDescent="0.3">
      <c r="A1555" s="17"/>
      <c r="B1555"/>
      <c r="C1555"/>
      <c r="D1555"/>
      <c r="E1555"/>
      <c r="F1555"/>
      <c r="G1555"/>
      <c r="H1555"/>
      <c r="I1555"/>
      <c r="J1555"/>
      <c r="K1555"/>
      <c r="L1555"/>
      <c r="M1555"/>
      <c r="S1555" s="54"/>
    </row>
    <row r="1556" spans="1:19" s="15" customFormat="1" x14ac:dyDescent="0.3">
      <c r="A1556" s="17"/>
      <c r="B1556"/>
      <c r="C1556"/>
      <c r="D1556"/>
      <c r="E1556"/>
      <c r="F1556"/>
      <c r="G1556"/>
      <c r="H1556"/>
      <c r="I1556"/>
      <c r="J1556"/>
      <c r="K1556"/>
      <c r="L1556"/>
      <c r="M1556"/>
      <c r="S1556" s="54"/>
    </row>
    <row r="1557" spans="1:19" s="15" customFormat="1" x14ac:dyDescent="0.3">
      <c r="A1557" s="17"/>
      <c r="B1557"/>
      <c r="C1557"/>
      <c r="D1557"/>
      <c r="E1557"/>
      <c r="F1557"/>
      <c r="G1557"/>
      <c r="H1557"/>
      <c r="I1557"/>
      <c r="J1557"/>
      <c r="K1557"/>
      <c r="L1557"/>
      <c r="M1557"/>
      <c r="S1557" s="54"/>
    </row>
    <row r="1558" spans="1:19" s="15" customFormat="1" x14ac:dyDescent="0.3">
      <c r="A1558" s="17"/>
      <c r="B1558"/>
      <c r="C1558"/>
      <c r="D1558"/>
      <c r="E1558"/>
      <c r="F1558"/>
      <c r="G1558"/>
      <c r="H1558"/>
      <c r="I1558"/>
      <c r="J1558"/>
      <c r="K1558"/>
      <c r="L1558"/>
      <c r="M1558"/>
      <c r="S1558" s="54"/>
    </row>
    <row r="1559" spans="1:19" s="15" customFormat="1" x14ac:dyDescent="0.3">
      <c r="A1559" s="17"/>
      <c r="B1559"/>
      <c r="C1559"/>
      <c r="D1559"/>
      <c r="E1559"/>
      <c r="F1559"/>
      <c r="G1559"/>
      <c r="H1559"/>
      <c r="I1559"/>
      <c r="J1559"/>
      <c r="K1559"/>
      <c r="L1559"/>
      <c r="M1559"/>
      <c r="S1559" s="54"/>
    </row>
    <row r="1560" spans="1:19" s="15" customFormat="1" x14ac:dyDescent="0.3">
      <c r="A1560" s="17"/>
      <c r="B1560"/>
      <c r="C1560"/>
      <c r="D1560"/>
      <c r="E1560"/>
      <c r="F1560"/>
      <c r="G1560"/>
      <c r="H1560"/>
      <c r="I1560"/>
      <c r="J1560"/>
      <c r="K1560"/>
      <c r="L1560"/>
      <c r="M1560"/>
      <c r="S1560" s="54"/>
    </row>
    <row r="1561" spans="1:19" s="15" customFormat="1" x14ac:dyDescent="0.3">
      <c r="A1561" s="17"/>
      <c r="B1561"/>
      <c r="C1561"/>
      <c r="D1561"/>
      <c r="E1561"/>
      <c r="F1561"/>
      <c r="G1561"/>
      <c r="H1561"/>
      <c r="I1561"/>
      <c r="J1561"/>
      <c r="K1561"/>
      <c r="L1561"/>
      <c r="M1561"/>
      <c r="S1561" s="54"/>
    </row>
    <row r="1562" spans="1:19" s="15" customFormat="1" x14ac:dyDescent="0.3">
      <c r="A1562" s="17"/>
      <c r="B1562"/>
      <c r="C1562"/>
      <c r="D1562"/>
      <c r="E1562"/>
      <c r="F1562"/>
      <c r="G1562"/>
      <c r="H1562"/>
      <c r="I1562"/>
      <c r="J1562"/>
      <c r="K1562"/>
      <c r="L1562"/>
      <c r="M1562"/>
      <c r="S1562" s="54"/>
    </row>
    <row r="1563" spans="1:19" s="15" customFormat="1" x14ac:dyDescent="0.3">
      <c r="A1563" s="17"/>
      <c r="B1563"/>
      <c r="C1563"/>
      <c r="D1563"/>
      <c r="E1563"/>
      <c r="F1563"/>
      <c r="G1563"/>
      <c r="H1563"/>
      <c r="I1563"/>
      <c r="J1563"/>
      <c r="K1563"/>
      <c r="L1563"/>
      <c r="M1563"/>
      <c r="S1563" s="54"/>
    </row>
    <row r="1564" spans="1:19" s="15" customFormat="1" x14ac:dyDescent="0.3">
      <c r="A1564" s="17"/>
      <c r="B1564"/>
      <c r="C1564"/>
      <c r="D1564"/>
      <c r="E1564"/>
      <c r="F1564"/>
      <c r="G1564"/>
      <c r="H1564"/>
      <c r="I1564"/>
      <c r="J1564"/>
      <c r="K1564"/>
      <c r="L1564"/>
      <c r="M1564"/>
      <c r="S1564" s="54"/>
    </row>
    <row r="1565" spans="1:19" s="15" customFormat="1" x14ac:dyDescent="0.3">
      <c r="A1565" s="17"/>
      <c r="B1565"/>
      <c r="C1565"/>
      <c r="D1565"/>
      <c r="E1565"/>
      <c r="F1565"/>
      <c r="G1565"/>
      <c r="H1565"/>
      <c r="I1565"/>
      <c r="J1565"/>
      <c r="K1565"/>
      <c r="L1565"/>
      <c r="M1565"/>
      <c r="S1565" s="54"/>
    </row>
    <row r="1566" spans="1:19" s="15" customFormat="1" x14ac:dyDescent="0.3">
      <c r="A1566" s="17"/>
      <c r="B1566"/>
      <c r="C1566"/>
      <c r="D1566"/>
      <c r="E1566"/>
      <c r="F1566"/>
      <c r="G1566"/>
      <c r="H1566"/>
      <c r="I1566"/>
      <c r="J1566"/>
      <c r="K1566"/>
      <c r="L1566"/>
      <c r="M1566"/>
      <c r="S1566" s="54"/>
    </row>
    <row r="1567" spans="1:19" s="15" customFormat="1" x14ac:dyDescent="0.3">
      <c r="A1567" s="17"/>
      <c r="B1567"/>
      <c r="C1567"/>
      <c r="D1567"/>
      <c r="E1567"/>
      <c r="F1567"/>
      <c r="G1567"/>
      <c r="H1567"/>
      <c r="I1567"/>
      <c r="J1567"/>
      <c r="K1567"/>
      <c r="L1567"/>
      <c r="M1567"/>
      <c r="S1567" s="54"/>
    </row>
    <row r="1568" spans="1:19" s="15" customFormat="1" x14ac:dyDescent="0.3">
      <c r="A1568" s="17"/>
      <c r="B1568"/>
      <c r="C1568"/>
      <c r="D1568"/>
      <c r="E1568"/>
      <c r="F1568"/>
      <c r="G1568"/>
      <c r="H1568"/>
      <c r="I1568"/>
      <c r="J1568"/>
      <c r="K1568"/>
      <c r="L1568"/>
      <c r="M1568"/>
      <c r="S1568" s="54"/>
    </row>
    <row r="1569" spans="1:19" s="15" customFormat="1" x14ac:dyDescent="0.3">
      <c r="A1569" s="17"/>
      <c r="B1569"/>
      <c r="C1569"/>
      <c r="D1569"/>
      <c r="E1569"/>
      <c r="F1569"/>
      <c r="G1569"/>
      <c r="H1569"/>
      <c r="I1569"/>
      <c r="J1569"/>
      <c r="K1569"/>
      <c r="L1569"/>
      <c r="M1569"/>
      <c r="S1569" s="54"/>
    </row>
    <row r="1570" spans="1:19" s="15" customFormat="1" x14ac:dyDescent="0.3">
      <c r="A1570" s="17"/>
      <c r="B1570"/>
      <c r="C1570"/>
      <c r="D1570"/>
      <c r="E1570"/>
      <c r="F1570"/>
      <c r="G1570"/>
      <c r="H1570"/>
      <c r="I1570"/>
      <c r="J1570"/>
      <c r="K1570"/>
      <c r="L1570"/>
      <c r="M1570"/>
      <c r="S1570" s="54"/>
    </row>
    <row r="1571" spans="1:19" s="15" customFormat="1" x14ac:dyDescent="0.3">
      <c r="A1571" s="17"/>
      <c r="B1571"/>
      <c r="C1571"/>
      <c r="D1571"/>
      <c r="E1571"/>
      <c r="F1571"/>
      <c r="G1571"/>
      <c r="H1571"/>
      <c r="I1571"/>
      <c r="J1571"/>
      <c r="K1571"/>
      <c r="L1571"/>
      <c r="M1571"/>
      <c r="S1571" s="54"/>
    </row>
    <row r="1572" spans="1:19" s="15" customFormat="1" x14ac:dyDescent="0.3">
      <c r="A1572" s="17"/>
      <c r="B1572"/>
      <c r="C1572"/>
      <c r="D1572"/>
      <c r="E1572"/>
      <c r="F1572"/>
      <c r="G1572"/>
      <c r="H1572"/>
      <c r="I1572"/>
      <c r="J1572"/>
      <c r="K1572"/>
      <c r="L1572"/>
      <c r="M1572"/>
      <c r="S1572" s="54"/>
    </row>
    <row r="1573" spans="1:19" s="15" customFormat="1" x14ac:dyDescent="0.3">
      <c r="A1573" s="17"/>
      <c r="B1573"/>
      <c r="C1573"/>
      <c r="D1573"/>
      <c r="E1573"/>
      <c r="F1573"/>
      <c r="G1573"/>
      <c r="H1573"/>
      <c r="I1573"/>
      <c r="J1573"/>
      <c r="K1573"/>
      <c r="L1573"/>
      <c r="M1573"/>
      <c r="S1573" s="54"/>
    </row>
    <row r="1574" spans="1:19" s="15" customFormat="1" x14ac:dyDescent="0.3">
      <c r="A1574" s="17"/>
      <c r="B1574"/>
      <c r="C1574"/>
      <c r="D1574"/>
      <c r="E1574"/>
      <c r="F1574"/>
      <c r="G1574"/>
      <c r="H1574"/>
      <c r="I1574"/>
      <c r="J1574"/>
      <c r="K1574"/>
      <c r="L1574"/>
      <c r="M1574"/>
      <c r="S1574" s="54"/>
    </row>
    <row r="1575" spans="1:19" s="15" customFormat="1" x14ac:dyDescent="0.3">
      <c r="A1575" s="17"/>
      <c r="B1575"/>
      <c r="C1575"/>
      <c r="D1575"/>
      <c r="E1575"/>
      <c r="F1575"/>
      <c r="G1575"/>
      <c r="H1575"/>
      <c r="I1575"/>
      <c r="J1575"/>
      <c r="K1575"/>
      <c r="L1575"/>
      <c r="M1575"/>
      <c r="S1575" s="54"/>
    </row>
    <row r="1576" spans="1:19" s="15" customFormat="1" x14ac:dyDescent="0.3">
      <c r="A1576" s="17"/>
      <c r="B1576"/>
      <c r="C1576"/>
      <c r="D1576"/>
      <c r="E1576"/>
      <c r="F1576"/>
      <c r="G1576"/>
      <c r="H1576"/>
      <c r="I1576"/>
      <c r="J1576"/>
      <c r="K1576"/>
      <c r="L1576"/>
      <c r="M1576"/>
      <c r="S1576" s="54"/>
    </row>
    <row r="1577" spans="1:19" s="15" customFormat="1" x14ac:dyDescent="0.3">
      <c r="A1577" s="17"/>
      <c r="B1577"/>
      <c r="C1577"/>
      <c r="D1577"/>
      <c r="E1577"/>
      <c r="F1577"/>
      <c r="G1577"/>
      <c r="H1577"/>
      <c r="I1577"/>
      <c r="J1577"/>
      <c r="K1577"/>
      <c r="L1577"/>
      <c r="M1577"/>
      <c r="S1577" s="54"/>
    </row>
    <row r="1578" spans="1:19" s="15" customFormat="1" x14ac:dyDescent="0.3">
      <c r="A1578" s="17"/>
      <c r="B1578"/>
      <c r="C1578"/>
      <c r="D1578"/>
      <c r="E1578"/>
      <c r="F1578"/>
      <c r="G1578"/>
      <c r="H1578"/>
      <c r="I1578"/>
      <c r="J1578"/>
      <c r="K1578"/>
      <c r="L1578"/>
      <c r="M1578"/>
      <c r="S1578" s="54"/>
    </row>
    <row r="1579" spans="1:19" s="15" customFormat="1" x14ac:dyDescent="0.3">
      <c r="A1579" s="17"/>
      <c r="B1579"/>
      <c r="C1579"/>
      <c r="D1579"/>
      <c r="E1579"/>
      <c r="F1579"/>
      <c r="G1579"/>
      <c r="H1579"/>
      <c r="I1579"/>
      <c r="J1579"/>
      <c r="K1579"/>
      <c r="L1579"/>
      <c r="M1579"/>
      <c r="S1579" s="54"/>
    </row>
    <row r="1580" spans="1:19" s="15" customFormat="1" x14ac:dyDescent="0.3">
      <c r="A1580" s="17"/>
      <c r="B1580"/>
      <c r="C1580"/>
      <c r="D1580"/>
      <c r="E1580"/>
      <c r="F1580"/>
      <c r="G1580"/>
      <c r="H1580"/>
      <c r="I1580"/>
      <c r="J1580"/>
      <c r="K1580"/>
      <c r="L1580"/>
      <c r="M1580"/>
      <c r="S1580" s="54"/>
    </row>
    <row r="1581" spans="1:19" s="15" customFormat="1" x14ac:dyDescent="0.3">
      <c r="A1581" s="17"/>
      <c r="B1581"/>
      <c r="C1581"/>
      <c r="D1581"/>
      <c r="E1581"/>
      <c r="F1581"/>
      <c r="G1581"/>
      <c r="H1581"/>
      <c r="I1581"/>
      <c r="J1581"/>
      <c r="K1581"/>
      <c r="L1581"/>
      <c r="M1581"/>
      <c r="S1581" s="54"/>
    </row>
    <row r="1582" spans="1:19" s="15" customFormat="1" x14ac:dyDescent="0.3">
      <c r="A1582" s="17"/>
      <c r="B1582"/>
      <c r="C1582"/>
      <c r="D1582"/>
      <c r="E1582"/>
      <c r="F1582"/>
      <c r="G1582"/>
      <c r="H1582"/>
      <c r="I1582"/>
      <c r="J1582"/>
      <c r="K1582"/>
      <c r="L1582"/>
      <c r="M1582"/>
      <c r="S1582" s="54"/>
    </row>
    <row r="1583" spans="1:19" s="15" customFormat="1" x14ac:dyDescent="0.3">
      <c r="A1583" s="17"/>
      <c r="B1583"/>
      <c r="C1583"/>
      <c r="D1583"/>
      <c r="E1583"/>
      <c r="F1583"/>
      <c r="G1583"/>
      <c r="H1583"/>
      <c r="I1583"/>
      <c r="J1583"/>
      <c r="K1583"/>
      <c r="L1583"/>
      <c r="M1583"/>
      <c r="S1583" s="54"/>
    </row>
    <row r="1584" spans="1:19" s="15" customFormat="1" x14ac:dyDescent="0.3">
      <c r="A1584" s="17"/>
      <c r="B1584"/>
      <c r="C1584"/>
      <c r="D1584"/>
      <c r="E1584"/>
      <c r="F1584"/>
      <c r="G1584"/>
      <c r="H1584"/>
      <c r="I1584"/>
      <c r="J1584"/>
      <c r="K1584"/>
      <c r="L1584"/>
      <c r="M1584"/>
      <c r="S1584" s="54"/>
    </row>
    <row r="1585" spans="1:19" s="15" customFormat="1" x14ac:dyDescent="0.3">
      <c r="A1585" s="17"/>
      <c r="B1585"/>
      <c r="C1585"/>
      <c r="D1585"/>
      <c r="E1585"/>
      <c r="F1585"/>
      <c r="G1585"/>
      <c r="H1585"/>
      <c r="I1585"/>
      <c r="J1585"/>
      <c r="K1585"/>
      <c r="L1585"/>
      <c r="M1585"/>
      <c r="S1585" s="54"/>
    </row>
    <row r="1586" spans="1:19" s="15" customFormat="1" x14ac:dyDescent="0.3">
      <c r="A1586" s="17"/>
      <c r="B1586"/>
      <c r="C1586"/>
      <c r="D1586"/>
      <c r="E1586"/>
      <c r="F1586"/>
      <c r="G1586"/>
      <c r="H1586"/>
      <c r="I1586"/>
      <c r="J1586"/>
      <c r="K1586"/>
      <c r="L1586"/>
      <c r="M1586"/>
      <c r="S1586" s="54"/>
    </row>
    <row r="1587" spans="1:19" s="15" customFormat="1" x14ac:dyDescent="0.3">
      <c r="A1587" s="17"/>
      <c r="B1587"/>
      <c r="C1587"/>
      <c r="D1587"/>
      <c r="E1587"/>
      <c r="F1587"/>
      <c r="G1587"/>
      <c r="H1587"/>
      <c r="I1587"/>
      <c r="J1587"/>
      <c r="K1587"/>
      <c r="L1587"/>
      <c r="M1587"/>
      <c r="S1587" s="54"/>
    </row>
    <row r="1588" spans="1:19" s="15" customFormat="1" x14ac:dyDescent="0.3">
      <c r="A1588" s="17"/>
      <c r="B1588"/>
      <c r="C1588"/>
      <c r="D1588"/>
      <c r="E1588"/>
      <c r="F1588"/>
      <c r="G1588"/>
      <c r="H1588"/>
      <c r="I1588"/>
      <c r="J1588"/>
      <c r="K1588"/>
      <c r="L1588"/>
      <c r="M1588"/>
      <c r="S1588" s="54"/>
    </row>
    <row r="1589" spans="1:19" s="15" customFormat="1" x14ac:dyDescent="0.3">
      <c r="A1589" s="17"/>
      <c r="B1589"/>
      <c r="C1589"/>
      <c r="D1589"/>
      <c r="E1589"/>
      <c r="F1589"/>
      <c r="G1589"/>
      <c r="H1589"/>
      <c r="I1589"/>
      <c r="J1589"/>
      <c r="K1589"/>
      <c r="L1589"/>
      <c r="M1589"/>
      <c r="S1589" s="54"/>
    </row>
    <row r="1590" spans="1:19" s="15" customFormat="1" x14ac:dyDescent="0.3">
      <c r="A1590" s="17"/>
      <c r="B1590"/>
      <c r="C1590"/>
      <c r="D1590"/>
      <c r="E1590"/>
      <c r="F1590"/>
      <c r="G1590"/>
      <c r="H1590"/>
      <c r="I1590"/>
      <c r="J1590"/>
      <c r="K1590"/>
      <c r="L1590"/>
      <c r="M1590"/>
      <c r="S1590" s="54"/>
    </row>
    <row r="1591" spans="1:19" s="15" customFormat="1" x14ac:dyDescent="0.3">
      <c r="A1591" s="17"/>
      <c r="B1591"/>
      <c r="C1591"/>
      <c r="D1591"/>
      <c r="E1591"/>
      <c r="F1591"/>
      <c r="G1591"/>
      <c r="H1591"/>
      <c r="I1591"/>
      <c r="J1591"/>
      <c r="K1591"/>
      <c r="L1591"/>
      <c r="M1591"/>
      <c r="S1591" s="54"/>
    </row>
    <row r="1592" spans="1:19" s="15" customFormat="1" x14ac:dyDescent="0.3">
      <c r="A1592" s="17"/>
      <c r="B1592"/>
      <c r="C1592"/>
      <c r="D1592"/>
      <c r="E1592"/>
      <c r="F1592"/>
      <c r="G1592"/>
      <c r="H1592"/>
      <c r="I1592"/>
      <c r="J1592"/>
      <c r="K1592"/>
      <c r="L1592"/>
      <c r="M1592"/>
      <c r="S1592" s="54"/>
    </row>
    <row r="1593" spans="1:19" s="15" customFormat="1" x14ac:dyDescent="0.3">
      <c r="A1593" s="17"/>
      <c r="B1593"/>
      <c r="C1593"/>
      <c r="D1593"/>
      <c r="E1593"/>
      <c r="F1593"/>
      <c r="G1593"/>
      <c r="H1593"/>
      <c r="I1593"/>
      <c r="J1593"/>
      <c r="K1593"/>
      <c r="L1593"/>
      <c r="M1593"/>
      <c r="S1593" s="54"/>
    </row>
    <row r="1594" spans="1:19" s="15" customFormat="1" x14ac:dyDescent="0.3">
      <c r="A1594" s="17"/>
      <c r="B1594"/>
      <c r="C1594"/>
      <c r="D1594"/>
      <c r="E1594"/>
      <c r="F1594"/>
      <c r="G1594"/>
      <c r="H1594"/>
      <c r="I1594"/>
      <c r="J1594"/>
      <c r="K1594"/>
      <c r="L1594"/>
      <c r="M1594"/>
      <c r="S1594" s="54"/>
    </row>
    <row r="1595" spans="1:19" s="15" customFormat="1" x14ac:dyDescent="0.3">
      <c r="A1595" s="17"/>
      <c r="B1595"/>
      <c r="C1595"/>
      <c r="D1595"/>
      <c r="E1595"/>
      <c r="F1595"/>
      <c r="G1595"/>
      <c r="H1595"/>
      <c r="I1595"/>
      <c r="J1595"/>
      <c r="K1595"/>
      <c r="L1595"/>
      <c r="M1595"/>
      <c r="S1595" s="54"/>
    </row>
    <row r="1596" spans="1:19" s="15" customFormat="1" x14ac:dyDescent="0.3">
      <c r="A1596" s="17"/>
      <c r="B1596"/>
      <c r="C1596"/>
      <c r="D1596"/>
      <c r="E1596"/>
      <c r="F1596"/>
      <c r="G1596"/>
      <c r="H1596"/>
      <c r="I1596"/>
      <c r="J1596"/>
      <c r="K1596"/>
      <c r="L1596"/>
      <c r="M1596"/>
      <c r="S1596" s="54"/>
    </row>
    <row r="1597" spans="1:19" s="15" customFormat="1" x14ac:dyDescent="0.3">
      <c r="A1597" s="17"/>
      <c r="B1597"/>
      <c r="C1597"/>
      <c r="D1597"/>
      <c r="E1597"/>
      <c r="F1597"/>
      <c r="G1597"/>
      <c r="H1597"/>
      <c r="I1597"/>
      <c r="J1597"/>
      <c r="K1597"/>
      <c r="L1597"/>
      <c r="M1597"/>
      <c r="S1597" s="54"/>
    </row>
    <row r="1598" spans="1:19" s="15" customFormat="1" x14ac:dyDescent="0.3">
      <c r="A1598" s="17"/>
      <c r="B1598"/>
      <c r="C1598"/>
      <c r="D1598"/>
      <c r="E1598"/>
      <c r="F1598"/>
      <c r="G1598"/>
      <c r="H1598"/>
      <c r="I1598"/>
      <c r="J1598"/>
      <c r="K1598"/>
      <c r="L1598"/>
      <c r="M1598"/>
      <c r="S1598" s="54"/>
    </row>
    <row r="1599" spans="1:19" s="15" customFormat="1" x14ac:dyDescent="0.3">
      <c r="A1599" s="17"/>
      <c r="B1599"/>
      <c r="C1599"/>
      <c r="D1599"/>
      <c r="E1599"/>
      <c r="F1599"/>
      <c r="G1599"/>
      <c r="H1599"/>
      <c r="I1599"/>
      <c r="J1599"/>
      <c r="K1599"/>
      <c r="L1599"/>
      <c r="M1599"/>
      <c r="S1599" s="54"/>
    </row>
    <row r="1600" spans="1:19" s="15" customFormat="1" x14ac:dyDescent="0.3">
      <c r="A1600" s="17"/>
      <c r="B1600"/>
      <c r="C1600"/>
      <c r="D1600"/>
      <c r="E1600"/>
      <c r="F1600"/>
      <c r="G1600"/>
      <c r="H1600"/>
      <c r="I1600"/>
      <c r="J1600"/>
      <c r="K1600"/>
      <c r="L1600"/>
      <c r="M1600"/>
      <c r="S1600" s="54"/>
    </row>
    <row r="1601" spans="1:19" s="15" customFormat="1" x14ac:dyDescent="0.3">
      <c r="A1601" s="17"/>
      <c r="B1601"/>
      <c r="C1601"/>
      <c r="D1601"/>
      <c r="E1601"/>
      <c r="F1601"/>
      <c r="G1601"/>
      <c r="H1601"/>
      <c r="I1601"/>
      <c r="J1601"/>
      <c r="K1601"/>
      <c r="L1601"/>
      <c r="M1601"/>
      <c r="S1601" s="54"/>
    </row>
    <row r="1602" spans="1:19" s="15" customFormat="1" x14ac:dyDescent="0.3">
      <c r="A1602" s="17"/>
      <c r="B1602"/>
      <c r="C1602"/>
      <c r="D1602"/>
      <c r="E1602"/>
      <c r="F1602"/>
      <c r="G1602"/>
      <c r="H1602"/>
      <c r="I1602"/>
      <c r="J1602"/>
      <c r="K1602"/>
      <c r="L1602"/>
      <c r="M1602"/>
      <c r="S1602" s="54"/>
    </row>
    <row r="1603" spans="1:19" s="15" customFormat="1" x14ac:dyDescent="0.3">
      <c r="A1603" s="17"/>
      <c r="B1603"/>
      <c r="C1603"/>
      <c r="D1603"/>
      <c r="E1603"/>
      <c r="F1603"/>
      <c r="G1603"/>
      <c r="H1603"/>
      <c r="I1603"/>
      <c r="J1603"/>
      <c r="K1603"/>
      <c r="L1603"/>
      <c r="M1603"/>
      <c r="S1603" s="54"/>
    </row>
    <row r="1604" spans="1:19" s="15" customFormat="1" x14ac:dyDescent="0.3">
      <c r="A1604" s="17"/>
      <c r="B1604"/>
      <c r="C1604"/>
      <c r="D1604"/>
      <c r="E1604"/>
      <c r="F1604"/>
      <c r="G1604"/>
      <c r="H1604"/>
      <c r="I1604"/>
      <c r="J1604"/>
      <c r="K1604"/>
      <c r="L1604"/>
      <c r="M1604"/>
      <c r="S1604" s="54"/>
    </row>
    <row r="1605" spans="1:19" s="15" customFormat="1" x14ac:dyDescent="0.3">
      <c r="A1605" s="17"/>
      <c r="B1605"/>
      <c r="C1605"/>
      <c r="D1605"/>
      <c r="E1605"/>
      <c r="F1605"/>
      <c r="G1605"/>
      <c r="H1605"/>
      <c r="I1605"/>
      <c r="J1605"/>
      <c r="K1605"/>
      <c r="L1605"/>
      <c r="M1605"/>
      <c r="S1605" s="54"/>
    </row>
    <row r="1606" spans="1:19" s="15" customFormat="1" x14ac:dyDescent="0.3">
      <c r="A1606" s="17"/>
      <c r="B1606"/>
      <c r="C1606"/>
      <c r="D1606"/>
      <c r="E1606"/>
      <c r="F1606"/>
      <c r="G1606"/>
      <c r="H1606"/>
      <c r="I1606"/>
      <c r="J1606"/>
      <c r="K1606"/>
      <c r="L1606"/>
      <c r="M1606"/>
      <c r="S1606" s="54"/>
    </row>
    <row r="1607" spans="1:19" s="15" customFormat="1" x14ac:dyDescent="0.3">
      <c r="A1607" s="17"/>
      <c r="B1607"/>
      <c r="C1607"/>
      <c r="D1607"/>
      <c r="E1607"/>
      <c r="F1607"/>
      <c r="G1607"/>
      <c r="H1607"/>
      <c r="I1607"/>
      <c r="J1607"/>
      <c r="K1607"/>
      <c r="L1607"/>
      <c r="M1607"/>
      <c r="S1607" s="54"/>
    </row>
    <row r="1608" spans="1:19" s="15" customFormat="1" x14ac:dyDescent="0.3">
      <c r="A1608" s="17"/>
      <c r="B1608"/>
      <c r="C1608"/>
      <c r="D1608"/>
      <c r="E1608"/>
      <c r="F1608"/>
      <c r="G1608"/>
      <c r="H1608"/>
      <c r="I1608"/>
      <c r="J1608"/>
      <c r="K1608"/>
      <c r="L1608"/>
      <c r="M1608"/>
      <c r="S1608" s="54"/>
    </row>
    <row r="1609" spans="1:19" s="15" customFormat="1" x14ac:dyDescent="0.3">
      <c r="A1609" s="17"/>
      <c r="B1609"/>
      <c r="C1609"/>
      <c r="D1609"/>
      <c r="E1609"/>
      <c r="F1609"/>
      <c r="G1609"/>
      <c r="H1609"/>
      <c r="I1609"/>
      <c r="J1609"/>
      <c r="K1609"/>
      <c r="L1609"/>
      <c r="M1609"/>
      <c r="S1609" s="54"/>
    </row>
    <row r="1610" spans="1:19" s="15" customFormat="1" x14ac:dyDescent="0.3">
      <c r="A1610" s="17"/>
      <c r="B1610"/>
      <c r="C1610"/>
      <c r="D1610"/>
      <c r="E1610"/>
      <c r="F1610"/>
      <c r="G1610"/>
      <c r="H1610"/>
      <c r="I1610"/>
      <c r="J1610"/>
      <c r="K1610"/>
      <c r="L1610"/>
      <c r="M1610"/>
      <c r="S1610" s="54"/>
    </row>
    <row r="1611" spans="1:19" s="15" customFormat="1" x14ac:dyDescent="0.3">
      <c r="A1611" s="17"/>
      <c r="B1611"/>
      <c r="C1611"/>
      <c r="D1611"/>
      <c r="E1611"/>
      <c r="F1611"/>
      <c r="G1611"/>
      <c r="H1611"/>
      <c r="I1611"/>
      <c r="J1611"/>
      <c r="K1611"/>
      <c r="L1611"/>
      <c r="M1611"/>
      <c r="S1611" s="54"/>
    </row>
    <row r="1612" spans="1:19" s="15" customFormat="1" x14ac:dyDescent="0.3">
      <c r="A1612" s="17"/>
      <c r="B1612"/>
      <c r="C1612"/>
      <c r="D1612"/>
      <c r="E1612"/>
      <c r="F1612"/>
      <c r="G1612"/>
      <c r="H1612"/>
      <c r="I1612"/>
      <c r="J1612"/>
      <c r="K1612"/>
      <c r="L1612"/>
      <c r="M1612"/>
      <c r="S1612" s="54"/>
    </row>
    <row r="1613" spans="1:19" s="15" customFormat="1" x14ac:dyDescent="0.3">
      <c r="A1613" s="17"/>
      <c r="B1613"/>
      <c r="C1613"/>
      <c r="D1613"/>
      <c r="E1613"/>
      <c r="F1613"/>
      <c r="G1613"/>
      <c r="H1613"/>
      <c r="I1613"/>
      <c r="J1613"/>
      <c r="K1613"/>
      <c r="L1613"/>
      <c r="M1613"/>
      <c r="S1613" s="54"/>
    </row>
    <row r="1614" spans="1:19" s="15" customFormat="1" x14ac:dyDescent="0.3">
      <c r="A1614" s="17"/>
      <c r="B1614"/>
      <c r="C1614"/>
      <c r="D1614"/>
      <c r="E1614"/>
      <c r="F1614"/>
      <c r="G1614"/>
      <c r="H1614"/>
      <c r="I1614"/>
      <c r="J1614"/>
      <c r="K1614"/>
      <c r="L1614"/>
      <c r="M1614"/>
      <c r="S1614" s="54"/>
    </row>
    <row r="1615" spans="1:19" s="15" customFormat="1" x14ac:dyDescent="0.3">
      <c r="A1615" s="17"/>
      <c r="B1615"/>
      <c r="C1615"/>
      <c r="D1615"/>
      <c r="E1615"/>
      <c r="F1615"/>
      <c r="G1615"/>
      <c r="H1615"/>
      <c r="I1615"/>
      <c r="J1615"/>
      <c r="K1615"/>
      <c r="L1615"/>
      <c r="M1615"/>
      <c r="S1615" s="54"/>
    </row>
    <row r="1616" spans="1:19" s="15" customFormat="1" x14ac:dyDescent="0.3">
      <c r="A1616" s="17"/>
      <c r="B1616"/>
      <c r="C1616"/>
      <c r="D1616"/>
      <c r="E1616"/>
      <c r="F1616"/>
      <c r="G1616"/>
      <c r="H1616"/>
      <c r="I1616"/>
      <c r="J1616"/>
      <c r="K1616"/>
      <c r="L1616"/>
      <c r="M1616"/>
      <c r="S1616" s="54"/>
    </row>
    <row r="1617" spans="1:19" s="15" customFormat="1" x14ac:dyDescent="0.3">
      <c r="A1617" s="17"/>
      <c r="B1617"/>
      <c r="C1617"/>
      <c r="D1617"/>
      <c r="E1617"/>
      <c r="F1617"/>
      <c r="G1617"/>
      <c r="H1617"/>
      <c r="I1617"/>
      <c r="J1617"/>
      <c r="K1617"/>
      <c r="L1617"/>
      <c r="M1617"/>
      <c r="S1617" s="54"/>
    </row>
    <row r="1618" spans="1:19" s="15" customFormat="1" x14ac:dyDescent="0.3">
      <c r="A1618" s="17"/>
      <c r="B1618"/>
      <c r="C1618"/>
      <c r="D1618"/>
      <c r="E1618"/>
      <c r="F1618"/>
      <c r="G1618"/>
      <c r="H1618"/>
      <c r="I1618"/>
      <c r="J1618"/>
      <c r="K1618"/>
      <c r="L1618"/>
      <c r="M1618"/>
      <c r="S1618" s="54"/>
    </row>
    <row r="1619" spans="1:19" s="15" customFormat="1" x14ac:dyDescent="0.3">
      <c r="A1619" s="17"/>
      <c r="B1619"/>
      <c r="C1619"/>
      <c r="D1619"/>
      <c r="E1619"/>
      <c r="F1619"/>
      <c r="G1619"/>
      <c r="H1619"/>
      <c r="I1619"/>
      <c r="J1619"/>
      <c r="K1619"/>
      <c r="L1619"/>
      <c r="M1619"/>
      <c r="S1619" s="54"/>
    </row>
    <row r="1620" spans="1:19" s="15" customFormat="1" x14ac:dyDescent="0.3">
      <c r="A1620" s="17"/>
      <c r="B1620"/>
      <c r="C1620"/>
      <c r="D1620"/>
      <c r="E1620"/>
      <c r="F1620"/>
      <c r="G1620"/>
      <c r="H1620"/>
      <c r="I1620"/>
      <c r="J1620"/>
      <c r="K1620"/>
      <c r="L1620"/>
      <c r="M1620"/>
      <c r="S1620" s="54"/>
    </row>
    <row r="1621" spans="1:19" s="15" customFormat="1" x14ac:dyDescent="0.3">
      <c r="A1621" s="17"/>
      <c r="B1621"/>
      <c r="C1621"/>
      <c r="D1621"/>
      <c r="E1621"/>
      <c r="F1621"/>
      <c r="G1621"/>
      <c r="H1621"/>
      <c r="I1621"/>
      <c r="J1621"/>
      <c r="K1621"/>
      <c r="L1621"/>
      <c r="M1621"/>
      <c r="S1621" s="54"/>
    </row>
    <row r="1622" spans="1:19" s="15" customFormat="1" x14ac:dyDescent="0.3">
      <c r="A1622" s="17"/>
      <c r="B1622"/>
      <c r="C1622"/>
      <c r="D1622"/>
      <c r="E1622"/>
      <c r="F1622"/>
      <c r="G1622"/>
      <c r="H1622"/>
      <c r="I1622"/>
      <c r="J1622"/>
      <c r="K1622"/>
      <c r="L1622"/>
      <c r="M1622"/>
      <c r="S1622" s="54"/>
    </row>
    <row r="1623" spans="1:19" s="15" customFormat="1" x14ac:dyDescent="0.3">
      <c r="A1623" s="17"/>
      <c r="B1623"/>
      <c r="C1623"/>
      <c r="D1623"/>
      <c r="E1623"/>
      <c r="F1623"/>
      <c r="G1623"/>
      <c r="H1623"/>
      <c r="I1623"/>
      <c r="J1623"/>
      <c r="K1623"/>
      <c r="L1623"/>
      <c r="M1623"/>
      <c r="S1623" s="54"/>
    </row>
    <row r="1624" spans="1:19" s="15" customFormat="1" x14ac:dyDescent="0.3">
      <c r="A1624" s="17"/>
      <c r="B1624"/>
      <c r="C1624"/>
      <c r="D1624"/>
      <c r="E1624"/>
      <c r="F1624"/>
      <c r="G1624"/>
      <c r="H1624"/>
      <c r="I1624"/>
      <c r="J1624"/>
      <c r="K1624"/>
      <c r="L1624"/>
      <c r="M1624"/>
      <c r="S1624" s="54"/>
    </row>
    <row r="1625" spans="1:19" s="15" customFormat="1" x14ac:dyDescent="0.3">
      <c r="A1625" s="17"/>
      <c r="B1625"/>
      <c r="C1625"/>
      <c r="D1625"/>
      <c r="E1625"/>
      <c r="F1625"/>
      <c r="G1625"/>
      <c r="H1625"/>
      <c r="I1625"/>
      <c r="J1625"/>
      <c r="K1625"/>
      <c r="L1625"/>
      <c r="M1625"/>
      <c r="S1625" s="54"/>
    </row>
    <row r="1626" spans="1:19" s="15" customFormat="1" x14ac:dyDescent="0.3">
      <c r="A1626" s="17"/>
      <c r="B1626"/>
      <c r="C1626"/>
      <c r="D1626"/>
      <c r="E1626"/>
      <c r="F1626"/>
      <c r="G1626"/>
      <c r="H1626"/>
      <c r="I1626"/>
      <c r="J1626"/>
      <c r="K1626"/>
      <c r="L1626"/>
      <c r="M1626"/>
      <c r="S1626" s="54"/>
    </row>
    <row r="1627" spans="1:19" s="15" customFormat="1" x14ac:dyDescent="0.3">
      <c r="A1627" s="17"/>
      <c r="B1627"/>
      <c r="C1627"/>
      <c r="D1627"/>
      <c r="E1627"/>
      <c r="F1627"/>
      <c r="G1627"/>
      <c r="H1627"/>
      <c r="I1627"/>
      <c r="J1627"/>
      <c r="K1627"/>
      <c r="L1627"/>
      <c r="M1627"/>
      <c r="S1627" s="54"/>
    </row>
    <row r="1628" spans="1:19" s="15" customFormat="1" x14ac:dyDescent="0.3">
      <c r="A1628" s="17"/>
      <c r="B1628"/>
      <c r="C1628"/>
      <c r="D1628"/>
      <c r="E1628"/>
      <c r="F1628"/>
      <c r="G1628"/>
      <c r="H1628"/>
      <c r="I1628"/>
      <c r="J1628"/>
      <c r="K1628"/>
      <c r="L1628"/>
      <c r="M1628"/>
      <c r="S1628" s="54"/>
    </row>
    <row r="1629" spans="1:19" s="15" customFormat="1" x14ac:dyDescent="0.3">
      <c r="A1629" s="17"/>
      <c r="B1629"/>
      <c r="C1629"/>
      <c r="D1629"/>
      <c r="E1629"/>
      <c r="F1629"/>
      <c r="G1629"/>
      <c r="H1629"/>
      <c r="I1629"/>
      <c r="J1629"/>
      <c r="K1629"/>
      <c r="L1629"/>
      <c r="M1629"/>
      <c r="S1629" s="54"/>
    </row>
    <row r="1630" spans="1:19" s="15" customFormat="1" x14ac:dyDescent="0.3">
      <c r="A1630" s="17"/>
      <c r="B1630"/>
      <c r="C1630"/>
      <c r="D1630"/>
      <c r="E1630"/>
      <c r="F1630"/>
      <c r="G1630"/>
      <c r="H1630"/>
      <c r="I1630"/>
      <c r="J1630"/>
      <c r="K1630"/>
      <c r="L1630"/>
      <c r="M1630"/>
      <c r="S1630" s="54"/>
    </row>
    <row r="1631" spans="1:19" s="15" customFormat="1" x14ac:dyDescent="0.3">
      <c r="A1631" s="17"/>
      <c r="B1631"/>
      <c r="C1631"/>
      <c r="D1631"/>
      <c r="E1631"/>
      <c r="F1631"/>
      <c r="G1631"/>
      <c r="H1631"/>
      <c r="I1631"/>
      <c r="J1631"/>
      <c r="K1631"/>
      <c r="L1631"/>
      <c r="M1631"/>
      <c r="S1631" s="54"/>
    </row>
    <row r="1632" spans="1:19" s="15" customFormat="1" x14ac:dyDescent="0.3">
      <c r="A1632" s="17"/>
      <c r="B1632"/>
      <c r="C1632"/>
      <c r="D1632"/>
      <c r="E1632"/>
      <c r="F1632"/>
      <c r="G1632"/>
      <c r="H1632"/>
      <c r="I1632"/>
      <c r="J1632"/>
      <c r="K1632"/>
      <c r="L1632"/>
      <c r="M1632"/>
      <c r="S1632" s="54"/>
    </row>
    <row r="1633" spans="1:19" s="15" customFormat="1" x14ac:dyDescent="0.3">
      <c r="A1633" s="17"/>
      <c r="B1633"/>
      <c r="C1633"/>
      <c r="D1633"/>
      <c r="E1633"/>
      <c r="F1633"/>
      <c r="G1633"/>
      <c r="H1633"/>
      <c r="I1633"/>
      <c r="J1633"/>
      <c r="K1633"/>
      <c r="L1633"/>
      <c r="M1633"/>
      <c r="S1633" s="54"/>
    </row>
    <row r="1634" spans="1:19" s="15" customFormat="1" x14ac:dyDescent="0.3">
      <c r="A1634" s="17"/>
      <c r="B1634"/>
      <c r="C1634"/>
      <c r="D1634"/>
      <c r="E1634"/>
      <c r="F1634"/>
      <c r="G1634"/>
      <c r="H1634"/>
      <c r="I1634"/>
      <c r="J1634"/>
      <c r="K1634"/>
      <c r="L1634"/>
      <c r="M1634"/>
      <c r="S1634" s="54"/>
    </row>
    <row r="1635" spans="1:19" s="15" customFormat="1" x14ac:dyDescent="0.3">
      <c r="A1635" s="17"/>
      <c r="B1635"/>
      <c r="C1635"/>
      <c r="D1635"/>
      <c r="E1635"/>
      <c r="F1635"/>
      <c r="G1635"/>
      <c r="H1635"/>
      <c r="I1635"/>
      <c r="J1635"/>
      <c r="K1635"/>
      <c r="L1635"/>
      <c r="M1635"/>
      <c r="S1635" s="54"/>
    </row>
    <row r="1636" spans="1:19" s="15" customFormat="1" x14ac:dyDescent="0.3">
      <c r="A1636" s="17"/>
      <c r="B1636"/>
      <c r="C1636"/>
      <c r="D1636"/>
      <c r="E1636"/>
      <c r="F1636"/>
      <c r="G1636"/>
      <c r="H1636"/>
      <c r="I1636"/>
      <c r="J1636"/>
      <c r="K1636"/>
      <c r="L1636"/>
      <c r="M1636"/>
      <c r="S1636" s="54"/>
    </row>
    <row r="1637" spans="1:19" s="15" customFormat="1" x14ac:dyDescent="0.3">
      <c r="A1637" s="17"/>
      <c r="B1637"/>
      <c r="C1637"/>
      <c r="D1637"/>
      <c r="E1637"/>
      <c r="F1637"/>
      <c r="G1637"/>
      <c r="H1637"/>
      <c r="I1637"/>
      <c r="J1637"/>
      <c r="K1637"/>
      <c r="L1637"/>
      <c r="M1637"/>
      <c r="S1637" s="54"/>
    </row>
    <row r="1638" spans="1:19" s="15" customFormat="1" x14ac:dyDescent="0.3">
      <c r="A1638" s="17"/>
      <c r="B1638"/>
      <c r="C1638"/>
      <c r="D1638"/>
      <c r="E1638"/>
      <c r="F1638"/>
      <c r="G1638"/>
      <c r="H1638"/>
      <c r="I1638"/>
      <c r="J1638"/>
      <c r="K1638"/>
      <c r="L1638"/>
      <c r="M1638"/>
      <c r="S1638" s="54"/>
    </row>
    <row r="1639" spans="1:19" s="15" customFormat="1" x14ac:dyDescent="0.3">
      <c r="A1639" s="17"/>
      <c r="B1639"/>
      <c r="C1639"/>
      <c r="D1639"/>
      <c r="E1639"/>
      <c r="F1639"/>
      <c r="G1639"/>
      <c r="H1639"/>
      <c r="I1639"/>
      <c r="J1639"/>
      <c r="K1639"/>
      <c r="L1639"/>
      <c r="M1639"/>
      <c r="S1639" s="54"/>
    </row>
    <row r="1640" spans="1:19" s="15" customFormat="1" x14ac:dyDescent="0.3">
      <c r="A1640" s="17"/>
      <c r="B1640"/>
      <c r="C1640"/>
      <c r="D1640"/>
      <c r="E1640"/>
      <c r="F1640"/>
      <c r="G1640"/>
      <c r="H1640"/>
      <c r="I1640"/>
      <c r="J1640"/>
      <c r="K1640"/>
      <c r="L1640"/>
      <c r="M1640"/>
      <c r="S1640" s="54"/>
    </row>
    <row r="1641" spans="1:19" s="15" customFormat="1" x14ac:dyDescent="0.3">
      <c r="A1641" s="17"/>
      <c r="B1641"/>
      <c r="C1641"/>
      <c r="D1641"/>
      <c r="E1641"/>
      <c r="F1641"/>
      <c r="G1641"/>
      <c r="H1641"/>
      <c r="I1641"/>
      <c r="J1641"/>
      <c r="K1641"/>
      <c r="L1641"/>
      <c r="M1641"/>
      <c r="S1641" s="54"/>
    </row>
    <row r="1642" spans="1:19" s="15" customFormat="1" x14ac:dyDescent="0.3">
      <c r="A1642" s="17"/>
      <c r="B1642"/>
      <c r="C1642"/>
      <c r="D1642"/>
      <c r="E1642"/>
      <c r="F1642"/>
      <c r="G1642"/>
      <c r="H1642"/>
      <c r="I1642"/>
      <c r="J1642"/>
      <c r="K1642"/>
      <c r="L1642"/>
      <c r="M1642"/>
      <c r="S1642" s="54"/>
    </row>
    <row r="1643" spans="1:19" s="15" customFormat="1" x14ac:dyDescent="0.3">
      <c r="A1643" s="17"/>
      <c r="B1643"/>
      <c r="C1643"/>
      <c r="D1643"/>
      <c r="E1643"/>
      <c r="F1643"/>
      <c r="G1643"/>
      <c r="H1643"/>
      <c r="I1643"/>
      <c r="J1643"/>
      <c r="K1643"/>
      <c r="L1643"/>
      <c r="M1643"/>
      <c r="S1643" s="54"/>
    </row>
    <row r="1644" spans="1:19" s="15" customFormat="1" x14ac:dyDescent="0.3">
      <c r="A1644" s="17"/>
      <c r="B1644"/>
      <c r="C1644"/>
      <c r="D1644"/>
      <c r="E1644"/>
      <c r="F1644"/>
      <c r="G1644"/>
      <c r="H1644"/>
      <c r="I1644"/>
      <c r="J1644"/>
      <c r="K1644"/>
      <c r="L1644"/>
      <c r="M1644"/>
      <c r="S1644" s="54"/>
    </row>
    <row r="1645" spans="1:19" s="15" customFormat="1" x14ac:dyDescent="0.3">
      <c r="A1645" s="17"/>
      <c r="B1645"/>
      <c r="C1645"/>
      <c r="D1645"/>
      <c r="E1645"/>
      <c r="F1645"/>
      <c r="G1645"/>
      <c r="H1645"/>
      <c r="I1645"/>
      <c r="J1645"/>
      <c r="K1645"/>
      <c r="L1645"/>
      <c r="M1645"/>
      <c r="S1645" s="54"/>
    </row>
    <row r="1646" spans="1:19" s="15" customFormat="1" x14ac:dyDescent="0.3">
      <c r="A1646" s="17"/>
      <c r="B1646"/>
      <c r="C1646"/>
      <c r="D1646"/>
      <c r="E1646"/>
      <c r="F1646"/>
      <c r="G1646"/>
      <c r="H1646"/>
      <c r="I1646"/>
      <c r="J1646"/>
      <c r="K1646"/>
      <c r="L1646"/>
      <c r="M1646"/>
      <c r="S1646" s="54"/>
    </row>
    <row r="1647" spans="1:19" s="15" customFormat="1" x14ac:dyDescent="0.3">
      <c r="A1647" s="17"/>
      <c r="B1647"/>
      <c r="C1647"/>
      <c r="D1647"/>
      <c r="E1647"/>
      <c r="F1647"/>
      <c r="G1647"/>
      <c r="H1647"/>
      <c r="I1647"/>
      <c r="J1647"/>
      <c r="K1647"/>
      <c r="L1647"/>
      <c r="M1647"/>
      <c r="S1647" s="54"/>
    </row>
    <row r="1648" spans="1:19" s="15" customFormat="1" x14ac:dyDescent="0.3">
      <c r="A1648" s="17"/>
      <c r="B1648"/>
      <c r="C1648"/>
      <c r="D1648"/>
      <c r="E1648"/>
      <c r="F1648"/>
      <c r="G1648"/>
      <c r="H1648"/>
      <c r="I1648"/>
      <c r="J1648"/>
      <c r="K1648"/>
      <c r="L1648"/>
      <c r="M1648"/>
      <c r="S1648" s="54"/>
    </row>
    <row r="1649" spans="1:19" s="15" customFormat="1" x14ac:dyDescent="0.3">
      <c r="A1649" s="17"/>
      <c r="B1649"/>
      <c r="C1649"/>
      <c r="D1649"/>
      <c r="E1649"/>
      <c r="F1649"/>
      <c r="G1649"/>
      <c r="H1649"/>
      <c r="I1649"/>
      <c r="J1649"/>
      <c r="K1649"/>
      <c r="L1649"/>
      <c r="M1649"/>
      <c r="S1649" s="54"/>
    </row>
    <row r="1650" spans="1:19" s="15" customFormat="1" x14ac:dyDescent="0.3">
      <c r="A1650" s="17"/>
      <c r="B1650"/>
      <c r="C1650"/>
      <c r="D1650"/>
      <c r="E1650"/>
      <c r="F1650"/>
      <c r="G1650"/>
      <c r="H1650"/>
      <c r="I1650"/>
      <c r="J1650"/>
      <c r="K1650"/>
      <c r="L1650"/>
      <c r="M1650"/>
      <c r="S1650" s="54"/>
    </row>
    <row r="1651" spans="1:19" s="15" customFormat="1" x14ac:dyDescent="0.3">
      <c r="A1651" s="17"/>
      <c r="B1651"/>
      <c r="C1651"/>
      <c r="D1651"/>
      <c r="E1651"/>
      <c r="F1651"/>
      <c r="G1651"/>
      <c r="H1651"/>
      <c r="I1651"/>
      <c r="J1651"/>
      <c r="K1651"/>
      <c r="L1651"/>
      <c r="M1651"/>
      <c r="S1651" s="54"/>
    </row>
    <row r="1652" spans="1:19" s="15" customFormat="1" x14ac:dyDescent="0.3">
      <c r="A1652" s="17"/>
      <c r="B1652"/>
      <c r="C1652"/>
      <c r="D1652"/>
      <c r="E1652"/>
      <c r="F1652"/>
      <c r="G1652"/>
      <c r="H1652"/>
      <c r="I1652"/>
      <c r="J1652"/>
      <c r="K1652"/>
      <c r="L1652"/>
      <c r="M1652"/>
      <c r="S1652" s="54"/>
    </row>
    <row r="1653" spans="1:19" s="15" customFormat="1" x14ac:dyDescent="0.3">
      <c r="A1653" s="17"/>
      <c r="B1653"/>
      <c r="C1653"/>
      <c r="D1653"/>
      <c r="E1653"/>
      <c r="F1653"/>
      <c r="G1653"/>
      <c r="H1653"/>
      <c r="I1653"/>
      <c r="J1653"/>
      <c r="K1653"/>
      <c r="L1653"/>
      <c r="M1653"/>
      <c r="S1653" s="54"/>
    </row>
    <row r="1654" spans="1:19" s="15" customFormat="1" x14ac:dyDescent="0.3">
      <c r="A1654" s="17"/>
      <c r="B1654"/>
      <c r="C1654"/>
      <c r="D1654"/>
      <c r="E1654"/>
      <c r="F1654"/>
      <c r="G1654"/>
      <c r="H1654"/>
      <c r="I1654"/>
      <c r="J1654"/>
      <c r="K1654"/>
      <c r="L1654"/>
      <c r="M1654"/>
      <c r="S1654" s="54"/>
    </row>
    <row r="1655" spans="1:19" s="15" customFormat="1" x14ac:dyDescent="0.3">
      <c r="A1655" s="17"/>
      <c r="B1655"/>
      <c r="C1655"/>
      <c r="D1655"/>
      <c r="E1655"/>
      <c r="F1655"/>
      <c r="G1655"/>
      <c r="H1655"/>
      <c r="I1655"/>
      <c r="J1655"/>
      <c r="K1655"/>
      <c r="L1655"/>
      <c r="M1655"/>
      <c r="S1655" s="54"/>
    </row>
    <row r="1656" spans="1:19" s="15" customFormat="1" x14ac:dyDescent="0.3">
      <c r="A1656" s="17"/>
      <c r="B1656"/>
      <c r="C1656"/>
      <c r="D1656"/>
      <c r="E1656"/>
      <c r="F1656"/>
      <c r="G1656"/>
      <c r="H1656"/>
      <c r="I1656"/>
      <c r="J1656"/>
      <c r="K1656"/>
      <c r="L1656"/>
      <c r="M1656"/>
      <c r="S1656" s="54"/>
    </row>
    <row r="1657" spans="1:19" s="15" customFormat="1" x14ac:dyDescent="0.3">
      <c r="A1657" s="17"/>
      <c r="B1657"/>
      <c r="C1657"/>
      <c r="D1657"/>
      <c r="E1657"/>
      <c r="F1657"/>
      <c r="G1657"/>
      <c r="H1657"/>
      <c r="I1657"/>
      <c r="J1657"/>
      <c r="K1657"/>
      <c r="L1657"/>
      <c r="M1657"/>
      <c r="S1657" s="54"/>
    </row>
    <row r="1658" spans="1:19" s="15" customFormat="1" x14ac:dyDescent="0.3">
      <c r="A1658" s="17"/>
      <c r="B1658"/>
      <c r="C1658"/>
      <c r="D1658"/>
      <c r="E1658"/>
      <c r="F1658"/>
      <c r="G1658"/>
      <c r="H1658"/>
      <c r="I1658"/>
      <c r="J1658"/>
      <c r="K1658"/>
      <c r="L1658"/>
      <c r="M1658"/>
      <c r="S1658" s="54"/>
    </row>
    <row r="1659" spans="1:19" s="15" customFormat="1" x14ac:dyDescent="0.3">
      <c r="A1659" s="17"/>
      <c r="B1659"/>
      <c r="C1659"/>
      <c r="D1659"/>
      <c r="E1659"/>
      <c r="F1659"/>
      <c r="G1659"/>
      <c r="H1659"/>
      <c r="I1659"/>
      <c r="J1659"/>
      <c r="K1659"/>
      <c r="L1659"/>
      <c r="M1659"/>
      <c r="S1659" s="54"/>
    </row>
    <row r="1660" spans="1:19" s="15" customFormat="1" x14ac:dyDescent="0.3">
      <c r="A1660" s="17"/>
      <c r="B1660"/>
      <c r="C1660"/>
      <c r="D1660"/>
      <c r="E1660"/>
      <c r="F1660"/>
      <c r="G1660"/>
      <c r="H1660"/>
      <c r="I1660"/>
      <c r="J1660"/>
      <c r="K1660"/>
      <c r="L1660"/>
      <c r="M1660"/>
      <c r="S1660" s="54"/>
    </row>
    <row r="1661" spans="1:19" s="15" customFormat="1" x14ac:dyDescent="0.3">
      <c r="A1661" s="17"/>
      <c r="B1661"/>
      <c r="C1661"/>
      <c r="D1661"/>
      <c r="E1661"/>
      <c r="F1661"/>
      <c r="G1661"/>
      <c r="H1661"/>
      <c r="I1661"/>
      <c r="J1661"/>
      <c r="K1661"/>
      <c r="L1661"/>
      <c r="M1661"/>
      <c r="S1661" s="54"/>
    </row>
    <row r="1662" spans="1:19" s="15" customFormat="1" x14ac:dyDescent="0.3">
      <c r="A1662" s="17"/>
      <c r="B1662"/>
      <c r="C1662"/>
      <c r="D1662"/>
      <c r="E1662"/>
      <c r="F1662"/>
      <c r="G1662"/>
      <c r="H1662"/>
      <c r="I1662"/>
      <c r="J1662"/>
      <c r="K1662"/>
      <c r="L1662"/>
      <c r="M1662"/>
      <c r="S1662" s="54"/>
    </row>
    <row r="1663" spans="1:19" s="15" customFormat="1" x14ac:dyDescent="0.3">
      <c r="A1663" s="17"/>
      <c r="B1663"/>
      <c r="C1663"/>
      <c r="D1663"/>
      <c r="E1663"/>
      <c r="F1663"/>
      <c r="G1663"/>
      <c r="H1663"/>
      <c r="I1663"/>
      <c r="J1663"/>
      <c r="K1663"/>
      <c r="L1663"/>
      <c r="M1663"/>
      <c r="S1663" s="54"/>
    </row>
    <row r="1664" spans="1:19" s="15" customFormat="1" x14ac:dyDescent="0.3">
      <c r="A1664" s="17"/>
      <c r="B1664"/>
      <c r="C1664"/>
      <c r="D1664"/>
      <c r="E1664"/>
      <c r="F1664"/>
      <c r="G1664"/>
      <c r="H1664"/>
      <c r="I1664"/>
      <c r="J1664"/>
      <c r="K1664"/>
      <c r="L1664"/>
      <c r="M1664"/>
      <c r="S1664" s="54"/>
    </row>
    <row r="1665" spans="1:19" s="15" customFormat="1" x14ac:dyDescent="0.3">
      <c r="A1665" s="17"/>
      <c r="B1665"/>
      <c r="C1665"/>
      <c r="D1665"/>
      <c r="E1665"/>
      <c r="F1665"/>
      <c r="G1665"/>
      <c r="H1665"/>
      <c r="I1665"/>
      <c r="J1665"/>
      <c r="K1665"/>
      <c r="L1665"/>
      <c r="M1665"/>
      <c r="S1665" s="54"/>
    </row>
    <row r="1666" spans="1:19" s="15" customFormat="1" x14ac:dyDescent="0.3">
      <c r="A1666" s="17"/>
      <c r="B1666"/>
      <c r="C1666"/>
      <c r="D1666"/>
      <c r="E1666"/>
      <c r="F1666"/>
      <c r="G1666"/>
      <c r="H1666"/>
      <c r="I1666"/>
      <c r="J1666"/>
      <c r="K1666"/>
      <c r="L1666"/>
      <c r="M1666"/>
      <c r="S1666" s="54"/>
    </row>
    <row r="1667" spans="1:19" s="15" customFormat="1" x14ac:dyDescent="0.3">
      <c r="A1667" s="17"/>
      <c r="B1667"/>
      <c r="C1667"/>
      <c r="D1667"/>
      <c r="E1667"/>
      <c r="F1667"/>
      <c r="G1667"/>
      <c r="H1667"/>
      <c r="I1667"/>
      <c r="J1667"/>
      <c r="K1667"/>
      <c r="L1667"/>
      <c r="M1667"/>
      <c r="S1667" s="54"/>
    </row>
    <row r="1668" spans="1:19" s="15" customFormat="1" x14ac:dyDescent="0.3">
      <c r="A1668" s="17"/>
      <c r="B1668"/>
      <c r="C1668"/>
      <c r="D1668"/>
      <c r="E1668"/>
      <c r="F1668"/>
      <c r="G1668"/>
      <c r="H1668"/>
      <c r="I1668"/>
      <c r="J1668"/>
      <c r="K1668"/>
      <c r="L1668"/>
      <c r="M1668"/>
      <c r="S1668" s="54"/>
    </row>
    <row r="1669" spans="1:19" s="15" customFormat="1" x14ac:dyDescent="0.3">
      <c r="A1669" s="17"/>
      <c r="B1669"/>
      <c r="C1669"/>
      <c r="D1669"/>
      <c r="E1669"/>
      <c r="F1669"/>
      <c r="G1669"/>
      <c r="H1669"/>
      <c r="I1669"/>
      <c r="J1669"/>
      <c r="K1669"/>
      <c r="L1669"/>
      <c r="M1669"/>
      <c r="S1669" s="54"/>
    </row>
    <row r="1670" spans="1:19" s="15" customFormat="1" x14ac:dyDescent="0.3">
      <c r="A1670" s="17"/>
      <c r="B1670"/>
      <c r="C1670"/>
      <c r="D1670"/>
      <c r="E1670"/>
      <c r="F1670"/>
      <c r="G1670"/>
      <c r="H1670"/>
      <c r="I1670"/>
      <c r="J1670"/>
      <c r="K1670"/>
      <c r="L1670"/>
      <c r="M1670"/>
      <c r="S1670" s="54"/>
    </row>
    <row r="1671" spans="1:19" s="15" customFormat="1" x14ac:dyDescent="0.3">
      <c r="A1671" s="17"/>
      <c r="B1671"/>
      <c r="C1671"/>
      <c r="D1671"/>
      <c r="E1671"/>
      <c r="F1671"/>
      <c r="G1671"/>
      <c r="H1671"/>
      <c r="I1671"/>
      <c r="J1671"/>
      <c r="K1671"/>
      <c r="L1671"/>
      <c r="M1671"/>
      <c r="S1671" s="54"/>
    </row>
    <row r="1672" spans="1:19" s="15" customFormat="1" x14ac:dyDescent="0.3">
      <c r="A1672" s="17"/>
      <c r="B1672"/>
      <c r="C1672"/>
      <c r="D1672"/>
      <c r="E1672"/>
      <c r="F1672"/>
      <c r="G1672"/>
      <c r="H1672"/>
      <c r="I1672"/>
      <c r="J1672"/>
      <c r="K1672"/>
      <c r="L1672"/>
      <c r="M1672"/>
      <c r="S1672" s="54"/>
    </row>
    <row r="1673" spans="1:19" s="15" customFormat="1" x14ac:dyDescent="0.3">
      <c r="A1673" s="17"/>
      <c r="B1673"/>
      <c r="C1673"/>
      <c r="D1673"/>
      <c r="E1673"/>
      <c r="F1673"/>
      <c r="G1673"/>
      <c r="H1673"/>
      <c r="I1673"/>
      <c r="J1673"/>
      <c r="K1673"/>
      <c r="L1673"/>
      <c r="M1673"/>
      <c r="S1673" s="54"/>
    </row>
    <row r="1674" spans="1:19" s="15" customFormat="1" x14ac:dyDescent="0.3">
      <c r="A1674" s="17"/>
      <c r="B1674"/>
      <c r="C1674"/>
      <c r="D1674"/>
      <c r="E1674"/>
      <c r="F1674"/>
      <c r="G1674"/>
      <c r="H1674"/>
      <c r="I1674"/>
      <c r="J1674"/>
      <c r="K1674"/>
      <c r="L1674"/>
      <c r="M1674"/>
      <c r="S1674" s="54"/>
    </row>
    <row r="1675" spans="1:19" s="15" customFormat="1" x14ac:dyDescent="0.3">
      <c r="A1675" s="17"/>
      <c r="B1675"/>
      <c r="C1675"/>
      <c r="D1675"/>
      <c r="E1675"/>
      <c r="F1675"/>
      <c r="G1675"/>
      <c r="H1675"/>
      <c r="I1675"/>
      <c r="J1675"/>
      <c r="K1675"/>
      <c r="L1675"/>
      <c r="M1675"/>
      <c r="S1675" s="54"/>
    </row>
    <row r="1676" spans="1:19" s="15" customFormat="1" x14ac:dyDescent="0.3">
      <c r="A1676" s="17"/>
      <c r="B1676"/>
      <c r="C1676"/>
      <c r="D1676"/>
      <c r="E1676"/>
      <c r="F1676"/>
      <c r="G1676"/>
      <c r="H1676"/>
      <c r="I1676"/>
      <c r="J1676"/>
      <c r="K1676"/>
      <c r="L1676"/>
      <c r="M1676"/>
      <c r="S1676" s="54"/>
    </row>
    <row r="1677" spans="1:19" s="15" customFormat="1" x14ac:dyDescent="0.3">
      <c r="A1677" s="17"/>
      <c r="B1677"/>
      <c r="C1677"/>
      <c r="D1677"/>
      <c r="E1677"/>
      <c r="F1677"/>
      <c r="G1677"/>
      <c r="H1677"/>
      <c r="I1677"/>
      <c r="J1677"/>
      <c r="K1677"/>
      <c r="L1677"/>
      <c r="M1677"/>
      <c r="S1677" s="54"/>
    </row>
    <row r="1678" spans="1:19" s="15" customFormat="1" x14ac:dyDescent="0.3">
      <c r="A1678" s="17"/>
      <c r="B1678"/>
      <c r="C1678"/>
      <c r="D1678"/>
      <c r="E1678"/>
      <c r="F1678"/>
      <c r="G1678"/>
      <c r="H1678"/>
      <c r="I1678"/>
      <c r="J1678"/>
      <c r="K1678"/>
      <c r="L1678"/>
      <c r="M1678"/>
      <c r="S1678" s="54"/>
    </row>
    <row r="1679" spans="1:19" s="15" customFormat="1" x14ac:dyDescent="0.3">
      <c r="A1679" s="17"/>
      <c r="B1679"/>
      <c r="C1679"/>
      <c r="D1679"/>
      <c r="E1679"/>
      <c r="F1679"/>
      <c r="G1679"/>
      <c r="H1679"/>
      <c r="I1679"/>
      <c r="J1679"/>
      <c r="K1679"/>
      <c r="L1679"/>
      <c r="M1679"/>
      <c r="S1679" s="54"/>
    </row>
    <row r="1680" spans="1:19" s="15" customFormat="1" x14ac:dyDescent="0.3">
      <c r="A1680" s="17"/>
      <c r="B1680"/>
      <c r="C1680"/>
      <c r="D1680"/>
      <c r="E1680"/>
      <c r="F1680"/>
      <c r="G1680"/>
      <c r="H1680"/>
      <c r="I1680"/>
      <c r="J1680"/>
      <c r="K1680"/>
      <c r="L1680"/>
      <c r="M1680"/>
      <c r="S1680" s="54"/>
    </row>
    <row r="1681" spans="1:19" s="15" customFormat="1" x14ac:dyDescent="0.3">
      <c r="A1681" s="17"/>
      <c r="B1681"/>
      <c r="C1681"/>
      <c r="D1681"/>
      <c r="E1681"/>
      <c r="F1681"/>
      <c r="G1681"/>
      <c r="H1681"/>
      <c r="I1681"/>
      <c r="J1681"/>
      <c r="K1681"/>
      <c r="L1681"/>
      <c r="M1681"/>
      <c r="S1681" s="54"/>
    </row>
    <row r="1682" spans="1:19" s="15" customFormat="1" x14ac:dyDescent="0.3">
      <c r="A1682" s="17"/>
      <c r="B1682"/>
      <c r="C1682"/>
      <c r="D1682"/>
      <c r="E1682"/>
      <c r="F1682"/>
      <c r="G1682"/>
      <c r="H1682"/>
      <c r="I1682"/>
      <c r="J1682"/>
      <c r="K1682"/>
      <c r="L1682"/>
      <c r="M1682"/>
      <c r="S1682" s="54"/>
    </row>
    <row r="1683" spans="1:19" s="15" customFormat="1" x14ac:dyDescent="0.3">
      <c r="A1683" s="17"/>
      <c r="B1683"/>
      <c r="C1683"/>
      <c r="D1683"/>
      <c r="E1683"/>
      <c r="F1683"/>
      <c r="G1683"/>
      <c r="H1683"/>
      <c r="I1683"/>
      <c r="J1683"/>
      <c r="K1683"/>
      <c r="L1683"/>
      <c r="M1683"/>
      <c r="S1683" s="54"/>
    </row>
    <row r="1684" spans="1:19" s="15" customFormat="1" x14ac:dyDescent="0.3">
      <c r="A1684" s="17"/>
      <c r="B1684"/>
      <c r="C1684"/>
      <c r="D1684"/>
      <c r="E1684"/>
      <c r="F1684"/>
      <c r="G1684"/>
      <c r="H1684"/>
      <c r="I1684"/>
      <c r="J1684"/>
      <c r="K1684"/>
      <c r="L1684"/>
      <c r="M1684"/>
      <c r="S1684" s="54"/>
    </row>
    <row r="1685" spans="1:19" s="15" customFormat="1" x14ac:dyDescent="0.3">
      <c r="A1685" s="17"/>
      <c r="B1685"/>
      <c r="C1685"/>
      <c r="D1685"/>
      <c r="E1685"/>
      <c r="F1685"/>
      <c r="G1685"/>
      <c r="H1685"/>
      <c r="I1685"/>
      <c r="J1685"/>
      <c r="K1685"/>
      <c r="L1685"/>
      <c r="M1685"/>
      <c r="S1685" s="54"/>
    </row>
    <row r="1686" spans="1:19" s="15" customFormat="1" x14ac:dyDescent="0.3">
      <c r="A1686" s="17"/>
      <c r="B1686"/>
      <c r="C1686"/>
      <c r="D1686"/>
      <c r="E1686"/>
      <c r="F1686"/>
      <c r="G1686"/>
      <c r="H1686"/>
      <c r="I1686"/>
      <c r="J1686"/>
      <c r="K1686"/>
      <c r="L1686"/>
      <c r="M1686"/>
      <c r="S1686" s="54"/>
    </row>
    <row r="1687" spans="1:19" s="15" customFormat="1" x14ac:dyDescent="0.3">
      <c r="A1687" s="17"/>
      <c r="B1687"/>
      <c r="C1687"/>
      <c r="D1687"/>
      <c r="E1687"/>
      <c r="F1687"/>
      <c r="G1687"/>
      <c r="H1687"/>
      <c r="I1687"/>
      <c r="J1687"/>
      <c r="K1687"/>
      <c r="L1687"/>
      <c r="M1687"/>
      <c r="S1687" s="54"/>
    </row>
    <row r="1688" spans="1:19" s="15" customFormat="1" x14ac:dyDescent="0.3">
      <c r="A1688" s="17"/>
      <c r="B1688"/>
      <c r="C1688"/>
      <c r="D1688"/>
      <c r="E1688"/>
      <c r="F1688"/>
      <c r="G1688"/>
      <c r="H1688"/>
      <c r="I1688"/>
      <c r="J1688"/>
      <c r="K1688"/>
      <c r="L1688"/>
      <c r="M1688"/>
      <c r="S1688" s="54"/>
    </row>
    <row r="1689" spans="1:19" s="15" customFormat="1" x14ac:dyDescent="0.3">
      <c r="A1689" s="17"/>
      <c r="B1689"/>
      <c r="C1689"/>
      <c r="D1689"/>
      <c r="E1689"/>
      <c r="F1689"/>
      <c r="G1689"/>
      <c r="H1689"/>
      <c r="I1689"/>
      <c r="J1689"/>
      <c r="K1689"/>
      <c r="L1689"/>
      <c r="M1689"/>
      <c r="S1689" s="54"/>
    </row>
    <row r="1690" spans="1:19" s="15" customFormat="1" x14ac:dyDescent="0.3">
      <c r="A1690" s="17"/>
      <c r="B1690"/>
      <c r="C1690"/>
      <c r="D1690"/>
      <c r="E1690"/>
      <c r="F1690"/>
      <c r="G1690"/>
      <c r="H1690"/>
      <c r="I1690"/>
      <c r="J1690"/>
      <c r="K1690"/>
      <c r="L1690"/>
      <c r="M1690"/>
      <c r="S1690" s="54"/>
    </row>
    <row r="1691" spans="1:19" s="15" customFormat="1" x14ac:dyDescent="0.3">
      <c r="A1691" s="17"/>
      <c r="B1691"/>
      <c r="C1691"/>
      <c r="D1691"/>
      <c r="E1691"/>
      <c r="F1691"/>
      <c r="G1691"/>
      <c r="H1691"/>
      <c r="I1691"/>
      <c r="J1691"/>
      <c r="K1691"/>
      <c r="L1691"/>
      <c r="M1691"/>
      <c r="S1691" s="54"/>
    </row>
    <row r="1692" spans="1:19" s="15" customFormat="1" x14ac:dyDescent="0.3">
      <c r="A1692" s="17"/>
      <c r="B1692"/>
      <c r="C1692"/>
      <c r="D1692"/>
      <c r="E1692"/>
      <c r="F1692"/>
      <c r="G1692"/>
      <c r="H1692"/>
      <c r="I1692"/>
      <c r="J1692"/>
      <c r="K1692"/>
      <c r="L1692"/>
      <c r="M1692"/>
      <c r="S1692" s="54"/>
    </row>
    <row r="1693" spans="1:19" s="15" customFormat="1" x14ac:dyDescent="0.3">
      <c r="A1693" s="17"/>
      <c r="B1693"/>
      <c r="C1693"/>
      <c r="D1693"/>
      <c r="E1693"/>
      <c r="F1693"/>
      <c r="G1693"/>
      <c r="H1693"/>
      <c r="I1693"/>
      <c r="J1693"/>
      <c r="K1693"/>
      <c r="L1693"/>
      <c r="M1693"/>
      <c r="S1693" s="54"/>
    </row>
    <row r="1694" spans="1:19" s="15" customFormat="1" x14ac:dyDescent="0.3">
      <c r="A1694" s="17"/>
      <c r="B1694"/>
      <c r="C1694"/>
      <c r="D1694"/>
      <c r="E1694"/>
      <c r="F1694"/>
      <c r="G1694"/>
      <c r="H1694"/>
      <c r="I1694"/>
      <c r="J1694"/>
      <c r="K1694"/>
      <c r="L1694"/>
      <c r="M1694"/>
      <c r="S1694" s="54"/>
    </row>
    <row r="1695" spans="1:19" s="15" customFormat="1" x14ac:dyDescent="0.3">
      <c r="A1695" s="17"/>
      <c r="B1695"/>
      <c r="C1695"/>
      <c r="D1695"/>
      <c r="E1695"/>
      <c r="F1695"/>
      <c r="G1695"/>
      <c r="H1695"/>
      <c r="I1695"/>
      <c r="J1695"/>
      <c r="K1695"/>
      <c r="L1695"/>
      <c r="M1695"/>
      <c r="S1695" s="54"/>
    </row>
    <row r="1696" spans="1:19" s="15" customFormat="1" x14ac:dyDescent="0.3">
      <c r="A1696" s="17"/>
      <c r="B1696"/>
      <c r="C1696"/>
      <c r="D1696"/>
      <c r="E1696"/>
      <c r="F1696"/>
      <c r="G1696"/>
      <c r="H1696"/>
      <c r="I1696"/>
      <c r="J1696"/>
      <c r="K1696"/>
      <c r="L1696"/>
      <c r="M1696"/>
      <c r="S1696" s="54"/>
    </row>
    <row r="1697" spans="1:19" s="15" customFormat="1" x14ac:dyDescent="0.3">
      <c r="A1697" s="17"/>
      <c r="B1697"/>
      <c r="C1697"/>
      <c r="D1697"/>
      <c r="E1697"/>
      <c r="F1697"/>
      <c r="G1697"/>
      <c r="H1697"/>
      <c r="I1697"/>
      <c r="J1697"/>
      <c r="K1697"/>
      <c r="L1697"/>
      <c r="M1697"/>
      <c r="S1697" s="54"/>
    </row>
    <row r="1698" spans="1:19" s="15" customFormat="1" x14ac:dyDescent="0.3">
      <c r="A1698" s="17"/>
      <c r="B1698"/>
      <c r="C1698"/>
      <c r="D1698"/>
      <c r="E1698"/>
      <c r="F1698"/>
      <c r="G1698"/>
      <c r="H1698"/>
      <c r="I1698"/>
      <c r="J1698"/>
      <c r="K1698"/>
      <c r="L1698"/>
      <c r="M1698"/>
      <c r="S1698" s="54"/>
    </row>
    <row r="1699" spans="1:19" s="15" customFormat="1" x14ac:dyDescent="0.3">
      <c r="A1699" s="17"/>
      <c r="B1699"/>
      <c r="C1699"/>
      <c r="D1699"/>
      <c r="E1699"/>
      <c r="F1699"/>
      <c r="G1699"/>
      <c r="H1699"/>
      <c r="I1699"/>
      <c r="J1699"/>
      <c r="K1699"/>
      <c r="L1699"/>
      <c r="M1699"/>
      <c r="S1699" s="54"/>
    </row>
    <row r="1700" spans="1:19" s="15" customFormat="1" x14ac:dyDescent="0.3">
      <c r="A1700" s="17"/>
      <c r="B1700"/>
      <c r="C1700"/>
      <c r="D1700"/>
      <c r="E1700"/>
      <c r="F1700"/>
      <c r="G1700"/>
      <c r="H1700"/>
      <c r="I1700"/>
      <c r="J1700"/>
      <c r="K1700"/>
      <c r="L1700"/>
      <c r="M1700"/>
      <c r="S1700" s="54"/>
    </row>
    <row r="1701" spans="1:19" s="15" customFormat="1" x14ac:dyDescent="0.3">
      <c r="A1701" s="17"/>
      <c r="B1701"/>
      <c r="C1701"/>
      <c r="D1701"/>
      <c r="E1701"/>
      <c r="F1701"/>
      <c r="G1701"/>
      <c r="H1701"/>
      <c r="I1701"/>
      <c r="J1701"/>
      <c r="K1701"/>
      <c r="L1701"/>
      <c r="M1701"/>
      <c r="S1701" s="54"/>
    </row>
    <row r="1702" spans="1:19" s="15" customFormat="1" x14ac:dyDescent="0.3">
      <c r="A1702" s="17"/>
      <c r="B1702"/>
      <c r="C1702"/>
      <c r="D1702"/>
      <c r="E1702"/>
      <c r="F1702"/>
      <c r="G1702"/>
      <c r="H1702"/>
      <c r="I1702"/>
      <c r="J1702"/>
      <c r="K1702"/>
      <c r="L1702"/>
      <c r="M1702"/>
      <c r="S1702" s="54"/>
    </row>
    <row r="1703" spans="1:19" s="15" customFormat="1" x14ac:dyDescent="0.3">
      <c r="A1703" s="17"/>
      <c r="B1703"/>
      <c r="C1703"/>
      <c r="D1703"/>
      <c r="E1703"/>
      <c r="F1703"/>
      <c r="G1703"/>
      <c r="H1703"/>
      <c r="I1703"/>
      <c r="J1703"/>
      <c r="K1703"/>
      <c r="L1703"/>
      <c r="M1703"/>
      <c r="S1703" s="54"/>
    </row>
    <row r="1704" spans="1:19" s="15" customFormat="1" x14ac:dyDescent="0.3">
      <c r="A1704" s="17"/>
      <c r="B1704"/>
      <c r="C1704"/>
      <c r="D1704"/>
      <c r="E1704"/>
      <c r="F1704"/>
      <c r="G1704"/>
      <c r="H1704"/>
      <c r="I1704"/>
      <c r="J1704"/>
      <c r="K1704"/>
      <c r="L1704"/>
      <c r="M1704"/>
      <c r="S1704" s="54"/>
    </row>
    <row r="1705" spans="1:19" s="15" customFormat="1" x14ac:dyDescent="0.3">
      <c r="A1705" s="17"/>
      <c r="B1705"/>
      <c r="C1705"/>
      <c r="D1705"/>
      <c r="E1705"/>
      <c r="F1705"/>
      <c r="G1705"/>
      <c r="H1705"/>
      <c r="I1705"/>
      <c r="J1705"/>
      <c r="K1705"/>
      <c r="L1705"/>
      <c r="M1705"/>
      <c r="S1705" s="54"/>
    </row>
    <row r="1706" spans="1:19" s="15" customFormat="1" x14ac:dyDescent="0.3">
      <c r="A1706" s="17"/>
      <c r="B1706"/>
      <c r="C1706"/>
      <c r="D1706"/>
      <c r="E1706"/>
      <c r="F1706"/>
      <c r="G1706"/>
      <c r="H1706"/>
      <c r="I1706"/>
      <c r="J1706"/>
      <c r="K1706"/>
      <c r="L1706"/>
      <c r="M1706"/>
      <c r="S1706" s="54"/>
    </row>
    <row r="1707" spans="1:19" s="15" customFormat="1" x14ac:dyDescent="0.3">
      <c r="A1707" s="17"/>
      <c r="B1707"/>
      <c r="C1707"/>
      <c r="D1707"/>
      <c r="E1707"/>
      <c r="F1707"/>
      <c r="G1707"/>
      <c r="H1707"/>
      <c r="I1707"/>
      <c r="J1707"/>
      <c r="K1707"/>
      <c r="L1707"/>
      <c r="M1707"/>
      <c r="S1707" s="54"/>
    </row>
    <row r="1708" spans="1:19" s="15" customFormat="1" x14ac:dyDescent="0.3">
      <c r="A1708" s="17"/>
      <c r="B1708"/>
      <c r="C1708"/>
      <c r="D1708"/>
      <c r="E1708"/>
      <c r="F1708"/>
      <c r="G1708"/>
      <c r="H1708"/>
      <c r="I1708"/>
      <c r="J1708"/>
      <c r="K1708"/>
      <c r="L1708"/>
      <c r="M1708"/>
      <c r="S1708" s="54"/>
    </row>
    <row r="1709" spans="1:19" s="15" customFormat="1" x14ac:dyDescent="0.3">
      <c r="A1709" s="17"/>
      <c r="B1709"/>
      <c r="C1709"/>
      <c r="D1709"/>
      <c r="E1709"/>
      <c r="F1709"/>
      <c r="G1709"/>
      <c r="H1709"/>
      <c r="I1709"/>
      <c r="J1709"/>
      <c r="K1709"/>
      <c r="L1709"/>
      <c r="M1709"/>
      <c r="S1709" s="54"/>
    </row>
    <row r="1710" spans="1:19" s="15" customFormat="1" x14ac:dyDescent="0.3">
      <c r="A1710" s="17"/>
      <c r="B1710"/>
      <c r="C1710"/>
      <c r="D1710"/>
      <c r="E1710"/>
      <c r="F1710"/>
      <c r="G1710"/>
      <c r="H1710"/>
      <c r="I1710"/>
      <c r="J1710"/>
      <c r="K1710"/>
      <c r="L1710"/>
      <c r="M1710"/>
      <c r="S1710" s="54"/>
    </row>
    <row r="1711" spans="1:19" s="15" customFormat="1" x14ac:dyDescent="0.3">
      <c r="A1711" s="17"/>
      <c r="B1711"/>
      <c r="C1711"/>
      <c r="D1711"/>
      <c r="E1711"/>
      <c r="F1711"/>
      <c r="G1711"/>
      <c r="H1711"/>
      <c r="I1711"/>
      <c r="J1711"/>
      <c r="K1711"/>
      <c r="L1711"/>
      <c r="M1711"/>
      <c r="S1711" s="54"/>
    </row>
    <row r="1712" spans="1:19" s="15" customFormat="1" x14ac:dyDescent="0.3">
      <c r="A1712" s="17"/>
      <c r="B1712"/>
      <c r="C1712"/>
      <c r="D1712"/>
      <c r="E1712"/>
      <c r="F1712"/>
      <c r="G1712"/>
      <c r="H1712"/>
      <c r="I1712"/>
      <c r="J1712"/>
      <c r="K1712"/>
      <c r="L1712"/>
      <c r="M1712"/>
      <c r="S1712" s="54"/>
    </row>
    <row r="1713" spans="1:19" s="15" customFormat="1" x14ac:dyDescent="0.3">
      <c r="A1713" s="17"/>
      <c r="B1713"/>
      <c r="C1713"/>
      <c r="D1713"/>
      <c r="E1713"/>
      <c r="F1713"/>
      <c r="G1713"/>
      <c r="H1713"/>
      <c r="I1713"/>
      <c r="J1713"/>
      <c r="K1713"/>
      <c r="L1713"/>
      <c r="M1713"/>
      <c r="S1713" s="54"/>
    </row>
    <row r="1714" spans="1:19" s="15" customFormat="1" x14ac:dyDescent="0.3">
      <c r="A1714" s="17"/>
      <c r="B1714"/>
      <c r="C1714"/>
      <c r="D1714"/>
      <c r="E1714"/>
      <c r="F1714"/>
      <c r="G1714"/>
      <c r="H1714"/>
      <c r="I1714"/>
      <c r="J1714"/>
      <c r="K1714"/>
      <c r="L1714"/>
      <c r="M1714"/>
      <c r="S1714" s="54"/>
    </row>
    <row r="1715" spans="1:19" s="15" customFormat="1" x14ac:dyDescent="0.3">
      <c r="A1715" s="17"/>
      <c r="B1715"/>
      <c r="C1715"/>
      <c r="D1715"/>
      <c r="E1715"/>
      <c r="F1715"/>
      <c r="G1715"/>
      <c r="H1715"/>
      <c r="I1715"/>
      <c r="J1715"/>
      <c r="K1715"/>
      <c r="L1715"/>
      <c r="M1715"/>
      <c r="S1715" s="54"/>
    </row>
    <row r="1716" spans="1:19" s="15" customFormat="1" x14ac:dyDescent="0.3">
      <c r="A1716" s="17"/>
      <c r="B1716"/>
      <c r="C1716"/>
      <c r="D1716"/>
      <c r="E1716"/>
      <c r="F1716"/>
      <c r="G1716"/>
      <c r="H1716"/>
      <c r="I1716"/>
      <c r="J1716"/>
      <c r="K1716"/>
      <c r="L1716"/>
      <c r="M1716"/>
      <c r="S1716" s="54"/>
    </row>
    <row r="1717" spans="1:19" s="15" customFormat="1" x14ac:dyDescent="0.3">
      <c r="A1717" s="17"/>
      <c r="B1717"/>
      <c r="C1717"/>
      <c r="D1717"/>
      <c r="E1717"/>
      <c r="F1717"/>
      <c r="G1717"/>
      <c r="H1717"/>
      <c r="I1717"/>
      <c r="J1717"/>
      <c r="K1717"/>
      <c r="L1717"/>
      <c r="M1717"/>
      <c r="S1717" s="54"/>
    </row>
    <row r="1718" spans="1:19" s="15" customFormat="1" x14ac:dyDescent="0.3">
      <c r="A1718" s="17"/>
      <c r="B1718"/>
      <c r="C1718"/>
      <c r="D1718"/>
      <c r="E1718"/>
      <c r="F1718"/>
      <c r="G1718"/>
      <c r="H1718"/>
      <c r="I1718"/>
      <c r="J1718"/>
      <c r="K1718"/>
      <c r="L1718"/>
      <c r="M1718"/>
      <c r="S1718" s="54"/>
    </row>
    <row r="1719" spans="1:19" s="15" customFormat="1" x14ac:dyDescent="0.3">
      <c r="A1719" s="17"/>
      <c r="B1719"/>
      <c r="C1719"/>
      <c r="D1719"/>
      <c r="E1719"/>
      <c r="F1719"/>
      <c r="G1719"/>
      <c r="H1719"/>
      <c r="I1719"/>
      <c r="J1719"/>
      <c r="K1719"/>
      <c r="L1719"/>
      <c r="M1719"/>
      <c r="S1719" s="54"/>
    </row>
    <row r="1720" spans="1:19" s="15" customFormat="1" x14ac:dyDescent="0.3">
      <c r="A1720" s="17"/>
      <c r="B1720"/>
      <c r="C1720"/>
      <c r="D1720"/>
      <c r="E1720"/>
      <c r="F1720"/>
      <c r="G1720"/>
      <c r="H1720"/>
      <c r="I1720"/>
      <c r="J1720"/>
      <c r="K1720"/>
      <c r="L1720"/>
      <c r="M1720"/>
      <c r="S1720" s="54"/>
    </row>
    <row r="1721" spans="1:19" s="15" customFormat="1" x14ac:dyDescent="0.3">
      <c r="A1721" s="17"/>
      <c r="B1721"/>
      <c r="C1721"/>
      <c r="D1721"/>
      <c r="E1721"/>
      <c r="F1721"/>
      <c r="G1721"/>
      <c r="H1721"/>
      <c r="I1721"/>
      <c r="J1721"/>
      <c r="K1721"/>
      <c r="L1721"/>
      <c r="M1721"/>
      <c r="S1721" s="54"/>
    </row>
    <row r="1722" spans="1:19" s="15" customFormat="1" x14ac:dyDescent="0.3">
      <c r="A1722" s="17"/>
      <c r="B1722"/>
      <c r="C1722"/>
      <c r="D1722"/>
      <c r="E1722"/>
      <c r="F1722"/>
      <c r="G1722"/>
      <c r="H1722"/>
      <c r="I1722"/>
      <c r="J1722"/>
      <c r="K1722"/>
      <c r="L1722"/>
      <c r="M1722"/>
      <c r="S1722" s="54"/>
    </row>
    <row r="1723" spans="1:19" s="15" customFormat="1" x14ac:dyDescent="0.3">
      <c r="A1723" s="17"/>
      <c r="B1723"/>
      <c r="C1723"/>
      <c r="D1723"/>
      <c r="E1723"/>
      <c r="F1723"/>
      <c r="G1723"/>
      <c r="H1723"/>
      <c r="I1723"/>
      <c r="J1723"/>
      <c r="K1723"/>
      <c r="L1723"/>
      <c r="M1723"/>
      <c r="S1723" s="54"/>
    </row>
    <row r="1724" spans="1:19" s="15" customFormat="1" x14ac:dyDescent="0.3">
      <c r="A1724" s="17"/>
      <c r="B1724"/>
      <c r="C1724"/>
      <c r="D1724"/>
      <c r="E1724"/>
      <c r="F1724"/>
      <c r="G1724"/>
      <c r="H1724"/>
      <c r="I1724"/>
      <c r="J1724"/>
      <c r="K1724"/>
      <c r="L1724"/>
      <c r="M1724"/>
      <c r="S1724" s="54"/>
    </row>
    <row r="1725" spans="1:19" s="15" customFormat="1" x14ac:dyDescent="0.3">
      <c r="A1725" s="17"/>
      <c r="B1725"/>
      <c r="C1725"/>
      <c r="D1725"/>
      <c r="E1725"/>
      <c r="F1725"/>
      <c r="G1725"/>
      <c r="H1725"/>
      <c r="I1725"/>
      <c r="J1725"/>
      <c r="K1725"/>
      <c r="L1725"/>
      <c r="M1725"/>
      <c r="S1725" s="54"/>
    </row>
    <row r="1726" spans="1:19" s="15" customFormat="1" x14ac:dyDescent="0.3">
      <c r="A1726" s="17"/>
      <c r="B1726"/>
      <c r="C1726"/>
      <c r="D1726"/>
      <c r="E1726"/>
      <c r="F1726"/>
      <c r="G1726"/>
      <c r="H1726"/>
      <c r="I1726"/>
      <c r="J1726"/>
      <c r="K1726"/>
      <c r="L1726"/>
      <c r="M1726"/>
      <c r="S1726" s="54"/>
    </row>
    <row r="1727" spans="1:19" s="15" customFormat="1" x14ac:dyDescent="0.3">
      <c r="A1727" s="17"/>
      <c r="B1727"/>
      <c r="C1727"/>
      <c r="D1727"/>
      <c r="E1727"/>
      <c r="F1727"/>
      <c r="G1727"/>
      <c r="H1727"/>
      <c r="I1727"/>
      <c r="J1727"/>
      <c r="K1727"/>
      <c r="L1727"/>
      <c r="M1727"/>
      <c r="S1727" s="54"/>
    </row>
    <row r="1728" spans="1:19" s="15" customFormat="1" x14ac:dyDescent="0.3">
      <c r="A1728" s="17"/>
      <c r="B1728"/>
      <c r="C1728"/>
      <c r="D1728"/>
      <c r="E1728"/>
      <c r="F1728"/>
      <c r="G1728"/>
      <c r="H1728"/>
      <c r="I1728"/>
      <c r="J1728"/>
      <c r="K1728"/>
      <c r="L1728"/>
      <c r="M1728"/>
      <c r="S1728" s="54"/>
    </row>
    <row r="1729" spans="1:19" s="15" customFormat="1" x14ac:dyDescent="0.3">
      <c r="A1729" s="17"/>
      <c r="B1729"/>
      <c r="C1729"/>
      <c r="D1729"/>
      <c r="E1729"/>
      <c r="F1729"/>
      <c r="G1729"/>
      <c r="H1729"/>
      <c r="I1729"/>
      <c r="J1729"/>
      <c r="K1729"/>
      <c r="L1729"/>
      <c r="M1729"/>
      <c r="S1729" s="54"/>
    </row>
    <row r="1730" spans="1:19" s="15" customFormat="1" x14ac:dyDescent="0.3">
      <c r="A1730" s="17"/>
      <c r="B1730"/>
      <c r="C1730"/>
      <c r="D1730"/>
      <c r="E1730"/>
      <c r="F1730"/>
      <c r="G1730"/>
      <c r="H1730"/>
      <c r="I1730"/>
      <c r="J1730"/>
      <c r="K1730"/>
      <c r="L1730"/>
      <c r="M1730"/>
      <c r="S1730" s="54"/>
    </row>
    <row r="1731" spans="1:19" s="15" customFormat="1" x14ac:dyDescent="0.3">
      <c r="A1731" s="17"/>
      <c r="B1731"/>
      <c r="C1731"/>
      <c r="D1731"/>
      <c r="E1731"/>
      <c r="F1731"/>
      <c r="G1731"/>
      <c r="H1731"/>
      <c r="I1731"/>
      <c r="J1731"/>
      <c r="K1731"/>
      <c r="L1731"/>
      <c r="M1731"/>
      <c r="S1731" s="54"/>
    </row>
    <row r="1732" spans="1:19" s="15" customFormat="1" x14ac:dyDescent="0.3">
      <c r="A1732" s="17"/>
      <c r="B1732"/>
      <c r="C1732"/>
      <c r="D1732"/>
      <c r="E1732"/>
      <c r="F1732"/>
      <c r="G1732"/>
      <c r="H1732"/>
      <c r="I1732"/>
      <c r="J1732"/>
      <c r="K1732"/>
      <c r="L1732"/>
      <c r="M1732"/>
      <c r="S1732" s="54"/>
    </row>
    <row r="1733" spans="1:19" s="15" customFormat="1" x14ac:dyDescent="0.3">
      <c r="A1733" s="17"/>
      <c r="B1733"/>
      <c r="C1733"/>
      <c r="D1733"/>
      <c r="E1733"/>
      <c r="F1733"/>
      <c r="G1733"/>
      <c r="H1733"/>
      <c r="I1733"/>
      <c r="J1733"/>
      <c r="K1733"/>
      <c r="L1733"/>
      <c r="M1733"/>
      <c r="S1733" s="54"/>
    </row>
    <row r="1734" spans="1:19" s="15" customFormat="1" x14ac:dyDescent="0.3">
      <c r="A1734" s="17"/>
      <c r="B1734"/>
      <c r="C1734"/>
      <c r="D1734"/>
      <c r="E1734"/>
      <c r="F1734"/>
      <c r="G1734"/>
      <c r="H1734"/>
      <c r="I1734"/>
      <c r="J1734"/>
      <c r="K1734"/>
      <c r="L1734"/>
      <c r="M1734"/>
      <c r="S1734" s="54"/>
    </row>
    <row r="1735" spans="1:19" s="15" customFormat="1" x14ac:dyDescent="0.3">
      <c r="A1735" s="17"/>
      <c r="B1735"/>
      <c r="C1735"/>
      <c r="D1735"/>
      <c r="E1735"/>
      <c r="F1735"/>
      <c r="G1735"/>
      <c r="H1735"/>
      <c r="I1735"/>
      <c r="J1735"/>
      <c r="K1735"/>
      <c r="L1735"/>
      <c r="M1735"/>
      <c r="S1735" s="54"/>
    </row>
    <row r="1736" spans="1:19" s="15" customFormat="1" x14ac:dyDescent="0.3">
      <c r="A1736" s="17"/>
      <c r="B1736"/>
      <c r="C1736"/>
      <c r="D1736"/>
      <c r="E1736"/>
      <c r="F1736"/>
      <c r="G1736"/>
      <c r="H1736"/>
      <c r="I1736"/>
      <c r="J1736"/>
      <c r="K1736"/>
      <c r="L1736"/>
      <c r="M1736"/>
      <c r="S1736" s="54"/>
    </row>
    <row r="1737" spans="1:19" s="15" customFormat="1" x14ac:dyDescent="0.3">
      <c r="A1737" s="17"/>
      <c r="B1737"/>
      <c r="C1737"/>
      <c r="D1737"/>
      <c r="E1737"/>
      <c r="F1737"/>
      <c r="G1737"/>
      <c r="H1737"/>
      <c r="I1737"/>
      <c r="J1737"/>
      <c r="K1737"/>
      <c r="L1737"/>
      <c r="M1737"/>
      <c r="S1737" s="54"/>
    </row>
    <row r="1738" spans="1:19" s="15" customFormat="1" x14ac:dyDescent="0.3">
      <c r="A1738" s="17"/>
      <c r="B1738"/>
      <c r="C1738"/>
      <c r="D1738"/>
      <c r="E1738"/>
      <c r="F1738"/>
      <c r="G1738"/>
      <c r="H1738"/>
      <c r="I1738"/>
      <c r="J1738"/>
      <c r="K1738"/>
      <c r="L1738"/>
      <c r="M1738"/>
      <c r="S1738" s="54"/>
    </row>
    <row r="1739" spans="1:19" s="15" customFormat="1" x14ac:dyDescent="0.3">
      <c r="A1739" s="17"/>
      <c r="B1739"/>
      <c r="C1739"/>
      <c r="D1739"/>
      <c r="E1739"/>
      <c r="F1739"/>
      <c r="G1739"/>
      <c r="H1739"/>
      <c r="I1739"/>
      <c r="J1739"/>
      <c r="K1739"/>
      <c r="L1739"/>
      <c r="M1739"/>
      <c r="S1739" s="54"/>
    </row>
    <row r="1740" spans="1:19" s="15" customFormat="1" x14ac:dyDescent="0.3">
      <c r="A1740" s="17"/>
      <c r="B1740"/>
      <c r="C1740"/>
      <c r="D1740"/>
      <c r="E1740"/>
      <c r="F1740"/>
      <c r="G1740"/>
      <c r="H1740"/>
      <c r="I1740"/>
      <c r="J1740"/>
      <c r="K1740"/>
      <c r="L1740"/>
      <c r="M1740"/>
      <c r="S1740" s="54"/>
    </row>
    <row r="1741" spans="1:19" s="15" customFormat="1" x14ac:dyDescent="0.3">
      <c r="A1741" s="17"/>
      <c r="B1741"/>
      <c r="C1741"/>
      <c r="D1741"/>
      <c r="E1741"/>
      <c r="F1741"/>
      <c r="G1741"/>
      <c r="H1741"/>
      <c r="I1741"/>
      <c r="J1741"/>
      <c r="K1741"/>
      <c r="L1741"/>
      <c r="M1741"/>
      <c r="S1741" s="54"/>
    </row>
    <row r="1742" spans="1:19" s="15" customFormat="1" x14ac:dyDescent="0.3">
      <c r="A1742" s="17"/>
      <c r="B1742"/>
      <c r="C1742"/>
      <c r="D1742"/>
      <c r="E1742"/>
      <c r="F1742"/>
      <c r="G1742"/>
      <c r="H1742"/>
      <c r="I1742"/>
      <c r="J1742"/>
      <c r="K1742"/>
      <c r="L1742"/>
      <c r="M1742"/>
      <c r="S1742" s="54"/>
    </row>
    <row r="1743" spans="1:19" s="15" customFormat="1" x14ac:dyDescent="0.3">
      <c r="A1743" s="17"/>
      <c r="B1743"/>
      <c r="C1743"/>
      <c r="D1743"/>
      <c r="E1743"/>
      <c r="F1743"/>
      <c r="G1743"/>
      <c r="H1743"/>
      <c r="I1743"/>
      <c r="J1743"/>
      <c r="K1743"/>
      <c r="L1743"/>
      <c r="M1743"/>
      <c r="S1743" s="54"/>
    </row>
    <row r="1744" spans="1:19" s="15" customFormat="1" x14ac:dyDescent="0.3">
      <c r="A1744" s="17"/>
      <c r="B1744"/>
      <c r="C1744"/>
      <c r="D1744"/>
      <c r="E1744"/>
      <c r="F1744"/>
      <c r="G1744"/>
      <c r="H1744"/>
      <c r="I1744"/>
      <c r="J1744"/>
      <c r="K1744"/>
      <c r="L1744"/>
      <c r="M1744"/>
      <c r="S1744" s="54"/>
    </row>
    <row r="1745" spans="1:19" s="15" customFormat="1" x14ac:dyDescent="0.3">
      <c r="A1745" s="17"/>
      <c r="B1745"/>
      <c r="C1745"/>
      <c r="D1745"/>
      <c r="E1745"/>
      <c r="F1745"/>
      <c r="G1745"/>
      <c r="H1745"/>
      <c r="I1745"/>
      <c r="J1745"/>
      <c r="K1745"/>
      <c r="L1745"/>
      <c r="M1745"/>
      <c r="S1745" s="54"/>
    </row>
    <row r="1746" spans="1:19" s="15" customFormat="1" x14ac:dyDescent="0.3">
      <c r="A1746" s="17"/>
      <c r="B1746"/>
      <c r="C1746"/>
      <c r="D1746"/>
      <c r="E1746"/>
      <c r="F1746"/>
      <c r="G1746"/>
      <c r="H1746"/>
      <c r="I1746"/>
      <c r="J1746"/>
      <c r="K1746"/>
      <c r="L1746"/>
      <c r="M1746"/>
      <c r="S1746" s="54"/>
    </row>
    <row r="1747" spans="1:19" s="15" customFormat="1" x14ac:dyDescent="0.3">
      <c r="A1747" s="17"/>
      <c r="B1747"/>
      <c r="C1747"/>
      <c r="D1747"/>
      <c r="E1747"/>
      <c r="F1747"/>
      <c r="G1747"/>
      <c r="H1747"/>
      <c r="I1747"/>
      <c r="J1747"/>
      <c r="K1747"/>
      <c r="L1747"/>
      <c r="M1747"/>
      <c r="S1747" s="54"/>
    </row>
    <row r="1748" spans="1:19" s="15" customFormat="1" x14ac:dyDescent="0.3">
      <c r="A1748" s="17"/>
      <c r="B1748"/>
      <c r="C1748"/>
      <c r="D1748"/>
      <c r="E1748"/>
      <c r="F1748"/>
      <c r="G1748"/>
      <c r="H1748"/>
      <c r="I1748"/>
      <c r="J1748"/>
      <c r="K1748"/>
      <c r="L1748"/>
      <c r="M1748"/>
      <c r="S1748" s="54"/>
    </row>
    <row r="1749" spans="1:19" s="15" customFormat="1" x14ac:dyDescent="0.3">
      <c r="A1749" s="17"/>
      <c r="B1749"/>
      <c r="C1749"/>
      <c r="D1749"/>
      <c r="E1749"/>
      <c r="F1749"/>
      <c r="G1749"/>
      <c r="H1749"/>
      <c r="I1749"/>
      <c r="J1749"/>
      <c r="K1749"/>
      <c r="L1749"/>
      <c r="M1749"/>
      <c r="S1749" s="54"/>
    </row>
    <row r="1750" spans="1:19" s="15" customFormat="1" x14ac:dyDescent="0.3">
      <c r="A1750" s="17"/>
      <c r="B1750"/>
      <c r="C1750"/>
      <c r="D1750"/>
      <c r="E1750"/>
      <c r="F1750"/>
      <c r="G1750"/>
      <c r="H1750"/>
      <c r="I1750"/>
      <c r="J1750"/>
      <c r="K1750"/>
      <c r="L1750"/>
      <c r="M1750"/>
      <c r="S1750" s="54"/>
    </row>
    <row r="1751" spans="1:19" s="15" customFormat="1" x14ac:dyDescent="0.3">
      <c r="A1751" s="17"/>
      <c r="B1751"/>
      <c r="C1751"/>
      <c r="D1751"/>
      <c r="E1751"/>
      <c r="F1751"/>
      <c r="G1751"/>
      <c r="H1751"/>
      <c r="I1751"/>
      <c r="J1751"/>
      <c r="K1751"/>
      <c r="L1751"/>
      <c r="M1751"/>
      <c r="S1751" s="54"/>
    </row>
    <row r="1752" spans="1:19" s="15" customFormat="1" x14ac:dyDescent="0.3">
      <c r="A1752" s="17"/>
      <c r="B1752"/>
      <c r="C1752"/>
      <c r="D1752"/>
      <c r="E1752"/>
      <c r="F1752"/>
      <c r="G1752"/>
      <c r="H1752"/>
      <c r="I1752"/>
      <c r="J1752"/>
      <c r="K1752"/>
      <c r="L1752"/>
      <c r="M1752"/>
      <c r="S1752" s="54"/>
    </row>
    <row r="1753" spans="1:19" s="15" customFormat="1" x14ac:dyDescent="0.3">
      <c r="A1753" s="17"/>
      <c r="B1753"/>
      <c r="C1753"/>
      <c r="D1753"/>
      <c r="E1753"/>
      <c r="F1753"/>
      <c r="G1753"/>
      <c r="H1753"/>
      <c r="I1753"/>
      <c r="J1753"/>
      <c r="K1753"/>
      <c r="L1753"/>
      <c r="M1753"/>
      <c r="S1753" s="54"/>
    </row>
    <row r="1754" spans="1:19" s="15" customFormat="1" x14ac:dyDescent="0.3">
      <c r="A1754" s="17"/>
      <c r="B1754"/>
      <c r="C1754"/>
      <c r="D1754"/>
      <c r="E1754"/>
      <c r="F1754"/>
      <c r="G1754"/>
      <c r="H1754"/>
      <c r="I1754"/>
      <c r="J1754"/>
      <c r="K1754"/>
      <c r="L1754"/>
      <c r="M1754"/>
      <c r="S1754" s="54"/>
    </row>
    <row r="1755" spans="1:19" s="15" customFormat="1" x14ac:dyDescent="0.3">
      <c r="A1755" s="17"/>
      <c r="B1755"/>
      <c r="C1755"/>
      <c r="D1755"/>
      <c r="E1755"/>
      <c r="F1755"/>
      <c r="G1755"/>
      <c r="H1755"/>
      <c r="I1755"/>
      <c r="J1755"/>
      <c r="K1755"/>
      <c r="L1755"/>
      <c r="M1755"/>
      <c r="S1755" s="54"/>
    </row>
    <row r="1756" spans="1:19" s="15" customFormat="1" x14ac:dyDescent="0.3">
      <c r="A1756" s="17"/>
      <c r="B1756"/>
      <c r="C1756"/>
      <c r="D1756"/>
      <c r="E1756"/>
      <c r="F1756"/>
      <c r="G1756"/>
      <c r="H1756"/>
      <c r="I1756"/>
      <c r="J1756"/>
      <c r="K1756"/>
      <c r="L1756"/>
      <c r="M1756"/>
      <c r="S1756" s="54"/>
    </row>
    <row r="1757" spans="1:19" s="15" customFormat="1" x14ac:dyDescent="0.3">
      <c r="A1757" s="17"/>
      <c r="B1757"/>
      <c r="C1757"/>
      <c r="D1757"/>
      <c r="E1757"/>
      <c r="F1757"/>
      <c r="G1757"/>
      <c r="H1757"/>
      <c r="I1757"/>
      <c r="J1757"/>
      <c r="K1757"/>
      <c r="L1757"/>
      <c r="M1757"/>
      <c r="S1757" s="54"/>
    </row>
    <row r="1758" spans="1:19" s="15" customFormat="1" x14ac:dyDescent="0.3">
      <c r="A1758" s="17"/>
      <c r="B1758"/>
      <c r="C1758"/>
      <c r="D1758"/>
      <c r="E1758"/>
      <c r="F1758"/>
      <c r="G1758"/>
      <c r="H1758"/>
      <c r="I1758"/>
      <c r="J1758"/>
      <c r="K1758"/>
      <c r="L1758"/>
      <c r="M1758"/>
      <c r="S1758" s="54"/>
    </row>
    <row r="1759" spans="1:19" s="15" customFormat="1" x14ac:dyDescent="0.3">
      <c r="A1759" s="17"/>
      <c r="B1759"/>
      <c r="C1759"/>
      <c r="D1759"/>
      <c r="E1759"/>
      <c r="F1759"/>
      <c r="G1759"/>
      <c r="H1759"/>
      <c r="I1759"/>
      <c r="J1759"/>
      <c r="K1759"/>
      <c r="L1759"/>
      <c r="M1759"/>
      <c r="S1759" s="54"/>
    </row>
    <row r="1760" spans="1:19" s="15" customFormat="1" x14ac:dyDescent="0.3">
      <c r="A1760" s="17"/>
      <c r="B1760"/>
      <c r="C1760"/>
      <c r="D1760"/>
      <c r="E1760"/>
      <c r="F1760"/>
      <c r="G1760"/>
      <c r="H1760"/>
      <c r="I1760"/>
      <c r="J1760"/>
      <c r="K1760"/>
      <c r="L1760"/>
      <c r="M1760"/>
      <c r="S1760" s="54"/>
    </row>
    <row r="1761" spans="1:19" s="15" customFormat="1" x14ac:dyDescent="0.3">
      <c r="A1761" s="17"/>
      <c r="B1761"/>
      <c r="C1761"/>
      <c r="D1761"/>
      <c r="E1761"/>
      <c r="F1761"/>
      <c r="G1761"/>
      <c r="H1761"/>
      <c r="I1761"/>
      <c r="J1761"/>
      <c r="K1761"/>
      <c r="L1761"/>
      <c r="M1761"/>
      <c r="S1761" s="54"/>
    </row>
    <row r="1762" spans="1:19" s="15" customFormat="1" x14ac:dyDescent="0.3">
      <c r="A1762" s="17"/>
      <c r="B1762"/>
      <c r="C1762"/>
      <c r="D1762"/>
      <c r="E1762"/>
      <c r="F1762"/>
      <c r="G1762"/>
      <c r="H1762"/>
      <c r="I1762"/>
      <c r="J1762"/>
      <c r="K1762"/>
      <c r="L1762"/>
      <c r="M1762"/>
      <c r="S1762" s="54"/>
    </row>
    <row r="1763" spans="1:19" s="15" customFormat="1" x14ac:dyDescent="0.3">
      <c r="A1763" s="17"/>
      <c r="B1763"/>
      <c r="C1763"/>
      <c r="D1763"/>
      <c r="E1763"/>
      <c r="F1763"/>
      <c r="G1763"/>
      <c r="H1763"/>
      <c r="I1763"/>
      <c r="J1763"/>
      <c r="K1763"/>
      <c r="L1763"/>
      <c r="M1763"/>
      <c r="S1763" s="54"/>
    </row>
    <row r="1764" spans="1:19" s="15" customFormat="1" x14ac:dyDescent="0.3">
      <c r="A1764" s="17"/>
      <c r="B1764"/>
      <c r="C1764"/>
      <c r="D1764"/>
      <c r="E1764"/>
      <c r="F1764"/>
      <c r="G1764"/>
      <c r="H1764"/>
      <c r="I1764"/>
      <c r="J1764"/>
      <c r="K1764"/>
      <c r="L1764"/>
      <c r="M1764"/>
      <c r="S1764" s="54"/>
    </row>
    <row r="1765" spans="1:19" s="15" customFormat="1" x14ac:dyDescent="0.3">
      <c r="A1765" s="17"/>
      <c r="B1765"/>
      <c r="C1765"/>
      <c r="D1765"/>
      <c r="E1765"/>
      <c r="F1765"/>
      <c r="G1765"/>
      <c r="H1765"/>
      <c r="I1765"/>
      <c r="J1765"/>
      <c r="K1765"/>
      <c r="L1765"/>
      <c r="M1765"/>
      <c r="S1765" s="54"/>
    </row>
    <row r="1766" spans="1:19" s="15" customFormat="1" x14ac:dyDescent="0.3">
      <c r="A1766" s="17"/>
      <c r="B1766"/>
      <c r="C1766"/>
      <c r="D1766"/>
      <c r="E1766"/>
      <c r="F1766"/>
      <c r="G1766"/>
      <c r="H1766"/>
      <c r="I1766"/>
      <c r="J1766"/>
      <c r="K1766"/>
      <c r="L1766"/>
      <c r="M1766"/>
      <c r="S1766" s="54"/>
    </row>
    <row r="1767" spans="1:19" s="15" customFormat="1" x14ac:dyDescent="0.3">
      <c r="A1767" s="17"/>
      <c r="B1767"/>
      <c r="C1767"/>
      <c r="D1767"/>
      <c r="E1767"/>
      <c r="F1767"/>
      <c r="G1767"/>
      <c r="H1767"/>
      <c r="I1767"/>
      <c r="J1767"/>
      <c r="K1767"/>
      <c r="L1767"/>
      <c r="M1767"/>
      <c r="S1767" s="54"/>
    </row>
    <row r="1768" spans="1:19" s="15" customFormat="1" x14ac:dyDescent="0.3">
      <c r="A1768" s="17"/>
      <c r="B1768"/>
      <c r="C1768"/>
      <c r="D1768"/>
      <c r="E1768"/>
      <c r="F1768"/>
      <c r="G1768"/>
      <c r="H1768"/>
      <c r="I1768"/>
      <c r="J1768"/>
      <c r="K1768"/>
      <c r="L1768"/>
      <c r="M1768"/>
      <c r="S1768" s="54"/>
    </row>
    <row r="1769" spans="1:19" s="15" customFormat="1" x14ac:dyDescent="0.3">
      <c r="A1769" s="17"/>
      <c r="B1769"/>
      <c r="C1769"/>
      <c r="D1769"/>
      <c r="E1769"/>
      <c r="F1769"/>
      <c r="G1769"/>
      <c r="H1769"/>
      <c r="I1769"/>
      <c r="J1769"/>
      <c r="K1769"/>
      <c r="L1769"/>
      <c r="M1769"/>
      <c r="S1769" s="54"/>
    </row>
    <row r="1770" spans="1:19" s="15" customFormat="1" x14ac:dyDescent="0.3">
      <c r="A1770" s="17"/>
      <c r="B1770"/>
      <c r="C1770"/>
      <c r="D1770"/>
      <c r="E1770"/>
      <c r="F1770"/>
      <c r="G1770"/>
      <c r="H1770"/>
      <c r="I1770"/>
      <c r="J1770"/>
      <c r="K1770"/>
      <c r="L1770"/>
      <c r="M1770"/>
      <c r="S1770" s="54"/>
    </row>
    <row r="1771" spans="1:19" s="15" customFormat="1" x14ac:dyDescent="0.3">
      <c r="A1771" s="17"/>
      <c r="B1771"/>
      <c r="C1771"/>
      <c r="D1771"/>
      <c r="E1771"/>
      <c r="F1771"/>
      <c r="G1771"/>
      <c r="H1771"/>
      <c r="I1771"/>
      <c r="J1771"/>
      <c r="K1771"/>
      <c r="L1771"/>
      <c r="M1771"/>
      <c r="S1771" s="54"/>
    </row>
    <row r="1772" spans="1:19" s="15" customFormat="1" x14ac:dyDescent="0.3">
      <c r="A1772" s="17"/>
      <c r="B1772"/>
      <c r="C1772"/>
      <c r="D1772"/>
      <c r="E1772"/>
      <c r="F1772"/>
      <c r="G1772"/>
      <c r="H1772"/>
      <c r="I1772"/>
      <c r="J1772"/>
      <c r="K1772"/>
      <c r="L1772"/>
      <c r="M1772"/>
      <c r="S1772" s="54"/>
    </row>
    <row r="1773" spans="1:19" s="15" customFormat="1" x14ac:dyDescent="0.3">
      <c r="A1773" s="17"/>
      <c r="B1773"/>
      <c r="C1773"/>
      <c r="D1773"/>
      <c r="E1773"/>
      <c r="F1773"/>
      <c r="G1773"/>
      <c r="H1773"/>
      <c r="I1773"/>
      <c r="J1773"/>
      <c r="K1773"/>
      <c r="L1773"/>
      <c r="M1773"/>
      <c r="S1773" s="54"/>
    </row>
    <row r="1774" spans="1:19" s="15" customFormat="1" x14ac:dyDescent="0.3">
      <c r="A1774" s="17"/>
      <c r="B1774"/>
      <c r="C1774"/>
      <c r="D1774"/>
      <c r="E1774"/>
      <c r="F1774"/>
      <c r="G1774"/>
      <c r="H1774"/>
      <c r="I1774"/>
      <c r="J1774"/>
      <c r="K1774"/>
      <c r="L1774"/>
      <c r="M1774"/>
      <c r="S1774" s="54"/>
    </row>
    <row r="1775" spans="1:19" s="15" customFormat="1" x14ac:dyDescent="0.3">
      <c r="A1775" s="17"/>
      <c r="B1775"/>
      <c r="C1775"/>
      <c r="D1775"/>
      <c r="E1775"/>
      <c r="F1775"/>
      <c r="G1775"/>
      <c r="H1775"/>
      <c r="I1775"/>
      <c r="J1775"/>
      <c r="K1775"/>
      <c r="L1775"/>
      <c r="M1775"/>
      <c r="S1775" s="54"/>
    </row>
    <row r="1776" spans="1:19" s="15" customFormat="1" x14ac:dyDescent="0.3">
      <c r="A1776" s="17"/>
      <c r="B1776"/>
      <c r="C1776"/>
      <c r="D1776"/>
      <c r="E1776"/>
      <c r="F1776"/>
      <c r="G1776"/>
      <c r="H1776"/>
      <c r="I1776"/>
      <c r="J1776"/>
      <c r="K1776"/>
      <c r="L1776"/>
      <c r="M1776"/>
      <c r="S1776" s="54"/>
    </row>
    <row r="1777" spans="1:19" s="15" customFormat="1" x14ac:dyDescent="0.3">
      <c r="A1777" s="17"/>
      <c r="B1777"/>
      <c r="C1777"/>
      <c r="D1777"/>
      <c r="E1777"/>
      <c r="F1777"/>
      <c r="G1777"/>
      <c r="H1777"/>
      <c r="I1777"/>
      <c r="J1777"/>
      <c r="K1777"/>
      <c r="L1777"/>
      <c r="M1777"/>
      <c r="S1777" s="54"/>
    </row>
    <row r="1778" spans="1:19" s="15" customFormat="1" x14ac:dyDescent="0.3">
      <c r="A1778" s="17"/>
      <c r="B1778"/>
      <c r="C1778"/>
      <c r="D1778"/>
      <c r="E1778"/>
      <c r="F1778"/>
      <c r="G1778"/>
      <c r="H1778"/>
      <c r="I1778"/>
      <c r="J1778"/>
      <c r="K1778"/>
      <c r="L1778"/>
      <c r="M1778"/>
      <c r="S1778" s="54"/>
    </row>
    <row r="1779" spans="1:19" s="15" customFormat="1" x14ac:dyDescent="0.3">
      <c r="A1779" s="17"/>
      <c r="B1779"/>
      <c r="C1779"/>
      <c r="D1779"/>
      <c r="E1779"/>
      <c r="F1779"/>
      <c r="G1779"/>
      <c r="H1779"/>
      <c r="I1779"/>
      <c r="J1779"/>
      <c r="K1779"/>
      <c r="L1779"/>
      <c r="M1779"/>
      <c r="S1779" s="54"/>
    </row>
    <row r="1780" spans="1:19" s="15" customFormat="1" x14ac:dyDescent="0.3">
      <c r="A1780" s="17"/>
      <c r="B1780"/>
      <c r="C1780"/>
      <c r="D1780"/>
      <c r="E1780"/>
      <c r="F1780"/>
      <c r="G1780"/>
      <c r="H1780"/>
      <c r="I1780"/>
      <c r="J1780"/>
      <c r="K1780"/>
      <c r="L1780"/>
      <c r="M1780"/>
      <c r="S1780" s="54"/>
    </row>
    <row r="1781" spans="1:19" s="15" customFormat="1" x14ac:dyDescent="0.3">
      <c r="A1781" s="17"/>
      <c r="B1781"/>
      <c r="C1781"/>
      <c r="D1781"/>
      <c r="E1781"/>
      <c r="F1781"/>
      <c r="G1781"/>
      <c r="H1781"/>
      <c r="I1781"/>
      <c r="J1781"/>
      <c r="K1781"/>
      <c r="L1781"/>
      <c r="M1781"/>
      <c r="S1781" s="54"/>
    </row>
    <row r="1782" spans="1:19" s="15" customFormat="1" x14ac:dyDescent="0.3">
      <c r="A1782" s="17"/>
      <c r="B1782"/>
      <c r="C1782"/>
      <c r="D1782"/>
      <c r="E1782"/>
      <c r="F1782"/>
      <c r="G1782"/>
      <c r="H1782"/>
      <c r="I1782"/>
      <c r="J1782"/>
      <c r="K1782"/>
      <c r="L1782"/>
      <c r="M1782"/>
      <c r="S1782" s="54"/>
    </row>
    <row r="1783" spans="1:19" s="15" customFormat="1" x14ac:dyDescent="0.3">
      <c r="A1783" s="17"/>
      <c r="B1783"/>
      <c r="C1783"/>
      <c r="D1783"/>
      <c r="E1783"/>
      <c r="F1783"/>
      <c r="G1783"/>
      <c r="H1783"/>
      <c r="I1783"/>
      <c r="J1783"/>
      <c r="K1783"/>
      <c r="L1783"/>
      <c r="M1783"/>
      <c r="S1783" s="54"/>
    </row>
    <row r="1784" spans="1:19" s="15" customFormat="1" x14ac:dyDescent="0.3">
      <c r="A1784" s="17"/>
      <c r="B1784"/>
      <c r="C1784"/>
      <c r="D1784"/>
      <c r="E1784"/>
      <c r="F1784"/>
      <c r="G1784"/>
      <c r="H1784"/>
      <c r="I1784"/>
      <c r="J1784"/>
      <c r="K1784"/>
      <c r="L1784"/>
      <c r="M1784"/>
      <c r="S1784" s="54"/>
    </row>
    <row r="1785" spans="1:19" s="15" customFormat="1" x14ac:dyDescent="0.3">
      <c r="A1785" s="17"/>
      <c r="B1785"/>
      <c r="C1785"/>
      <c r="D1785"/>
      <c r="E1785"/>
      <c r="F1785"/>
      <c r="G1785"/>
      <c r="H1785"/>
      <c r="I1785"/>
      <c r="J1785"/>
      <c r="K1785"/>
      <c r="L1785"/>
      <c r="M1785"/>
      <c r="S1785" s="54"/>
    </row>
    <row r="1786" spans="1:19" s="15" customFormat="1" x14ac:dyDescent="0.3">
      <c r="A1786" s="17"/>
      <c r="B1786"/>
      <c r="C1786"/>
      <c r="D1786"/>
      <c r="E1786"/>
      <c r="F1786"/>
      <c r="G1786"/>
      <c r="H1786"/>
      <c r="I1786"/>
      <c r="J1786"/>
      <c r="K1786"/>
      <c r="L1786"/>
      <c r="M1786"/>
      <c r="S1786" s="54"/>
    </row>
    <row r="1787" spans="1:19" s="15" customFormat="1" x14ac:dyDescent="0.3">
      <c r="A1787" s="17"/>
      <c r="B1787"/>
      <c r="C1787"/>
      <c r="D1787"/>
      <c r="E1787"/>
      <c r="F1787"/>
      <c r="G1787"/>
      <c r="H1787"/>
      <c r="I1787"/>
      <c r="J1787"/>
      <c r="K1787"/>
      <c r="L1787"/>
      <c r="M1787"/>
      <c r="S1787" s="54"/>
    </row>
    <row r="1788" spans="1:19" s="15" customFormat="1" x14ac:dyDescent="0.3">
      <c r="A1788" s="17"/>
      <c r="B1788"/>
      <c r="C1788"/>
      <c r="D1788"/>
      <c r="E1788"/>
      <c r="F1788"/>
      <c r="G1788"/>
      <c r="H1788"/>
      <c r="I1788"/>
      <c r="J1788"/>
      <c r="K1788"/>
      <c r="L1788"/>
      <c r="M1788"/>
      <c r="S1788" s="54"/>
    </row>
    <row r="1789" spans="1:19" s="15" customFormat="1" x14ac:dyDescent="0.3">
      <c r="A1789" s="17"/>
      <c r="B1789"/>
      <c r="C1789"/>
      <c r="D1789"/>
      <c r="E1789"/>
      <c r="F1789"/>
      <c r="G1789"/>
      <c r="H1789"/>
      <c r="I1789"/>
      <c r="J1789"/>
      <c r="K1789"/>
      <c r="L1789"/>
      <c r="M1789"/>
      <c r="S1789" s="54"/>
    </row>
    <row r="1790" spans="1:19" s="15" customFormat="1" x14ac:dyDescent="0.3">
      <c r="A1790" s="17"/>
      <c r="B1790"/>
      <c r="C1790"/>
      <c r="D1790"/>
      <c r="E1790"/>
      <c r="F1790"/>
      <c r="G1790"/>
      <c r="H1790"/>
      <c r="I1790"/>
      <c r="J1790"/>
      <c r="K1790"/>
      <c r="L1790"/>
      <c r="M1790"/>
      <c r="S1790" s="54"/>
    </row>
    <row r="1791" spans="1:19" s="15" customFormat="1" x14ac:dyDescent="0.3">
      <c r="A1791" s="17"/>
      <c r="B1791"/>
      <c r="C1791"/>
      <c r="D1791"/>
      <c r="E1791"/>
      <c r="F1791"/>
      <c r="G1791"/>
      <c r="H1791"/>
      <c r="I1791"/>
      <c r="J1791"/>
      <c r="K1791"/>
      <c r="L1791"/>
      <c r="M1791"/>
      <c r="S1791" s="54"/>
    </row>
    <row r="1792" spans="1:19" s="15" customFormat="1" x14ac:dyDescent="0.3">
      <c r="A1792" s="17"/>
      <c r="B1792"/>
      <c r="C1792"/>
      <c r="D1792"/>
      <c r="E1792"/>
      <c r="F1792"/>
      <c r="G1792"/>
      <c r="H1792"/>
      <c r="I1792"/>
      <c r="J1792"/>
      <c r="K1792"/>
      <c r="L1792"/>
      <c r="M1792"/>
      <c r="S1792" s="54"/>
    </row>
    <row r="1793" spans="1:19" s="15" customFormat="1" x14ac:dyDescent="0.3">
      <c r="A1793" s="17"/>
      <c r="B1793"/>
      <c r="C1793"/>
      <c r="D1793"/>
      <c r="E1793"/>
      <c r="F1793"/>
      <c r="G1793"/>
      <c r="H1793"/>
      <c r="I1793"/>
      <c r="J1793"/>
      <c r="K1793"/>
      <c r="L1793"/>
      <c r="M1793"/>
      <c r="S1793" s="54"/>
    </row>
    <row r="1794" spans="1:19" s="15" customFormat="1" x14ac:dyDescent="0.3">
      <c r="A1794" s="17"/>
      <c r="B1794"/>
      <c r="C1794"/>
      <c r="D1794"/>
      <c r="E1794"/>
      <c r="F1794"/>
      <c r="G1794"/>
      <c r="H1794"/>
      <c r="I1794"/>
      <c r="J1794"/>
      <c r="K1794"/>
      <c r="L1794"/>
      <c r="M1794"/>
      <c r="S1794" s="54"/>
    </row>
    <row r="1795" spans="1:19" s="15" customFormat="1" x14ac:dyDescent="0.3">
      <c r="A1795" s="17"/>
      <c r="B1795"/>
      <c r="C1795"/>
      <c r="D1795"/>
      <c r="E1795"/>
      <c r="F1795"/>
      <c r="G1795"/>
      <c r="H1795"/>
      <c r="I1795"/>
      <c r="J1795"/>
      <c r="K1795"/>
      <c r="L1795"/>
      <c r="M1795"/>
      <c r="S1795" s="54"/>
    </row>
    <row r="1796" spans="1:19" s="15" customFormat="1" x14ac:dyDescent="0.3">
      <c r="A1796" s="17"/>
      <c r="B1796"/>
      <c r="C1796"/>
      <c r="D1796"/>
      <c r="E1796"/>
      <c r="F1796"/>
      <c r="G1796"/>
      <c r="H1796"/>
      <c r="I1796"/>
      <c r="J1796"/>
      <c r="K1796"/>
      <c r="L1796"/>
      <c r="M1796"/>
      <c r="S1796" s="54"/>
    </row>
    <row r="1797" spans="1:19" s="15" customFormat="1" x14ac:dyDescent="0.3">
      <c r="A1797" s="17"/>
      <c r="B1797"/>
      <c r="C1797"/>
      <c r="D1797"/>
      <c r="E1797"/>
      <c r="F1797"/>
      <c r="G1797"/>
      <c r="H1797"/>
      <c r="I1797"/>
      <c r="J1797"/>
      <c r="K1797"/>
      <c r="L1797"/>
      <c r="M1797"/>
      <c r="S1797" s="54"/>
    </row>
    <row r="1798" spans="1:19" s="15" customFormat="1" x14ac:dyDescent="0.3">
      <c r="A1798" s="17"/>
      <c r="B1798"/>
      <c r="C1798"/>
      <c r="D1798"/>
      <c r="E1798"/>
      <c r="F1798"/>
      <c r="G1798"/>
      <c r="H1798"/>
      <c r="I1798"/>
      <c r="J1798"/>
      <c r="K1798"/>
      <c r="L1798"/>
      <c r="M1798"/>
      <c r="S1798" s="54"/>
    </row>
    <row r="1799" spans="1:19" s="15" customFormat="1" x14ac:dyDescent="0.3">
      <c r="A1799" s="17"/>
      <c r="B1799"/>
      <c r="C1799"/>
      <c r="D1799"/>
      <c r="E1799"/>
      <c r="F1799"/>
      <c r="G1799"/>
      <c r="H1799"/>
      <c r="I1799"/>
      <c r="J1799"/>
      <c r="K1799"/>
      <c r="L1799"/>
      <c r="M1799"/>
      <c r="S1799" s="54"/>
    </row>
    <row r="1800" spans="1:19" s="15" customFormat="1" x14ac:dyDescent="0.3">
      <c r="A1800" s="17"/>
      <c r="B1800"/>
      <c r="C1800"/>
      <c r="D1800"/>
      <c r="E1800"/>
      <c r="F1800"/>
      <c r="G1800"/>
      <c r="H1800"/>
      <c r="I1800"/>
      <c r="J1800"/>
      <c r="K1800"/>
      <c r="L1800"/>
      <c r="M1800"/>
      <c r="S1800" s="54"/>
    </row>
    <row r="1801" spans="1:19" s="15" customFormat="1" x14ac:dyDescent="0.3">
      <c r="A1801" s="17"/>
      <c r="B1801"/>
      <c r="C1801"/>
      <c r="D1801"/>
      <c r="E1801"/>
      <c r="F1801"/>
      <c r="G1801"/>
      <c r="H1801"/>
      <c r="I1801"/>
      <c r="J1801"/>
      <c r="K1801"/>
      <c r="L1801"/>
      <c r="M1801"/>
      <c r="S1801" s="54"/>
    </row>
    <row r="1802" spans="1:19" s="15" customFormat="1" x14ac:dyDescent="0.3">
      <c r="A1802" s="17"/>
      <c r="B1802"/>
      <c r="C1802"/>
      <c r="D1802"/>
      <c r="E1802"/>
      <c r="F1802"/>
      <c r="G1802"/>
      <c r="H1802"/>
      <c r="I1802"/>
      <c r="J1802"/>
      <c r="K1802"/>
      <c r="L1802"/>
      <c r="M1802"/>
      <c r="S1802" s="54"/>
    </row>
    <row r="1803" spans="1:19" s="15" customFormat="1" x14ac:dyDescent="0.3">
      <c r="A1803" s="17"/>
      <c r="B1803"/>
      <c r="C1803"/>
      <c r="D1803"/>
      <c r="E1803"/>
      <c r="F1803"/>
      <c r="G1803"/>
      <c r="H1803"/>
      <c r="I1803"/>
      <c r="J1803"/>
      <c r="K1803"/>
      <c r="L1803"/>
      <c r="M1803"/>
      <c r="S1803" s="54"/>
    </row>
    <row r="1804" spans="1:19" s="15" customFormat="1" x14ac:dyDescent="0.3">
      <c r="A1804" s="17"/>
      <c r="B1804"/>
      <c r="C1804"/>
      <c r="D1804"/>
      <c r="E1804"/>
      <c r="F1804"/>
      <c r="G1804"/>
      <c r="H1804"/>
      <c r="I1804"/>
      <c r="J1804"/>
      <c r="K1804"/>
      <c r="L1804"/>
      <c r="M1804"/>
      <c r="S1804" s="54"/>
    </row>
    <row r="1805" spans="1:19" s="15" customFormat="1" x14ac:dyDescent="0.3">
      <c r="A1805" s="17"/>
      <c r="B1805"/>
      <c r="C1805"/>
      <c r="D1805"/>
      <c r="E1805"/>
      <c r="F1805"/>
      <c r="G1805"/>
      <c r="H1805"/>
      <c r="I1805"/>
      <c r="J1805"/>
      <c r="K1805"/>
      <c r="L1805"/>
      <c r="M1805"/>
      <c r="S1805" s="54"/>
    </row>
    <row r="1806" spans="1:19" s="15" customFormat="1" x14ac:dyDescent="0.3">
      <c r="A1806" s="17"/>
      <c r="B1806"/>
      <c r="C1806"/>
      <c r="D1806"/>
      <c r="E1806"/>
      <c r="F1806"/>
      <c r="G1806"/>
      <c r="H1806"/>
      <c r="I1806"/>
      <c r="J1806"/>
      <c r="K1806"/>
      <c r="L1806"/>
      <c r="M1806"/>
      <c r="S1806" s="54"/>
    </row>
    <row r="1807" spans="1:19" s="15" customFormat="1" x14ac:dyDescent="0.3">
      <c r="A1807" s="17"/>
      <c r="B1807"/>
      <c r="C1807"/>
      <c r="D1807"/>
      <c r="E1807"/>
      <c r="F1807"/>
      <c r="G1807"/>
      <c r="H1807"/>
      <c r="I1807"/>
      <c r="J1807"/>
      <c r="K1807"/>
      <c r="L1807"/>
      <c r="M1807"/>
      <c r="S1807" s="54"/>
    </row>
    <row r="1808" spans="1:19" s="15" customFormat="1" x14ac:dyDescent="0.3">
      <c r="A1808" s="17"/>
      <c r="B1808"/>
      <c r="C1808"/>
      <c r="D1808"/>
      <c r="E1808"/>
      <c r="F1808"/>
      <c r="G1808"/>
      <c r="H1808"/>
      <c r="I1808"/>
      <c r="J1808"/>
      <c r="K1808"/>
      <c r="L1808"/>
      <c r="M1808"/>
      <c r="S1808" s="54"/>
    </row>
    <row r="1809" spans="1:19" s="15" customFormat="1" x14ac:dyDescent="0.3">
      <c r="A1809" s="17"/>
      <c r="B1809"/>
      <c r="C1809"/>
      <c r="D1809"/>
      <c r="E1809"/>
      <c r="F1809"/>
      <c r="G1809"/>
      <c r="H1809"/>
      <c r="I1809"/>
      <c r="J1809"/>
      <c r="K1809"/>
      <c r="L1809"/>
      <c r="M1809"/>
      <c r="S1809" s="54"/>
    </row>
    <row r="1810" spans="1:19" s="15" customFormat="1" x14ac:dyDescent="0.3">
      <c r="A1810" s="17"/>
      <c r="B1810"/>
      <c r="C1810"/>
      <c r="D1810"/>
      <c r="E1810"/>
      <c r="F1810"/>
      <c r="G1810"/>
      <c r="H1810"/>
      <c r="I1810"/>
      <c r="J1810"/>
      <c r="K1810"/>
      <c r="L1810"/>
      <c r="M1810"/>
      <c r="S1810" s="54"/>
    </row>
    <row r="1811" spans="1:19" s="15" customFormat="1" x14ac:dyDescent="0.3">
      <c r="A1811" s="17"/>
      <c r="B1811"/>
      <c r="C1811"/>
      <c r="D1811"/>
      <c r="E1811"/>
      <c r="F1811"/>
      <c r="G1811"/>
      <c r="H1811"/>
      <c r="I1811"/>
      <c r="J1811"/>
      <c r="K1811"/>
      <c r="L1811"/>
      <c r="M1811"/>
      <c r="S1811" s="54"/>
    </row>
    <row r="1812" spans="1:19" s="15" customFormat="1" x14ac:dyDescent="0.3">
      <c r="A1812" s="17"/>
      <c r="B1812"/>
      <c r="C1812"/>
      <c r="D1812"/>
      <c r="E1812"/>
      <c r="F1812"/>
      <c r="G1812"/>
      <c r="H1812"/>
      <c r="I1812"/>
      <c r="J1812"/>
      <c r="K1812"/>
      <c r="L1812"/>
      <c r="M1812"/>
      <c r="S1812" s="54"/>
    </row>
    <row r="1813" spans="1:19" s="15" customFormat="1" x14ac:dyDescent="0.3">
      <c r="A1813" s="17"/>
      <c r="B1813"/>
      <c r="C1813"/>
      <c r="D1813"/>
      <c r="E1813"/>
      <c r="F1813"/>
      <c r="G1813"/>
      <c r="H1813"/>
      <c r="I1813"/>
      <c r="J1813"/>
      <c r="K1813"/>
      <c r="L1813"/>
      <c r="M1813"/>
      <c r="S1813" s="54"/>
    </row>
    <row r="1814" spans="1:19" s="15" customFormat="1" x14ac:dyDescent="0.3">
      <c r="A1814" s="17"/>
      <c r="B1814"/>
      <c r="C1814"/>
      <c r="D1814"/>
      <c r="E1814"/>
      <c r="F1814"/>
      <c r="G1814"/>
      <c r="H1814"/>
      <c r="I1814"/>
      <c r="J1814"/>
      <c r="K1814"/>
      <c r="L1814"/>
      <c r="M1814"/>
      <c r="S1814" s="54"/>
    </row>
    <row r="1815" spans="1:19" s="15" customFormat="1" x14ac:dyDescent="0.3">
      <c r="A1815" s="17"/>
      <c r="B1815"/>
      <c r="C1815"/>
      <c r="D1815"/>
      <c r="E1815"/>
      <c r="F1815"/>
      <c r="G1815"/>
      <c r="H1815"/>
      <c r="I1815"/>
      <c r="J1815"/>
      <c r="K1815"/>
      <c r="L1815"/>
      <c r="M1815"/>
      <c r="S1815" s="54"/>
    </row>
    <row r="1816" spans="1:19" s="15" customFormat="1" x14ac:dyDescent="0.3">
      <c r="A1816" s="17"/>
      <c r="B1816"/>
      <c r="C1816"/>
      <c r="D1816"/>
      <c r="E1816"/>
      <c r="F1816"/>
      <c r="G1816"/>
      <c r="H1816"/>
      <c r="I1816"/>
      <c r="J1816"/>
      <c r="K1816"/>
      <c r="L1816"/>
      <c r="M1816"/>
      <c r="S1816" s="54"/>
    </row>
    <row r="1817" spans="1:19" s="15" customFormat="1" x14ac:dyDescent="0.3">
      <c r="A1817" s="17"/>
      <c r="B1817"/>
      <c r="C1817"/>
      <c r="D1817"/>
      <c r="E1817"/>
      <c r="F1817"/>
      <c r="G1817"/>
      <c r="H1817"/>
      <c r="I1817"/>
      <c r="J1817"/>
      <c r="K1817"/>
      <c r="L1817"/>
      <c r="M1817"/>
      <c r="S1817" s="54"/>
    </row>
    <row r="1818" spans="1:19" s="15" customFormat="1" x14ac:dyDescent="0.3">
      <c r="A1818" s="17"/>
      <c r="B1818"/>
      <c r="C1818"/>
      <c r="D1818"/>
      <c r="E1818"/>
      <c r="F1818"/>
      <c r="G1818"/>
      <c r="H1818"/>
      <c r="I1818"/>
      <c r="J1818"/>
      <c r="K1818"/>
      <c r="L1818"/>
      <c r="M1818"/>
      <c r="S1818" s="54"/>
    </row>
    <row r="1819" spans="1:19" s="15" customFormat="1" x14ac:dyDescent="0.3">
      <c r="A1819" s="17"/>
      <c r="B1819"/>
      <c r="C1819"/>
      <c r="D1819"/>
      <c r="E1819"/>
      <c r="F1819"/>
      <c r="G1819"/>
      <c r="H1819"/>
      <c r="I1819"/>
      <c r="J1819"/>
      <c r="K1819"/>
      <c r="L1819"/>
      <c r="M1819"/>
      <c r="S1819" s="54"/>
    </row>
    <row r="1820" spans="1:19" s="15" customFormat="1" x14ac:dyDescent="0.3">
      <c r="A1820" s="17"/>
      <c r="B1820"/>
      <c r="C1820"/>
      <c r="D1820"/>
      <c r="E1820"/>
      <c r="F1820"/>
      <c r="G1820"/>
      <c r="H1820"/>
      <c r="I1820"/>
      <c r="J1820"/>
      <c r="K1820"/>
      <c r="L1820"/>
      <c r="M1820"/>
      <c r="S1820" s="54"/>
    </row>
    <row r="1821" spans="1:19" s="15" customFormat="1" x14ac:dyDescent="0.3">
      <c r="A1821" s="17"/>
      <c r="B1821"/>
      <c r="C1821"/>
      <c r="D1821"/>
      <c r="E1821"/>
      <c r="F1821"/>
      <c r="G1821"/>
      <c r="H1821"/>
      <c r="I1821"/>
      <c r="J1821"/>
      <c r="K1821"/>
      <c r="L1821"/>
      <c r="M1821"/>
      <c r="S1821" s="54"/>
    </row>
    <row r="1822" spans="1:19" s="15" customFormat="1" x14ac:dyDescent="0.3">
      <c r="A1822" s="17"/>
      <c r="B1822"/>
      <c r="C1822"/>
      <c r="D1822"/>
      <c r="E1822"/>
      <c r="F1822"/>
      <c r="G1822"/>
      <c r="H1822"/>
      <c r="I1822"/>
      <c r="J1822"/>
      <c r="K1822"/>
      <c r="L1822"/>
      <c r="M1822"/>
      <c r="S1822" s="54"/>
    </row>
    <row r="1823" spans="1:19" s="15" customFormat="1" x14ac:dyDescent="0.3">
      <c r="A1823" s="17"/>
      <c r="B1823"/>
      <c r="C1823"/>
      <c r="D1823"/>
      <c r="E1823"/>
      <c r="F1823"/>
      <c r="G1823"/>
      <c r="H1823"/>
      <c r="I1823"/>
      <c r="J1823"/>
      <c r="K1823"/>
      <c r="L1823"/>
      <c r="M1823"/>
      <c r="S1823" s="54"/>
    </row>
    <row r="1824" spans="1:19" s="15" customFormat="1" x14ac:dyDescent="0.3">
      <c r="A1824" s="17"/>
      <c r="B1824"/>
      <c r="C1824"/>
      <c r="D1824"/>
      <c r="E1824"/>
      <c r="F1824"/>
      <c r="G1824"/>
      <c r="H1824"/>
      <c r="I1824"/>
      <c r="J1824"/>
      <c r="K1824"/>
      <c r="L1824"/>
      <c r="M1824"/>
      <c r="S1824" s="54"/>
    </row>
    <row r="1825" spans="1:19" s="15" customFormat="1" x14ac:dyDescent="0.3">
      <c r="A1825" s="17"/>
      <c r="B1825"/>
      <c r="C1825"/>
      <c r="D1825"/>
      <c r="E1825"/>
      <c r="F1825"/>
      <c r="G1825"/>
      <c r="H1825"/>
      <c r="I1825"/>
      <c r="J1825"/>
      <c r="K1825"/>
      <c r="L1825"/>
      <c r="M1825"/>
      <c r="S1825" s="54"/>
    </row>
    <row r="1826" spans="1:19" s="15" customFormat="1" x14ac:dyDescent="0.3">
      <c r="A1826" s="17"/>
      <c r="B1826"/>
      <c r="C1826"/>
      <c r="D1826"/>
      <c r="E1826"/>
      <c r="F1826"/>
      <c r="G1826"/>
      <c r="H1826"/>
      <c r="I1826"/>
      <c r="J1826"/>
      <c r="K1826"/>
      <c r="L1826"/>
      <c r="M1826"/>
      <c r="S1826" s="54"/>
    </row>
    <row r="1827" spans="1:19" s="15" customFormat="1" x14ac:dyDescent="0.3">
      <c r="A1827" s="17"/>
      <c r="B1827"/>
      <c r="C1827"/>
      <c r="D1827"/>
      <c r="E1827"/>
      <c r="F1827"/>
      <c r="G1827"/>
      <c r="H1827"/>
      <c r="I1827"/>
      <c r="J1827"/>
      <c r="K1827"/>
      <c r="L1827"/>
      <c r="M1827"/>
      <c r="S1827" s="54"/>
    </row>
    <row r="1828" spans="1:19" s="15" customFormat="1" x14ac:dyDescent="0.3">
      <c r="A1828" s="17"/>
      <c r="B1828"/>
      <c r="C1828"/>
      <c r="D1828"/>
      <c r="E1828"/>
      <c r="F1828"/>
      <c r="G1828"/>
      <c r="H1828"/>
      <c r="I1828"/>
      <c r="J1828"/>
      <c r="K1828"/>
      <c r="L1828"/>
      <c r="M1828"/>
      <c r="S1828" s="54"/>
    </row>
    <row r="1829" spans="1:19" s="15" customFormat="1" x14ac:dyDescent="0.3">
      <c r="A1829" s="17"/>
      <c r="B1829"/>
      <c r="C1829"/>
      <c r="D1829"/>
      <c r="E1829"/>
      <c r="F1829"/>
      <c r="G1829"/>
      <c r="H1829"/>
      <c r="I1829"/>
      <c r="J1829"/>
      <c r="K1829"/>
      <c r="L1829"/>
      <c r="M1829"/>
      <c r="S1829" s="54"/>
    </row>
    <row r="1830" spans="1:19" s="15" customFormat="1" x14ac:dyDescent="0.3">
      <c r="A1830" s="17"/>
      <c r="B1830"/>
      <c r="C1830"/>
      <c r="D1830"/>
      <c r="E1830"/>
      <c r="F1830"/>
      <c r="G1830"/>
      <c r="H1830"/>
      <c r="I1830"/>
      <c r="J1830"/>
      <c r="K1830"/>
      <c r="L1830"/>
      <c r="M1830"/>
      <c r="S1830" s="54"/>
    </row>
    <row r="1831" spans="1:19" s="15" customFormat="1" x14ac:dyDescent="0.3">
      <c r="A1831" s="17"/>
      <c r="B1831"/>
      <c r="C1831"/>
      <c r="D1831"/>
      <c r="E1831"/>
      <c r="F1831"/>
      <c r="G1831"/>
      <c r="H1831"/>
      <c r="I1831"/>
      <c r="J1831"/>
      <c r="K1831"/>
      <c r="L1831"/>
      <c r="M1831"/>
      <c r="S1831" s="54"/>
    </row>
    <row r="1832" spans="1:19" s="15" customFormat="1" x14ac:dyDescent="0.3">
      <c r="A1832" s="17"/>
      <c r="B1832"/>
      <c r="C1832"/>
      <c r="D1832"/>
      <c r="E1832"/>
      <c r="F1832"/>
      <c r="G1832"/>
      <c r="H1832"/>
      <c r="I1832"/>
      <c r="J1832"/>
      <c r="K1832"/>
      <c r="L1832"/>
      <c r="M1832"/>
      <c r="S1832" s="54"/>
    </row>
    <row r="1833" spans="1:19" s="15" customFormat="1" x14ac:dyDescent="0.3">
      <c r="A1833" s="17"/>
      <c r="B1833"/>
      <c r="C1833"/>
      <c r="D1833"/>
      <c r="E1833"/>
      <c r="F1833"/>
      <c r="G1833"/>
      <c r="H1833"/>
      <c r="I1833"/>
      <c r="J1833"/>
      <c r="K1833"/>
      <c r="L1833"/>
      <c r="M1833"/>
      <c r="S1833" s="54"/>
    </row>
    <row r="1834" spans="1:19" s="15" customFormat="1" x14ac:dyDescent="0.3">
      <c r="A1834" s="17"/>
      <c r="B1834"/>
      <c r="C1834"/>
      <c r="D1834"/>
      <c r="E1834"/>
      <c r="F1834"/>
      <c r="G1834"/>
      <c r="H1834"/>
      <c r="I1834"/>
      <c r="J1834"/>
      <c r="K1834"/>
      <c r="L1834"/>
      <c r="M1834"/>
      <c r="S1834" s="54"/>
    </row>
    <row r="1835" spans="1:19" s="15" customFormat="1" x14ac:dyDescent="0.3">
      <c r="A1835" s="17"/>
      <c r="B1835"/>
      <c r="C1835"/>
      <c r="D1835"/>
      <c r="E1835"/>
      <c r="F1835"/>
      <c r="G1835"/>
      <c r="H1835"/>
      <c r="I1835"/>
      <c r="J1835"/>
      <c r="K1835"/>
      <c r="L1835"/>
      <c r="M1835"/>
      <c r="S1835" s="54"/>
    </row>
    <row r="1836" spans="1:19" s="15" customFormat="1" x14ac:dyDescent="0.3">
      <c r="A1836" s="17"/>
      <c r="B1836"/>
      <c r="C1836"/>
      <c r="D1836"/>
      <c r="E1836"/>
      <c r="F1836"/>
      <c r="G1836"/>
      <c r="H1836"/>
      <c r="I1836"/>
      <c r="J1836"/>
      <c r="K1836"/>
      <c r="L1836"/>
      <c r="M1836"/>
      <c r="S1836" s="54"/>
    </row>
    <row r="1837" spans="1:19" s="15" customFormat="1" x14ac:dyDescent="0.3">
      <c r="A1837" s="17"/>
      <c r="B1837"/>
      <c r="C1837"/>
      <c r="D1837"/>
      <c r="E1837"/>
      <c r="F1837"/>
      <c r="G1837"/>
      <c r="H1837"/>
      <c r="I1837"/>
      <c r="J1837"/>
      <c r="K1837"/>
      <c r="L1837"/>
      <c r="M1837"/>
      <c r="S1837" s="54"/>
    </row>
    <row r="1838" spans="1:19" s="15" customFormat="1" x14ac:dyDescent="0.3">
      <c r="A1838" s="17"/>
      <c r="B1838"/>
      <c r="C1838"/>
      <c r="D1838"/>
      <c r="E1838"/>
      <c r="F1838"/>
      <c r="G1838"/>
      <c r="H1838"/>
      <c r="I1838"/>
      <c r="J1838"/>
      <c r="K1838"/>
      <c r="L1838"/>
      <c r="M1838"/>
      <c r="S1838" s="54"/>
    </row>
    <row r="1839" spans="1:19" s="15" customFormat="1" x14ac:dyDescent="0.3">
      <c r="A1839" s="17"/>
      <c r="B1839"/>
      <c r="C1839"/>
      <c r="D1839"/>
      <c r="E1839"/>
      <c r="F1839"/>
      <c r="G1839"/>
      <c r="H1839"/>
      <c r="I1839"/>
      <c r="J1839"/>
      <c r="K1839"/>
      <c r="L1839"/>
      <c r="M1839"/>
      <c r="S1839" s="54"/>
    </row>
    <row r="1840" spans="1:19" s="15" customFormat="1" x14ac:dyDescent="0.3">
      <c r="A1840" s="17"/>
      <c r="B1840"/>
      <c r="C1840"/>
      <c r="D1840"/>
      <c r="E1840"/>
      <c r="F1840"/>
      <c r="G1840"/>
      <c r="H1840"/>
      <c r="I1840"/>
      <c r="J1840"/>
      <c r="K1840"/>
      <c r="L1840"/>
      <c r="M1840"/>
      <c r="S1840" s="54"/>
    </row>
    <row r="1841" spans="1:19" s="15" customFormat="1" x14ac:dyDescent="0.3">
      <c r="A1841" s="17"/>
      <c r="B1841"/>
      <c r="C1841"/>
      <c r="D1841"/>
      <c r="E1841"/>
      <c r="F1841"/>
      <c r="G1841"/>
      <c r="H1841"/>
      <c r="I1841"/>
      <c r="J1841"/>
      <c r="K1841"/>
      <c r="L1841"/>
      <c r="M1841"/>
      <c r="S1841" s="54"/>
    </row>
    <row r="1842" spans="1:19" s="15" customFormat="1" x14ac:dyDescent="0.3">
      <c r="A1842" s="17"/>
      <c r="B1842"/>
      <c r="C1842"/>
      <c r="D1842"/>
      <c r="E1842"/>
      <c r="F1842"/>
      <c r="G1842"/>
      <c r="H1842"/>
      <c r="I1842"/>
      <c r="J1842"/>
      <c r="K1842"/>
      <c r="L1842"/>
      <c r="M1842"/>
      <c r="S1842" s="54"/>
    </row>
    <row r="1843" spans="1:19" s="15" customFormat="1" x14ac:dyDescent="0.3">
      <c r="A1843" s="17"/>
      <c r="B1843"/>
      <c r="C1843"/>
      <c r="D1843"/>
      <c r="E1843"/>
      <c r="F1843"/>
      <c r="G1843"/>
      <c r="H1843"/>
      <c r="I1843"/>
      <c r="J1843"/>
      <c r="K1843"/>
      <c r="L1843"/>
      <c r="M1843"/>
      <c r="S1843" s="54"/>
    </row>
    <row r="1844" spans="1:19" s="15" customFormat="1" x14ac:dyDescent="0.3">
      <c r="A1844" s="17"/>
      <c r="B1844"/>
      <c r="C1844"/>
      <c r="D1844"/>
      <c r="E1844"/>
      <c r="F1844"/>
      <c r="G1844"/>
      <c r="H1844"/>
      <c r="I1844"/>
      <c r="J1844"/>
      <c r="K1844"/>
      <c r="L1844"/>
      <c r="M1844"/>
      <c r="S1844" s="54"/>
    </row>
    <row r="1845" spans="1:19" s="15" customFormat="1" x14ac:dyDescent="0.3">
      <c r="A1845" s="17"/>
      <c r="B1845"/>
      <c r="C1845"/>
      <c r="D1845"/>
      <c r="E1845"/>
      <c r="F1845"/>
      <c r="G1845"/>
      <c r="H1845"/>
      <c r="I1845"/>
      <c r="J1845"/>
      <c r="K1845"/>
      <c r="L1845"/>
      <c r="M1845"/>
      <c r="S1845" s="54"/>
    </row>
    <row r="1846" spans="1:19" s="15" customFormat="1" x14ac:dyDescent="0.3">
      <c r="A1846" s="17"/>
      <c r="B1846"/>
      <c r="C1846"/>
      <c r="D1846"/>
      <c r="E1846"/>
      <c r="F1846"/>
      <c r="G1846"/>
      <c r="H1846"/>
      <c r="I1846"/>
      <c r="J1846"/>
      <c r="K1846"/>
      <c r="L1846"/>
      <c r="M1846"/>
      <c r="S1846" s="54"/>
    </row>
    <row r="1847" spans="1:19" s="15" customFormat="1" x14ac:dyDescent="0.3">
      <c r="A1847" s="17"/>
      <c r="B1847"/>
      <c r="C1847"/>
      <c r="D1847"/>
      <c r="E1847"/>
      <c r="F1847"/>
      <c r="G1847"/>
      <c r="H1847"/>
      <c r="I1847"/>
      <c r="J1847"/>
      <c r="K1847"/>
      <c r="L1847"/>
      <c r="M1847"/>
      <c r="S1847" s="54"/>
    </row>
    <row r="1848" spans="1:19" s="15" customFormat="1" x14ac:dyDescent="0.3">
      <c r="A1848" s="17"/>
      <c r="B1848"/>
      <c r="C1848"/>
      <c r="D1848"/>
      <c r="E1848"/>
      <c r="F1848"/>
      <c r="G1848"/>
      <c r="H1848"/>
      <c r="I1848"/>
      <c r="J1848"/>
      <c r="K1848"/>
      <c r="L1848"/>
      <c r="M1848"/>
      <c r="S1848" s="54"/>
    </row>
    <row r="1849" spans="1:19" s="15" customFormat="1" x14ac:dyDescent="0.3">
      <c r="A1849" s="17"/>
      <c r="B1849"/>
      <c r="C1849"/>
      <c r="D1849"/>
      <c r="E1849"/>
      <c r="F1849"/>
      <c r="G1849"/>
      <c r="H1849"/>
      <c r="I1849"/>
      <c r="J1849"/>
      <c r="K1849"/>
      <c r="L1849"/>
      <c r="M1849"/>
      <c r="S1849" s="54"/>
    </row>
    <row r="1850" spans="1:19" s="15" customFormat="1" x14ac:dyDescent="0.3">
      <c r="A1850" s="17"/>
      <c r="B1850"/>
      <c r="C1850"/>
      <c r="D1850"/>
      <c r="E1850"/>
      <c r="F1850"/>
      <c r="G1850"/>
      <c r="H1850"/>
      <c r="I1850"/>
      <c r="J1850"/>
      <c r="K1850"/>
      <c r="L1850"/>
      <c r="M1850"/>
      <c r="S1850" s="54"/>
    </row>
    <row r="1851" spans="1:19" s="15" customFormat="1" x14ac:dyDescent="0.3">
      <c r="A1851" s="17"/>
      <c r="B1851"/>
      <c r="C1851"/>
      <c r="D1851"/>
      <c r="E1851"/>
      <c r="F1851"/>
      <c r="G1851"/>
      <c r="H1851"/>
      <c r="I1851"/>
      <c r="J1851"/>
      <c r="K1851"/>
      <c r="L1851"/>
      <c r="M1851"/>
      <c r="S1851" s="54"/>
    </row>
    <row r="1852" spans="1:19" s="15" customFormat="1" x14ac:dyDescent="0.3">
      <c r="A1852" s="17"/>
      <c r="B1852"/>
      <c r="C1852"/>
      <c r="D1852"/>
      <c r="E1852"/>
      <c r="F1852"/>
      <c r="G1852"/>
      <c r="H1852"/>
      <c r="I1852"/>
      <c r="J1852"/>
      <c r="K1852"/>
      <c r="L1852"/>
      <c r="M1852"/>
      <c r="S1852" s="54"/>
    </row>
    <row r="1853" spans="1:19" s="15" customFormat="1" x14ac:dyDescent="0.3">
      <c r="A1853" s="17"/>
      <c r="B1853"/>
      <c r="C1853"/>
      <c r="D1853"/>
      <c r="E1853"/>
      <c r="F1853"/>
      <c r="G1853"/>
      <c r="H1853"/>
      <c r="I1853"/>
      <c r="J1853"/>
      <c r="K1853"/>
      <c r="L1853"/>
      <c r="M1853"/>
      <c r="S1853" s="54"/>
    </row>
    <row r="1854" spans="1:19" s="15" customFormat="1" x14ac:dyDescent="0.3">
      <c r="A1854" s="17"/>
      <c r="B1854"/>
      <c r="C1854"/>
      <c r="D1854"/>
      <c r="E1854"/>
      <c r="F1854"/>
      <c r="G1854"/>
      <c r="H1854"/>
      <c r="I1854"/>
      <c r="J1854"/>
      <c r="K1854"/>
      <c r="L1854"/>
      <c r="M1854"/>
      <c r="S1854" s="54"/>
    </row>
    <row r="1855" spans="1:19" s="15" customFormat="1" x14ac:dyDescent="0.3">
      <c r="A1855" s="17"/>
      <c r="B1855"/>
      <c r="C1855"/>
      <c r="D1855"/>
      <c r="E1855"/>
      <c r="F1855"/>
      <c r="G1855"/>
      <c r="H1855"/>
      <c r="I1855"/>
      <c r="J1855"/>
      <c r="K1855"/>
      <c r="L1855"/>
      <c r="M1855"/>
      <c r="S1855" s="54"/>
    </row>
    <row r="1856" spans="1:19" s="15" customFormat="1" x14ac:dyDescent="0.3">
      <c r="A1856" s="17"/>
      <c r="B1856"/>
      <c r="C1856"/>
      <c r="D1856"/>
      <c r="E1856"/>
      <c r="F1856"/>
      <c r="G1856"/>
      <c r="H1856"/>
      <c r="I1856"/>
      <c r="J1856"/>
      <c r="K1856"/>
      <c r="L1856"/>
      <c r="M1856"/>
      <c r="S1856" s="54"/>
    </row>
    <row r="1857" spans="1:19" s="15" customFormat="1" x14ac:dyDescent="0.3">
      <c r="A1857" s="17"/>
      <c r="B1857"/>
      <c r="C1857"/>
      <c r="D1857"/>
      <c r="E1857"/>
      <c r="F1857"/>
      <c r="G1857"/>
      <c r="H1857"/>
      <c r="I1857"/>
      <c r="J1857"/>
      <c r="K1857"/>
      <c r="L1857"/>
      <c r="M1857"/>
      <c r="S1857" s="54"/>
    </row>
    <row r="1858" spans="1:19" s="15" customFormat="1" x14ac:dyDescent="0.3">
      <c r="A1858" s="17"/>
      <c r="B1858"/>
      <c r="C1858"/>
      <c r="D1858"/>
      <c r="E1858"/>
      <c r="F1858"/>
      <c r="G1858"/>
      <c r="H1858"/>
      <c r="I1858"/>
      <c r="J1858"/>
      <c r="K1858"/>
      <c r="L1858"/>
      <c r="M1858"/>
      <c r="S1858" s="54"/>
    </row>
    <row r="1859" spans="1:19" s="15" customFormat="1" x14ac:dyDescent="0.3">
      <c r="A1859" s="17"/>
      <c r="B1859"/>
      <c r="C1859"/>
      <c r="D1859"/>
      <c r="E1859"/>
      <c r="F1859"/>
      <c r="G1859"/>
      <c r="H1859"/>
      <c r="I1859"/>
      <c r="J1859"/>
      <c r="K1859"/>
      <c r="L1859"/>
      <c r="M1859"/>
      <c r="S1859" s="54"/>
    </row>
    <row r="1860" spans="1:19" s="15" customFormat="1" x14ac:dyDescent="0.3">
      <c r="A1860" s="17"/>
      <c r="B1860"/>
      <c r="C1860"/>
      <c r="D1860"/>
      <c r="E1860"/>
      <c r="F1860"/>
      <c r="G1860"/>
      <c r="H1860"/>
      <c r="I1860"/>
      <c r="J1860"/>
      <c r="K1860"/>
      <c r="L1860"/>
      <c r="M1860"/>
      <c r="S1860" s="54"/>
    </row>
    <row r="1861" spans="1:19" s="15" customFormat="1" x14ac:dyDescent="0.3">
      <c r="A1861" s="17"/>
      <c r="B1861"/>
      <c r="C1861"/>
      <c r="D1861"/>
      <c r="E1861"/>
      <c r="F1861"/>
      <c r="G1861"/>
      <c r="H1861"/>
      <c r="I1861"/>
      <c r="J1861"/>
      <c r="K1861"/>
      <c r="L1861"/>
      <c r="M1861"/>
      <c r="S1861" s="54"/>
    </row>
    <row r="1862" spans="1:19" s="15" customFormat="1" x14ac:dyDescent="0.3">
      <c r="A1862" s="17"/>
      <c r="B1862"/>
      <c r="C1862"/>
      <c r="D1862"/>
      <c r="E1862"/>
      <c r="F1862"/>
      <c r="G1862"/>
      <c r="H1862"/>
      <c r="I1862"/>
      <c r="J1862"/>
      <c r="K1862"/>
      <c r="L1862"/>
      <c r="M1862"/>
      <c r="S1862" s="54"/>
    </row>
    <row r="1863" spans="1:19" s="15" customFormat="1" x14ac:dyDescent="0.3">
      <c r="A1863" s="17"/>
      <c r="B1863"/>
      <c r="C1863"/>
      <c r="D1863"/>
      <c r="E1863"/>
      <c r="F1863"/>
      <c r="G1863"/>
      <c r="H1863"/>
      <c r="I1863"/>
      <c r="J1863"/>
      <c r="K1863"/>
      <c r="L1863"/>
      <c r="M1863"/>
      <c r="S1863" s="54"/>
    </row>
    <row r="1864" spans="1:19" s="15" customFormat="1" x14ac:dyDescent="0.3">
      <c r="A1864" s="17"/>
      <c r="B1864"/>
      <c r="C1864"/>
      <c r="D1864"/>
      <c r="E1864"/>
      <c r="F1864"/>
      <c r="G1864"/>
      <c r="H1864"/>
      <c r="I1864"/>
      <c r="J1864"/>
      <c r="K1864"/>
      <c r="L1864"/>
      <c r="M1864"/>
      <c r="S1864" s="54"/>
    </row>
    <row r="1865" spans="1:19" s="15" customFormat="1" x14ac:dyDescent="0.3">
      <c r="A1865" s="17"/>
      <c r="B1865"/>
      <c r="C1865"/>
      <c r="D1865"/>
      <c r="E1865"/>
      <c r="F1865"/>
      <c r="G1865"/>
      <c r="H1865"/>
      <c r="I1865"/>
      <c r="J1865"/>
      <c r="K1865"/>
      <c r="L1865"/>
      <c r="M1865"/>
      <c r="S1865" s="54"/>
    </row>
    <row r="1866" spans="1:19" s="15" customFormat="1" x14ac:dyDescent="0.3">
      <c r="A1866" s="17"/>
      <c r="B1866"/>
      <c r="C1866"/>
      <c r="D1866"/>
      <c r="E1866"/>
      <c r="F1866"/>
      <c r="G1866"/>
      <c r="H1866"/>
      <c r="I1866"/>
      <c r="J1866"/>
      <c r="K1866"/>
      <c r="L1866"/>
      <c r="M1866"/>
      <c r="S1866" s="54"/>
    </row>
    <row r="1867" spans="1:19" s="15" customFormat="1" x14ac:dyDescent="0.3">
      <c r="A1867" s="17"/>
      <c r="B1867"/>
      <c r="C1867"/>
      <c r="D1867"/>
      <c r="E1867"/>
      <c r="F1867"/>
      <c r="G1867"/>
      <c r="H1867"/>
      <c r="I1867"/>
      <c r="J1867"/>
      <c r="K1867"/>
      <c r="L1867"/>
      <c r="M1867"/>
      <c r="S1867" s="54"/>
    </row>
    <row r="1868" spans="1:19" s="15" customFormat="1" x14ac:dyDescent="0.3">
      <c r="A1868" s="17"/>
      <c r="B1868"/>
      <c r="C1868"/>
      <c r="D1868"/>
      <c r="E1868"/>
      <c r="F1868"/>
      <c r="G1868"/>
      <c r="H1868"/>
      <c r="I1868"/>
      <c r="J1868"/>
      <c r="K1868"/>
      <c r="L1868"/>
      <c r="M1868"/>
      <c r="S1868" s="54"/>
    </row>
    <row r="1869" spans="1:19" s="15" customFormat="1" x14ac:dyDescent="0.3">
      <c r="A1869" s="17"/>
      <c r="B1869"/>
      <c r="C1869"/>
      <c r="D1869"/>
      <c r="E1869"/>
      <c r="F1869"/>
      <c r="G1869"/>
      <c r="H1869"/>
      <c r="I1869"/>
      <c r="J1869"/>
      <c r="K1869"/>
      <c r="L1869"/>
      <c r="M1869"/>
      <c r="S1869" s="54"/>
    </row>
    <row r="1870" spans="1:19" s="15" customFormat="1" x14ac:dyDescent="0.3">
      <c r="A1870" s="17"/>
      <c r="B1870"/>
      <c r="C1870"/>
      <c r="D1870"/>
      <c r="E1870"/>
      <c r="F1870"/>
      <c r="G1870"/>
      <c r="H1870"/>
      <c r="I1870"/>
      <c r="J1870"/>
      <c r="K1870"/>
      <c r="L1870"/>
      <c r="M1870"/>
      <c r="S1870" s="54"/>
    </row>
    <row r="1871" spans="1:19" s="15" customFormat="1" x14ac:dyDescent="0.3">
      <c r="A1871" s="17"/>
      <c r="B1871"/>
      <c r="C1871"/>
      <c r="D1871"/>
      <c r="E1871"/>
      <c r="F1871"/>
      <c r="G1871"/>
      <c r="H1871"/>
      <c r="I1871"/>
      <c r="J1871"/>
      <c r="K1871"/>
      <c r="L1871"/>
      <c r="M1871"/>
      <c r="S1871" s="54"/>
    </row>
    <row r="1872" spans="1:19" s="15" customFormat="1" x14ac:dyDescent="0.3">
      <c r="A1872" s="17"/>
      <c r="B1872"/>
      <c r="C1872"/>
      <c r="D1872"/>
      <c r="E1872"/>
      <c r="F1872"/>
      <c r="G1872"/>
      <c r="H1872"/>
      <c r="I1872"/>
      <c r="J1872"/>
      <c r="K1872"/>
      <c r="L1872"/>
      <c r="M1872"/>
      <c r="S1872" s="54"/>
    </row>
    <row r="1873" spans="1:19" s="15" customFormat="1" x14ac:dyDescent="0.3">
      <c r="A1873" s="17"/>
      <c r="B1873"/>
      <c r="C1873"/>
      <c r="D1873"/>
      <c r="E1873"/>
      <c r="F1873"/>
      <c r="G1873"/>
      <c r="H1873"/>
      <c r="I1873"/>
      <c r="J1873"/>
      <c r="K1873"/>
      <c r="L1873"/>
      <c r="M1873"/>
      <c r="S1873" s="54"/>
    </row>
    <row r="1874" spans="1:19" s="15" customFormat="1" x14ac:dyDescent="0.3">
      <c r="A1874" s="17"/>
      <c r="B1874"/>
      <c r="C1874"/>
      <c r="D1874"/>
      <c r="E1874"/>
      <c r="F1874"/>
      <c r="G1874"/>
      <c r="H1874"/>
      <c r="I1874"/>
      <c r="J1874"/>
      <c r="K1874"/>
      <c r="L1874"/>
      <c r="M1874"/>
      <c r="S1874" s="54"/>
    </row>
    <row r="1875" spans="1:19" s="15" customFormat="1" x14ac:dyDescent="0.3">
      <c r="A1875" s="17"/>
      <c r="B1875"/>
      <c r="C1875"/>
      <c r="D1875"/>
      <c r="E1875"/>
      <c r="F1875"/>
      <c r="G1875"/>
      <c r="H1875"/>
      <c r="I1875"/>
      <c r="J1875"/>
      <c r="K1875"/>
      <c r="L1875"/>
      <c r="M1875"/>
      <c r="S1875" s="54"/>
    </row>
    <row r="1876" spans="1:19" s="15" customFormat="1" x14ac:dyDescent="0.3">
      <c r="A1876" s="17"/>
      <c r="B1876"/>
      <c r="C1876"/>
      <c r="D1876"/>
      <c r="E1876"/>
      <c r="F1876"/>
      <c r="G1876"/>
      <c r="H1876"/>
      <c r="I1876"/>
      <c r="J1876"/>
      <c r="K1876"/>
      <c r="L1876"/>
      <c r="M1876"/>
      <c r="S1876" s="54"/>
    </row>
    <row r="1877" spans="1:19" s="15" customFormat="1" x14ac:dyDescent="0.3">
      <c r="A1877" s="17"/>
      <c r="B1877"/>
      <c r="C1877"/>
      <c r="D1877"/>
      <c r="E1877"/>
      <c r="F1877"/>
      <c r="G1877"/>
      <c r="H1877"/>
      <c r="I1877"/>
      <c r="J1877"/>
      <c r="K1877"/>
      <c r="L1877"/>
      <c r="M1877"/>
      <c r="S1877" s="54"/>
    </row>
    <row r="1878" spans="1:19" s="15" customFormat="1" x14ac:dyDescent="0.3">
      <c r="A1878" s="17"/>
      <c r="B1878"/>
      <c r="C1878"/>
      <c r="D1878"/>
      <c r="E1878"/>
      <c r="F1878"/>
      <c r="G1878"/>
      <c r="H1878"/>
      <c r="I1878"/>
      <c r="J1878"/>
      <c r="K1878"/>
      <c r="L1878"/>
      <c r="M1878"/>
      <c r="S1878" s="54"/>
    </row>
    <row r="1879" spans="1:19" s="15" customFormat="1" x14ac:dyDescent="0.3">
      <c r="A1879" s="17"/>
      <c r="B1879"/>
      <c r="C1879"/>
      <c r="D1879"/>
      <c r="E1879"/>
      <c r="F1879"/>
      <c r="G1879"/>
      <c r="H1879"/>
      <c r="I1879"/>
      <c r="J1879"/>
      <c r="K1879"/>
      <c r="L1879"/>
      <c r="M1879"/>
      <c r="S1879" s="54"/>
    </row>
    <row r="1880" spans="1:19" s="15" customFormat="1" x14ac:dyDescent="0.3">
      <c r="A1880" s="17"/>
      <c r="B1880"/>
      <c r="C1880"/>
      <c r="D1880"/>
      <c r="E1880"/>
      <c r="F1880"/>
      <c r="G1880"/>
      <c r="H1880"/>
      <c r="I1880"/>
      <c r="J1880"/>
      <c r="K1880"/>
      <c r="L1880"/>
      <c r="M1880"/>
      <c r="S1880" s="54"/>
    </row>
    <row r="1881" spans="1:19" s="15" customFormat="1" x14ac:dyDescent="0.3">
      <c r="A1881" s="17"/>
      <c r="B1881"/>
      <c r="C1881"/>
      <c r="D1881"/>
      <c r="E1881"/>
      <c r="F1881"/>
      <c r="G1881"/>
      <c r="H1881"/>
      <c r="I1881"/>
      <c r="J1881"/>
      <c r="K1881"/>
      <c r="L1881"/>
      <c r="M1881"/>
      <c r="S1881" s="54"/>
    </row>
    <row r="1882" spans="1:19" s="15" customFormat="1" x14ac:dyDescent="0.3">
      <c r="A1882" s="17"/>
      <c r="B1882"/>
      <c r="C1882"/>
      <c r="D1882"/>
      <c r="E1882"/>
      <c r="F1882"/>
      <c r="G1882"/>
      <c r="H1882"/>
      <c r="I1882"/>
      <c r="J1882"/>
      <c r="K1882"/>
      <c r="L1882"/>
      <c r="M1882"/>
      <c r="S1882" s="54"/>
    </row>
    <row r="1883" spans="1:19" s="15" customFormat="1" x14ac:dyDescent="0.3">
      <c r="A1883" s="17"/>
      <c r="B1883"/>
      <c r="C1883"/>
      <c r="D1883"/>
      <c r="E1883"/>
      <c r="F1883"/>
      <c r="G1883"/>
      <c r="H1883"/>
      <c r="I1883"/>
      <c r="J1883"/>
      <c r="K1883"/>
      <c r="L1883"/>
      <c r="M1883"/>
      <c r="S1883" s="54"/>
    </row>
    <row r="1884" spans="1:19" s="15" customFormat="1" x14ac:dyDescent="0.3">
      <c r="A1884" s="17"/>
      <c r="B1884"/>
      <c r="C1884"/>
      <c r="D1884"/>
      <c r="E1884"/>
      <c r="F1884"/>
      <c r="G1884"/>
      <c r="H1884"/>
      <c r="I1884"/>
      <c r="J1884"/>
      <c r="K1884"/>
      <c r="L1884"/>
      <c r="M1884"/>
      <c r="S1884" s="54"/>
    </row>
    <row r="1885" spans="1:19" s="15" customFormat="1" x14ac:dyDescent="0.3">
      <c r="A1885" s="17"/>
      <c r="B1885"/>
      <c r="C1885"/>
      <c r="D1885"/>
      <c r="E1885"/>
      <c r="F1885"/>
      <c r="G1885"/>
      <c r="H1885"/>
      <c r="I1885"/>
      <c r="J1885"/>
      <c r="K1885"/>
      <c r="L1885"/>
      <c r="M1885"/>
      <c r="S1885" s="54"/>
    </row>
    <row r="1886" spans="1:19" s="15" customFormat="1" x14ac:dyDescent="0.3">
      <c r="A1886" s="17"/>
      <c r="B1886"/>
      <c r="C1886"/>
      <c r="D1886"/>
      <c r="E1886"/>
      <c r="F1886"/>
      <c r="G1886"/>
      <c r="H1886"/>
      <c r="I1886"/>
      <c r="J1886"/>
      <c r="K1886"/>
      <c r="L1886"/>
      <c r="M1886"/>
      <c r="S1886" s="54"/>
    </row>
    <row r="1887" spans="1:19" s="15" customFormat="1" x14ac:dyDescent="0.3">
      <c r="A1887" s="17"/>
      <c r="B1887"/>
      <c r="C1887"/>
      <c r="D1887"/>
      <c r="E1887"/>
      <c r="F1887"/>
      <c r="G1887"/>
      <c r="H1887"/>
      <c r="I1887"/>
      <c r="J1887"/>
      <c r="K1887"/>
      <c r="L1887"/>
      <c r="M1887"/>
      <c r="S1887" s="54"/>
    </row>
    <row r="1888" spans="1:19" s="15" customFormat="1" x14ac:dyDescent="0.3">
      <c r="A1888" s="17"/>
      <c r="B1888"/>
      <c r="C1888"/>
      <c r="D1888"/>
      <c r="E1888"/>
      <c r="F1888"/>
      <c r="G1888"/>
      <c r="H1888"/>
      <c r="I1888"/>
      <c r="J1888"/>
      <c r="K1888"/>
      <c r="L1888"/>
      <c r="M1888"/>
      <c r="S1888" s="54"/>
    </row>
    <row r="1889" spans="1:19" s="15" customFormat="1" x14ac:dyDescent="0.3">
      <c r="A1889" s="17"/>
      <c r="B1889"/>
      <c r="C1889"/>
      <c r="D1889"/>
      <c r="E1889"/>
      <c r="F1889"/>
      <c r="G1889"/>
      <c r="H1889"/>
      <c r="I1889"/>
      <c r="J1889"/>
      <c r="K1889"/>
      <c r="L1889"/>
      <c r="M1889"/>
      <c r="S1889" s="54"/>
    </row>
    <row r="1890" spans="1:19" s="15" customFormat="1" x14ac:dyDescent="0.3">
      <c r="A1890" s="17"/>
      <c r="B1890"/>
      <c r="C1890"/>
      <c r="D1890"/>
      <c r="E1890"/>
      <c r="F1890"/>
      <c r="G1890"/>
      <c r="H1890"/>
      <c r="I1890"/>
      <c r="J1890"/>
      <c r="K1890"/>
      <c r="L1890"/>
      <c r="M1890"/>
      <c r="S1890" s="54"/>
    </row>
    <row r="1891" spans="1:19" s="15" customFormat="1" x14ac:dyDescent="0.3">
      <c r="A1891" s="17"/>
      <c r="B1891"/>
      <c r="C1891"/>
      <c r="D1891"/>
      <c r="E1891"/>
      <c r="F1891"/>
      <c r="G1891"/>
      <c r="H1891"/>
      <c r="I1891"/>
      <c r="J1891"/>
      <c r="K1891"/>
      <c r="L1891"/>
      <c r="M1891"/>
      <c r="S1891" s="54"/>
    </row>
    <row r="1892" spans="1:19" s="15" customFormat="1" x14ac:dyDescent="0.3">
      <c r="A1892" s="17"/>
      <c r="B1892"/>
      <c r="C1892"/>
      <c r="D1892"/>
      <c r="E1892"/>
      <c r="F1892"/>
      <c r="G1892"/>
      <c r="H1892"/>
      <c r="I1892"/>
      <c r="J1892"/>
      <c r="K1892"/>
      <c r="L1892"/>
      <c r="M1892"/>
      <c r="S1892" s="54"/>
    </row>
    <row r="1893" spans="1:19" s="15" customFormat="1" x14ac:dyDescent="0.3">
      <c r="A1893" s="17"/>
      <c r="B1893"/>
      <c r="C1893"/>
      <c r="D1893"/>
      <c r="E1893"/>
      <c r="F1893"/>
      <c r="G1893"/>
      <c r="H1893"/>
      <c r="I1893"/>
      <c r="J1893"/>
      <c r="K1893"/>
      <c r="L1893"/>
      <c r="M1893"/>
      <c r="S1893" s="54"/>
    </row>
    <row r="1894" spans="1:19" s="15" customFormat="1" x14ac:dyDescent="0.3">
      <c r="A1894" s="17"/>
      <c r="B1894"/>
      <c r="C1894"/>
      <c r="D1894"/>
      <c r="E1894"/>
      <c r="F1894"/>
      <c r="G1894"/>
      <c r="H1894"/>
      <c r="I1894"/>
      <c r="J1894"/>
      <c r="K1894"/>
      <c r="L1894"/>
      <c r="M1894"/>
      <c r="S1894" s="54"/>
    </row>
    <row r="1895" spans="1:19" s="15" customFormat="1" x14ac:dyDescent="0.3">
      <c r="A1895" s="17"/>
      <c r="B1895"/>
      <c r="C1895"/>
      <c r="D1895"/>
      <c r="E1895"/>
      <c r="F1895"/>
      <c r="G1895"/>
      <c r="H1895"/>
      <c r="I1895"/>
      <c r="J1895"/>
      <c r="K1895"/>
      <c r="L1895"/>
      <c r="M1895"/>
      <c r="S1895" s="54"/>
    </row>
    <row r="1896" spans="1:19" s="15" customFormat="1" x14ac:dyDescent="0.3">
      <c r="A1896" s="17"/>
      <c r="B1896"/>
      <c r="C1896"/>
      <c r="D1896"/>
      <c r="E1896"/>
      <c r="F1896"/>
      <c r="G1896"/>
      <c r="H1896"/>
      <c r="I1896"/>
      <c r="J1896"/>
      <c r="K1896"/>
      <c r="L1896"/>
      <c r="M1896"/>
      <c r="S1896" s="54"/>
    </row>
    <row r="1897" spans="1:19" s="15" customFormat="1" x14ac:dyDescent="0.3">
      <c r="A1897" s="17"/>
      <c r="B1897"/>
      <c r="C1897"/>
      <c r="D1897"/>
      <c r="E1897"/>
      <c r="F1897"/>
      <c r="G1897"/>
      <c r="H1897"/>
      <c r="I1897"/>
      <c r="J1897"/>
      <c r="K1897"/>
      <c r="L1897"/>
      <c r="M1897"/>
      <c r="S1897" s="54"/>
    </row>
    <row r="1898" spans="1:19" s="15" customFormat="1" x14ac:dyDescent="0.3">
      <c r="A1898" s="17"/>
      <c r="B1898"/>
      <c r="C1898"/>
      <c r="D1898"/>
      <c r="E1898"/>
      <c r="F1898"/>
      <c r="G1898"/>
      <c r="H1898"/>
      <c r="I1898"/>
      <c r="J1898"/>
      <c r="K1898"/>
      <c r="L1898"/>
      <c r="M1898"/>
      <c r="S1898" s="54"/>
    </row>
    <row r="1899" spans="1:19" s="15" customFormat="1" x14ac:dyDescent="0.3">
      <c r="A1899" s="17"/>
      <c r="B1899"/>
      <c r="C1899"/>
      <c r="D1899"/>
      <c r="E1899"/>
      <c r="F1899"/>
      <c r="G1899"/>
      <c r="H1899"/>
      <c r="I1899"/>
      <c r="J1899"/>
      <c r="K1899"/>
      <c r="L1899"/>
      <c r="M1899"/>
      <c r="S1899" s="54"/>
    </row>
    <row r="1900" spans="1:19" s="15" customFormat="1" x14ac:dyDescent="0.3">
      <c r="A1900" s="17"/>
      <c r="B1900"/>
      <c r="C1900"/>
      <c r="D1900"/>
      <c r="E1900"/>
      <c r="F1900"/>
      <c r="G1900"/>
      <c r="H1900"/>
      <c r="I1900"/>
      <c r="J1900"/>
      <c r="K1900"/>
      <c r="L1900"/>
      <c r="M1900"/>
      <c r="S1900" s="54"/>
    </row>
    <row r="1901" spans="1:19" s="15" customFormat="1" x14ac:dyDescent="0.3">
      <c r="A1901" s="17"/>
      <c r="B1901"/>
      <c r="C1901"/>
      <c r="D1901"/>
      <c r="E1901"/>
      <c r="F1901"/>
      <c r="G1901"/>
      <c r="H1901"/>
      <c r="I1901"/>
      <c r="J1901"/>
      <c r="K1901"/>
      <c r="L1901"/>
      <c r="M1901"/>
      <c r="S1901" s="54"/>
    </row>
    <row r="1902" spans="1:19" s="15" customFormat="1" x14ac:dyDescent="0.3">
      <c r="A1902" s="17"/>
      <c r="B1902"/>
      <c r="C1902"/>
      <c r="D1902"/>
      <c r="E1902"/>
      <c r="F1902"/>
      <c r="G1902"/>
      <c r="H1902"/>
      <c r="I1902"/>
      <c r="J1902"/>
      <c r="K1902"/>
      <c r="L1902"/>
      <c r="M1902"/>
      <c r="S1902" s="54"/>
    </row>
    <row r="1903" spans="1:19" s="15" customFormat="1" x14ac:dyDescent="0.3">
      <c r="A1903" s="17"/>
      <c r="B1903"/>
      <c r="C1903"/>
      <c r="D1903"/>
      <c r="E1903"/>
      <c r="F1903"/>
      <c r="G1903"/>
      <c r="H1903"/>
      <c r="I1903"/>
      <c r="J1903"/>
      <c r="K1903"/>
      <c r="L1903"/>
      <c r="M1903"/>
      <c r="S1903" s="54"/>
    </row>
    <row r="1904" spans="1:19" s="15" customFormat="1" x14ac:dyDescent="0.3">
      <c r="A1904" s="17"/>
      <c r="B1904"/>
      <c r="C1904"/>
      <c r="D1904"/>
      <c r="E1904"/>
      <c r="F1904"/>
      <c r="G1904"/>
      <c r="H1904"/>
      <c r="I1904"/>
      <c r="J1904"/>
      <c r="K1904"/>
      <c r="L1904"/>
      <c r="M1904"/>
      <c r="S1904" s="54"/>
    </row>
    <row r="1905" spans="1:19" s="15" customFormat="1" x14ac:dyDescent="0.3">
      <c r="A1905" s="17"/>
      <c r="B1905"/>
      <c r="C1905"/>
      <c r="D1905"/>
      <c r="E1905"/>
      <c r="F1905"/>
      <c r="G1905"/>
      <c r="H1905"/>
      <c r="I1905"/>
      <c r="J1905"/>
      <c r="K1905"/>
      <c r="L1905"/>
      <c r="M1905"/>
      <c r="S1905" s="54"/>
    </row>
    <row r="1906" spans="1:19" s="15" customFormat="1" x14ac:dyDescent="0.3">
      <c r="A1906" s="17"/>
      <c r="B1906"/>
      <c r="C1906"/>
      <c r="D1906"/>
      <c r="E1906"/>
      <c r="F1906"/>
      <c r="G1906"/>
      <c r="H1906"/>
      <c r="I1906"/>
      <c r="J1906"/>
      <c r="K1906"/>
      <c r="L1906"/>
      <c r="M1906"/>
      <c r="S1906" s="54"/>
    </row>
    <row r="1907" spans="1:19" s="15" customFormat="1" x14ac:dyDescent="0.3">
      <c r="A1907" s="17"/>
      <c r="B1907"/>
      <c r="C1907"/>
      <c r="D1907"/>
      <c r="E1907"/>
      <c r="F1907"/>
      <c r="G1907"/>
      <c r="H1907"/>
      <c r="I1907"/>
      <c r="J1907"/>
      <c r="K1907"/>
      <c r="L1907"/>
      <c r="M1907"/>
      <c r="S1907" s="54"/>
    </row>
    <row r="1908" spans="1:19" s="15" customFormat="1" x14ac:dyDescent="0.3">
      <c r="A1908" s="17"/>
      <c r="B1908"/>
      <c r="C1908"/>
      <c r="D1908"/>
      <c r="E1908"/>
      <c r="F1908"/>
      <c r="G1908"/>
      <c r="H1908"/>
      <c r="I1908"/>
      <c r="J1908"/>
      <c r="K1908"/>
      <c r="L1908"/>
      <c r="M1908"/>
      <c r="S1908" s="54"/>
    </row>
    <row r="1909" spans="1:19" s="15" customFormat="1" x14ac:dyDescent="0.3">
      <c r="A1909" s="17"/>
      <c r="B1909"/>
      <c r="C1909"/>
      <c r="D1909"/>
      <c r="E1909"/>
      <c r="F1909"/>
      <c r="G1909"/>
      <c r="H1909"/>
      <c r="I1909"/>
      <c r="J1909"/>
      <c r="K1909"/>
      <c r="L1909"/>
      <c r="M1909"/>
      <c r="S1909" s="54"/>
    </row>
    <row r="1910" spans="1:19" s="15" customFormat="1" x14ac:dyDescent="0.3">
      <c r="A1910" s="17"/>
      <c r="B1910"/>
      <c r="C1910"/>
      <c r="D1910"/>
      <c r="E1910"/>
      <c r="F1910"/>
      <c r="G1910"/>
      <c r="H1910"/>
      <c r="I1910"/>
      <c r="J1910"/>
      <c r="K1910"/>
      <c r="L1910"/>
      <c r="M1910"/>
      <c r="S1910" s="54"/>
    </row>
    <row r="1911" spans="1:19" s="15" customFormat="1" x14ac:dyDescent="0.3">
      <c r="A1911" s="17"/>
      <c r="B1911"/>
      <c r="C1911"/>
      <c r="D1911"/>
      <c r="E1911"/>
      <c r="F1911"/>
      <c r="G1911"/>
      <c r="H1911"/>
      <c r="I1911"/>
      <c r="J1911"/>
      <c r="K1911"/>
      <c r="L1911"/>
      <c r="M1911"/>
      <c r="S1911" s="54"/>
    </row>
    <row r="1912" spans="1:19" s="15" customFormat="1" x14ac:dyDescent="0.3">
      <c r="A1912" s="17"/>
      <c r="B1912"/>
      <c r="C1912"/>
      <c r="D1912"/>
      <c r="E1912"/>
      <c r="F1912"/>
      <c r="G1912"/>
      <c r="H1912"/>
      <c r="I1912"/>
      <c r="J1912"/>
      <c r="K1912"/>
      <c r="L1912"/>
      <c r="M1912"/>
      <c r="S1912" s="54"/>
    </row>
    <row r="1913" spans="1:19" s="15" customFormat="1" x14ac:dyDescent="0.3">
      <c r="A1913" s="17"/>
      <c r="B1913"/>
      <c r="C1913"/>
      <c r="D1913"/>
      <c r="E1913"/>
      <c r="F1913"/>
      <c r="G1913"/>
      <c r="H1913"/>
      <c r="I1913"/>
      <c r="J1913"/>
      <c r="K1913"/>
      <c r="L1913"/>
      <c r="M1913"/>
      <c r="S1913" s="54"/>
    </row>
    <row r="1914" spans="1:19" s="15" customFormat="1" x14ac:dyDescent="0.3">
      <c r="A1914" s="17"/>
      <c r="B1914"/>
      <c r="C1914"/>
      <c r="D1914"/>
      <c r="E1914"/>
      <c r="F1914"/>
      <c r="G1914"/>
      <c r="H1914"/>
      <c r="I1914"/>
      <c r="J1914"/>
      <c r="K1914"/>
      <c r="L1914"/>
      <c r="M1914"/>
      <c r="S1914" s="54"/>
    </row>
    <row r="1915" spans="1:19" s="15" customFormat="1" x14ac:dyDescent="0.3">
      <c r="A1915" s="17"/>
      <c r="B1915"/>
      <c r="C1915"/>
      <c r="D1915"/>
      <c r="E1915"/>
      <c r="F1915"/>
      <c r="G1915"/>
      <c r="H1915"/>
      <c r="I1915"/>
      <c r="J1915"/>
      <c r="K1915"/>
      <c r="L1915"/>
      <c r="M1915"/>
      <c r="S1915" s="54"/>
    </row>
    <row r="1916" spans="1:19" s="15" customFormat="1" x14ac:dyDescent="0.3">
      <c r="A1916" s="17"/>
      <c r="B1916"/>
      <c r="C1916"/>
      <c r="D1916"/>
      <c r="E1916"/>
      <c r="F1916"/>
      <c r="G1916"/>
      <c r="H1916"/>
      <c r="I1916"/>
      <c r="J1916"/>
      <c r="K1916"/>
      <c r="L1916"/>
      <c r="M1916"/>
      <c r="S1916" s="54"/>
    </row>
    <row r="1917" spans="1:19" s="15" customFormat="1" x14ac:dyDescent="0.3">
      <c r="A1917" s="17"/>
      <c r="B1917"/>
      <c r="C1917"/>
      <c r="D1917"/>
      <c r="E1917"/>
      <c r="F1917"/>
      <c r="G1917"/>
      <c r="H1917"/>
      <c r="I1917"/>
      <c r="J1917"/>
      <c r="K1917"/>
      <c r="L1917"/>
      <c r="M1917"/>
      <c r="S1917" s="54"/>
    </row>
    <row r="1918" spans="1:19" s="15" customFormat="1" x14ac:dyDescent="0.3">
      <c r="A1918" s="17"/>
      <c r="B1918"/>
      <c r="C1918"/>
      <c r="D1918"/>
      <c r="E1918"/>
      <c r="F1918"/>
      <c r="G1918"/>
      <c r="H1918"/>
      <c r="I1918"/>
      <c r="J1918"/>
      <c r="K1918"/>
      <c r="L1918"/>
      <c r="M1918"/>
      <c r="S1918" s="54"/>
    </row>
    <row r="1919" spans="1:19" s="15" customFormat="1" x14ac:dyDescent="0.3">
      <c r="A1919" s="17"/>
      <c r="B1919"/>
      <c r="C1919"/>
      <c r="D1919"/>
      <c r="E1919"/>
      <c r="F1919"/>
      <c r="G1919"/>
      <c r="H1919"/>
      <c r="I1919"/>
      <c r="J1919"/>
      <c r="K1919"/>
      <c r="L1919"/>
      <c r="M1919"/>
      <c r="S1919" s="54"/>
    </row>
    <row r="1920" spans="1:19" s="15" customFormat="1" x14ac:dyDescent="0.3">
      <c r="A1920" s="17"/>
      <c r="B1920"/>
      <c r="C1920"/>
      <c r="D1920"/>
      <c r="E1920"/>
      <c r="F1920"/>
      <c r="G1920"/>
      <c r="H1920"/>
      <c r="I1920"/>
      <c r="J1920"/>
      <c r="K1920"/>
      <c r="L1920"/>
      <c r="M1920"/>
      <c r="S1920" s="54"/>
    </row>
    <row r="1921" spans="1:19" s="15" customFormat="1" x14ac:dyDescent="0.3">
      <c r="A1921" s="17"/>
      <c r="B1921"/>
      <c r="C1921"/>
      <c r="D1921"/>
      <c r="E1921"/>
      <c r="F1921"/>
      <c r="G1921"/>
      <c r="H1921"/>
      <c r="I1921"/>
      <c r="J1921"/>
      <c r="K1921"/>
      <c r="L1921"/>
      <c r="M1921"/>
      <c r="S1921" s="54"/>
    </row>
    <row r="1922" spans="1:19" s="15" customFormat="1" x14ac:dyDescent="0.3">
      <c r="A1922" s="17"/>
      <c r="B1922"/>
      <c r="C1922"/>
      <c r="D1922"/>
      <c r="E1922"/>
      <c r="F1922"/>
      <c r="G1922"/>
      <c r="H1922"/>
      <c r="I1922"/>
      <c r="J1922"/>
      <c r="K1922"/>
      <c r="L1922"/>
      <c r="M1922"/>
      <c r="S1922" s="54"/>
    </row>
    <row r="1923" spans="1:19" s="15" customFormat="1" x14ac:dyDescent="0.3">
      <c r="A1923" s="17"/>
      <c r="B1923"/>
      <c r="C1923"/>
      <c r="D1923"/>
      <c r="E1923"/>
      <c r="F1923"/>
      <c r="G1923"/>
      <c r="H1923"/>
      <c r="I1923"/>
      <c r="J1923"/>
      <c r="K1923"/>
      <c r="L1923"/>
      <c r="M1923"/>
      <c r="S1923" s="54"/>
    </row>
    <row r="1924" spans="1:19" s="15" customFormat="1" x14ac:dyDescent="0.3">
      <c r="A1924" s="17"/>
      <c r="B1924"/>
      <c r="C1924"/>
      <c r="D1924"/>
      <c r="E1924"/>
      <c r="F1924"/>
      <c r="G1924"/>
      <c r="H1924"/>
      <c r="I1924"/>
      <c r="J1924"/>
      <c r="K1924"/>
      <c r="L1924"/>
      <c r="M1924"/>
      <c r="S1924" s="54"/>
    </row>
    <row r="1925" spans="1:19" s="15" customFormat="1" x14ac:dyDescent="0.3">
      <c r="A1925" s="17"/>
      <c r="B1925"/>
      <c r="C1925"/>
      <c r="D1925"/>
      <c r="E1925"/>
      <c r="F1925"/>
      <c r="G1925"/>
      <c r="H1925"/>
      <c r="I1925"/>
      <c r="J1925"/>
      <c r="K1925"/>
      <c r="L1925"/>
      <c r="M1925"/>
      <c r="S1925" s="54"/>
    </row>
    <row r="1926" spans="1:19" s="15" customFormat="1" x14ac:dyDescent="0.3">
      <c r="A1926" s="17"/>
      <c r="B1926"/>
      <c r="C1926"/>
      <c r="D1926"/>
      <c r="E1926"/>
      <c r="F1926"/>
      <c r="G1926"/>
      <c r="H1926"/>
      <c r="I1926"/>
      <c r="J1926"/>
      <c r="K1926"/>
      <c r="L1926"/>
      <c r="M1926"/>
      <c r="S1926" s="54"/>
    </row>
    <row r="1927" spans="1:19" s="15" customFormat="1" x14ac:dyDescent="0.3">
      <c r="A1927" s="17"/>
      <c r="B1927"/>
      <c r="C1927"/>
      <c r="D1927"/>
      <c r="E1927"/>
      <c r="F1927"/>
      <c r="G1927"/>
      <c r="H1927"/>
      <c r="I1927"/>
      <c r="J1927"/>
      <c r="K1927"/>
      <c r="L1927"/>
      <c r="M1927"/>
      <c r="S1927" s="54"/>
    </row>
    <row r="1928" spans="1:19" s="15" customFormat="1" x14ac:dyDescent="0.3">
      <c r="A1928" s="17"/>
      <c r="B1928"/>
      <c r="C1928"/>
      <c r="D1928"/>
      <c r="E1928"/>
      <c r="F1928"/>
      <c r="G1928"/>
      <c r="H1928"/>
      <c r="I1928"/>
      <c r="J1928"/>
      <c r="K1928"/>
      <c r="L1928"/>
      <c r="M1928"/>
      <c r="S1928" s="54"/>
    </row>
    <row r="1929" spans="1:19" s="15" customFormat="1" x14ac:dyDescent="0.3">
      <c r="A1929" s="17"/>
      <c r="B1929"/>
      <c r="C1929"/>
      <c r="D1929"/>
      <c r="E1929"/>
      <c r="F1929"/>
      <c r="G1929"/>
      <c r="H1929"/>
      <c r="I1929"/>
      <c r="J1929"/>
      <c r="K1929"/>
      <c r="L1929"/>
      <c r="M1929"/>
      <c r="S1929" s="54"/>
    </row>
    <row r="1930" spans="1:19" s="15" customFormat="1" x14ac:dyDescent="0.3">
      <c r="A1930" s="17"/>
      <c r="B1930"/>
      <c r="C1930"/>
      <c r="D1930"/>
      <c r="E1930"/>
      <c r="F1930"/>
      <c r="G1930"/>
      <c r="H1930"/>
      <c r="I1930"/>
      <c r="J1930"/>
      <c r="K1930"/>
      <c r="L1930"/>
      <c r="M1930"/>
      <c r="S1930" s="54"/>
    </row>
    <row r="1931" spans="1:19" s="15" customFormat="1" x14ac:dyDescent="0.3">
      <c r="A1931" s="17"/>
      <c r="B1931"/>
      <c r="C1931"/>
      <c r="D1931"/>
      <c r="E1931"/>
      <c r="F1931"/>
      <c r="G1931"/>
      <c r="H1931"/>
      <c r="I1931"/>
      <c r="J1931"/>
      <c r="K1931"/>
      <c r="L1931"/>
      <c r="M1931"/>
      <c r="S1931" s="54"/>
    </row>
    <row r="1932" spans="1:19" s="15" customFormat="1" x14ac:dyDescent="0.3">
      <c r="A1932" s="17"/>
      <c r="B1932"/>
      <c r="C1932"/>
      <c r="D1932"/>
      <c r="E1932"/>
      <c r="F1932"/>
      <c r="G1932"/>
      <c r="H1932"/>
      <c r="I1932"/>
      <c r="J1932"/>
      <c r="K1932"/>
      <c r="L1932"/>
      <c r="M1932"/>
      <c r="S1932" s="54"/>
    </row>
    <row r="1933" spans="1:19" s="15" customFormat="1" x14ac:dyDescent="0.3">
      <c r="A1933" s="17"/>
      <c r="B1933"/>
      <c r="C1933"/>
      <c r="D1933"/>
      <c r="E1933"/>
      <c r="F1933"/>
      <c r="G1933"/>
      <c r="H1933"/>
      <c r="I1933"/>
      <c r="J1933"/>
      <c r="K1933"/>
      <c r="L1933"/>
      <c r="M1933"/>
      <c r="S1933" s="54"/>
    </row>
    <row r="1934" spans="1:19" s="15" customFormat="1" x14ac:dyDescent="0.3">
      <c r="A1934" s="17"/>
      <c r="B1934"/>
      <c r="C1934"/>
      <c r="D1934"/>
      <c r="E1934"/>
      <c r="F1934"/>
      <c r="G1934"/>
      <c r="H1934"/>
      <c r="I1934"/>
      <c r="J1934"/>
      <c r="K1934"/>
      <c r="L1934"/>
      <c r="M1934"/>
      <c r="S1934" s="54"/>
    </row>
    <row r="1935" spans="1:19" s="15" customFormat="1" x14ac:dyDescent="0.3">
      <c r="A1935" s="17"/>
      <c r="B1935"/>
      <c r="C1935"/>
      <c r="D1935"/>
      <c r="E1935"/>
      <c r="F1935"/>
      <c r="G1935"/>
      <c r="H1935"/>
      <c r="I1935"/>
      <c r="J1935"/>
      <c r="K1935"/>
      <c r="L1935"/>
      <c r="M1935"/>
      <c r="S1935" s="54"/>
    </row>
    <row r="1936" spans="1:19" s="15" customFormat="1" x14ac:dyDescent="0.3">
      <c r="A1936" s="17"/>
      <c r="B1936"/>
      <c r="C1936"/>
      <c r="D1936"/>
      <c r="E1936"/>
      <c r="F1936"/>
      <c r="G1936"/>
      <c r="H1936"/>
      <c r="I1936"/>
      <c r="J1936"/>
      <c r="K1936"/>
      <c r="L1936"/>
      <c r="M1936"/>
      <c r="S1936" s="54"/>
    </row>
    <row r="1937" spans="1:19" s="15" customFormat="1" x14ac:dyDescent="0.3">
      <c r="A1937" s="17"/>
      <c r="B1937"/>
      <c r="C1937"/>
      <c r="D1937"/>
      <c r="E1937"/>
      <c r="F1937"/>
      <c r="G1937"/>
      <c r="H1937"/>
      <c r="I1937"/>
      <c r="J1937"/>
      <c r="K1937"/>
      <c r="L1937"/>
      <c r="M1937"/>
      <c r="S1937" s="54"/>
    </row>
    <row r="1938" spans="1:19" s="15" customFormat="1" x14ac:dyDescent="0.3">
      <c r="A1938" s="17"/>
      <c r="B1938"/>
      <c r="C1938"/>
      <c r="D1938"/>
      <c r="E1938"/>
      <c r="F1938"/>
      <c r="G1938"/>
      <c r="H1938"/>
      <c r="I1938"/>
      <c r="J1938"/>
      <c r="K1938"/>
      <c r="L1938"/>
      <c r="M1938"/>
      <c r="S1938" s="54"/>
    </row>
    <row r="1939" spans="1:19" s="15" customFormat="1" x14ac:dyDescent="0.3">
      <c r="A1939" s="17"/>
      <c r="B1939"/>
      <c r="C1939"/>
      <c r="D1939"/>
      <c r="E1939"/>
      <c r="F1939"/>
      <c r="G1939"/>
      <c r="H1939"/>
      <c r="I1939"/>
      <c r="J1939"/>
      <c r="K1939"/>
      <c r="L1939"/>
      <c r="M1939"/>
      <c r="S1939" s="54"/>
    </row>
    <row r="1940" spans="1:19" s="15" customFormat="1" x14ac:dyDescent="0.3">
      <c r="A1940" s="17"/>
      <c r="B1940"/>
      <c r="C1940"/>
      <c r="D1940"/>
      <c r="E1940"/>
      <c r="F1940"/>
      <c r="G1940"/>
      <c r="H1940"/>
      <c r="I1940"/>
      <c r="J1940"/>
      <c r="K1940"/>
      <c r="L1940"/>
      <c r="M1940"/>
      <c r="S1940" s="54"/>
    </row>
    <row r="1941" spans="1:19" s="15" customFormat="1" x14ac:dyDescent="0.3">
      <c r="A1941" s="17"/>
      <c r="B1941"/>
      <c r="C1941"/>
      <c r="D1941"/>
      <c r="E1941"/>
      <c r="F1941"/>
      <c r="G1941"/>
      <c r="H1941"/>
      <c r="I1941"/>
      <c r="J1941"/>
      <c r="K1941"/>
      <c r="L1941"/>
      <c r="M1941"/>
      <c r="S1941" s="54"/>
    </row>
    <row r="1942" spans="1:19" s="15" customFormat="1" x14ac:dyDescent="0.3">
      <c r="A1942" s="17"/>
      <c r="B1942"/>
      <c r="C1942"/>
      <c r="D1942"/>
      <c r="E1942"/>
      <c r="F1942"/>
      <c r="G1942"/>
      <c r="H1942"/>
      <c r="I1942"/>
      <c r="J1942"/>
      <c r="K1942"/>
      <c r="L1942"/>
      <c r="M1942"/>
      <c r="S1942" s="54"/>
    </row>
    <row r="1943" spans="1:19" s="15" customFormat="1" x14ac:dyDescent="0.3">
      <c r="A1943" s="17"/>
      <c r="B1943"/>
      <c r="C1943"/>
      <c r="D1943"/>
      <c r="E1943"/>
      <c r="F1943"/>
      <c r="G1943"/>
      <c r="H1943"/>
      <c r="I1943"/>
      <c r="J1943"/>
      <c r="K1943"/>
      <c r="L1943"/>
      <c r="M1943"/>
      <c r="S1943" s="54"/>
    </row>
    <row r="1944" spans="1:19" s="15" customFormat="1" x14ac:dyDescent="0.3">
      <c r="A1944" s="17"/>
      <c r="B1944"/>
      <c r="C1944"/>
      <c r="D1944"/>
      <c r="E1944"/>
      <c r="F1944"/>
      <c r="G1944"/>
      <c r="H1944"/>
      <c r="I1944"/>
      <c r="J1944"/>
      <c r="K1944"/>
      <c r="L1944"/>
      <c r="M1944"/>
      <c r="S1944" s="54"/>
    </row>
    <row r="1945" spans="1:19" s="15" customFormat="1" x14ac:dyDescent="0.3">
      <c r="A1945" s="17"/>
      <c r="B1945"/>
      <c r="C1945"/>
      <c r="D1945"/>
      <c r="E1945"/>
      <c r="F1945"/>
      <c r="G1945"/>
      <c r="H1945"/>
      <c r="I1945"/>
      <c r="J1945"/>
      <c r="K1945"/>
      <c r="L1945"/>
      <c r="M1945"/>
      <c r="S1945" s="54"/>
    </row>
    <row r="1946" spans="1:19" s="15" customFormat="1" x14ac:dyDescent="0.3">
      <c r="A1946" s="17"/>
      <c r="B1946"/>
      <c r="C1946"/>
      <c r="D1946"/>
      <c r="E1946"/>
      <c r="F1946"/>
      <c r="G1946"/>
      <c r="H1946"/>
      <c r="I1946"/>
      <c r="J1946"/>
      <c r="K1946"/>
      <c r="L1946"/>
      <c r="M1946"/>
      <c r="S1946" s="54"/>
    </row>
    <row r="1947" spans="1:19" s="15" customFormat="1" x14ac:dyDescent="0.3">
      <c r="A1947" s="17"/>
      <c r="B1947"/>
      <c r="C1947"/>
      <c r="D1947"/>
      <c r="E1947"/>
      <c r="F1947"/>
      <c r="G1947"/>
      <c r="H1947"/>
      <c r="I1947"/>
      <c r="J1947"/>
      <c r="K1947"/>
      <c r="L1947"/>
      <c r="M1947"/>
      <c r="S1947" s="54"/>
    </row>
    <row r="1948" spans="1:19" s="15" customFormat="1" x14ac:dyDescent="0.3">
      <c r="A1948" s="17"/>
      <c r="B1948"/>
      <c r="C1948"/>
      <c r="D1948"/>
      <c r="E1948"/>
      <c r="F1948"/>
      <c r="G1948"/>
      <c r="H1948"/>
      <c r="I1948"/>
      <c r="J1948"/>
      <c r="K1948"/>
      <c r="L1948"/>
      <c r="M1948"/>
      <c r="S1948" s="54"/>
    </row>
    <row r="1949" spans="1:19" s="15" customFormat="1" x14ac:dyDescent="0.3">
      <c r="A1949" s="17"/>
      <c r="B1949"/>
      <c r="C1949"/>
      <c r="D1949"/>
      <c r="E1949"/>
      <c r="F1949"/>
      <c r="G1949"/>
      <c r="H1949"/>
      <c r="I1949"/>
      <c r="J1949"/>
      <c r="K1949"/>
      <c r="L1949"/>
      <c r="M1949"/>
      <c r="S1949" s="54"/>
    </row>
    <row r="1950" spans="1:19" s="15" customFormat="1" x14ac:dyDescent="0.3">
      <c r="A1950" s="17"/>
      <c r="B1950"/>
      <c r="C1950"/>
      <c r="D1950"/>
      <c r="E1950"/>
      <c r="F1950"/>
      <c r="G1950"/>
      <c r="H1950"/>
      <c r="I1950"/>
      <c r="J1950"/>
      <c r="K1950"/>
      <c r="L1950"/>
      <c r="M1950"/>
      <c r="S1950" s="54"/>
    </row>
    <row r="1951" spans="1:19" s="15" customFormat="1" x14ac:dyDescent="0.3">
      <c r="A1951" s="17"/>
      <c r="B1951"/>
      <c r="C1951"/>
      <c r="D1951"/>
      <c r="E1951"/>
      <c r="F1951"/>
      <c r="G1951"/>
      <c r="H1951"/>
      <c r="I1951"/>
      <c r="J1951"/>
      <c r="K1951"/>
      <c r="L1951"/>
      <c r="M1951"/>
      <c r="S1951" s="54"/>
    </row>
    <row r="1952" spans="1:19" s="15" customFormat="1" x14ac:dyDescent="0.3">
      <c r="A1952" s="17"/>
      <c r="B1952"/>
      <c r="C1952"/>
      <c r="D1952"/>
      <c r="E1952"/>
      <c r="F1952"/>
      <c r="G1952"/>
      <c r="H1952"/>
      <c r="I1952"/>
      <c r="J1952"/>
      <c r="K1952"/>
      <c r="L1952"/>
      <c r="M1952"/>
      <c r="S1952" s="54"/>
    </row>
    <row r="1953" spans="1:19" s="15" customFormat="1" x14ac:dyDescent="0.3">
      <c r="A1953" s="17"/>
      <c r="B1953"/>
      <c r="C1953"/>
      <c r="D1953"/>
      <c r="E1953"/>
      <c r="F1953"/>
      <c r="G1953"/>
      <c r="H1953"/>
      <c r="I1953"/>
      <c r="J1953"/>
      <c r="K1953"/>
      <c r="L1953"/>
      <c r="M1953"/>
      <c r="S1953" s="54"/>
    </row>
    <row r="1954" spans="1:19" s="15" customFormat="1" x14ac:dyDescent="0.3">
      <c r="A1954" s="17"/>
      <c r="B1954"/>
      <c r="C1954"/>
      <c r="D1954"/>
      <c r="E1954"/>
      <c r="F1954"/>
      <c r="G1954"/>
      <c r="H1954"/>
      <c r="I1954"/>
      <c r="J1954"/>
      <c r="K1954"/>
      <c r="L1954"/>
      <c r="M1954"/>
      <c r="S1954" s="54"/>
    </row>
    <row r="1955" spans="1:19" s="15" customFormat="1" x14ac:dyDescent="0.3">
      <c r="A1955" s="17"/>
      <c r="B1955"/>
      <c r="C1955"/>
      <c r="D1955"/>
      <c r="E1955"/>
      <c r="F1955"/>
      <c r="G1955"/>
      <c r="H1955"/>
      <c r="I1955"/>
      <c r="J1955"/>
      <c r="K1955"/>
      <c r="L1955"/>
      <c r="M1955"/>
      <c r="S1955" s="54"/>
    </row>
    <row r="1956" spans="1:19" s="15" customFormat="1" x14ac:dyDescent="0.3">
      <c r="A1956" s="17"/>
      <c r="B1956"/>
      <c r="C1956"/>
      <c r="D1956"/>
      <c r="E1956"/>
      <c r="F1956"/>
      <c r="G1956"/>
      <c r="H1956"/>
      <c r="I1956"/>
      <c r="J1956"/>
      <c r="K1956"/>
      <c r="L1956"/>
      <c r="M1956"/>
      <c r="S1956" s="54"/>
    </row>
    <row r="1957" spans="1:19" s="15" customFormat="1" x14ac:dyDescent="0.3">
      <c r="A1957" s="17"/>
      <c r="B1957"/>
      <c r="C1957"/>
      <c r="D1957"/>
      <c r="E1957"/>
      <c r="F1957"/>
      <c r="G1957"/>
      <c r="H1957"/>
      <c r="I1957"/>
      <c r="J1957"/>
      <c r="K1957"/>
      <c r="L1957"/>
      <c r="M1957"/>
      <c r="S1957" s="54"/>
    </row>
    <row r="1958" spans="1:19" s="15" customFormat="1" x14ac:dyDescent="0.3">
      <c r="A1958" s="17"/>
      <c r="B1958"/>
      <c r="C1958"/>
      <c r="D1958"/>
      <c r="E1958"/>
      <c r="F1958"/>
      <c r="G1958"/>
      <c r="H1958"/>
      <c r="I1958"/>
      <c r="J1958"/>
      <c r="K1958"/>
      <c r="L1958"/>
      <c r="M1958"/>
      <c r="S1958" s="54"/>
    </row>
    <row r="1959" spans="1:19" s="15" customFormat="1" x14ac:dyDescent="0.3">
      <c r="A1959" s="17"/>
      <c r="B1959"/>
      <c r="C1959"/>
      <c r="D1959"/>
      <c r="E1959"/>
      <c r="F1959"/>
      <c r="G1959"/>
      <c r="H1959"/>
      <c r="I1959"/>
      <c r="J1959"/>
      <c r="K1959"/>
      <c r="L1959"/>
      <c r="M1959"/>
      <c r="S1959" s="54"/>
    </row>
    <row r="1960" spans="1:19" s="15" customFormat="1" x14ac:dyDescent="0.3">
      <c r="A1960" s="17"/>
      <c r="B1960"/>
      <c r="C1960"/>
      <c r="D1960"/>
      <c r="E1960"/>
      <c r="F1960"/>
      <c r="G1960"/>
      <c r="H1960"/>
      <c r="I1960"/>
      <c r="J1960"/>
      <c r="K1960"/>
      <c r="L1960"/>
      <c r="M1960"/>
      <c r="S1960" s="54"/>
    </row>
    <row r="1961" spans="1:19" s="15" customFormat="1" x14ac:dyDescent="0.3">
      <c r="A1961" s="17"/>
      <c r="B1961"/>
      <c r="C1961"/>
      <c r="D1961"/>
      <c r="E1961"/>
      <c r="F1961"/>
      <c r="G1961"/>
      <c r="H1961"/>
      <c r="I1961"/>
      <c r="J1961"/>
      <c r="K1961"/>
      <c r="L1961"/>
      <c r="M1961"/>
      <c r="S1961" s="54"/>
    </row>
    <row r="1962" spans="1:19" s="15" customFormat="1" x14ac:dyDescent="0.3">
      <c r="A1962" s="17"/>
      <c r="B1962"/>
      <c r="C1962"/>
      <c r="D1962"/>
      <c r="E1962"/>
      <c r="F1962"/>
      <c r="G1962"/>
      <c r="H1962"/>
      <c r="I1962"/>
      <c r="J1962"/>
      <c r="K1962"/>
      <c r="L1962"/>
      <c r="M1962"/>
      <c r="S1962" s="54"/>
    </row>
    <row r="1963" spans="1:19" s="15" customFormat="1" x14ac:dyDescent="0.3">
      <c r="A1963" s="17"/>
      <c r="B1963"/>
      <c r="C1963"/>
      <c r="D1963"/>
      <c r="E1963"/>
      <c r="F1963"/>
      <c r="G1963"/>
      <c r="H1963"/>
      <c r="I1963"/>
      <c r="J1963"/>
      <c r="K1963"/>
      <c r="L1963"/>
      <c r="M1963"/>
      <c r="S1963" s="54"/>
    </row>
    <row r="1964" spans="1:19" s="15" customFormat="1" x14ac:dyDescent="0.3">
      <c r="A1964" s="17"/>
      <c r="B1964"/>
      <c r="C1964"/>
      <c r="D1964"/>
      <c r="E1964"/>
      <c r="F1964"/>
      <c r="G1964"/>
      <c r="H1964"/>
      <c r="I1964"/>
      <c r="J1964"/>
      <c r="K1964"/>
      <c r="L1964"/>
      <c r="M1964"/>
      <c r="S1964" s="54"/>
    </row>
    <row r="1965" spans="1:19" s="15" customFormat="1" x14ac:dyDescent="0.3">
      <c r="A1965" s="17"/>
      <c r="B1965"/>
      <c r="C1965"/>
      <c r="D1965"/>
      <c r="E1965"/>
      <c r="F1965"/>
      <c r="G1965"/>
      <c r="H1965"/>
      <c r="I1965"/>
      <c r="J1965"/>
      <c r="K1965"/>
      <c r="L1965"/>
      <c r="M1965"/>
      <c r="S1965" s="54"/>
    </row>
    <row r="1966" spans="1:19" s="15" customFormat="1" x14ac:dyDescent="0.3">
      <c r="A1966" s="17"/>
      <c r="B1966"/>
      <c r="C1966"/>
      <c r="D1966"/>
      <c r="E1966"/>
      <c r="F1966"/>
      <c r="G1966"/>
      <c r="H1966"/>
      <c r="I1966"/>
      <c r="J1966"/>
      <c r="K1966"/>
      <c r="L1966"/>
      <c r="M1966"/>
      <c r="S1966" s="54"/>
    </row>
    <row r="1967" spans="1:19" s="15" customFormat="1" x14ac:dyDescent="0.3">
      <c r="A1967" s="17"/>
      <c r="B1967"/>
      <c r="C1967"/>
      <c r="D1967"/>
      <c r="E1967"/>
      <c r="F1967"/>
      <c r="G1967"/>
      <c r="H1967"/>
      <c r="I1967"/>
      <c r="J1967"/>
      <c r="K1967"/>
      <c r="L1967"/>
      <c r="M1967"/>
      <c r="S1967" s="54"/>
    </row>
    <row r="1968" spans="1:19" s="15" customFormat="1" x14ac:dyDescent="0.3">
      <c r="A1968" s="17"/>
      <c r="B1968"/>
      <c r="C1968"/>
      <c r="D1968"/>
      <c r="E1968"/>
      <c r="F1968"/>
      <c r="G1968"/>
      <c r="H1968"/>
      <c r="I1968"/>
      <c r="J1968"/>
      <c r="K1968"/>
      <c r="L1968"/>
      <c r="M1968"/>
      <c r="S1968" s="54"/>
    </row>
    <row r="1969" spans="1:19" s="15" customFormat="1" x14ac:dyDescent="0.3">
      <c r="A1969" s="17"/>
      <c r="B1969"/>
      <c r="C1969"/>
      <c r="D1969"/>
      <c r="E1969"/>
      <c r="F1969"/>
      <c r="G1969"/>
      <c r="H1969"/>
      <c r="I1969"/>
      <c r="J1969"/>
      <c r="K1969"/>
      <c r="L1969"/>
      <c r="M1969"/>
      <c r="S1969" s="54"/>
    </row>
    <row r="1970" spans="1:19" s="15" customFormat="1" x14ac:dyDescent="0.3">
      <c r="A1970" s="17"/>
      <c r="B1970"/>
      <c r="C1970"/>
      <c r="D1970"/>
      <c r="E1970"/>
      <c r="F1970"/>
      <c r="G1970"/>
      <c r="H1970"/>
      <c r="I1970"/>
      <c r="J1970"/>
      <c r="K1970"/>
      <c r="L1970"/>
      <c r="M1970"/>
      <c r="S1970" s="54"/>
    </row>
    <row r="1971" spans="1:19" s="15" customFormat="1" x14ac:dyDescent="0.3">
      <c r="A1971" s="17"/>
      <c r="B1971"/>
      <c r="C1971"/>
      <c r="D1971"/>
      <c r="E1971"/>
      <c r="F1971"/>
      <c r="G1971"/>
      <c r="H1971"/>
      <c r="I1971"/>
      <c r="J1971"/>
      <c r="K1971"/>
      <c r="L1971"/>
      <c r="M1971"/>
      <c r="S1971" s="54"/>
    </row>
    <row r="1972" spans="1:19" s="15" customFormat="1" x14ac:dyDescent="0.3">
      <c r="A1972" s="17"/>
      <c r="B1972"/>
      <c r="C1972"/>
      <c r="D1972"/>
      <c r="E1972"/>
      <c r="F1972"/>
      <c r="G1972"/>
      <c r="H1972"/>
      <c r="I1972"/>
      <c r="J1972"/>
      <c r="K1972"/>
      <c r="L1972"/>
      <c r="M1972"/>
      <c r="S1972" s="54"/>
    </row>
    <row r="1973" spans="1:19" s="15" customFormat="1" x14ac:dyDescent="0.3">
      <c r="A1973" s="17"/>
      <c r="B1973"/>
      <c r="C1973"/>
      <c r="D1973"/>
      <c r="E1973"/>
      <c r="F1973"/>
      <c r="G1973"/>
      <c r="H1973"/>
      <c r="I1973"/>
      <c r="J1973"/>
      <c r="K1973"/>
      <c r="L1973"/>
      <c r="M1973"/>
      <c r="S1973" s="54"/>
    </row>
    <row r="1974" spans="1:19" s="15" customFormat="1" x14ac:dyDescent="0.3">
      <c r="A1974" s="17"/>
      <c r="B1974"/>
      <c r="C1974"/>
      <c r="D1974"/>
      <c r="E1974"/>
      <c r="F1974"/>
      <c r="G1974"/>
      <c r="H1974"/>
      <c r="I1974"/>
      <c r="J1974"/>
      <c r="K1974"/>
      <c r="L1974"/>
      <c r="M1974"/>
      <c r="S1974" s="54"/>
    </row>
    <row r="1975" spans="1:19" s="15" customFormat="1" x14ac:dyDescent="0.3">
      <c r="A1975" s="17"/>
      <c r="B1975"/>
      <c r="C1975"/>
      <c r="D1975"/>
      <c r="E1975"/>
      <c r="F1975"/>
      <c r="G1975"/>
      <c r="H1975"/>
      <c r="I1975"/>
      <c r="J1975"/>
      <c r="K1975"/>
      <c r="L1975"/>
      <c r="M1975"/>
      <c r="S1975" s="54"/>
    </row>
    <row r="1976" spans="1:19" s="15" customFormat="1" x14ac:dyDescent="0.3">
      <c r="A1976" s="17"/>
      <c r="B1976"/>
      <c r="C1976"/>
      <c r="D1976"/>
      <c r="E1976"/>
      <c r="F1976"/>
      <c r="G1976"/>
      <c r="H1976"/>
      <c r="I1976"/>
      <c r="J1976"/>
      <c r="K1976"/>
      <c r="L1976"/>
      <c r="M1976"/>
      <c r="S1976" s="54"/>
    </row>
    <row r="1977" spans="1:19" s="15" customFormat="1" x14ac:dyDescent="0.3">
      <c r="A1977" s="17"/>
      <c r="B1977"/>
      <c r="C1977"/>
      <c r="D1977"/>
      <c r="E1977"/>
      <c r="F1977"/>
      <c r="G1977"/>
      <c r="H1977"/>
      <c r="I1977"/>
      <c r="J1977"/>
      <c r="K1977"/>
      <c r="L1977"/>
      <c r="M1977"/>
      <c r="S1977" s="54"/>
    </row>
    <row r="1978" spans="1:19" s="15" customFormat="1" x14ac:dyDescent="0.3">
      <c r="A1978" s="17"/>
      <c r="B1978"/>
      <c r="C1978"/>
      <c r="D1978"/>
      <c r="E1978"/>
      <c r="F1978"/>
      <c r="G1978"/>
      <c r="H1978"/>
      <c r="I1978"/>
      <c r="J1978"/>
      <c r="K1978"/>
      <c r="L1978"/>
      <c r="M1978"/>
      <c r="S1978" s="54"/>
    </row>
    <row r="1979" spans="1:19" s="15" customFormat="1" x14ac:dyDescent="0.3">
      <c r="A1979" s="17"/>
      <c r="B1979"/>
      <c r="C1979"/>
      <c r="D1979"/>
      <c r="E1979"/>
      <c r="F1979"/>
      <c r="G1979"/>
      <c r="H1979"/>
      <c r="I1979"/>
      <c r="J1979"/>
      <c r="K1979"/>
      <c r="L1979"/>
      <c r="M1979"/>
      <c r="S1979" s="54"/>
    </row>
    <row r="1980" spans="1:19" s="15" customFormat="1" x14ac:dyDescent="0.3">
      <c r="A1980" s="17"/>
      <c r="B1980"/>
      <c r="C1980"/>
      <c r="D1980"/>
      <c r="E1980"/>
      <c r="F1980"/>
      <c r="G1980"/>
      <c r="H1980"/>
      <c r="I1980"/>
      <c r="J1980"/>
      <c r="K1980"/>
      <c r="L1980"/>
      <c r="M1980"/>
      <c r="S1980" s="54"/>
    </row>
    <row r="1981" spans="1:19" s="15" customFormat="1" x14ac:dyDescent="0.3">
      <c r="A1981" s="17"/>
      <c r="B1981"/>
      <c r="C1981"/>
      <c r="D1981"/>
      <c r="E1981"/>
      <c r="F1981"/>
      <c r="G1981"/>
      <c r="H1981"/>
      <c r="I1981"/>
      <c r="J1981"/>
      <c r="K1981"/>
      <c r="L1981"/>
      <c r="M1981"/>
      <c r="S1981" s="54"/>
    </row>
    <row r="1982" spans="1:19" s="15" customFormat="1" x14ac:dyDescent="0.3">
      <c r="A1982" s="17"/>
      <c r="B1982"/>
      <c r="C1982"/>
      <c r="D1982"/>
      <c r="E1982"/>
      <c r="F1982"/>
      <c r="G1982"/>
      <c r="H1982"/>
      <c r="I1982"/>
      <c r="J1982"/>
      <c r="K1982"/>
      <c r="L1982"/>
      <c r="M1982"/>
      <c r="S1982" s="54"/>
    </row>
    <row r="1983" spans="1:19" s="15" customFormat="1" x14ac:dyDescent="0.3">
      <c r="A1983" s="17"/>
      <c r="B1983"/>
      <c r="C1983"/>
      <c r="D1983"/>
      <c r="E1983"/>
      <c r="F1983"/>
      <c r="G1983"/>
      <c r="H1983"/>
      <c r="I1983"/>
      <c r="J1983"/>
      <c r="K1983"/>
      <c r="L1983"/>
      <c r="M1983"/>
      <c r="S1983" s="54"/>
    </row>
    <row r="1984" spans="1:19" s="15" customFormat="1" x14ac:dyDescent="0.3">
      <c r="A1984" s="17"/>
      <c r="B1984"/>
      <c r="C1984"/>
      <c r="D1984"/>
      <c r="E1984"/>
      <c r="F1984"/>
      <c r="G1984"/>
      <c r="H1984"/>
      <c r="I1984"/>
      <c r="J1984"/>
      <c r="K1984"/>
      <c r="L1984"/>
      <c r="M1984"/>
      <c r="S1984" s="54"/>
    </row>
    <row r="1985" spans="1:19" s="15" customFormat="1" x14ac:dyDescent="0.3">
      <c r="A1985" s="17"/>
      <c r="B1985"/>
      <c r="C1985"/>
      <c r="D1985"/>
      <c r="E1985"/>
      <c r="F1985"/>
      <c r="G1985"/>
      <c r="H1985"/>
      <c r="I1985"/>
      <c r="J1985"/>
      <c r="K1985"/>
      <c r="L1985"/>
      <c r="M1985"/>
      <c r="S1985" s="54"/>
    </row>
    <row r="1986" spans="1:19" s="15" customFormat="1" x14ac:dyDescent="0.3">
      <c r="A1986" s="17"/>
      <c r="B1986"/>
      <c r="C1986"/>
      <c r="D1986"/>
      <c r="E1986"/>
      <c r="F1986"/>
      <c r="G1986"/>
      <c r="H1986"/>
      <c r="I1986"/>
      <c r="J1986"/>
      <c r="K1986"/>
      <c r="L1986"/>
      <c r="M1986"/>
      <c r="S1986" s="54"/>
    </row>
    <row r="1987" spans="1:19" s="15" customFormat="1" x14ac:dyDescent="0.3">
      <c r="A1987" s="17"/>
      <c r="B1987"/>
      <c r="C1987"/>
      <c r="D1987"/>
      <c r="E1987"/>
      <c r="F1987"/>
      <c r="G1987"/>
      <c r="H1987"/>
      <c r="I1987"/>
      <c r="J1987"/>
      <c r="K1987"/>
      <c r="L1987"/>
      <c r="M1987"/>
      <c r="S1987" s="54"/>
    </row>
    <row r="1988" spans="1:19" s="15" customFormat="1" x14ac:dyDescent="0.3">
      <c r="A1988" s="17"/>
      <c r="B1988"/>
      <c r="C1988"/>
      <c r="D1988"/>
      <c r="E1988"/>
      <c r="F1988"/>
      <c r="G1988"/>
      <c r="H1988"/>
      <c r="I1988"/>
      <c r="J1988"/>
      <c r="K1988"/>
      <c r="L1988"/>
      <c r="M1988"/>
      <c r="S1988" s="54"/>
    </row>
    <row r="1989" spans="1:19" s="15" customFormat="1" x14ac:dyDescent="0.3">
      <c r="A1989" s="17"/>
      <c r="B1989"/>
      <c r="C1989"/>
      <c r="D1989"/>
      <c r="E1989"/>
      <c r="F1989"/>
      <c r="G1989"/>
      <c r="H1989"/>
      <c r="I1989"/>
      <c r="J1989"/>
      <c r="K1989"/>
      <c r="L1989"/>
      <c r="M1989"/>
      <c r="S1989" s="54"/>
    </row>
    <row r="1990" spans="1:19" s="15" customFormat="1" x14ac:dyDescent="0.3">
      <c r="A1990" s="17"/>
      <c r="B1990"/>
      <c r="C1990"/>
      <c r="D1990"/>
      <c r="E1990"/>
      <c r="F1990"/>
      <c r="G1990"/>
      <c r="H1990"/>
      <c r="I1990"/>
      <c r="J1990"/>
      <c r="K1990"/>
      <c r="L1990"/>
      <c r="M1990"/>
      <c r="S1990" s="54"/>
    </row>
    <row r="1991" spans="1:19" s="15" customFormat="1" x14ac:dyDescent="0.3">
      <c r="A1991" s="17"/>
      <c r="B1991"/>
      <c r="C1991"/>
      <c r="D1991"/>
      <c r="E1991"/>
      <c r="F1991"/>
      <c r="G1991"/>
      <c r="H1991"/>
      <c r="I1991"/>
      <c r="J1991"/>
      <c r="K1991"/>
      <c r="L1991"/>
      <c r="M1991"/>
      <c r="S1991" s="54"/>
    </row>
    <row r="1992" spans="1:19" s="15" customFormat="1" x14ac:dyDescent="0.3">
      <c r="A1992" s="17"/>
      <c r="B1992"/>
      <c r="C1992"/>
      <c r="D1992"/>
      <c r="E1992"/>
      <c r="F1992"/>
      <c r="G1992"/>
      <c r="H1992"/>
      <c r="I1992"/>
      <c r="J1992"/>
      <c r="K1992"/>
      <c r="L1992"/>
      <c r="M1992"/>
      <c r="S1992" s="54"/>
    </row>
    <row r="1993" spans="1:19" s="15" customFormat="1" x14ac:dyDescent="0.3">
      <c r="A1993" s="17"/>
      <c r="B1993"/>
      <c r="C1993"/>
      <c r="D1993"/>
      <c r="E1993"/>
      <c r="F1993"/>
      <c r="G1993"/>
      <c r="H1993"/>
      <c r="I1993"/>
      <c r="J1993"/>
      <c r="K1993"/>
      <c r="L1993"/>
      <c r="M1993"/>
      <c r="S1993" s="54"/>
    </row>
    <row r="1994" spans="1:19" s="15" customFormat="1" x14ac:dyDescent="0.3">
      <c r="A1994" s="17"/>
      <c r="B1994"/>
      <c r="C1994"/>
      <c r="D1994"/>
      <c r="E1994"/>
      <c r="F1994"/>
      <c r="G1994"/>
      <c r="H1994"/>
      <c r="I1994"/>
      <c r="J1994"/>
      <c r="K1994"/>
      <c r="L1994"/>
      <c r="M1994"/>
      <c r="S1994" s="54"/>
    </row>
    <row r="1995" spans="1:19" s="15" customFormat="1" x14ac:dyDescent="0.3">
      <c r="A1995" s="17"/>
      <c r="B1995"/>
      <c r="C1995"/>
      <c r="D1995"/>
      <c r="E1995"/>
      <c r="F1995"/>
      <c r="G1995"/>
      <c r="H1995"/>
      <c r="I1995"/>
      <c r="J1995"/>
      <c r="K1995"/>
      <c r="L1995"/>
      <c r="M1995"/>
      <c r="S1995" s="54"/>
    </row>
    <row r="1996" spans="1:19" s="15" customFormat="1" x14ac:dyDescent="0.3">
      <c r="A1996" s="17"/>
      <c r="B1996"/>
      <c r="C1996"/>
      <c r="D1996"/>
      <c r="E1996"/>
      <c r="F1996"/>
      <c r="G1996"/>
      <c r="H1996"/>
      <c r="I1996"/>
      <c r="J1996"/>
      <c r="K1996"/>
      <c r="L1996"/>
      <c r="M1996"/>
      <c r="S1996" s="54"/>
    </row>
    <row r="1997" spans="1:19" s="15" customFormat="1" x14ac:dyDescent="0.3">
      <c r="A1997" s="17"/>
      <c r="B1997"/>
      <c r="C1997"/>
      <c r="D1997"/>
      <c r="E1997"/>
      <c r="F1997"/>
      <c r="G1997"/>
      <c r="H1997"/>
      <c r="I1997"/>
      <c r="J1997"/>
      <c r="K1997"/>
      <c r="L1997"/>
      <c r="M1997"/>
      <c r="S1997" s="54"/>
    </row>
    <row r="1998" spans="1:19" s="15" customFormat="1" x14ac:dyDescent="0.3">
      <c r="A1998" s="17"/>
      <c r="B1998"/>
      <c r="C1998"/>
      <c r="D1998"/>
      <c r="E1998"/>
      <c r="F1998"/>
      <c r="G1998"/>
      <c r="H1998"/>
      <c r="I1998"/>
      <c r="J1998"/>
      <c r="K1998"/>
      <c r="L1998"/>
      <c r="M1998"/>
      <c r="S1998" s="54"/>
    </row>
    <row r="1999" spans="1:19" s="15" customFormat="1" x14ac:dyDescent="0.3">
      <c r="A1999" s="17"/>
      <c r="B1999"/>
      <c r="C1999"/>
      <c r="D1999"/>
      <c r="E1999"/>
      <c r="F1999"/>
      <c r="G1999"/>
      <c r="H1999"/>
      <c r="I1999"/>
      <c r="J1999"/>
      <c r="K1999"/>
      <c r="L1999"/>
      <c r="M1999"/>
      <c r="S1999" s="54"/>
    </row>
    <row r="2000" spans="1:19" s="15" customFormat="1" x14ac:dyDescent="0.3">
      <c r="A2000" s="17"/>
      <c r="B2000"/>
      <c r="C2000"/>
      <c r="D2000"/>
      <c r="E2000"/>
      <c r="F2000"/>
      <c r="G2000"/>
      <c r="H2000"/>
      <c r="I2000"/>
      <c r="J2000"/>
      <c r="K2000"/>
      <c r="L2000"/>
      <c r="M2000"/>
      <c r="S2000" s="54"/>
    </row>
    <row r="2001" spans="1:19" s="15" customFormat="1" x14ac:dyDescent="0.3">
      <c r="A2001" s="17"/>
      <c r="B2001"/>
      <c r="C2001"/>
      <c r="D2001"/>
      <c r="E2001"/>
      <c r="F2001"/>
      <c r="G2001"/>
      <c r="H2001"/>
      <c r="I2001"/>
      <c r="J2001"/>
      <c r="K2001"/>
      <c r="L2001"/>
      <c r="M2001"/>
      <c r="S2001" s="54"/>
    </row>
    <row r="2002" spans="1:19" s="15" customFormat="1" x14ac:dyDescent="0.3">
      <c r="A2002" s="17"/>
      <c r="B2002"/>
      <c r="C2002"/>
      <c r="D2002"/>
      <c r="E2002"/>
      <c r="F2002"/>
      <c r="G2002"/>
      <c r="H2002"/>
      <c r="I2002"/>
      <c r="J2002"/>
      <c r="K2002"/>
      <c r="L2002"/>
      <c r="M2002"/>
      <c r="S2002" s="54"/>
    </row>
    <row r="2003" spans="1:19" s="15" customFormat="1" x14ac:dyDescent="0.3">
      <c r="A2003" s="17"/>
      <c r="B2003"/>
      <c r="C2003"/>
      <c r="D2003"/>
      <c r="E2003"/>
      <c r="F2003"/>
      <c r="G2003"/>
      <c r="H2003"/>
      <c r="I2003"/>
      <c r="J2003"/>
      <c r="K2003"/>
      <c r="L2003"/>
      <c r="M2003"/>
      <c r="S2003" s="54"/>
    </row>
    <row r="2004" spans="1:19" s="15" customFormat="1" x14ac:dyDescent="0.3">
      <c r="A2004" s="17"/>
      <c r="B2004"/>
      <c r="C2004"/>
      <c r="D2004"/>
      <c r="E2004"/>
      <c r="F2004"/>
      <c r="G2004"/>
      <c r="H2004"/>
      <c r="I2004"/>
      <c r="J2004"/>
      <c r="K2004"/>
      <c r="L2004"/>
      <c r="M2004"/>
      <c r="S2004" s="54"/>
    </row>
    <row r="2005" spans="1:19" s="15" customFormat="1" x14ac:dyDescent="0.3">
      <c r="A2005" s="17"/>
      <c r="B2005"/>
      <c r="C2005"/>
      <c r="D2005"/>
      <c r="E2005"/>
      <c r="F2005"/>
      <c r="G2005"/>
      <c r="H2005"/>
      <c r="I2005"/>
      <c r="J2005"/>
      <c r="K2005"/>
      <c r="L2005"/>
      <c r="M2005"/>
      <c r="S2005" s="54"/>
    </row>
    <row r="2006" spans="1:19" s="15" customFormat="1" x14ac:dyDescent="0.3">
      <c r="A2006" s="17"/>
      <c r="B2006"/>
      <c r="C2006"/>
      <c r="D2006"/>
      <c r="E2006"/>
      <c r="F2006"/>
      <c r="G2006"/>
      <c r="H2006"/>
      <c r="I2006"/>
      <c r="J2006"/>
      <c r="K2006"/>
      <c r="L2006"/>
      <c r="M2006"/>
      <c r="S2006" s="54"/>
    </row>
    <row r="2007" spans="1:19" s="15" customFormat="1" x14ac:dyDescent="0.3">
      <c r="A2007" s="17"/>
      <c r="B2007"/>
      <c r="C2007"/>
      <c r="D2007"/>
      <c r="E2007"/>
      <c r="F2007"/>
      <c r="G2007"/>
      <c r="H2007"/>
      <c r="I2007"/>
      <c r="J2007"/>
      <c r="K2007"/>
      <c r="L2007"/>
      <c r="M2007"/>
      <c r="S2007" s="54"/>
    </row>
    <row r="2008" spans="1:19" s="15" customFormat="1" x14ac:dyDescent="0.3">
      <c r="A2008" s="17"/>
      <c r="B2008"/>
      <c r="C2008"/>
      <c r="D2008"/>
      <c r="E2008"/>
      <c r="F2008"/>
      <c r="G2008"/>
      <c r="H2008"/>
      <c r="I2008"/>
      <c r="J2008"/>
      <c r="K2008"/>
      <c r="L2008"/>
      <c r="M2008"/>
      <c r="S2008" s="54"/>
    </row>
    <row r="2009" spans="1:19" s="15" customFormat="1" x14ac:dyDescent="0.3">
      <c r="A2009" s="17"/>
      <c r="B2009"/>
      <c r="C2009"/>
      <c r="D2009"/>
      <c r="E2009"/>
      <c r="F2009"/>
      <c r="G2009"/>
      <c r="H2009"/>
      <c r="I2009"/>
      <c r="J2009"/>
      <c r="K2009"/>
      <c r="L2009"/>
      <c r="M2009"/>
      <c r="S2009" s="54"/>
    </row>
    <row r="2010" spans="1:19" s="15" customFormat="1" x14ac:dyDescent="0.3">
      <c r="A2010" s="17"/>
      <c r="B2010"/>
      <c r="C2010"/>
      <c r="D2010"/>
      <c r="E2010"/>
      <c r="F2010"/>
      <c r="G2010"/>
      <c r="H2010"/>
      <c r="I2010"/>
      <c r="J2010"/>
      <c r="K2010"/>
      <c r="L2010"/>
      <c r="M2010"/>
      <c r="S2010" s="54"/>
    </row>
    <row r="2011" spans="1:19" s="15" customFormat="1" x14ac:dyDescent="0.3">
      <c r="A2011" s="17"/>
      <c r="B2011"/>
      <c r="C2011"/>
      <c r="D2011"/>
      <c r="E2011"/>
      <c r="F2011"/>
      <c r="G2011"/>
      <c r="H2011"/>
      <c r="I2011"/>
      <c r="J2011"/>
      <c r="K2011"/>
      <c r="L2011"/>
      <c r="M2011"/>
      <c r="S2011" s="54"/>
    </row>
    <row r="2012" spans="1:19" s="15" customFormat="1" x14ac:dyDescent="0.3">
      <c r="A2012" s="17"/>
      <c r="B2012"/>
      <c r="C2012"/>
      <c r="D2012"/>
      <c r="E2012"/>
      <c r="F2012"/>
      <c r="G2012"/>
      <c r="H2012"/>
      <c r="I2012"/>
      <c r="J2012"/>
      <c r="K2012"/>
      <c r="L2012"/>
      <c r="M2012"/>
      <c r="S2012" s="54"/>
    </row>
    <row r="2013" spans="1:19" s="15" customFormat="1" x14ac:dyDescent="0.3">
      <c r="A2013" s="17"/>
      <c r="B2013"/>
      <c r="C2013"/>
      <c r="D2013"/>
      <c r="E2013"/>
      <c r="F2013"/>
      <c r="G2013"/>
      <c r="H2013"/>
      <c r="I2013"/>
      <c r="J2013"/>
      <c r="K2013"/>
      <c r="L2013"/>
      <c r="M2013"/>
      <c r="S2013" s="54"/>
    </row>
    <row r="2014" spans="1:19" s="15" customFormat="1" x14ac:dyDescent="0.3">
      <c r="A2014" s="17"/>
      <c r="B2014"/>
      <c r="C2014"/>
      <c r="D2014"/>
      <c r="E2014"/>
      <c r="F2014"/>
      <c r="G2014"/>
      <c r="H2014"/>
      <c r="I2014"/>
      <c r="J2014"/>
      <c r="K2014"/>
      <c r="L2014"/>
      <c r="M2014"/>
      <c r="S2014" s="54"/>
    </row>
    <row r="2015" spans="1:19" s="15" customFormat="1" x14ac:dyDescent="0.3">
      <c r="A2015" s="17"/>
      <c r="B2015"/>
      <c r="C2015"/>
      <c r="D2015"/>
      <c r="E2015"/>
      <c r="F2015"/>
      <c r="G2015"/>
      <c r="H2015"/>
      <c r="I2015"/>
      <c r="J2015"/>
      <c r="K2015"/>
      <c r="L2015"/>
      <c r="M2015"/>
      <c r="S2015" s="54"/>
    </row>
    <row r="2016" spans="1:19" s="15" customFormat="1" x14ac:dyDescent="0.3">
      <c r="A2016" s="17"/>
      <c r="B2016"/>
      <c r="C2016"/>
      <c r="D2016"/>
      <c r="E2016"/>
      <c r="F2016"/>
      <c r="G2016"/>
      <c r="H2016"/>
      <c r="I2016"/>
      <c r="J2016"/>
      <c r="K2016"/>
      <c r="L2016"/>
      <c r="M2016"/>
      <c r="S2016" s="54"/>
    </row>
    <row r="2017" spans="1:19" s="15" customFormat="1" x14ac:dyDescent="0.3">
      <c r="A2017" s="17"/>
      <c r="B2017"/>
      <c r="C2017"/>
      <c r="D2017"/>
      <c r="E2017"/>
      <c r="F2017"/>
      <c r="G2017"/>
      <c r="H2017"/>
      <c r="I2017"/>
      <c r="J2017"/>
      <c r="K2017"/>
      <c r="L2017"/>
      <c r="M2017"/>
      <c r="S2017" s="54"/>
    </row>
    <row r="2018" spans="1:19" s="15" customFormat="1" x14ac:dyDescent="0.3">
      <c r="A2018" s="17"/>
      <c r="B2018"/>
      <c r="C2018"/>
      <c r="D2018"/>
      <c r="E2018"/>
      <c r="F2018"/>
      <c r="G2018"/>
      <c r="H2018"/>
      <c r="I2018"/>
      <c r="J2018"/>
      <c r="K2018"/>
      <c r="L2018"/>
      <c r="M2018"/>
      <c r="S2018" s="54"/>
    </row>
    <row r="2019" spans="1:19" s="15" customFormat="1" x14ac:dyDescent="0.3">
      <c r="A2019" s="17"/>
      <c r="B2019"/>
      <c r="C2019"/>
      <c r="D2019"/>
      <c r="E2019"/>
      <c r="F2019"/>
      <c r="G2019"/>
      <c r="H2019"/>
      <c r="I2019"/>
      <c r="J2019"/>
      <c r="K2019"/>
      <c r="L2019"/>
      <c r="M2019"/>
      <c r="S2019" s="54"/>
    </row>
    <row r="2020" spans="1:19" s="15" customFormat="1" x14ac:dyDescent="0.3">
      <c r="A2020" s="17"/>
      <c r="B2020"/>
      <c r="C2020"/>
      <c r="D2020"/>
      <c r="E2020"/>
      <c r="F2020"/>
      <c r="G2020"/>
      <c r="H2020"/>
      <c r="I2020"/>
      <c r="J2020"/>
      <c r="K2020"/>
      <c r="L2020"/>
      <c r="M2020"/>
      <c r="S2020" s="54"/>
    </row>
    <row r="2021" spans="1:19" s="15" customFormat="1" x14ac:dyDescent="0.3">
      <c r="A2021" s="17"/>
      <c r="B2021"/>
      <c r="C2021"/>
      <c r="D2021"/>
      <c r="E2021"/>
      <c r="F2021"/>
      <c r="G2021"/>
      <c r="H2021"/>
      <c r="I2021"/>
      <c r="J2021"/>
      <c r="K2021"/>
      <c r="L2021"/>
      <c r="M2021"/>
      <c r="S2021" s="54"/>
    </row>
    <row r="2022" spans="1:19" s="15" customFormat="1" x14ac:dyDescent="0.3">
      <c r="A2022" s="17"/>
      <c r="B2022"/>
      <c r="C2022"/>
      <c r="D2022"/>
      <c r="E2022"/>
      <c r="F2022"/>
      <c r="G2022"/>
      <c r="H2022"/>
      <c r="I2022"/>
      <c r="J2022"/>
      <c r="K2022"/>
      <c r="L2022"/>
      <c r="M2022"/>
      <c r="S2022" s="54"/>
    </row>
    <row r="2023" spans="1:19" s="15" customFormat="1" x14ac:dyDescent="0.3">
      <c r="A2023" s="17"/>
      <c r="B2023"/>
      <c r="C2023"/>
      <c r="D2023"/>
      <c r="E2023"/>
      <c r="F2023"/>
      <c r="G2023"/>
      <c r="H2023"/>
      <c r="I2023"/>
      <c r="J2023"/>
      <c r="K2023"/>
      <c r="L2023"/>
      <c r="M2023"/>
      <c r="S2023" s="54"/>
    </row>
    <row r="2024" spans="1:19" s="15" customFormat="1" x14ac:dyDescent="0.3">
      <c r="A2024" s="17"/>
      <c r="B2024"/>
      <c r="C2024"/>
      <c r="D2024"/>
      <c r="E2024"/>
      <c r="F2024"/>
      <c r="G2024"/>
      <c r="H2024"/>
      <c r="I2024"/>
      <c r="J2024"/>
      <c r="K2024"/>
      <c r="L2024"/>
      <c r="M2024"/>
      <c r="S2024" s="54"/>
    </row>
    <row r="2025" spans="1:19" s="15" customFormat="1" x14ac:dyDescent="0.3">
      <c r="A2025" s="17"/>
      <c r="B2025"/>
      <c r="C2025"/>
      <c r="D2025"/>
      <c r="E2025"/>
      <c r="F2025"/>
      <c r="G2025"/>
      <c r="H2025"/>
      <c r="I2025"/>
      <c r="J2025"/>
      <c r="K2025"/>
      <c r="L2025"/>
      <c r="M2025"/>
      <c r="S2025" s="54"/>
    </row>
    <row r="2026" spans="1:19" s="15" customFormat="1" x14ac:dyDescent="0.3">
      <c r="A2026" s="17"/>
      <c r="B2026"/>
      <c r="C2026"/>
      <c r="D2026"/>
      <c r="E2026"/>
      <c r="F2026"/>
      <c r="G2026"/>
      <c r="H2026"/>
      <c r="I2026"/>
      <c r="J2026"/>
      <c r="K2026"/>
      <c r="L2026"/>
      <c r="M2026"/>
      <c r="S2026" s="54"/>
    </row>
    <row r="2027" spans="1:19" s="15" customFormat="1" x14ac:dyDescent="0.3">
      <c r="A2027" s="17"/>
      <c r="B2027"/>
      <c r="C2027"/>
      <c r="D2027"/>
      <c r="E2027"/>
      <c r="F2027"/>
      <c r="G2027"/>
      <c r="H2027"/>
      <c r="I2027"/>
      <c r="J2027"/>
      <c r="K2027"/>
      <c r="L2027"/>
      <c r="M2027"/>
      <c r="S2027" s="54"/>
    </row>
    <row r="2028" spans="1:19" s="15" customFormat="1" x14ac:dyDescent="0.3">
      <c r="A2028" s="17"/>
      <c r="B2028"/>
      <c r="C2028"/>
      <c r="D2028"/>
      <c r="E2028"/>
      <c r="F2028"/>
      <c r="G2028"/>
      <c r="H2028"/>
      <c r="I2028"/>
      <c r="J2028"/>
      <c r="K2028"/>
      <c r="L2028"/>
      <c r="M2028"/>
      <c r="S2028" s="54"/>
    </row>
    <row r="2029" spans="1:19" s="15" customFormat="1" x14ac:dyDescent="0.3">
      <c r="A2029" s="17"/>
      <c r="B2029"/>
      <c r="C2029"/>
      <c r="D2029"/>
      <c r="E2029"/>
      <c r="F2029"/>
      <c r="G2029"/>
      <c r="H2029"/>
      <c r="I2029"/>
      <c r="J2029"/>
      <c r="K2029"/>
      <c r="L2029"/>
      <c r="M2029"/>
      <c r="S2029" s="54"/>
    </row>
    <row r="2030" spans="1:19" s="15" customFormat="1" x14ac:dyDescent="0.3">
      <c r="A2030" s="17"/>
      <c r="B2030"/>
      <c r="C2030"/>
      <c r="D2030"/>
      <c r="E2030"/>
      <c r="F2030"/>
      <c r="G2030"/>
      <c r="H2030"/>
      <c r="I2030"/>
      <c r="J2030"/>
      <c r="K2030"/>
      <c r="L2030"/>
      <c r="M2030"/>
      <c r="S2030" s="54"/>
    </row>
    <row r="2031" spans="1:19" s="15" customFormat="1" x14ac:dyDescent="0.3">
      <c r="A2031" s="17"/>
      <c r="B2031"/>
      <c r="C2031"/>
      <c r="D2031"/>
      <c r="E2031"/>
      <c r="F2031"/>
      <c r="G2031"/>
      <c r="H2031"/>
      <c r="I2031"/>
      <c r="J2031"/>
      <c r="K2031"/>
      <c r="L2031"/>
      <c r="M2031"/>
      <c r="S2031" s="54"/>
    </row>
    <row r="2032" spans="1:19" s="15" customFormat="1" x14ac:dyDescent="0.3">
      <c r="A2032" s="17"/>
      <c r="B2032"/>
      <c r="C2032"/>
      <c r="D2032"/>
      <c r="E2032"/>
      <c r="F2032"/>
      <c r="G2032"/>
      <c r="H2032"/>
      <c r="I2032"/>
      <c r="J2032"/>
      <c r="K2032"/>
      <c r="L2032"/>
      <c r="M2032"/>
      <c r="S2032" s="54"/>
    </row>
    <row r="2033" spans="1:19" s="15" customFormat="1" x14ac:dyDescent="0.3">
      <c r="A2033" s="17"/>
      <c r="B2033"/>
      <c r="C2033"/>
      <c r="D2033"/>
      <c r="E2033"/>
      <c r="F2033"/>
      <c r="G2033"/>
      <c r="H2033"/>
      <c r="I2033"/>
      <c r="J2033"/>
      <c r="K2033"/>
      <c r="L2033"/>
      <c r="M2033"/>
      <c r="S2033" s="54"/>
    </row>
    <row r="2034" spans="1:19" s="15" customFormat="1" x14ac:dyDescent="0.3">
      <c r="A2034" s="17"/>
      <c r="B2034"/>
      <c r="C2034"/>
      <c r="D2034"/>
      <c r="E2034"/>
      <c r="F2034"/>
      <c r="G2034"/>
      <c r="H2034"/>
      <c r="I2034"/>
      <c r="J2034"/>
      <c r="K2034"/>
      <c r="L2034"/>
      <c r="M2034"/>
      <c r="S2034" s="54"/>
    </row>
    <row r="2035" spans="1:19" s="15" customFormat="1" x14ac:dyDescent="0.3">
      <c r="A2035" s="17"/>
      <c r="B2035"/>
      <c r="C2035"/>
      <c r="D2035"/>
      <c r="E2035"/>
      <c r="F2035"/>
      <c r="G2035"/>
      <c r="H2035"/>
      <c r="I2035"/>
      <c r="J2035"/>
      <c r="K2035"/>
      <c r="L2035"/>
      <c r="M2035"/>
      <c r="S2035" s="54"/>
    </row>
    <row r="2036" spans="1:19" s="15" customFormat="1" x14ac:dyDescent="0.3">
      <c r="A2036" s="17"/>
      <c r="B2036"/>
      <c r="C2036"/>
      <c r="D2036"/>
      <c r="E2036"/>
      <c r="F2036"/>
      <c r="G2036"/>
      <c r="H2036"/>
      <c r="I2036"/>
      <c r="J2036"/>
      <c r="K2036"/>
      <c r="L2036"/>
      <c r="M2036"/>
      <c r="S2036" s="54"/>
    </row>
    <row r="2037" spans="1:19" s="15" customFormat="1" x14ac:dyDescent="0.3">
      <c r="A2037" s="17"/>
      <c r="B2037"/>
      <c r="C2037"/>
      <c r="D2037"/>
      <c r="E2037"/>
      <c r="F2037"/>
      <c r="G2037"/>
      <c r="H2037"/>
      <c r="I2037"/>
      <c r="J2037"/>
      <c r="K2037"/>
      <c r="L2037"/>
      <c r="M2037"/>
      <c r="S2037" s="54"/>
    </row>
    <row r="2038" spans="1:19" s="15" customFormat="1" x14ac:dyDescent="0.3">
      <c r="A2038" s="17"/>
      <c r="B2038"/>
      <c r="C2038"/>
      <c r="D2038"/>
      <c r="E2038"/>
      <c r="F2038"/>
      <c r="G2038"/>
      <c r="H2038"/>
      <c r="I2038"/>
      <c r="J2038"/>
      <c r="K2038"/>
      <c r="L2038"/>
      <c r="M2038"/>
      <c r="S2038" s="54"/>
    </row>
    <row r="2039" spans="1:19" s="15" customFormat="1" x14ac:dyDescent="0.3">
      <c r="A2039" s="17"/>
      <c r="B2039"/>
      <c r="C2039"/>
      <c r="D2039"/>
      <c r="E2039"/>
      <c r="F2039"/>
      <c r="G2039"/>
      <c r="H2039"/>
      <c r="I2039"/>
      <c r="J2039"/>
      <c r="K2039"/>
      <c r="L2039"/>
      <c r="M2039"/>
      <c r="S2039" s="54"/>
    </row>
    <row r="2040" spans="1:19" s="15" customFormat="1" x14ac:dyDescent="0.3">
      <c r="A2040" s="17"/>
      <c r="B2040"/>
      <c r="C2040"/>
      <c r="D2040"/>
      <c r="E2040"/>
      <c r="F2040"/>
      <c r="G2040"/>
      <c r="H2040"/>
      <c r="I2040"/>
      <c r="J2040"/>
      <c r="K2040"/>
      <c r="L2040"/>
      <c r="M2040"/>
      <c r="S2040" s="54"/>
    </row>
    <row r="2041" spans="1:19" s="15" customFormat="1" x14ac:dyDescent="0.3">
      <c r="A2041" s="17"/>
      <c r="B2041"/>
      <c r="C2041"/>
      <c r="D2041"/>
      <c r="E2041"/>
      <c r="F2041"/>
      <c r="G2041"/>
      <c r="H2041"/>
      <c r="I2041"/>
      <c r="J2041"/>
      <c r="K2041"/>
      <c r="L2041"/>
      <c r="M2041"/>
      <c r="S2041" s="54"/>
    </row>
    <row r="2042" spans="1:19" s="15" customFormat="1" x14ac:dyDescent="0.3">
      <c r="A2042" s="17"/>
      <c r="B2042"/>
      <c r="C2042"/>
      <c r="D2042"/>
      <c r="E2042"/>
      <c r="F2042"/>
      <c r="G2042"/>
      <c r="H2042"/>
      <c r="I2042"/>
      <c r="J2042"/>
      <c r="K2042"/>
      <c r="L2042"/>
      <c r="M2042"/>
      <c r="S2042" s="54"/>
    </row>
    <row r="2043" spans="1:19" s="15" customFormat="1" x14ac:dyDescent="0.3">
      <c r="A2043" s="17"/>
      <c r="B2043"/>
      <c r="C2043"/>
      <c r="D2043"/>
      <c r="E2043"/>
      <c r="F2043"/>
      <c r="G2043"/>
      <c r="H2043"/>
      <c r="I2043"/>
      <c r="J2043"/>
      <c r="K2043"/>
      <c r="L2043"/>
      <c r="M2043"/>
      <c r="S2043" s="54"/>
    </row>
    <row r="2044" spans="1:19" s="15" customFormat="1" x14ac:dyDescent="0.3">
      <c r="A2044" s="17"/>
      <c r="B2044"/>
      <c r="C2044"/>
      <c r="D2044"/>
      <c r="E2044"/>
      <c r="F2044"/>
      <c r="G2044"/>
      <c r="H2044"/>
      <c r="I2044"/>
      <c r="J2044"/>
      <c r="K2044"/>
      <c r="L2044"/>
      <c r="M2044"/>
      <c r="S2044" s="54"/>
    </row>
    <row r="2045" spans="1:19" s="15" customFormat="1" x14ac:dyDescent="0.3">
      <c r="A2045" s="17"/>
      <c r="B2045"/>
      <c r="C2045"/>
      <c r="D2045"/>
      <c r="E2045"/>
      <c r="F2045"/>
      <c r="G2045"/>
      <c r="H2045"/>
      <c r="I2045"/>
      <c r="J2045"/>
      <c r="K2045"/>
      <c r="L2045"/>
      <c r="M2045"/>
      <c r="S2045" s="54"/>
    </row>
    <row r="2046" spans="1:19" s="15" customFormat="1" x14ac:dyDescent="0.3">
      <c r="A2046" s="17"/>
      <c r="B2046"/>
      <c r="C2046"/>
      <c r="D2046"/>
      <c r="E2046"/>
      <c r="F2046"/>
      <c r="G2046"/>
      <c r="H2046"/>
      <c r="I2046"/>
      <c r="J2046"/>
      <c r="K2046"/>
      <c r="L2046"/>
      <c r="M2046"/>
      <c r="S2046" s="54"/>
    </row>
    <row r="2047" spans="1:19" s="15" customFormat="1" x14ac:dyDescent="0.3">
      <c r="A2047" s="17"/>
      <c r="B2047"/>
      <c r="C2047"/>
      <c r="D2047"/>
      <c r="E2047"/>
      <c r="F2047"/>
      <c r="G2047"/>
      <c r="H2047"/>
      <c r="I2047"/>
      <c r="J2047"/>
      <c r="K2047"/>
      <c r="L2047"/>
      <c r="M2047"/>
      <c r="S2047" s="54"/>
    </row>
    <row r="2048" spans="1:19" s="15" customFormat="1" x14ac:dyDescent="0.3">
      <c r="A2048" s="17"/>
      <c r="B2048"/>
      <c r="C2048"/>
      <c r="D2048"/>
      <c r="E2048"/>
      <c r="F2048"/>
      <c r="G2048"/>
      <c r="H2048"/>
      <c r="I2048"/>
      <c r="J2048"/>
      <c r="K2048"/>
      <c r="L2048"/>
      <c r="M2048"/>
      <c r="S2048" s="54"/>
    </row>
    <row r="2049" spans="1:19" s="15" customFormat="1" x14ac:dyDescent="0.3">
      <c r="A2049" s="17"/>
      <c r="B2049"/>
      <c r="C2049"/>
      <c r="D2049"/>
      <c r="E2049"/>
      <c r="F2049"/>
      <c r="G2049"/>
      <c r="H2049"/>
      <c r="I2049"/>
      <c r="J2049"/>
      <c r="K2049"/>
      <c r="L2049"/>
      <c r="M2049"/>
      <c r="S2049" s="54"/>
    </row>
    <row r="2050" spans="1:19" s="15" customFormat="1" x14ac:dyDescent="0.3">
      <c r="A2050" s="17"/>
      <c r="B2050"/>
      <c r="C2050"/>
      <c r="D2050"/>
      <c r="E2050"/>
      <c r="F2050"/>
      <c r="G2050"/>
      <c r="H2050"/>
      <c r="I2050"/>
      <c r="J2050"/>
      <c r="K2050"/>
      <c r="L2050"/>
      <c r="M2050"/>
      <c r="S2050" s="54"/>
    </row>
    <row r="2051" spans="1:19" s="15" customFormat="1" x14ac:dyDescent="0.3">
      <c r="A2051" s="17"/>
      <c r="B2051"/>
      <c r="C2051"/>
      <c r="D2051"/>
      <c r="E2051"/>
      <c r="F2051"/>
      <c r="G2051"/>
      <c r="H2051"/>
      <c r="I2051"/>
      <c r="J2051"/>
      <c r="K2051"/>
      <c r="L2051"/>
      <c r="M2051"/>
      <c r="S2051" s="54"/>
    </row>
    <row r="2052" spans="1:19" s="15" customFormat="1" x14ac:dyDescent="0.3">
      <c r="A2052" s="17"/>
      <c r="B2052"/>
      <c r="C2052"/>
      <c r="D2052"/>
      <c r="E2052"/>
      <c r="F2052"/>
      <c r="G2052"/>
      <c r="H2052"/>
      <c r="I2052"/>
      <c r="J2052"/>
      <c r="K2052"/>
      <c r="L2052"/>
      <c r="M2052"/>
      <c r="S2052" s="54"/>
    </row>
    <row r="2053" spans="1:19" s="15" customFormat="1" x14ac:dyDescent="0.3">
      <c r="A2053" s="17"/>
      <c r="B2053"/>
      <c r="C2053"/>
      <c r="D2053"/>
      <c r="E2053"/>
      <c r="F2053"/>
      <c r="G2053"/>
      <c r="H2053"/>
      <c r="I2053"/>
      <c r="J2053"/>
      <c r="K2053"/>
      <c r="L2053"/>
      <c r="M2053"/>
      <c r="S2053" s="54"/>
    </row>
    <row r="2054" spans="1:19" s="15" customFormat="1" x14ac:dyDescent="0.3">
      <c r="A2054" s="17"/>
      <c r="B2054"/>
      <c r="C2054"/>
      <c r="D2054"/>
      <c r="E2054"/>
      <c r="F2054"/>
      <c r="G2054"/>
      <c r="H2054"/>
      <c r="I2054"/>
      <c r="J2054"/>
      <c r="K2054"/>
      <c r="L2054"/>
      <c r="M2054"/>
      <c r="S2054" s="54"/>
    </row>
    <row r="2055" spans="1:19" s="15" customFormat="1" x14ac:dyDescent="0.3">
      <c r="A2055" s="17"/>
      <c r="B2055"/>
      <c r="C2055"/>
      <c r="D2055"/>
      <c r="E2055"/>
      <c r="F2055"/>
      <c r="G2055"/>
      <c r="H2055"/>
      <c r="I2055"/>
      <c r="J2055"/>
      <c r="K2055"/>
      <c r="L2055"/>
      <c r="M2055"/>
      <c r="S2055" s="54"/>
    </row>
    <row r="2056" spans="1:19" s="15" customFormat="1" x14ac:dyDescent="0.3">
      <c r="A2056" s="17"/>
      <c r="B2056"/>
      <c r="C2056"/>
      <c r="D2056"/>
      <c r="E2056"/>
      <c r="F2056"/>
      <c r="G2056"/>
      <c r="H2056"/>
      <c r="I2056"/>
      <c r="J2056"/>
      <c r="K2056"/>
      <c r="L2056"/>
      <c r="M2056"/>
      <c r="S2056" s="54"/>
    </row>
    <row r="2057" spans="1:19" s="15" customFormat="1" x14ac:dyDescent="0.3">
      <c r="A2057" s="17"/>
      <c r="B2057"/>
      <c r="C2057"/>
      <c r="D2057"/>
      <c r="E2057"/>
      <c r="F2057"/>
      <c r="G2057"/>
      <c r="H2057"/>
      <c r="I2057"/>
      <c r="J2057"/>
      <c r="K2057"/>
      <c r="L2057"/>
      <c r="M2057"/>
      <c r="S2057" s="54"/>
    </row>
    <row r="2058" spans="1:19" s="15" customFormat="1" x14ac:dyDescent="0.3">
      <c r="A2058" s="17"/>
      <c r="B2058"/>
      <c r="C2058"/>
      <c r="D2058"/>
      <c r="E2058"/>
      <c r="F2058"/>
      <c r="G2058"/>
      <c r="H2058"/>
      <c r="I2058"/>
      <c r="J2058"/>
      <c r="K2058"/>
      <c r="L2058"/>
      <c r="M2058"/>
      <c r="S2058" s="54"/>
    </row>
    <row r="2059" spans="1:19" s="15" customFormat="1" x14ac:dyDescent="0.3">
      <c r="A2059" s="17"/>
      <c r="B2059"/>
      <c r="C2059"/>
      <c r="D2059"/>
      <c r="E2059"/>
      <c r="F2059"/>
      <c r="G2059"/>
      <c r="H2059"/>
      <c r="I2059"/>
      <c r="J2059"/>
      <c r="K2059"/>
      <c r="L2059"/>
      <c r="M2059"/>
      <c r="S2059" s="54"/>
    </row>
    <row r="2060" spans="1:19" s="15" customFormat="1" x14ac:dyDescent="0.3">
      <c r="A2060" s="17"/>
      <c r="B2060"/>
      <c r="C2060"/>
      <c r="D2060"/>
      <c r="E2060"/>
      <c r="F2060"/>
      <c r="G2060"/>
      <c r="H2060"/>
      <c r="I2060"/>
      <c r="J2060"/>
      <c r="K2060"/>
      <c r="L2060"/>
      <c r="M2060"/>
      <c r="S2060" s="54"/>
    </row>
    <row r="2061" spans="1:19" s="15" customFormat="1" x14ac:dyDescent="0.3">
      <c r="A2061" s="17"/>
      <c r="B2061"/>
      <c r="C2061"/>
      <c r="D2061"/>
      <c r="E2061"/>
      <c r="F2061"/>
      <c r="G2061"/>
      <c r="H2061"/>
      <c r="I2061"/>
      <c r="J2061"/>
      <c r="K2061"/>
      <c r="L2061"/>
      <c r="M2061"/>
      <c r="S2061" s="54"/>
    </row>
    <row r="2062" spans="1:19" s="15" customFormat="1" x14ac:dyDescent="0.3">
      <c r="A2062" s="17"/>
      <c r="B2062"/>
      <c r="C2062"/>
      <c r="D2062"/>
      <c r="E2062"/>
      <c r="F2062"/>
      <c r="G2062"/>
      <c r="H2062"/>
      <c r="I2062"/>
      <c r="J2062"/>
      <c r="K2062"/>
      <c r="L2062"/>
      <c r="M2062"/>
      <c r="S2062" s="54"/>
    </row>
    <row r="2063" spans="1:19" s="15" customFormat="1" x14ac:dyDescent="0.3">
      <c r="A2063" s="17"/>
      <c r="B2063"/>
      <c r="C2063"/>
      <c r="D2063"/>
      <c r="E2063"/>
      <c r="F2063"/>
      <c r="G2063"/>
      <c r="H2063"/>
      <c r="I2063"/>
      <c r="J2063"/>
      <c r="K2063"/>
      <c r="L2063"/>
      <c r="M2063"/>
      <c r="S2063" s="54"/>
    </row>
    <row r="2064" spans="1:19" s="15" customFormat="1" x14ac:dyDescent="0.3">
      <c r="A2064" s="17"/>
      <c r="B2064"/>
      <c r="C2064"/>
      <c r="D2064"/>
      <c r="E2064"/>
      <c r="F2064"/>
      <c r="G2064"/>
      <c r="H2064"/>
      <c r="I2064"/>
      <c r="J2064"/>
      <c r="K2064"/>
      <c r="L2064"/>
      <c r="M2064"/>
      <c r="S2064" s="54"/>
    </row>
    <row r="2065" spans="1:19" s="15" customFormat="1" x14ac:dyDescent="0.3">
      <c r="A2065" s="17"/>
      <c r="B2065"/>
      <c r="C2065"/>
      <c r="D2065"/>
      <c r="E2065"/>
      <c r="F2065"/>
      <c r="G2065"/>
      <c r="H2065"/>
      <c r="I2065"/>
      <c r="J2065"/>
      <c r="K2065"/>
      <c r="L2065"/>
      <c r="M2065"/>
      <c r="S2065" s="54"/>
    </row>
    <row r="2066" spans="1:19" s="15" customFormat="1" x14ac:dyDescent="0.3">
      <c r="A2066" s="17"/>
      <c r="B2066"/>
      <c r="C2066"/>
      <c r="D2066"/>
      <c r="E2066"/>
      <c r="F2066"/>
      <c r="G2066"/>
      <c r="H2066"/>
      <c r="I2066"/>
      <c r="J2066"/>
      <c r="K2066"/>
      <c r="L2066"/>
      <c r="M2066"/>
      <c r="S2066" s="54"/>
    </row>
    <row r="2067" spans="1:19" s="15" customFormat="1" x14ac:dyDescent="0.3">
      <c r="A2067" s="17"/>
      <c r="B2067"/>
      <c r="C2067"/>
      <c r="D2067"/>
      <c r="E2067"/>
      <c r="F2067"/>
      <c r="G2067"/>
      <c r="H2067"/>
      <c r="I2067"/>
      <c r="J2067"/>
      <c r="K2067"/>
      <c r="L2067"/>
      <c r="M2067"/>
      <c r="S2067" s="54"/>
    </row>
    <row r="2068" spans="1:19" s="15" customFormat="1" x14ac:dyDescent="0.3">
      <c r="A2068" s="17"/>
      <c r="B2068"/>
      <c r="C2068"/>
      <c r="D2068"/>
      <c r="E2068"/>
      <c r="F2068"/>
      <c r="G2068"/>
      <c r="H2068"/>
      <c r="I2068"/>
      <c r="J2068"/>
      <c r="K2068"/>
      <c r="L2068"/>
      <c r="M2068"/>
      <c r="S2068" s="54"/>
    </row>
    <row r="2069" spans="1:19" s="15" customFormat="1" x14ac:dyDescent="0.3">
      <c r="A2069" s="17"/>
      <c r="B2069"/>
      <c r="C2069"/>
      <c r="D2069"/>
      <c r="E2069"/>
      <c r="F2069"/>
      <c r="G2069"/>
      <c r="H2069"/>
      <c r="I2069"/>
      <c r="J2069"/>
      <c r="K2069"/>
      <c r="L2069"/>
      <c r="M2069"/>
      <c r="S2069" s="54"/>
    </row>
    <row r="2070" spans="1:19" s="15" customFormat="1" x14ac:dyDescent="0.3">
      <c r="A2070" s="17"/>
      <c r="B2070"/>
      <c r="C2070"/>
      <c r="D2070"/>
      <c r="E2070"/>
      <c r="F2070"/>
      <c r="G2070"/>
      <c r="H2070"/>
      <c r="I2070"/>
      <c r="J2070"/>
      <c r="K2070"/>
      <c r="L2070"/>
      <c r="M2070"/>
      <c r="S2070" s="54"/>
    </row>
    <row r="2071" spans="1:19" s="15" customFormat="1" x14ac:dyDescent="0.3">
      <c r="A2071" s="17"/>
      <c r="B2071"/>
      <c r="C2071"/>
      <c r="D2071"/>
      <c r="E2071"/>
      <c r="F2071"/>
      <c r="G2071"/>
      <c r="H2071"/>
      <c r="I2071"/>
      <c r="J2071"/>
      <c r="K2071"/>
      <c r="L2071"/>
      <c r="M2071"/>
      <c r="S2071" s="54"/>
    </row>
    <row r="2072" spans="1:19" s="15" customFormat="1" x14ac:dyDescent="0.3">
      <c r="A2072" s="17"/>
      <c r="B2072"/>
      <c r="C2072"/>
      <c r="D2072"/>
      <c r="E2072"/>
      <c r="F2072"/>
      <c r="G2072"/>
      <c r="H2072"/>
      <c r="I2072"/>
      <c r="J2072"/>
      <c r="K2072"/>
      <c r="L2072"/>
      <c r="M2072"/>
      <c r="S2072" s="54"/>
    </row>
    <row r="2073" spans="1:19" s="15" customFormat="1" x14ac:dyDescent="0.3">
      <c r="A2073" s="17"/>
      <c r="B2073"/>
      <c r="C2073"/>
      <c r="D2073"/>
      <c r="E2073"/>
      <c r="F2073"/>
      <c r="G2073"/>
      <c r="H2073"/>
      <c r="I2073"/>
      <c r="J2073"/>
      <c r="K2073"/>
      <c r="L2073"/>
      <c r="M2073"/>
      <c r="S2073" s="54"/>
    </row>
    <row r="2074" spans="1:19" s="15" customFormat="1" x14ac:dyDescent="0.3">
      <c r="A2074" s="17"/>
      <c r="B2074"/>
      <c r="C2074"/>
      <c r="D2074"/>
      <c r="E2074"/>
      <c r="F2074"/>
      <c r="G2074"/>
      <c r="H2074"/>
      <c r="I2074"/>
      <c r="J2074"/>
      <c r="K2074"/>
      <c r="L2074"/>
      <c r="M2074"/>
      <c r="S2074" s="54"/>
    </row>
    <row r="2075" spans="1:19" s="15" customFormat="1" x14ac:dyDescent="0.3">
      <c r="A2075" s="17"/>
      <c r="B2075"/>
      <c r="C2075"/>
      <c r="D2075"/>
      <c r="E2075"/>
      <c r="F2075"/>
      <c r="G2075"/>
      <c r="H2075"/>
      <c r="I2075"/>
      <c r="J2075"/>
      <c r="K2075"/>
      <c r="L2075"/>
      <c r="M2075"/>
      <c r="S2075" s="54"/>
    </row>
    <row r="2076" spans="1:19" s="15" customFormat="1" x14ac:dyDescent="0.3">
      <c r="A2076" s="17"/>
      <c r="B2076"/>
      <c r="C2076"/>
      <c r="D2076"/>
      <c r="E2076"/>
      <c r="F2076"/>
      <c r="G2076"/>
      <c r="H2076"/>
      <c r="I2076"/>
      <c r="J2076"/>
      <c r="K2076"/>
      <c r="L2076"/>
      <c r="M2076"/>
      <c r="S2076" s="54"/>
    </row>
    <row r="2077" spans="1:19" s="15" customFormat="1" x14ac:dyDescent="0.3">
      <c r="A2077" s="17"/>
      <c r="B2077"/>
      <c r="C2077"/>
      <c r="D2077"/>
      <c r="E2077"/>
      <c r="F2077"/>
      <c r="G2077"/>
      <c r="H2077"/>
      <c r="I2077"/>
      <c r="J2077"/>
      <c r="K2077"/>
      <c r="L2077"/>
      <c r="M2077"/>
      <c r="S2077" s="54"/>
    </row>
    <row r="2078" spans="1:19" s="15" customFormat="1" x14ac:dyDescent="0.3">
      <c r="A2078" s="17"/>
      <c r="B2078"/>
      <c r="C2078"/>
      <c r="D2078"/>
      <c r="E2078"/>
      <c r="F2078"/>
      <c r="G2078"/>
      <c r="H2078"/>
      <c r="I2078"/>
      <c r="J2078"/>
      <c r="K2078"/>
      <c r="L2078"/>
      <c r="M2078"/>
      <c r="S2078" s="54"/>
    </row>
    <row r="2079" spans="1:19" s="15" customFormat="1" x14ac:dyDescent="0.3">
      <c r="A2079" s="17"/>
      <c r="B2079"/>
      <c r="C2079"/>
      <c r="D2079"/>
      <c r="E2079"/>
      <c r="F2079"/>
      <c r="G2079"/>
      <c r="H2079"/>
      <c r="I2079"/>
      <c r="J2079"/>
      <c r="K2079"/>
      <c r="L2079"/>
      <c r="M2079"/>
      <c r="S2079" s="54"/>
    </row>
    <row r="2080" spans="1:19" s="15" customFormat="1" x14ac:dyDescent="0.3">
      <c r="A2080" s="17"/>
      <c r="B2080"/>
      <c r="C2080"/>
      <c r="D2080"/>
      <c r="E2080"/>
      <c r="F2080"/>
      <c r="G2080"/>
      <c r="H2080"/>
      <c r="I2080"/>
      <c r="J2080"/>
      <c r="K2080"/>
      <c r="L2080"/>
      <c r="M2080"/>
      <c r="S2080" s="54"/>
    </row>
    <row r="2081" spans="1:19" s="15" customFormat="1" x14ac:dyDescent="0.3">
      <c r="A2081" s="17"/>
      <c r="B2081"/>
      <c r="C2081"/>
      <c r="D2081"/>
      <c r="E2081"/>
      <c r="F2081"/>
      <c r="G2081"/>
      <c r="H2081"/>
      <c r="I2081"/>
      <c r="J2081"/>
      <c r="K2081"/>
      <c r="L2081"/>
      <c r="M2081"/>
      <c r="S2081" s="54"/>
    </row>
    <row r="2082" spans="1:19" s="15" customFormat="1" x14ac:dyDescent="0.3">
      <c r="A2082" s="17"/>
      <c r="B2082"/>
      <c r="C2082"/>
      <c r="D2082"/>
      <c r="E2082"/>
      <c r="F2082"/>
      <c r="G2082"/>
      <c r="H2082"/>
      <c r="I2082"/>
      <c r="J2082"/>
      <c r="K2082"/>
      <c r="L2082"/>
      <c r="M2082"/>
      <c r="S2082" s="54"/>
    </row>
    <row r="2083" spans="1:19" s="15" customFormat="1" x14ac:dyDescent="0.3">
      <c r="A2083" s="17"/>
      <c r="B2083"/>
      <c r="C2083"/>
      <c r="D2083"/>
      <c r="E2083"/>
      <c r="F2083"/>
      <c r="G2083"/>
      <c r="H2083"/>
      <c r="I2083"/>
      <c r="J2083"/>
      <c r="K2083"/>
      <c r="L2083"/>
      <c r="M2083"/>
      <c r="S2083" s="54"/>
    </row>
    <row r="2084" spans="1:19" s="15" customFormat="1" x14ac:dyDescent="0.3">
      <c r="A2084" s="17"/>
      <c r="B2084"/>
      <c r="C2084"/>
      <c r="D2084"/>
      <c r="E2084"/>
      <c r="F2084"/>
      <c r="G2084"/>
      <c r="H2084"/>
      <c r="I2084"/>
      <c r="J2084"/>
      <c r="K2084"/>
      <c r="L2084"/>
      <c r="M2084"/>
      <c r="S2084" s="54"/>
    </row>
    <row r="2085" spans="1:19" s="15" customFormat="1" x14ac:dyDescent="0.3">
      <c r="A2085" s="17"/>
      <c r="B2085"/>
      <c r="C2085"/>
      <c r="D2085"/>
      <c r="E2085"/>
      <c r="F2085"/>
      <c r="G2085"/>
      <c r="H2085"/>
      <c r="I2085"/>
      <c r="J2085"/>
      <c r="K2085"/>
      <c r="L2085"/>
      <c r="M2085"/>
      <c r="S2085" s="54"/>
    </row>
    <row r="2086" spans="1:19" s="15" customFormat="1" x14ac:dyDescent="0.3">
      <c r="A2086" s="17"/>
      <c r="B2086"/>
      <c r="C2086"/>
      <c r="D2086"/>
      <c r="E2086"/>
      <c r="F2086"/>
      <c r="G2086"/>
      <c r="H2086"/>
      <c r="I2086"/>
      <c r="J2086"/>
      <c r="K2086"/>
      <c r="L2086"/>
      <c r="M2086"/>
      <c r="S2086" s="54"/>
    </row>
    <row r="2087" spans="1:19" s="15" customFormat="1" x14ac:dyDescent="0.3">
      <c r="A2087" s="17"/>
      <c r="B2087"/>
      <c r="C2087"/>
      <c r="D2087"/>
      <c r="E2087"/>
      <c r="F2087"/>
      <c r="G2087"/>
      <c r="H2087"/>
      <c r="I2087"/>
      <c r="J2087"/>
      <c r="K2087"/>
      <c r="L2087"/>
      <c r="M2087"/>
      <c r="S2087" s="54"/>
    </row>
    <row r="2088" spans="1:19" s="15" customFormat="1" x14ac:dyDescent="0.3">
      <c r="A2088" s="17"/>
      <c r="B2088"/>
      <c r="C2088"/>
      <c r="D2088"/>
      <c r="E2088"/>
      <c r="F2088"/>
      <c r="G2088"/>
      <c r="H2088"/>
      <c r="I2088"/>
      <c r="J2088"/>
      <c r="K2088"/>
      <c r="L2088"/>
      <c r="M2088"/>
      <c r="S2088" s="54"/>
    </row>
    <row r="2089" spans="1:19" s="15" customFormat="1" x14ac:dyDescent="0.3">
      <c r="A2089" s="17"/>
      <c r="B2089"/>
      <c r="C2089"/>
      <c r="D2089"/>
      <c r="E2089"/>
      <c r="F2089"/>
      <c r="G2089"/>
      <c r="H2089"/>
      <c r="I2089"/>
      <c r="J2089"/>
      <c r="K2089"/>
      <c r="L2089"/>
      <c r="M2089"/>
      <c r="S2089" s="54"/>
    </row>
    <row r="2090" spans="1:19" s="15" customFormat="1" x14ac:dyDescent="0.3">
      <c r="A2090" s="17"/>
      <c r="B2090"/>
      <c r="C2090"/>
      <c r="D2090"/>
      <c r="E2090"/>
      <c r="F2090"/>
      <c r="G2090"/>
      <c r="H2090"/>
      <c r="I2090"/>
      <c r="J2090"/>
      <c r="K2090"/>
      <c r="L2090"/>
      <c r="M2090"/>
      <c r="S2090" s="54"/>
    </row>
    <row r="2091" spans="1:19" s="15" customFormat="1" x14ac:dyDescent="0.3">
      <c r="A2091" s="17"/>
      <c r="B2091"/>
      <c r="C2091"/>
      <c r="D2091"/>
      <c r="E2091"/>
      <c r="F2091"/>
      <c r="G2091"/>
      <c r="H2091"/>
      <c r="I2091"/>
      <c r="J2091"/>
      <c r="K2091"/>
      <c r="L2091"/>
      <c r="M2091"/>
      <c r="S2091" s="54"/>
    </row>
    <row r="2092" spans="1:19" s="15" customFormat="1" x14ac:dyDescent="0.3">
      <c r="A2092" s="17"/>
      <c r="B2092"/>
      <c r="C2092"/>
      <c r="D2092"/>
      <c r="E2092"/>
      <c r="F2092"/>
      <c r="G2092"/>
      <c r="H2092"/>
      <c r="I2092"/>
      <c r="J2092"/>
      <c r="K2092"/>
      <c r="L2092"/>
      <c r="M2092"/>
      <c r="S2092" s="54"/>
    </row>
    <row r="2093" spans="1:19" s="15" customFormat="1" x14ac:dyDescent="0.3">
      <c r="A2093" s="17"/>
      <c r="B2093"/>
      <c r="C2093"/>
      <c r="D2093"/>
      <c r="E2093"/>
      <c r="F2093"/>
      <c r="G2093"/>
      <c r="H2093"/>
      <c r="I2093"/>
      <c r="J2093"/>
      <c r="K2093"/>
      <c r="L2093"/>
      <c r="M2093"/>
      <c r="S2093" s="54"/>
    </row>
    <row r="2094" spans="1:19" s="15" customFormat="1" x14ac:dyDescent="0.3">
      <c r="A2094" s="17"/>
      <c r="B2094"/>
      <c r="C2094"/>
      <c r="D2094"/>
      <c r="E2094"/>
      <c r="F2094"/>
      <c r="G2094"/>
      <c r="H2094"/>
      <c r="I2094"/>
      <c r="J2094"/>
      <c r="K2094"/>
      <c r="L2094"/>
      <c r="M2094"/>
      <c r="S2094" s="54"/>
    </row>
    <row r="2095" spans="1:19" s="15" customFormat="1" x14ac:dyDescent="0.3">
      <c r="A2095" s="17"/>
      <c r="B2095"/>
      <c r="C2095"/>
      <c r="D2095"/>
      <c r="E2095"/>
      <c r="F2095"/>
      <c r="G2095"/>
      <c r="H2095"/>
      <c r="I2095"/>
      <c r="J2095"/>
      <c r="K2095"/>
      <c r="L2095"/>
      <c r="M2095"/>
      <c r="S2095" s="54"/>
    </row>
    <row r="2096" spans="1:19" s="15" customFormat="1" x14ac:dyDescent="0.3">
      <c r="A2096" s="17"/>
      <c r="B2096"/>
      <c r="C2096"/>
      <c r="D2096"/>
      <c r="E2096"/>
      <c r="F2096"/>
      <c r="G2096"/>
      <c r="H2096"/>
      <c r="I2096"/>
      <c r="J2096"/>
      <c r="K2096"/>
      <c r="L2096"/>
      <c r="M2096"/>
      <c r="S2096" s="54"/>
    </row>
    <row r="2097" spans="1:19" s="15" customFormat="1" x14ac:dyDescent="0.3">
      <c r="A2097" s="17"/>
      <c r="B2097"/>
      <c r="C2097"/>
      <c r="D2097"/>
      <c r="E2097"/>
      <c r="F2097"/>
      <c r="G2097"/>
      <c r="H2097"/>
      <c r="I2097"/>
      <c r="J2097"/>
      <c r="K2097"/>
      <c r="L2097"/>
      <c r="M2097"/>
      <c r="S2097" s="54"/>
    </row>
    <row r="2098" spans="1:19" s="15" customFormat="1" x14ac:dyDescent="0.3">
      <c r="A2098" s="17"/>
      <c r="B2098"/>
      <c r="C2098"/>
      <c r="D2098"/>
      <c r="E2098"/>
      <c r="F2098"/>
      <c r="G2098"/>
      <c r="H2098"/>
      <c r="I2098"/>
      <c r="J2098"/>
      <c r="K2098"/>
      <c r="L2098"/>
      <c r="M2098"/>
      <c r="S2098" s="54"/>
    </row>
    <row r="2099" spans="1:19" s="15" customFormat="1" x14ac:dyDescent="0.3">
      <c r="A2099" s="17"/>
      <c r="B2099"/>
      <c r="C2099"/>
      <c r="D2099"/>
      <c r="E2099"/>
      <c r="F2099"/>
      <c r="G2099"/>
      <c r="H2099"/>
      <c r="I2099"/>
      <c r="J2099"/>
      <c r="K2099"/>
      <c r="L2099"/>
      <c r="M2099"/>
      <c r="S2099" s="54"/>
    </row>
    <row r="2100" spans="1:19" s="15" customFormat="1" x14ac:dyDescent="0.3">
      <c r="A2100" s="17"/>
      <c r="B2100"/>
      <c r="C2100"/>
      <c r="D2100"/>
      <c r="E2100"/>
      <c r="F2100"/>
      <c r="G2100"/>
      <c r="H2100"/>
      <c r="I2100"/>
      <c r="J2100"/>
      <c r="K2100"/>
      <c r="L2100"/>
      <c r="M2100"/>
      <c r="S2100" s="54"/>
    </row>
    <row r="2101" spans="1:19" s="15" customFormat="1" x14ac:dyDescent="0.3">
      <c r="A2101" s="17"/>
      <c r="B2101"/>
      <c r="C2101"/>
      <c r="D2101"/>
      <c r="E2101"/>
      <c r="F2101"/>
      <c r="G2101"/>
      <c r="H2101"/>
      <c r="I2101"/>
      <c r="J2101"/>
      <c r="K2101"/>
      <c r="L2101"/>
      <c r="M2101"/>
      <c r="S2101" s="54"/>
    </row>
    <row r="2102" spans="1:19" s="15" customFormat="1" x14ac:dyDescent="0.3">
      <c r="A2102" s="17"/>
      <c r="B2102"/>
      <c r="C2102"/>
      <c r="D2102"/>
      <c r="E2102"/>
      <c r="F2102"/>
      <c r="G2102"/>
      <c r="H2102"/>
      <c r="I2102"/>
      <c r="J2102"/>
      <c r="K2102"/>
      <c r="L2102"/>
      <c r="M2102"/>
      <c r="S2102" s="54"/>
    </row>
    <row r="2103" spans="1:19" s="15" customFormat="1" x14ac:dyDescent="0.3">
      <c r="A2103" s="17"/>
      <c r="B2103"/>
      <c r="C2103"/>
      <c r="D2103"/>
      <c r="E2103"/>
      <c r="F2103"/>
      <c r="G2103"/>
      <c r="H2103"/>
      <c r="I2103"/>
      <c r="J2103"/>
      <c r="K2103"/>
      <c r="L2103"/>
      <c r="M2103"/>
      <c r="S2103" s="54"/>
    </row>
    <row r="2104" spans="1:19" s="15" customFormat="1" x14ac:dyDescent="0.3">
      <c r="A2104" s="17"/>
      <c r="B2104"/>
      <c r="C2104"/>
      <c r="D2104"/>
      <c r="E2104"/>
      <c r="F2104"/>
      <c r="G2104"/>
      <c r="H2104"/>
      <c r="I2104"/>
      <c r="J2104"/>
      <c r="K2104"/>
      <c r="L2104"/>
      <c r="M2104"/>
      <c r="S2104" s="54"/>
    </row>
    <row r="2105" spans="1:19" s="15" customFormat="1" x14ac:dyDescent="0.3">
      <c r="A2105" s="17"/>
      <c r="B2105"/>
      <c r="C2105"/>
      <c r="D2105"/>
      <c r="E2105"/>
      <c r="F2105"/>
      <c r="G2105"/>
      <c r="H2105"/>
      <c r="I2105"/>
      <c r="J2105"/>
      <c r="K2105"/>
      <c r="L2105"/>
      <c r="M2105"/>
      <c r="S2105" s="54"/>
    </row>
    <row r="2106" spans="1:19" s="15" customFormat="1" x14ac:dyDescent="0.3">
      <c r="A2106" s="17"/>
      <c r="B2106"/>
      <c r="C2106"/>
      <c r="D2106"/>
      <c r="E2106"/>
      <c r="F2106"/>
      <c r="G2106"/>
      <c r="H2106"/>
      <c r="I2106"/>
      <c r="J2106"/>
      <c r="K2106"/>
      <c r="L2106"/>
      <c r="M2106"/>
      <c r="S2106" s="54"/>
    </row>
    <row r="2107" spans="1:19" s="15" customFormat="1" x14ac:dyDescent="0.3">
      <c r="A2107" s="17"/>
      <c r="B2107"/>
      <c r="C2107"/>
      <c r="D2107"/>
      <c r="E2107"/>
      <c r="F2107"/>
      <c r="G2107"/>
      <c r="H2107"/>
      <c r="I2107"/>
      <c r="J2107"/>
      <c r="K2107"/>
      <c r="L2107"/>
      <c r="M2107"/>
      <c r="S2107" s="54"/>
    </row>
    <row r="2108" spans="1:19" s="15" customFormat="1" x14ac:dyDescent="0.3">
      <c r="A2108" s="17"/>
      <c r="B2108"/>
      <c r="C2108"/>
      <c r="D2108"/>
      <c r="E2108"/>
      <c r="F2108"/>
      <c r="G2108"/>
      <c r="H2108"/>
      <c r="I2108"/>
      <c r="J2108"/>
      <c r="K2108"/>
      <c r="L2108"/>
      <c r="M2108"/>
      <c r="S2108" s="54"/>
    </row>
    <row r="2109" spans="1:19" s="15" customFormat="1" x14ac:dyDescent="0.3">
      <c r="A2109" s="17"/>
      <c r="B2109"/>
      <c r="C2109"/>
      <c r="D2109"/>
      <c r="E2109"/>
      <c r="F2109"/>
      <c r="G2109"/>
      <c r="H2109"/>
      <c r="I2109"/>
      <c r="J2109"/>
      <c r="K2109"/>
      <c r="L2109"/>
      <c r="M2109"/>
      <c r="S2109" s="54"/>
    </row>
    <row r="2110" spans="1:19" s="15" customFormat="1" x14ac:dyDescent="0.3">
      <c r="A2110" s="17"/>
      <c r="B2110"/>
      <c r="C2110"/>
      <c r="D2110"/>
      <c r="E2110"/>
      <c r="F2110"/>
      <c r="G2110"/>
      <c r="H2110"/>
      <c r="I2110"/>
      <c r="J2110"/>
      <c r="K2110"/>
      <c r="L2110"/>
      <c r="M2110"/>
      <c r="S2110" s="54"/>
    </row>
    <row r="2111" spans="1:19" s="15" customFormat="1" x14ac:dyDescent="0.3">
      <c r="A2111" s="17"/>
      <c r="B2111"/>
      <c r="C2111"/>
      <c r="D2111"/>
      <c r="E2111"/>
      <c r="F2111"/>
      <c r="G2111"/>
      <c r="H2111"/>
      <c r="I2111"/>
      <c r="J2111"/>
      <c r="K2111"/>
      <c r="L2111"/>
      <c r="M2111"/>
      <c r="S2111" s="54"/>
    </row>
    <row r="2112" spans="1:19" s="15" customFormat="1" x14ac:dyDescent="0.3">
      <c r="A2112" s="17"/>
      <c r="B2112"/>
      <c r="C2112"/>
      <c r="D2112"/>
      <c r="E2112"/>
      <c r="F2112"/>
      <c r="G2112"/>
      <c r="H2112"/>
      <c r="I2112"/>
      <c r="J2112"/>
      <c r="K2112"/>
      <c r="L2112"/>
      <c r="M2112"/>
      <c r="S2112" s="54"/>
    </row>
    <row r="2113" spans="1:19" s="15" customFormat="1" x14ac:dyDescent="0.3">
      <c r="A2113" s="17"/>
      <c r="B2113"/>
      <c r="C2113"/>
      <c r="D2113"/>
      <c r="E2113"/>
      <c r="F2113"/>
      <c r="G2113"/>
      <c r="H2113"/>
      <c r="I2113"/>
      <c r="J2113"/>
      <c r="K2113"/>
      <c r="L2113"/>
      <c r="M2113"/>
      <c r="S2113" s="54"/>
    </row>
    <row r="2114" spans="1:19" s="15" customFormat="1" x14ac:dyDescent="0.3">
      <c r="A2114" s="17"/>
      <c r="B2114"/>
      <c r="C2114"/>
      <c r="D2114"/>
      <c r="E2114"/>
      <c r="F2114"/>
      <c r="G2114"/>
      <c r="H2114"/>
      <c r="I2114"/>
      <c r="J2114"/>
      <c r="K2114"/>
      <c r="L2114"/>
      <c r="M2114"/>
      <c r="S2114" s="54"/>
    </row>
    <row r="2115" spans="1:19" s="15" customFormat="1" x14ac:dyDescent="0.3">
      <c r="A2115" s="17"/>
      <c r="B2115"/>
      <c r="C2115"/>
      <c r="D2115"/>
      <c r="E2115"/>
      <c r="F2115"/>
      <c r="G2115"/>
      <c r="H2115"/>
      <c r="I2115"/>
      <c r="J2115"/>
      <c r="K2115"/>
      <c r="L2115"/>
      <c r="M2115"/>
      <c r="S2115" s="54"/>
    </row>
    <row r="2116" spans="1:19" s="15" customFormat="1" x14ac:dyDescent="0.3">
      <c r="A2116" s="17"/>
      <c r="B2116"/>
      <c r="C2116"/>
      <c r="D2116"/>
      <c r="E2116"/>
      <c r="F2116"/>
      <c r="G2116"/>
      <c r="H2116"/>
      <c r="I2116"/>
      <c r="J2116"/>
      <c r="K2116"/>
      <c r="L2116"/>
      <c r="M2116"/>
      <c r="S2116" s="54"/>
    </row>
    <row r="2117" spans="1:19" s="15" customFormat="1" x14ac:dyDescent="0.3">
      <c r="A2117" s="17"/>
      <c r="B2117"/>
      <c r="C2117"/>
      <c r="D2117"/>
      <c r="E2117"/>
      <c r="F2117"/>
      <c r="G2117"/>
      <c r="H2117"/>
      <c r="I2117"/>
      <c r="J2117"/>
      <c r="K2117"/>
      <c r="L2117"/>
      <c r="M2117"/>
      <c r="S2117" s="54"/>
    </row>
    <row r="2118" spans="1:19" s="15" customFormat="1" x14ac:dyDescent="0.3">
      <c r="A2118" s="17"/>
      <c r="B2118"/>
      <c r="C2118"/>
      <c r="D2118"/>
      <c r="E2118"/>
      <c r="F2118"/>
      <c r="G2118"/>
      <c r="H2118"/>
      <c r="I2118"/>
      <c r="J2118"/>
      <c r="K2118"/>
      <c r="L2118"/>
      <c r="M2118"/>
      <c r="S2118" s="54"/>
    </row>
    <row r="2119" spans="1:19" s="15" customFormat="1" x14ac:dyDescent="0.3">
      <c r="A2119" s="17"/>
      <c r="B2119"/>
      <c r="C2119"/>
      <c r="D2119"/>
      <c r="E2119"/>
      <c r="F2119"/>
      <c r="G2119"/>
      <c r="H2119"/>
      <c r="I2119"/>
      <c r="J2119"/>
      <c r="K2119"/>
      <c r="L2119"/>
      <c r="M2119"/>
      <c r="S2119" s="54"/>
    </row>
    <row r="2120" spans="1:19" s="15" customFormat="1" x14ac:dyDescent="0.3">
      <c r="A2120" s="17"/>
      <c r="B2120"/>
      <c r="C2120"/>
      <c r="D2120"/>
      <c r="E2120"/>
      <c r="F2120"/>
      <c r="G2120"/>
      <c r="H2120"/>
      <c r="I2120"/>
      <c r="J2120"/>
      <c r="K2120"/>
      <c r="L2120"/>
      <c r="M2120"/>
      <c r="S2120" s="54"/>
    </row>
    <row r="2121" spans="1:19" s="15" customFormat="1" x14ac:dyDescent="0.3">
      <c r="A2121" s="17"/>
      <c r="B2121"/>
      <c r="C2121"/>
      <c r="D2121"/>
      <c r="E2121"/>
      <c r="F2121"/>
      <c r="G2121"/>
      <c r="H2121"/>
      <c r="I2121"/>
      <c r="J2121"/>
      <c r="K2121"/>
      <c r="L2121"/>
      <c r="M2121"/>
      <c r="S2121" s="54"/>
    </row>
    <row r="2122" spans="1:19" s="15" customFormat="1" x14ac:dyDescent="0.3">
      <c r="A2122" s="17"/>
      <c r="B2122"/>
      <c r="C2122"/>
      <c r="D2122"/>
      <c r="E2122"/>
      <c r="F2122"/>
      <c r="G2122"/>
      <c r="H2122"/>
      <c r="I2122"/>
      <c r="J2122"/>
      <c r="K2122"/>
      <c r="L2122"/>
      <c r="M2122"/>
      <c r="S2122" s="54"/>
    </row>
    <row r="2123" spans="1:19" s="15" customFormat="1" x14ac:dyDescent="0.3">
      <c r="A2123" s="17"/>
      <c r="B2123"/>
      <c r="C2123"/>
      <c r="D2123"/>
      <c r="E2123"/>
      <c r="F2123"/>
      <c r="G2123"/>
      <c r="H2123"/>
      <c r="I2123"/>
      <c r="J2123"/>
      <c r="K2123"/>
      <c r="L2123"/>
      <c r="M2123"/>
      <c r="S2123" s="54"/>
    </row>
    <row r="2124" spans="1:19" s="15" customFormat="1" x14ac:dyDescent="0.3">
      <c r="A2124" s="17"/>
      <c r="B2124"/>
      <c r="C2124"/>
      <c r="D2124"/>
      <c r="E2124"/>
      <c r="F2124"/>
      <c r="G2124"/>
      <c r="H2124"/>
      <c r="I2124"/>
      <c r="J2124"/>
      <c r="K2124"/>
      <c r="L2124"/>
      <c r="M2124"/>
      <c r="S2124" s="54"/>
    </row>
    <row r="2125" spans="1:19" s="15" customFormat="1" x14ac:dyDescent="0.3">
      <c r="A2125" s="17"/>
      <c r="B2125"/>
      <c r="C2125"/>
      <c r="D2125"/>
      <c r="E2125"/>
      <c r="F2125"/>
      <c r="G2125"/>
      <c r="H2125"/>
      <c r="I2125"/>
      <c r="J2125"/>
      <c r="K2125"/>
      <c r="L2125"/>
      <c r="M2125"/>
      <c r="S2125" s="54"/>
    </row>
    <row r="2126" spans="1:19" s="15" customFormat="1" x14ac:dyDescent="0.3">
      <c r="A2126" s="17"/>
      <c r="B2126"/>
      <c r="C2126"/>
      <c r="D2126"/>
      <c r="E2126"/>
      <c r="F2126"/>
      <c r="G2126"/>
      <c r="H2126"/>
      <c r="I2126"/>
      <c r="J2126"/>
      <c r="K2126"/>
      <c r="L2126"/>
      <c r="M2126"/>
      <c r="S2126" s="54"/>
    </row>
    <row r="2127" spans="1:19" s="15" customFormat="1" x14ac:dyDescent="0.3">
      <c r="A2127" s="17"/>
      <c r="B2127"/>
      <c r="C2127"/>
      <c r="D2127"/>
      <c r="E2127"/>
      <c r="F2127"/>
      <c r="G2127"/>
      <c r="H2127"/>
      <c r="I2127"/>
      <c r="J2127"/>
      <c r="K2127"/>
      <c r="L2127"/>
      <c r="M2127"/>
      <c r="S2127" s="54"/>
    </row>
    <row r="2128" spans="1:19" s="15" customFormat="1" x14ac:dyDescent="0.3">
      <c r="A2128" s="17"/>
      <c r="B2128"/>
      <c r="C2128"/>
      <c r="D2128"/>
      <c r="E2128"/>
      <c r="F2128"/>
      <c r="G2128"/>
      <c r="H2128"/>
      <c r="I2128"/>
      <c r="J2128"/>
      <c r="K2128"/>
      <c r="L2128"/>
      <c r="M2128"/>
      <c r="S2128" s="54"/>
    </row>
    <row r="2129" spans="1:19" s="15" customFormat="1" x14ac:dyDescent="0.3">
      <c r="A2129" s="17"/>
      <c r="B2129"/>
      <c r="C2129"/>
      <c r="D2129"/>
      <c r="E2129"/>
      <c r="F2129"/>
      <c r="G2129"/>
      <c r="H2129"/>
      <c r="I2129"/>
      <c r="J2129"/>
      <c r="K2129"/>
      <c r="L2129"/>
      <c r="M2129"/>
      <c r="S2129" s="54"/>
    </row>
    <row r="2130" spans="1:19" s="15" customFormat="1" x14ac:dyDescent="0.3">
      <c r="A2130" s="17"/>
      <c r="B2130"/>
      <c r="C2130"/>
      <c r="D2130"/>
      <c r="E2130"/>
      <c r="F2130"/>
      <c r="G2130"/>
      <c r="H2130"/>
      <c r="I2130"/>
      <c r="J2130"/>
      <c r="K2130"/>
      <c r="L2130"/>
      <c r="M2130"/>
      <c r="S2130" s="54"/>
    </row>
    <row r="2131" spans="1:19" s="15" customFormat="1" x14ac:dyDescent="0.3">
      <c r="A2131" s="17"/>
      <c r="B2131"/>
      <c r="C2131"/>
      <c r="D2131"/>
      <c r="E2131"/>
      <c r="F2131"/>
      <c r="G2131"/>
      <c r="H2131"/>
      <c r="I2131"/>
      <c r="J2131"/>
      <c r="K2131"/>
      <c r="L2131"/>
      <c r="M2131"/>
      <c r="S2131" s="54"/>
    </row>
    <row r="2132" spans="1:19" s="15" customFormat="1" x14ac:dyDescent="0.3">
      <c r="A2132" s="17"/>
      <c r="B2132"/>
      <c r="C2132"/>
      <c r="D2132"/>
      <c r="E2132"/>
      <c r="F2132"/>
      <c r="G2132"/>
      <c r="H2132"/>
      <c r="I2132"/>
      <c r="J2132"/>
      <c r="K2132"/>
      <c r="L2132"/>
      <c r="M2132"/>
      <c r="S2132" s="54"/>
    </row>
    <row r="2133" spans="1:19" s="15" customFormat="1" x14ac:dyDescent="0.3">
      <c r="A2133" s="17"/>
      <c r="B2133"/>
      <c r="C2133"/>
      <c r="D2133"/>
      <c r="E2133"/>
      <c r="F2133"/>
      <c r="G2133"/>
      <c r="H2133"/>
      <c r="I2133"/>
      <c r="J2133"/>
      <c r="K2133"/>
      <c r="L2133"/>
      <c r="M2133"/>
      <c r="S2133" s="54"/>
    </row>
    <row r="2134" spans="1:19" s="15" customFormat="1" x14ac:dyDescent="0.3">
      <c r="A2134" s="17"/>
      <c r="B2134"/>
      <c r="C2134"/>
      <c r="D2134"/>
      <c r="E2134"/>
      <c r="F2134"/>
      <c r="G2134"/>
      <c r="H2134"/>
      <c r="I2134"/>
      <c r="J2134"/>
      <c r="K2134"/>
      <c r="L2134"/>
      <c r="M2134"/>
      <c r="S2134" s="54"/>
    </row>
    <row r="2135" spans="1:19" s="15" customFormat="1" x14ac:dyDescent="0.3">
      <c r="A2135" s="17"/>
      <c r="B2135"/>
      <c r="C2135"/>
      <c r="D2135"/>
      <c r="E2135"/>
      <c r="F2135"/>
      <c r="G2135"/>
      <c r="H2135"/>
      <c r="I2135"/>
      <c r="J2135"/>
      <c r="K2135"/>
      <c r="L2135"/>
      <c r="M2135"/>
      <c r="S2135" s="54"/>
    </row>
    <row r="2136" spans="1:19" s="15" customFormat="1" x14ac:dyDescent="0.3">
      <c r="A2136" s="17"/>
      <c r="B2136"/>
      <c r="C2136"/>
      <c r="D2136"/>
      <c r="E2136"/>
      <c r="F2136"/>
      <c r="G2136"/>
      <c r="H2136"/>
      <c r="I2136"/>
      <c r="J2136"/>
      <c r="K2136"/>
      <c r="L2136"/>
      <c r="M2136"/>
      <c r="S2136" s="54"/>
    </row>
    <row r="2137" spans="1:19" s="15" customFormat="1" x14ac:dyDescent="0.3">
      <c r="A2137" s="17"/>
      <c r="B2137"/>
      <c r="C2137"/>
      <c r="D2137"/>
      <c r="E2137"/>
      <c r="F2137"/>
      <c r="G2137"/>
      <c r="H2137"/>
      <c r="I2137"/>
      <c r="J2137"/>
      <c r="K2137"/>
      <c r="L2137"/>
      <c r="M2137"/>
      <c r="S2137" s="54"/>
    </row>
    <row r="2138" spans="1:19" s="15" customFormat="1" x14ac:dyDescent="0.3">
      <c r="A2138" s="17"/>
      <c r="B2138"/>
      <c r="C2138"/>
      <c r="D2138"/>
      <c r="E2138"/>
      <c r="F2138"/>
      <c r="G2138"/>
      <c r="H2138"/>
      <c r="I2138"/>
      <c r="J2138"/>
      <c r="K2138"/>
      <c r="L2138"/>
      <c r="M2138"/>
      <c r="S2138" s="54"/>
    </row>
    <row r="2139" spans="1:19" s="15" customFormat="1" x14ac:dyDescent="0.3">
      <c r="A2139" s="17"/>
      <c r="B2139"/>
      <c r="C2139"/>
      <c r="D2139"/>
      <c r="E2139"/>
      <c r="F2139"/>
      <c r="G2139"/>
      <c r="H2139"/>
      <c r="I2139"/>
      <c r="J2139"/>
      <c r="K2139"/>
      <c r="L2139"/>
      <c r="M2139"/>
      <c r="S2139" s="54"/>
    </row>
    <row r="2140" spans="1:19" s="15" customFormat="1" x14ac:dyDescent="0.3">
      <c r="A2140" s="17"/>
      <c r="B2140"/>
      <c r="C2140"/>
      <c r="D2140"/>
      <c r="E2140"/>
      <c r="F2140"/>
      <c r="G2140"/>
      <c r="H2140"/>
      <c r="I2140"/>
      <c r="J2140"/>
      <c r="K2140"/>
      <c r="L2140"/>
      <c r="M2140"/>
      <c r="S2140" s="54"/>
    </row>
    <row r="2141" spans="1:19" s="15" customFormat="1" x14ac:dyDescent="0.3">
      <c r="A2141" s="17"/>
      <c r="B2141"/>
      <c r="C2141"/>
      <c r="D2141"/>
      <c r="E2141"/>
      <c r="F2141"/>
      <c r="G2141"/>
      <c r="H2141"/>
      <c r="I2141"/>
      <c r="J2141"/>
      <c r="K2141"/>
      <c r="L2141"/>
      <c r="M2141"/>
      <c r="S2141" s="54"/>
    </row>
    <row r="2142" spans="1:19" s="15" customFormat="1" x14ac:dyDescent="0.3">
      <c r="A2142" s="17"/>
      <c r="B2142"/>
      <c r="C2142"/>
      <c r="D2142"/>
      <c r="E2142"/>
      <c r="F2142"/>
      <c r="G2142"/>
      <c r="H2142"/>
      <c r="I2142"/>
      <c r="J2142"/>
      <c r="K2142"/>
      <c r="L2142"/>
      <c r="M2142"/>
      <c r="S2142" s="54"/>
    </row>
    <row r="2143" spans="1:19" s="15" customFormat="1" x14ac:dyDescent="0.3">
      <c r="A2143" s="17"/>
      <c r="B2143"/>
      <c r="C2143"/>
      <c r="D2143"/>
      <c r="E2143"/>
      <c r="F2143"/>
      <c r="G2143"/>
      <c r="H2143"/>
      <c r="I2143"/>
      <c r="J2143"/>
      <c r="K2143"/>
      <c r="L2143"/>
      <c r="M2143"/>
      <c r="S2143" s="54"/>
    </row>
    <row r="2144" spans="1:19" s="15" customFormat="1" x14ac:dyDescent="0.3">
      <c r="A2144" s="17"/>
      <c r="B2144"/>
      <c r="C2144"/>
      <c r="D2144"/>
      <c r="E2144"/>
      <c r="F2144"/>
      <c r="G2144"/>
      <c r="H2144"/>
      <c r="I2144"/>
      <c r="J2144"/>
      <c r="K2144"/>
      <c r="L2144"/>
      <c r="M2144"/>
      <c r="S2144" s="54"/>
    </row>
    <row r="2145" spans="1:19" s="15" customFormat="1" x14ac:dyDescent="0.3">
      <c r="A2145" s="17"/>
      <c r="B2145"/>
      <c r="C2145"/>
      <c r="D2145"/>
      <c r="E2145"/>
      <c r="F2145"/>
      <c r="G2145"/>
      <c r="H2145"/>
      <c r="I2145"/>
      <c r="J2145"/>
      <c r="K2145"/>
      <c r="L2145"/>
      <c r="M2145"/>
      <c r="S2145" s="54"/>
    </row>
    <row r="2146" spans="1:19" s="15" customFormat="1" x14ac:dyDescent="0.3">
      <c r="A2146" s="17"/>
      <c r="B2146"/>
      <c r="C2146"/>
      <c r="D2146"/>
      <c r="E2146"/>
      <c r="F2146"/>
      <c r="G2146"/>
      <c r="H2146"/>
      <c r="I2146"/>
      <c r="J2146"/>
      <c r="K2146"/>
      <c r="L2146"/>
      <c r="M2146"/>
      <c r="S2146" s="54"/>
    </row>
    <row r="2147" spans="1:19" s="15" customFormat="1" x14ac:dyDescent="0.3">
      <c r="A2147" s="17"/>
      <c r="B2147"/>
      <c r="C2147"/>
      <c r="D2147"/>
      <c r="E2147"/>
      <c r="F2147"/>
      <c r="G2147"/>
      <c r="H2147"/>
      <c r="I2147"/>
      <c r="J2147"/>
      <c r="K2147"/>
      <c r="L2147"/>
      <c r="M2147"/>
      <c r="S2147" s="54"/>
    </row>
    <row r="2148" spans="1:19" s="15" customFormat="1" x14ac:dyDescent="0.3">
      <c r="A2148" s="17"/>
      <c r="B2148"/>
      <c r="C2148"/>
      <c r="D2148"/>
      <c r="E2148"/>
      <c r="F2148"/>
      <c r="G2148"/>
      <c r="H2148"/>
      <c r="I2148"/>
      <c r="J2148"/>
      <c r="K2148"/>
      <c r="L2148"/>
      <c r="M2148"/>
      <c r="S2148" s="54"/>
    </row>
    <row r="2149" spans="1:19" s="15" customFormat="1" x14ac:dyDescent="0.3">
      <c r="A2149" s="17"/>
      <c r="B2149"/>
      <c r="C2149"/>
      <c r="D2149"/>
      <c r="E2149"/>
      <c r="F2149"/>
      <c r="G2149"/>
      <c r="H2149"/>
      <c r="I2149"/>
      <c r="J2149"/>
      <c r="K2149"/>
      <c r="L2149"/>
      <c r="M2149"/>
      <c r="S2149" s="54"/>
    </row>
    <row r="2150" spans="1:19" s="15" customFormat="1" x14ac:dyDescent="0.3">
      <c r="A2150" s="17"/>
      <c r="B2150"/>
      <c r="C2150"/>
      <c r="D2150"/>
      <c r="E2150"/>
      <c r="F2150"/>
      <c r="G2150"/>
      <c r="H2150"/>
      <c r="I2150"/>
      <c r="J2150"/>
      <c r="K2150"/>
      <c r="L2150"/>
      <c r="M2150"/>
      <c r="S2150" s="54"/>
    </row>
    <row r="2151" spans="1:19" s="15" customFormat="1" x14ac:dyDescent="0.3">
      <c r="A2151" s="17"/>
      <c r="B2151"/>
      <c r="C2151"/>
      <c r="D2151"/>
      <c r="E2151"/>
      <c r="F2151"/>
      <c r="G2151"/>
      <c r="H2151"/>
      <c r="I2151"/>
      <c r="J2151"/>
      <c r="K2151"/>
      <c r="L2151"/>
      <c r="M2151"/>
      <c r="S2151" s="54"/>
    </row>
    <row r="2152" spans="1:19" s="15" customFormat="1" x14ac:dyDescent="0.3">
      <c r="A2152" s="17"/>
      <c r="B2152"/>
      <c r="C2152"/>
      <c r="D2152"/>
      <c r="E2152"/>
      <c r="F2152"/>
      <c r="G2152"/>
      <c r="H2152"/>
      <c r="I2152"/>
      <c r="J2152"/>
      <c r="K2152"/>
      <c r="L2152"/>
      <c r="M2152"/>
      <c r="S2152" s="54"/>
    </row>
    <row r="2153" spans="1:19" s="15" customFormat="1" x14ac:dyDescent="0.3">
      <c r="A2153" s="17"/>
      <c r="B2153"/>
      <c r="C2153"/>
      <c r="D2153"/>
      <c r="E2153"/>
      <c r="F2153"/>
      <c r="G2153"/>
      <c r="H2153"/>
      <c r="I2153"/>
      <c r="J2153"/>
      <c r="K2153"/>
      <c r="L2153"/>
      <c r="M2153"/>
      <c r="S2153" s="54"/>
    </row>
    <row r="2154" spans="1:19" s="15" customFormat="1" x14ac:dyDescent="0.3">
      <c r="A2154" s="17"/>
      <c r="B2154"/>
      <c r="C2154"/>
      <c r="D2154"/>
      <c r="E2154"/>
      <c r="F2154"/>
      <c r="G2154"/>
      <c r="H2154"/>
      <c r="I2154"/>
      <c r="J2154"/>
      <c r="K2154"/>
      <c r="L2154"/>
      <c r="M2154"/>
      <c r="S2154" s="54"/>
    </row>
    <row r="2155" spans="1:19" s="15" customFormat="1" x14ac:dyDescent="0.3">
      <c r="A2155" s="17"/>
      <c r="B2155"/>
      <c r="C2155"/>
      <c r="D2155"/>
      <c r="E2155"/>
      <c r="F2155"/>
      <c r="G2155"/>
      <c r="H2155"/>
      <c r="I2155"/>
      <c r="J2155"/>
      <c r="K2155"/>
      <c r="L2155"/>
      <c r="M2155"/>
      <c r="S2155" s="54"/>
    </row>
    <row r="2156" spans="1:19" s="15" customFormat="1" x14ac:dyDescent="0.3">
      <c r="A2156" s="17"/>
      <c r="B2156"/>
      <c r="C2156"/>
      <c r="D2156"/>
      <c r="E2156"/>
      <c r="F2156"/>
      <c r="G2156"/>
      <c r="H2156"/>
      <c r="I2156"/>
      <c r="J2156"/>
      <c r="K2156"/>
      <c r="L2156"/>
      <c r="M2156"/>
      <c r="S2156" s="54"/>
    </row>
    <row r="2157" spans="1:19" s="15" customFormat="1" x14ac:dyDescent="0.3">
      <c r="A2157" s="17"/>
      <c r="B2157"/>
      <c r="C2157"/>
      <c r="D2157"/>
      <c r="E2157"/>
      <c r="F2157"/>
      <c r="G2157"/>
      <c r="H2157"/>
      <c r="I2157"/>
      <c r="J2157"/>
      <c r="K2157"/>
      <c r="L2157"/>
      <c r="M2157"/>
      <c r="S2157" s="54"/>
    </row>
    <row r="2158" spans="1:19" s="15" customFormat="1" x14ac:dyDescent="0.3">
      <c r="A2158" s="17"/>
      <c r="B2158"/>
      <c r="C2158"/>
      <c r="D2158"/>
      <c r="E2158"/>
      <c r="F2158"/>
      <c r="G2158"/>
      <c r="H2158"/>
      <c r="I2158"/>
      <c r="J2158"/>
      <c r="K2158"/>
      <c r="L2158"/>
      <c r="M2158"/>
      <c r="S2158" s="54"/>
    </row>
    <row r="2159" spans="1:19" s="15" customFormat="1" x14ac:dyDescent="0.3">
      <c r="A2159" s="17"/>
      <c r="B2159"/>
      <c r="C2159"/>
      <c r="D2159"/>
      <c r="E2159"/>
      <c r="F2159"/>
      <c r="G2159"/>
      <c r="H2159"/>
      <c r="I2159"/>
      <c r="J2159"/>
      <c r="K2159"/>
      <c r="L2159"/>
      <c r="M2159"/>
      <c r="S2159" s="54"/>
    </row>
    <row r="2160" spans="1:19" s="15" customFormat="1" x14ac:dyDescent="0.3">
      <c r="A2160" s="17"/>
      <c r="B2160"/>
      <c r="C2160"/>
      <c r="D2160"/>
      <c r="E2160"/>
      <c r="F2160"/>
      <c r="G2160"/>
      <c r="H2160"/>
      <c r="I2160"/>
      <c r="J2160"/>
      <c r="K2160"/>
      <c r="L2160"/>
      <c r="M2160"/>
      <c r="S2160" s="54"/>
    </row>
    <row r="2161" spans="1:19" s="15" customFormat="1" x14ac:dyDescent="0.3">
      <c r="A2161" s="17"/>
      <c r="B2161"/>
      <c r="C2161"/>
      <c r="D2161"/>
      <c r="E2161"/>
      <c r="F2161"/>
      <c r="G2161"/>
      <c r="H2161"/>
      <c r="I2161"/>
      <c r="J2161"/>
      <c r="K2161"/>
      <c r="L2161"/>
      <c r="M2161"/>
      <c r="S2161" s="54"/>
    </row>
    <row r="2162" spans="1:19" s="15" customFormat="1" x14ac:dyDescent="0.3">
      <c r="A2162" s="17"/>
      <c r="B2162"/>
      <c r="C2162"/>
      <c r="D2162"/>
      <c r="E2162"/>
      <c r="F2162"/>
      <c r="G2162"/>
      <c r="H2162"/>
      <c r="I2162"/>
      <c r="J2162"/>
      <c r="K2162"/>
      <c r="L2162"/>
      <c r="M2162"/>
      <c r="S2162" s="54"/>
    </row>
    <row r="2163" spans="1:19" s="15" customFormat="1" x14ac:dyDescent="0.3">
      <c r="A2163" s="17"/>
      <c r="B2163"/>
      <c r="C2163"/>
      <c r="D2163"/>
      <c r="E2163"/>
      <c r="F2163"/>
      <c r="G2163"/>
      <c r="H2163"/>
      <c r="I2163"/>
      <c r="J2163"/>
      <c r="K2163"/>
      <c r="L2163"/>
      <c r="M2163"/>
      <c r="S2163" s="54"/>
    </row>
    <row r="2164" spans="1:19" s="15" customFormat="1" x14ac:dyDescent="0.3">
      <c r="A2164" s="17"/>
      <c r="B2164"/>
      <c r="C2164"/>
      <c r="D2164"/>
      <c r="E2164"/>
      <c r="F2164"/>
      <c r="G2164"/>
      <c r="H2164"/>
      <c r="I2164"/>
      <c r="J2164"/>
      <c r="K2164"/>
      <c r="L2164"/>
      <c r="M2164"/>
      <c r="S2164" s="54"/>
    </row>
    <row r="2165" spans="1:19" s="15" customFormat="1" x14ac:dyDescent="0.3">
      <c r="A2165" s="17"/>
      <c r="B2165"/>
      <c r="C2165"/>
      <c r="D2165"/>
      <c r="E2165"/>
      <c r="F2165"/>
      <c r="G2165"/>
      <c r="H2165"/>
      <c r="I2165"/>
      <c r="J2165"/>
      <c r="K2165"/>
      <c r="L2165"/>
      <c r="M2165"/>
      <c r="S2165" s="54"/>
    </row>
    <row r="2166" spans="1:19" s="15" customFormat="1" x14ac:dyDescent="0.3">
      <c r="A2166" s="17"/>
      <c r="B2166"/>
      <c r="C2166"/>
      <c r="D2166"/>
      <c r="E2166"/>
      <c r="F2166"/>
      <c r="G2166"/>
      <c r="H2166"/>
      <c r="I2166"/>
      <c r="J2166"/>
      <c r="K2166"/>
      <c r="L2166"/>
      <c r="M2166"/>
      <c r="S2166" s="54"/>
    </row>
    <row r="2167" spans="1:19" s="15" customFormat="1" x14ac:dyDescent="0.3">
      <c r="A2167" s="17"/>
      <c r="B2167"/>
      <c r="C2167"/>
      <c r="D2167"/>
      <c r="E2167"/>
      <c r="F2167"/>
      <c r="G2167"/>
      <c r="H2167"/>
      <c r="I2167"/>
      <c r="J2167"/>
      <c r="K2167"/>
      <c r="L2167"/>
      <c r="M2167"/>
      <c r="S2167" s="54"/>
    </row>
    <row r="2168" spans="1:19" s="15" customFormat="1" x14ac:dyDescent="0.3">
      <c r="A2168" s="17"/>
      <c r="B2168"/>
      <c r="C2168"/>
      <c r="D2168"/>
      <c r="E2168"/>
      <c r="F2168"/>
      <c r="G2168"/>
      <c r="H2168"/>
      <c r="I2168"/>
      <c r="J2168"/>
      <c r="K2168"/>
      <c r="L2168"/>
      <c r="M2168"/>
      <c r="S2168" s="54"/>
    </row>
    <row r="2169" spans="1:19" s="15" customFormat="1" x14ac:dyDescent="0.3">
      <c r="A2169" s="17"/>
      <c r="B2169"/>
      <c r="C2169"/>
      <c r="D2169"/>
      <c r="E2169"/>
      <c r="F2169"/>
      <c r="G2169"/>
      <c r="H2169"/>
      <c r="I2169"/>
      <c r="J2169"/>
      <c r="K2169"/>
      <c r="L2169"/>
      <c r="M2169"/>
      <c r="S2169" s="54"/>
    </row>
    <row r="2170" spans="1:19" s="15" customFormat="1" x14ac:dyDescent="0.3">
      <c r="A2170" s="17"/>
      <c r="B2170"/>
      <c r="C2170"/>
      <c r="D2170"/>
      <c r="E2170"/>
      <c r="F2170"/>
      <c r="G2170"/>
      <c r="H2170"/>
      <c r="I2170"/>
      <c r="J2170"/>
      <c r="K2170"/>
      <c r="L2170"/>
      <c r="M2170"/>
      <c r="S2170" s="54"/>
    </row>
    <row r="2171" spans="1:19" s="15" customFormat="1" x14ac:dyDescent="0.3">
      <c r="A2171" s="17"/>
      <c r="B2171"/>
      <c r="C2171"/>
      <c r="D2171"/>
      <c r="E2171"/>
      <c r="F2171"/>
      <c r="G2171"/>
      <c r="H2171"/>
      <c r="I2171"/>
      <c r="J2171"/>
      <c r="K2171"/>
      <c r="L2171"/>
      <c r="M2171"/>
      <c r="S2171" s="54"/>
    </row>
    <row r="2172" spans="1:19" s="15" customFormat="1" x14ac:dyDescent="0.3">
      <c r="A2172" s="17"/>
      <c r="B2172"/>
      <c r="C2172"/>
      <c r="D2172"/>
      <c r="E2172"/>
      <c r="F2172"/>
      <c r="G2172"/>
      <c r="H2172"/>
      <c r="I2172"/>
      <c r="J2172"/>
      <c r="K2172"/>
      <c r="L2172"/>
      <c r="M2172"/>
      <c r="S2172" s="54"/>
    </row>
    <row r="2173" spans="1:19" s="15" customFormat="1" x14ac:dyDescent="0.3">
      <c r="A2173" s="17"/>
      <c r="B2173"/>
      <c r="C2173"/>
      <c r="D2173"/>
      <c r="E2173"/>
      <c r="F2173"/>
      <c r="G2173"/>
      <c r="H2173"/>
      <c r="I2173"/>
      <c r="J2173"/>
      <c r="K2173"/>
      <c r="L2173"/>
      <c r="M2173"/>
      <c r="S2173" s="54"/>
    </row>
    <row r="2174" spans="1:19" s="15" customFormat="1" x14ac:dyDescent="0.3">
      <c r="A2174" s="17"/>
      <c r="B2174"/>
      <c r="C2174"/>
      <c r="D2174"/>
      <c r="E2174"/>
      <c r="F2174"/>
      <c r="G2174"/>
      <c r="H2174"/>
      <c r="I2174"/>
      <c r="J2174"/>
      <c r="K2174"/>
      <c r="L2174"/>
      <c r="M2174"/>
      <c r="S2174" s="54"/>
    </row>
    <row r="2175" spans="1:19" s="15" customFormat="1" x14ac:dyDescent="0.3">
      <c r="A2175" s="17"/>
      <c r="B2175"/>
      <c r="C2175"/>
      <c r="D2175"/>
      <c r="E2175"/>
      <c r="F2175"/>
      <c r="G2175"/>
      <c r="H2175"/>
      <c r="I2175"/>
      <c r="J2175"/>
      <c r="K2175"/>
      <c r="L2175"/>
      <c r="M2175"/>
      <c r="S2175" s="54"/>
    </row>
    <row r="2176" spans="1:19" s="15" customFormat="1" x14ac:dyDescent="0.3">
      <c r="A2176" s="17"/>
      <c r="B2176"/>
      <c r="C2176"/>
      <c r="D2176"/>
      <c r="E2176"/>
      <c r="F2176"/>
      <c r="G2176"/>
      <c r="H2176"/>
      <c r="I2176"/>
      <c r="J2176"/>
      <c r="K2176"/>
      <c r="L2176"/>
      <c r="M2176"/>
      <c r="S2176" s="54"/>
    </row>
    <row r="2177" spans="1:19" s="15" customFormat="1" x14ac:dyDescent="0.3">
      <c r="A2177" s="17"/>
      <c r="B2177"/>
      <c r="C2177"/>
      <c r="D2177"/>
      <c r="E2177"/>
      <c r="F2177"/>
      <c r="G2177"/>
      <c r="H2177"/>
      <c r="I2177"/>
      <c r="J2177"/>
      <c r="K2177"/>
      <c r="L2177"/>
      <c r="M2177"/>
      <c r="S2177" s="54"/>
    </row>
    <row r="2178" spans="1:19" s="15" customFormat="1" x14ac:dyDescent="0.3">
      <c r="A2178" s="17"/>
      <c r="B2178"/>
      <c r="C2178"/>
      <c r="D2178"/>
      <c r="E2178"/>
      <c r="F2178"/>
      <c r="G2178"/>
      <c r="H2178"/>
      <c r="I2178"/>
      <c r="J2178"/>
      <c r="K2178"/>
      <c r="L2178"/>
      <c r="M2178"/>
      <c r="S2178" s="54"/>
    </row>
    <row r="2179" spans="1:19" s="15" customFormat="1" x14ac:dyDescent="0.3">
      <c r="A2179" s="17"/>
      <c r="B2179"/>
      <c r="C2179"/>
      <c r="D2179"/>
      <c r="E2179"/>
      <c r="F2179"/>
      <c r="G2179"/>
      <c r="H2179"/>
      <c r="I2179"/>
      <c r="J2179"/>
      <c r="K2179"/>
      <c r="L2179"/>
      <c r="M2179"/>
      <c r="S2179" s="54"/>
    </row>
    <row r="2180" spans="1:19" s="15" customFormat="1" x14ac:dyDescent="0.3">
      <c r="A2180" s="17"/>
      <c r="B2180"/>
      <c r="C2180"/>
      <c r="D2180"/>
      <c r="E2180"/>
      <c r="F2180"/>
      <c r="G2180"/>
      <c r="H2180"/>
      <c r="I2180"/>
      <c r="J2180"/>
      <c r="K2180"/>
      <c r="L2180"/>
      <c r="M2180"/>
      <c r="S2180" s="54"/>
    </row>
    <row r="2181" spans="1:19" s="15" customFormat="1" x14ac:dyDescent="0.3">
      <c r="A2181" s="17"/>
      <c r="B2181"/>
      <c r="C2181"/>
      <c r="D2181"/>
      <c r="E2181"/>
      <c r="F2181"/>
      <c r="G2181"/>
      <c r="H2181"/>
      <c r="I2181"/>
      <c r="J2181"/>
      <c r="K2181"/>
      <c r="L2181"/>
      <c r="M2181"/>
      <c r="S2181" s="54"/>
    </row>
    <row r="2182" spans="1:19" s="15" customFormat="1" x14ac:dyDescent="0.3">
      <c r="A2182" s="17"/>
      <c r="B2182"/>
      <c r="C2182"/>
      <c r="D2182"/>
      <c r="E2182"/>
      <c r="F2182"/>
      <c r="G2182"/>
      <c r="H2182"/>
      <c r="I2182"/>
      <c r="J2182"/>
      <c r="K2182"/>
      <c r="L2182"/>
      <c r="M2182"/>
      <c r="S2182" s="54"/>
    </row>
    <row r="2183" spans="1:19" s="15" customFormat="1" x14ac:dyDescent="0.3">
      <c r="A2183" s="17"/>
      <c r="B2183"/>
      <c r="C2183"/>
      <c r="D2183"/>
      <c r="E2183"/>
      <c r="F2183"/>
      <c r="G2183"/>
      <c r="H2183"/>
      <c r="I2183"/>
      <c r="J2183"/>
      <c r="K2183"/>
      <c r="L2183"/>
      <c r="M2183"/>
      <c r="S2183" s="54"/>
    </row>
    <row r="2184" spans="1:19" s="15" customFormat="1" x14ac:dyDescent="0.3">
      <c r="A2184" s="17"/>
      <c r="B2184"/>
      <c r="C2184"/>
      <c r="D2184"/>
      <c r="E2184"/>
      <c r="F2184"/>
      <c r="G2184"/>
      <c r="H2184"/>
      <c r="I2184"/>
      <c r="J2184"/>
      <c r="K2184"/>
      <c r="L2184"/>
      <c r="M2184"/>
      <c r="S2184" s="54"/>
    </row>
    <row r="2185" spans="1:19" s="15" customFormat="1" x14ac:dyDescent="0.3">
      <c r="A2185" s="17"/>
      <c r="B2185"/>
      <c r="C2185"/>
      <c r="D2185"/>
      <c r="E2185"/>
      <c r="F2185"/>
      <c r="G2185"/>
      <c r="H2185"/>
      <c r="I2185"/>
      <c r="J2185"/>
      <c r="K2185"/>
      <c r="L2185"/>
      <c r="M2185"/>
      <c r="S2185" s="54"/>
    </row>
    <row r="2186" spans="1:19" s="15" customFormat="1" x14ac:dyDescent="0.3">
      <c r="A2186" s="17"/>
      <c r="B2186"/>
      <c r="C2186"/>
      <c r="D2186"/>
      <c r="E2186"/>
      <c r="F2186"/>
      <c r="G2186"/>
      <c r="H2186"/>
      <c r="I2186"/>
      <c r="J2186"/>
      <c r="K2186"/>
      <c r="L2186"/>
      <c r="M2186"/>
      <c r="S2186" s="54"/>
    </row>
    <row r="2187" spans="1:19" s="15" customFormat="1" x14ac:dyDescent="0.3">
      <c r="A2187" s="17"/>
      <c r="B2187"/>
      <c r="C2187"/>
      <c r="D2187"/>
      <c r="E2187"/>
      <c r="F2187"/>
      <c r="G2187"/>
      <c r="H2187"/>
      <c r="I2187"/>
      <c r="J2187"/>
      <c r="K2187"/>
      <c r="L2187"/>
      <c r="M2187"/>
      <c r="S2187" s="54"/>
    </row>
    <row r="2188" spans="1:19" s="15" customFormat="1" x14ac:dyDescent="0.3">
      <c r="A2188" s="17"/>
      <c r="B2188"/>
      <c r="C2188"/>
      <c r="D2188"/>
      <c r="E2188"/>
      <c r="F2188"/>
      <c r="G2188"/>
      <c r="H2188"/>
      <c r="I2188"/>
      <c r="J2188"/>
      <c r="K2188"/>
      <c r="L2188"/>
      <c r="M2188"/>
      <c r="S2188" s="54"/>
    </row>
    <row r="2189" spans="1:19" s="15" customFormat="1" x14ac:dyDescent="0.3">
      <c r="A2189" s="17"/>
      <c r="B2189"/>
      <c r="C2189"/>
      <c r="D2189"/>
      <c r="E2189"/>
      <c r="F2189"/>
      <c r="G2189"/>
      <c r="H2189"/>
      <c r="I2189"/>
      <c r="J2189"/>
      <c r="K2189"/>
      <c r="L2189"/>
      <c r="M2189"/>
      <c r="S2189" s="54"/>
    </row>
    <row r="2190" spans="1:19" s="15" customFormat="1" x14ac:dyDescent="0.3">
      <c r="A2190" s="17"/>
      <c r="B2190"/>
      <c r="C2190"/>
      <c r="D2190"/>
      <c r="E2190"/>
      <c r="F2190"/>
      <c r="G2190"/>
      <c r="H2190"/>
      <c r="I2190"/>
      <c r="J2190"/>
      <c r="K2190"/>
      <c r="L2190"/>
      <c r="M2190"/>
      <c r="S2190" s="54"/>
    </row>
    <row r="2191" spans="1:19" s="15" customFormat="1" x14ac:dyDescent="0.3">
      <c r="A2191" s="17"/>
      <c r="B2191"/>
      <c r="C2191"/>
      <c r="D2191"/>
      <c r="E2191"/>
      <c r="F2191"/>
      <c r="G2191"/>
      <c r="H2191"/>
      <c r="I2191"/>
      <c r="J2191"/>
      <c r="K2191"/>
      <c r="L2191"/>
      <c r="M2191"/>
      <c r="S2191" s="54"/>
    </row>
    <row r="2192" spans="1:19" s="15" customFormat="1" x14ac:dyDescent="0.3">
      <c r="A2192" s="17"/>
      <c r="B2192"/>
      <c r="C2192"/>
      <c r="D2192"/>
      <c r="E2192"/>
      <c r="F2192"/>
      <c r="G2192"/>
      <c r="H2192"/>
      <c r="I2192"/>
      <c r="J2192"/>
      <c r="K2192"/>
      <c r="L2192"/>
      <c r="M2192"/>
      <c r="S2192" s="54"/>
    </row>
    <row r="2193" spans="1:19" s="15" customFormat="1" x14ac:dyDescent="0.3">
      <c r="A2193" s="17"/>
      <c r="B2193"/>
      <c r="C2193"/>
      <c r="D2193"/>
      <c r="E2193"/>
      <c r="F2193"/>
      <c r="G2193"/>
      <c r="H2193"/>
      <c r="I2193"/>
      <c r="J2193"/>
      <c r="K2193"/>
      <c r="L2193"/>
      <c r="M2193"/>
      <c r="S2193" s="54"/>
    </row>
    <row r="2194" spans="1:19" s="15" customFormat="1" x14ac:dyDescent="0.3">
      <c r="A2194" s="17"/>
      <c r="B2194"/>
      <c r="C2194"/>
      <c r="D2194"/>
      <c r="E2194"/>
      <c r="F2194"/>
      <c r="G2194"/>
      <c r="H2194"/>
      <c r="I2194"/>
      <c r="J2194"/>
      <c r="K2194"/>
      <c r="L2194"/>
      <c r="M2194"/>
      <c r="S2194" s="54"/>
    </row>
    <row r="2195" spans="1:19" s="15" customFormat="1" x14ac:dyDescent="0.3">
      <c r="A2195" s="17"/>
      <c r="B2195"/>
      <c r="C2195"/>
      <c r="D2195"/>
      <c r="E2195"/>
      <c r="F2195"/>
      <c r="G2195"/>
      <c r="H2195"/>
      <c r="I2195"/>
      <c r="J2195"/>
      <c r="K2195"/>
      <c r="L2195"/>
      <c r="M2195"/>
      <c r="S2195" s="54"/>
    </row>
    <row r="2196" spans="1:19" s="15" customFormat="1" x14ac:dyDescent="0.3">
      <c r="A2196" s="17"/>
      <c r="B2196"/>
      <c r="C2196"/>
      <c r="D2196"/>
      <c r="E2196"/>
      <c r="F2196"/>
      <c r="G2196"/>
      <c r="H2196"/>
      <c r="I2196"/>
      <c r="J2196"/>
      <c r="K2196"/>
      <c r="L2196"/>
      <c r="M2196"/>
      <c r="S2196" s="54"/>
    </row>
    <row r="2197" spans="1:19" s="15" customFormat="1" x14ac:dyDescent="0.3">
      <c r="A2197" s="17"/>
      <c r="B2197"/>
      <c r="C2197"/>
      <c r="D2197"/>
      <c r="E2197"/>
      <c r="F2197"/>
      <c r="G2197"/>
      <c r="H2197"/>
      <c r="I2197"/>
      <c r="J2197"/>
      <c r="K2197"/>
      <c r="L2197"/>
      <c r="M2197"/>
      <c r="S2197" s="54"/>
    </row>
    <row r="2198" spans="1:19" s="15" customFormat="1" x14ac:dyDescent="0.3">
      <c r="A2198" s="17"/>
      <c r="B2198"/>
      <c r="C2198"/>
      <c r="D2198"/>
      <c r="E2198"/>
      <c r="F2198"/>
      <c r="G2198"/>
      <c r="H2198"/>
      <c r="I2198"/>
      <c r="J2198"/>
      <c r="K2198"/>
      <c r="L2198"/>
      <c r="M2198"/>
      <c r="S2198" s="54"/>
    </row>
    <row r="2199" spans="1:19" s="15" customFormat="1" x14ac:dyDescent="0.3">
      <c r="A2199" s="17"/>
      <c r="B2199"/>
      <c r="C2199"/>
      <c r="D2199"/>
      <c r="E2199"/>
      <c r="F2199"/>
      <c r="G2199"/>
      <c r="H2199"/>
      <c r="I2199"/>
      <c r="J2199"/>
      <c r="K2199"/>
      <c r="L2199"/>
      <c r="M2199"/>
      <c r="S2199" s="54"/>
    </row>
    <row r="2200" spans="1:19" s="15" customFormat="1" x14ac:dyDescent="0.3">
      <c r="A2200" s="17"/>
      <c r="B2200"/>
      <c r="C2200"/>
      <c r="D2200"/>
      <c r="E2200"/>
      <c r="F2200"/>
      <c r="G2200"/>
      <c r="H2200"/>
      <c r="I2200"/>
      <c r="J2200"/>
      <c r="K2200"/>
      <c r="L2200"/>
      <c r="M2200"/>
      <c r="S2200" s="54"/>
    </row>
    <row r="2201" spans="1:19" s="15" customFormat="1" x14ac:dyDescent="0.3">
      <c r="A2201" s="17"/>
      <c r="B2201"/>
      <c r="C2201"/>
      <c r="D2201"/>
      <c r="E2201"/>
      <c r="F2201"/>
      <c r="G2201"/>
      <c r="H2201"/>
      <c r="I2201"/>
      <c r="J2201"/>
      <c r="K2201"/>
      <c r="L2201"/>
      <c r="M2201"/>
      <c r="S2201" s="54"/>
    </row>
    <row r="2202" spans="1:19" s="15" customFormat="1" x14ac:dyDescent="0.3">
      <c r="A2202" s="17"/>
      <c r="B2202"/>
      <c r="C2202"/>
      <c r="D2202"/>
      <c r="E2202"/>
      <c r="F2202"/>
      <c r="G2202"/>
      <c r="H2202"/>
      <c r="I2202"/>
      <c r="J2202"/>
      <c r="K2202"/>
      <c r="L2202"/>
      <c r="M2202"/>
      <c r="S2202" s="54"/>
    </row>
    <row r="2203" spans="1:19" s="15" customFormat="1" x14ac:dyDescent="0.3">
      <c r="A2203" s="17"/>
      <c r="B2203"/>
      <c r="C2203"/>
      <c r="D2203"/>
      <c r="E2203"/>
      <c r="F2203"/>
      <c r="G2203"/>
      <c r="H2203"/>
      <c r="I2203"/>
      <c r="J2203"/>
      <c r="K2203"/>
      <c r="L2203"/>
      <c r="M2203"/>
      <c r="S2203" s="54"/>
    </row>
    <row r="2204" spans="1:19" s="15" customFormat="1" x14ac:dyDescent="0.3">
      <c r="A2204" s="17"/>
      <c r="B2204"/>
      <c r="C2204"/>
      <c r="D2204"/>
      <c r="E2204"/>
      <c r="F2204"/>
      <c r="G2204"/>
      <c r="H2204"/>
      <c r="I2204"/>
      <c r="J2204"/>
      <c r="K2204"/>
      <c r="L2204"/>
      <c r="M2204"/>
      <c r="S2204" s="54"/>
    </row>
    <row r="2205" spans="1:19" s="15" customFormat="1" x14ac:dyDescent="0.3">
      <c r="A2205" s="17"/>
      <c r="B2205"/>
      <c r="C2205"/>
      <c r="D2205"/>
      <c r="E2205"/>
      <c r="F2205"/>
      <c r="G2205"/>
      <c r="H2205"/>
      <c r="I2205"/>
      <c r="J2205"/>
      <c r="K2205"/>
      <c r="L2205"/>
      <c r="M2205"/>
      <c r="S2205" s="54"/>
    </row>
    <row r="2206" spans="1:19" s="15" customFormat="1" x14ac:dyDescent="0.3">
      <c r="A2206" s="17"/>
      <c r="B2206"/>
      <c r="C2206"/>
      <c r="D2206"/>
      <c r="E2206"/>
      <c r="F2206"/>
      <c r="G2206"/>
      <c r="H2206"/>
      <c r="I2206"/>
      <c r="J2206"/>
      <c r="K2206"/>
      <c r="L2206"/>
      <c r="M2206"/>
      <c r="S2206" s="54"/>
    </row>
    <row r="2207" spans="1:19" s="15" customFormat="1" x14ac:dyDescent="0.3">
      <c r="A2207" s="17"/>
      <c r="B2207"/>
      <c r="C2207"/>
      <c r="D2207"/>
      <c r="E2207"/>
      <c r="F2207"/>
      <c r="G2207"/>
      <c r="H2207"/>
      <c r="I2207"/>
      <c r="J2207"/>
      <c r="K2207"/>
      <c r="L2207"/>
      <c r="M2207"/>
      <c r="S2207" s="54"/>
    </row>
    <row r="2208" spans="1:19" s="15" customFormat="1" x14ac:dyDescent="0.3">
      <c r="A2208" s="17"/>
      <c r="B2208"/>
      <c r="C2208"/>
      <c r="D2208"/>
      <c r="E2208"/>
      <c r="F2208"/>
      <c r="G2208"/>
      <c r="H2208"/>
      <c r="I2208"/>
      <c r="J2208"/>
      <c r="K2208"/>
      <c r="L2208"/>
      <c r="M2208"/>
      <c r="S2208" s="54"/>
    </row>
    <row r="2209" spans="1:19" s="15" customFormat="1" x14ac:dyDescent="0.3">
      <c r="A2209" s="17"/>
      <c r="B2209"/>
      <c r="C2209"/>
      <c r="D2209"/>
      <c r="E2209"/>
      <c r="F2209"/>
      <c r="G2209"/>
      <c r="H2209"/>
      <c r="I2209"/>
      <c r="J2209"/>
      <c r="K2209"/>
      <c r="L2209"/>
      <c r="M2209"/>
      <c r="S2209" s="54"/>
    </row>
    <row r="2210" spans="1:19" s="15" customFormat="1" x14ac:dyDescent="0.3">
      <c r="A2210" s="17"/>
      <c r="B2210"/>
      <c r="C2210"/>
      <c r="D2210"/>
      <c r="E2210"/>
      <c r="F2210"/>
      <c r="G2210"/>
      <c r="H2210"/>
      <c r="I2210"/>
      <c r="J2210"/>
      <c r="K2210"/>
      <c r="L2210"/>
      <c r="M2210"/>
      <c r="S2210" s="54"/>
    </row>
    <row r="2211" spans="1:19" s="15" customFormat="1" x14ac:dyDescent="0.3">
      <c r="A2211" s="17"/>
      <c r="B2211"/>
      <c r="C2211"/>
      <c r="D2211"/>
      <c r="E2211"/>
      <c r="F2211"/>
      <c r="G2211"/>
      <c r="H2211"/>
      <c r="I2211"/>
      <c r="J2211"/>
      <c r="K2211"/>
      <c r="L2211"/>
      <c r="M2211"/>
      <c r="S2211" s="54"/>
    </row>
    <row r="2212" spans="1:19" s="15" customFormat="1" x14ac:dyDescent="0.3">
      <c r="A2212" s="17"/>
      <c r="B2212"/>
      <c r="C2212"/>
      <c r="D2212"/>
      <c r="E2212"/>
      <c r="F2212"/>
      <c r="G2212"/>
      <c r="H2212"/>
      <c r="I2212"/>
      <c r="J2212"/>
      <c r="K2212"/>
      <c r="L2212"/>
      <c r="M2212"/>
      <c r="S2212" s="54"/>
    </row>
    <row r="2213" spans="1:19" s="15" customFormat="1" x14ac:dyDescent="0.3">
      <c r="A2213" s="17"/>
      <c r="B2213"/>
      <c r="C2213"/>
      <c r="D2213"/>
      <c r="E2213"/>
      <c r="F2213"/>
      <c r="G2213"/>
      <c r="H2213"/>
      <c r="I2213"/>
      <c r="J2213"/>
      <c r="K2213"/>
      <c r="L2213"/>
      <c r="M2213"/>
      <c r="S2213" s="54"/>
    </row>
    <row r="2214" spans="1:19" s="15" customFormat="1" x14ac:dyDescent="0.3">
      <c r="A2214" s="17"/>
      <c r="B2214"/>
      <c r="C2214"/>
      <c r="D2214"/>
      <c r="E2214"/>
      <c r="F2214"/>
      <c r="G2214"/>
      <c r="H2214"/>
      <c r="I2214"/>
      <c r="J2214"/>
      <c r="K2214"/>
      <c r="L2214"/>
      <c r="M2214"/>
      <c r="S2214" s="54"/>
    </row>
    <row r="2215" spans="1:19" s="15" customFormat="1" x14ac:dyDescent="0.3">
      <c r="A2215" s="17"/>
      <c r="B2215"/>
      <c r="C2215"/>
      <c r="D2215"/>
      <c r="E2215"/>
      <c r="F2215"/>
      <c r="G2215"/>
      <c r="H2215"/>
      <c r="I2215"/>
      <c r="J2215"/>
      <c r="K2215"/>
      <c r="L2215"/>
      <c r="M2215"/>
      <c r="S2215" s="54"/>
    </row>
    <row r="2216" spans="1:19" s="15" customFormat="1" x14ac:dyDescent="0.3">
      <c r="A2216" s="17"/>
      <c r="B2216"/>
      <c r="C2216"/>
      <c r="D2216"/>
      <c r="E2216"/>
      <c r="F2216"/>
      <c r="G2216"/>
      <c r="H2216"/>
      <c r="I2216"/>
      <c r="J2216"/>
      <c r="K2216"/>
      <c r="L2216"/>
      <c r="M2216"/>
      <c r="S2216" s="54"/>
    </row>
    <row r="2217" spans="1:19" s="15" customFormat="1" x14ac:dyDescent="0.3">
      <c r="A2217" s="17"/>
      <c r="B2217"/>
      <c r="C2217"/>
      <c r="D2217"/>
      <c r="E2217"/>
      <c r="F2217"/>
      <c r="G2217"/>
      <c r="H2217"/>
      <c r="I2217"/>
      <c r="J2217"/>
      <c r="K2217"/>
      <c r="L2217"/>
      <c r="M2217"/>
      <c r="S2217" s="54"/>
    </row>
    <row r="2218" spans="1:19" s="15" customFormat="1" x14ac:dyDescent="0.3">
      <c r="A2218" s="17"/>
      <c r="B2218"/>
      <c r="C2218"/>
      <c r="D2218"/>
      <c r="E2218"/>
      <c r="F2218"/>
      <c r="G2218"/>
      <c r="H2218"/>
      <c r="I2218"/>
      <c r="J2218"/>
      <c r="K2218"/>
      <c r="L2218"/>
      <c r="M2218"/>
      <c r="S2218" s="54"/>
    </row>
    <row r="2219" spans="1:19" s="15" customFormat="1" x14ac:dyDescent="0.3">
      <c r="A2219" s="17"/>
      <c r="B2219"/>
      <c r="C2219"/>
      <c r="D2219"/>
      <c r="E2219"/>
      <c r="F2219"/>
      <c r="G2219"/>
      <c r="H2219"/>
      <c r="I2219"/>
      <c r="J2219"/>
      <c r="K2219"/>
      <c r="L2219"/>
      <c r="M2219"/>
      <c r="S2219" s="54"/>
    </row>
    <row r="2220" spans="1:19" s="15" customFormat="1" x14ac:dyDescent="0.3">
      <c r="A2220" s="17"/>
      <c r="B2220"/>
      <c r="C2220"/>
      <c r="D2220"/>
      <c r="E2220"/>
      <c r="F2220"/>
      <c r="G2220"/>
      <c r="H2220"/>
      <c r="I2220"/>
      <c r="J2220"/>
      <c r="K2220"/>
      <c r="L2220"/>
      <c r="M2220"/>
      <c r="S2220" s="54"/>
    </row>
    <row r="2221" spans="1:19" s="15" customFormat="1" x14ac:dyDescent="0.3">
      <c r="A2221" s="17"/>
      <c r="B2221"/>
      <c r="C2221"/>
      <c r="D2221"/>
      <c r="E2221"/>
      <c r="F2221"/>
      <c r="G2221"/>
      <c r="H2221"/>
      <c r="I2221"/>
      <c r="J2221"/>
      <c r="K2221"/>
      <c r="L2221"/>
      <c r="M2221"/>
      <c r="S2221" s="54"/>
    </row>
    <row r="2222" spans="1:19" s="15" customFormat="1" x14ac:dyDescent="0.3">
      <c r="A2222" s="17"/>
      <c r="B2222"/>
      <c r="C2222"/>
      <c r="D2222"/>
      <c r="E2222"/>
      <c r="F2222"/>
      <c r="G2222"/>
      <c r="H2222"/>
      <c r="I2222"/>
      <c r="J2222"/>
      <c r="K2222"/>
      <c r="L2222"/>
      <c r="M2222"/>
      <c r="S2222" s="54"/>
    </row>
    <row r="2223" spans="1:19" s="15" customFormat="1" x14ac:dyDescent="0.3">
      <c r="A2223" s="17"/>
      <c r="B2223"/>
      <c r="C2223"/>
      <c r="D2223"/>
      <c r="E2223"/>
      <c r="F2223"/>
      <c r="G2223"/>
      <c r="H2223"/>
      <c r="I2223"/>
      <c r="J2223"/>
      <c r="K2223"/>
      <c r="L2223"/>
      <c r="M2223"/>
      <c r="S2223" s="54"/>
    </row>
    <row r="2224" spans="1:19" s="15" customFormat="1" x14ac:dyDescent="0.3">
      <c r="A2224" s="17"/>
      <c r="B2224"/>
      <c r="C2224"/>
      <c r="D2224"/>
      <c r="E2224"/>
      <c r="F2224"/>
      <c r="G2224"/>
      <c r="H2224"/>
      <c r="I2224"/>
      <c r="J2224"/>
      <c r="K2224"/>
      <c r="L2224"/>
      <c r="M2224"/>
      <c r="S2224" s="54"/>
    </row>
    <row r="2225" spans="1:19" s="15" customFormat="1" x14ac:dyDescent="0.3">
      <c r="A2225" s="17"/>
      <c r="B2225"/>
      <c r="C2225"/>
      <c r="D2225"/>
      <c r="E2225"/>
      <c r="F2225"/>
      <c r="G2225"/>
      <c r="H2225"/>
      <c r="I2225"/>
      <c r="J2225"/>
      <c r="K2225"/>
      <c r="L2225"/>
      <c r="M2225"/>
      <c r="S2225" s="54"/>
    </row>
    <row r="2226" spans="1:19" s="15" customFormat="1" x14ac:dyDescent="0.3">
      <c r="A2226" s="17"/>
      <c r="B2226"/>
      <c r="C2226"/>
      <c r="D2226"/>
      <c r="E2226"/>
      <c r="F2226"/>
      <c r="G2226"/>
      <c r="H2226"/>
      <c r="I2226"/>
      <c r="J2226"/>
      <c r="K2226"/>
      <c r="L2226"/>
      <c r="M2226"/>
      <c r="S2226" s="54"/>
    </row>
    <row r="2227" spans="1:19" s="15" customFormat="1" x14ac:dyDescent="0.3">
      <c r="A2227" s="17"/>
      <c r="B2227"/>
      <c r="C2227"/>
      <c r="D2227"/>
      <c r="E2227"/>
      <c r="F2227"/>
      <c r="G2227"/>
      <c r="H2227"/>
      <c r="I2227"/>
      <c r="J2227"/>
      <c r="K2227"/>
      <c r="L2227"/>
      <c r="M2227"/>
      <c r="S2227" s="54"/>
    </row>
    <row r="2228" spans="1:19" s="15" customFormat="1" x14ac:dyDescent="0.3">
      <c r="A2228" s="17"/>
      <c r="B2228"/>
      <c r="C2228"/>
      <c r="D2228"/>
      <c r="E2228"/>
      <c r="F2228"/>
      <c r="G2228"/>
      <c r="H2228"/>
      <c r="I2228"/>
      <c r="J2228"/>
      <c r="K2228"/>
      <c r="L2228"/>
      <c r="M2228"/>
      <c r="S2228" s="54"/>
    </row>
    <row r="2229" spans="1:19" s="15" customFormat="1" x14ac:dyDescent="0.3">
      <c r="A2229" s="17"/>
      <c r="B2229"/>
      <c r="C2229"/>
      <c r="D2229"/>
      <c r="E2229"/>
      <c r="F2229"/>
      <c r="G2229"/>
      <c r="H2229"/>
      <c r="I2229"/>
      <c r="J2229"/>
      <c r="K2229"/>
      <c r="L2229"/>
      <c r="M2229"/>
      <c r="S2229" s="54"/>
    </row>
    <row r="2230" spans="1:19" s="15" customFormat="1" x14ac:dyDescent="0.3">
      <c r="A2230" s="17"/>
      <c r="B2230"/>
      <c r="C2230"/>
      <c r="D2230"/>
      <c r="E2230"/>
      <c r="F2230"/>
      <c r="G2230"/>
      <c r="H2230"/>
      <c r="I2230"/>
      <c r="J2230"/>
      <c r="K2230"/>
      <c r="L2230"/>
      <c r="M2230"/>
      <c r="S2230" s="54"/>
    </row>
    <row r="2231" spans="1:19" s="15" customFormat="1" x14ac:dyDescent="0.3">
      <c r="A2231" s="17"/>
      <c r="B2231"/>
      <c r="C2231"/>
      <c r="D2231"/>
      <c r="E2231"/>
      <c r="F2231"/>
      <c r="G2231"/>
      <c r="H2231"/>
      <c r="I2231"/>
      <c r="J2231"/>
      <c r="K2231"/>
      <c r="L2231"/>
      <c r="M2231"/>
      <c r="S2231" s="54"/>
    </row>
    <row r="2232" spans="1:19" s="15" customFormat="1" x14ac:dyDescent="0.3">
      <c r="A2232" s="17"/>
      <c r="B2232"/>
      <c r="C2232"/>
      <c r="D2232"/>
      <c r="E2232"/>
      <c r="F2232"/>
      <c r="G2232"/>
      <c r="H2232"/>
      <c r="I2232"/>
      <c r="J2232"/>
      <c r="K2232"/>
      <c r="L2232"/>
      <c r="M2232"/>
      <c r="S2232" s="54"/>
    </row>
    <row r="2233" spans="1:19" s="15" customFormat="1" x14ac:dyDescent="0.3">
      <c r="A2233" s="17"/>
      <c r="B2233"/>
      <c r="C2233"/>
      <c r="D2233"/>
      <c r="E2233"/>
      <c r="F2233"/>
      <c r="G2233"/>
      <c r="H2233"/>
      <c r="I2233"/>
      <c r="J2233"/>
      <c r="K2233"/>
      <c r="L2233"/>
      <c r="M2233"/>
      <c r="S2233" s="54"/>
    </row>
    <row r="2234" spans="1:19" s="15" customFormat="1" x14ac:dyDescent="0.3">
      <c r="A2234" s="17"/>
      <c r="B2234"/>
      <c r="C2234"/>
      <c r="D2234"/>
      <c r="E2234"/>
      <c r="F2234"/>
      <c r="G2234"/>
      <c r="H2234"/>
      <c r="I2234"/>
      <c r="J2234"/>
      <c r="K2234"/>
      <c r="L2234"/>
      <c r="M2234"/>
      <c r="S2234" s="54"/>
    </row>
    <row r="2235" spans="1:19" s="15" customFormat="1" x14ac:dyDescent="0.3">
      <c r="A2235" s="17"/>
      <c r="B2235"/>
      <c r="C2235"/>
      <c r="D2235"/>
      <c r="E2235"/>
      <c r="F2235"/>
      <c r="G2235"/>
      <c r="H2235"/>
      <c r="I2235"/>
      <c r="J2235"/>
      <c r="K2235"/>
      <c r="L2235"/>
      <c r="M2235"/>
      <c r="S2235" s="54"/>
    </row>
    <row r="2236" spans="1:19" s="15" customFormat="1" x14ac:dyDescent="0.3">
      <c r="A2236" s="17"/>
      <c r="B2236"/>
      <c r="C2236"/>
      <c r="D2236"/>
      <c r="E2236"/>
      <c r="F2236"/>
      <c r="G2236"/>
      <c r="H2236"/>
      <c r="I2236"/>
      <c r="J2236"/>
      <c r="K2236"/>
      <c r="L2236"/>
      <c r="M2236"/>
      <c r="S2236" s="54"/>
    </row>
    <row r="2237" spans="1:19" s="15" customFormat="1" x14ac:dyDescent="0.3">
      <c r="A2237" s="17"/>
      <c r="B2237"/>
      <c r="C2237"/>
      <c r="D2237"/>
      <c r="E2237"/>
      <c r="F2237"/>
      <c r="G2237"/>
      <c r="H2237"/>
      <c r="I2237"/>
      <c r="J2237"/>
      <c r="K2237"/>
      <c r="L2237"/>
      <c r="M2237"/>
      <c r="S2237" s="54"/>
    </row>
    <row r="2238" spans="1:19" s="15" customFormat="1" x14ac:dyDescent="0.3">
      <c r="A2238" s="17"/>
      <c r="B2238"/>
      <c r="C2238"/>
      <c r="D2238"/>
      <c r="E2238"/>
      <c r="F2238"/>
      <c r="G2238"/>
      <c r="H2238"/>
      <c r="I2238"/>
      <c r="J2238"/>
      <c r="K2238"/>
      <c r="L2238"/>
      <c r="M2238"/>
      <c r="S2238" s="54"/>
    </row>
    <row r="2239" spans="1:19" s="15" customFormat="1" x14ac:dyDescent="0.3">
      <c r="A2239" s="17"/>
      <c r="B2239"/>
      <c r="C2239"/>
      <c r="D2239"/>
      <c r="E2239"/>
      <c r="F2239"/>
      <c r="G2239"/>
      <c r="H2239"/>
      <c r="I2239"/>
      <c r="J2239"/>
      <c r="K2239"/>
      <c r="L2239"/>
      <c r="M2239"/>
      <c r="S2239" s="54"/>
    </row>
    <row r="2240" spans="1:19" s="15" customFormat="1" x14ac:dyDescent="0.3">
      <c r="A2240" s="17"/>
      <c r="B2240"/>
      <c r="C2240"/>
      <c r="D2240"/>
      <c r="E2240"/>
      <c r="F2240"/>
      <c r="G2240"/>
      <c r="H2240"/>
      <c r="I2240"/>
      <c r="J2240"/>
      <c r="K2240"/>
      <c r="L2240"/>
      <c r="M2240"/>
      <c r="S2240" s="54"/>
    </row>
    <row r="2241" spans="1:19" s="15" customFormat="1" x14ac:dyDescent="0.3">
      <c r="A2241" s="17"/>
      <c r="B2241"/>
      <c r="C2241"/>
      <c r="D2241"/>
      <c r="E2241"/>
      <c r="F2241"/>
      <c r="G2241"/>
      <c r="H2241"/>
      <c r="I2241"/>
      <c r="J2241"/>
      <c r="K2241"/>
      <c r="L2241"/>
      <c r="M2241"/>
      <c r="S2241" s="54"/>
    </row>
    <row r="2242" spans="1:19" s="15" customFormat="1" x14ac:dyDescent="0.3">
      <c r="A2242" s="17"/>
      <c r="B2242"/>
      <c r="C2242"/>
      <c r="D2242"/>
      <c r="E2242"/>
      <c r="F2242"/>
      <c r="G2242"/>
      <c r="H2242"/>
      <c r="I2242"/>
      <c r="J2242"/>
      <c r="K2242"/>
      <c r="L2242"/>
      <c r="M2242"/>
      <c r="S2242" s="54"/>
    </row>
    <row r="2243" spans="1:19" s="15" customFormat="1" x14ac:dyDescent="0.3">
      <c r="A2243" s="17"/>
      <c r="B2243"/>
      <c r="C2243"/>
      <c r="D2243"/>
      <c r="E2243"/>
      <c r="F2243"/>
      <c r="G2243"/>
      <c r="H2243"/>
      <c r="I2243"/>
      <c r="J2243"/>
      <c r="K2243"/>
      <c r="L2243"/>
      <c r="M2243"/>
      <c r="S2243" s="54"/>
    </row>
    <row r="2244" spans="1:19" s="15" customFormat="1" x14ac:dyDescent="0.3">
      <c r="A2244" s="17"/>
      <c r="B2244"/>
      <c r="C2244"/>
      <c r="D2244"/>
      <c r="E2244"/>
      <c r="F2244"/>
      <c r="G2244"/>
      <c r="H2244"/>
      <c r="I2244"/>
      <c r="J2244"/>
      <c r="K2244"/>
      <c r="L2244"/>
      <c r="M2244"/>
      <c r="S2244" s="54"/>
    </row>
    <row r="2245" spans="1:19" s="15" customFormat="1" x14ac:dyDescent="0.3">
      <c r="A2245" s="17"/>
      <c r="B2245"/>
      <c r="C2245"/>
      <c r="D2245"/>
      <c r="E2245"/>
      <c r="F2245"/>
      <c r="G2245"/>
      <c r="H2245"/>
      <c r="I2245"/>
      <c r="J2245"/>
      <c r="K2245"/>
      <c r="L2245"/>
      <c r="M2245"/>
      <c r="S2245" s="54"/>
    </row>
    <row r="2246" spans="1:19" s="15" customFormat="1" x14ac:dyDescent="0.3">
      <c r="A2246" s="17"/>
      <c r="B2246"/>
      <c r="C2246"/>
      <c r="D2246"/>
      <c r="E2246"/>
      <c r="F2246"/>
      <c r="G2246"/>
      <c r="H2246"/>
      <c r="I2246"/>
      <c r="J2246"/>
      <c r="K2246"/>
      <c r="L2246"/>
      <c r="M2246"/>
      <c r="S2246" s="54"/>
    </row>
    <row r="2247" spans="1:19" s="15" customFormat="1" x14ac:dyDescent="0.3">
      <c r="A2247" s="17"/>
      <c r="B2247"/>
      <c r="C2247"/>
      <c r="D2247"/>
      <c r="E2247"/>
      <c r="F2247"/>
      <c r="G2247"/>
      <c r="H2247"/>
      <c r="I2247"/>
      <c r="J2247"/>
      <c r="K2247"/>
      <c r="L2247"/>
      <c r="M2247"/>
      <c r="S2247" s="54"/>
    </row>
    <row r="2248" spans="1:19" s="15" customFormat="1" x14ac:dyDescent="0.3">
      <c r="A2248" s="17"/>
      <c r="B2248"/>
      <c r="C2248"/>
      <c r="D2248"/>
      <c r="E2248"/>
      <c r="F2248"/>
      <c r="G2248"/>
      <c r="H2248"/>
      <c r="I2248"/>
      <c r="J2248"/>
      <c r="K2248"/>
      <c r="L2248"/>
      <c r="M2248"/>
      <c r="S2248" s="54"/>
    </row>
    <row r="2249" spans="1:19" s="15" customFormat="1" x14ac:dyDescent="0.3">
      <c r="A2249" s="17"/>
      <c r="B2249"/>
      <c r="C2249"/>
      <c r="D2249"/>
      <c r="E2249"/>
      <c r="F2249"/>
      <c r="G2249"/>
      <c r="H2249"/>
      <c r="I2249"/>
      <c r="J2249"/>
      <c r="K2249"/>
      <c r="L2249"/>
      <c r="M2249"/>
      <c r="S2249" s="54"/>
    </row>
    <row r="2250" spans="1:19" s="15" customFormat="1" x14ac:dyDescent="0.3">
      <c r="A2250" s="17"/>
      <c r="B2250"/>
      <c r="C2250"/>
      <c r="D2250"/>
      <c r="E2250"/>
      <c r="F2250"/>
      <c r="G2250"/>
      <c r="H2250"/>
      <c r="I2250"/>
      <c r="J2250"/>
      <c r="K2250"/>
      <c r="L2250"/>
      <c r="M2250"/>
      <c r="S2250" s="54"/>
    </row>
    <row r="2251" spans="1:19" s="15" customFormat="1" x14ac:dyDescent="0.3">
      <c r="A2251" s="17"/>
      <c r="B2251"/>
      <c r="C2251"/>
      <c r="D2251"/>
      <c r="E2251"/>
      <c r="F2251"/>
      <c r="G2251"/>
      <c r="H2251"/>
      <c r="I2251"/>
      <c r="J2251"/>
      <c r="K2251"/>
      <c r="L2251"/>
      <c r="M2251"/>
      <c r="S2251" s="54"/>
    </row>
    <row r="2252" spans="1:19" s="15" customFormat="1" x14ac:dyDescent="0.3">
      <c r="A2252" s="17"/>
      <c r="B2252"/>
      <c r="C2252"/>
      <c r="D2252"/>
      <c r="E2252"/>
      <c r="F2252"/>
      <c r="G2252"/>
      <c r="H2252"/>
      <c r="I2252"/>
      <c r="J2252"/>
      <c r="K2252"/>
      <c r="L2252"/>
      <c r="M2252"/>
      <c r="S2252" s="54"/>
    </row>
    <row r="2253" spans="1:19" s="15" customFormat="1" x14ac:dyDescent="0.3">
      <c r="A2253" s="17"/>
      <c r="B2253"/>
      <c r="C2253"/>
      <c r="D2253"/>
      <c r="E2253"/>
      <c r="F2253"/>
      <c r="G2253"/>
      <c r="H2253"/>
      <c r="I2253"/>
      <c r="J2253"/>
      <c r="K2253"/>
      <c r="L2253"/>
      <c r="M2253"/>
      <c r="S2253" s="54"/>
    </row>
    <row r="2254" spans="1:19" s="15" customFormat="1" x14ac:dyDescent="0.3">
      <c r="A2254" s="17"/>
      <c r="B2254"/>
      <c r="C2254"/>
      <c r="D2254"/>
      <c r="E2254"/>
      <c r="F2254"/>
      <c r="G2254"/>
      <c r="H2254"/>
      <c r="I2254"/>
      <c r="J2254"/>
      <c r="K2254"/>
      <c r="L2254"/>
      <c r="M2254"/>
      <c r="S2254" s="54"/>
    </row>
    <row r="2255" spans="1:19" s="15" customFormat="1" x14ac:dyDescent="0.3">
      <c r="A2255" s="17"/>
      <c r="B2255"/>
      <c r="C2255"/>
      <c r="D2255"/>
      <c r="E2255"/>
      <c r="F2255"/>
      <c r="G2255"/>
      <c r="H2255"/>
      <c r="I2255"/>
      <c r="J2255"/>
      <c r="K2255"/>
      <c r="L2255"/>
      <c r="M2255"/>
      <c r="S2255" s="54"/>
    </row>
    <row r="2256" spans="1:19" s="15" customFormat="1" x14ac:dyDescent="0.3">
      <c r="A2256" s="17"/>
      <c r="B2256"/>
      <c r="C2256"/>
      <c r="D2256"/>
      <c r="E2256"/>
      <c r="F2256"/>
      <c r="G2256"/>
      <c r="H2256"/>
      <c r="I2256"/>
      <c r="J2256"/>
      <c r="K2256"/>
      <c r="L2256"/>
      <c r="M2256"/>
      <c r="S2256" s="54"/>
    </row>
    <row r="2257" spans="1:19" s="15" customFormat="1" x14ac:dyDescent="0.3">
      <c r="A2257" s="17"/>
      <c r="B2257"/>
      <c r="C2257"/>
      <c r="D2257"/>
      <c r="E2257"/>
      <c r="F2257"/>
      <c r="G2257"/>
      <c r="H2257"/>
      <c r="I2257"/>
      <c r="J2257"/>
      <c r="K2257"/>
      <c r="L2257"/>
      <c r="M2257"/>
      <c r="S2257" s="54"/>
    </row>
    <row r="2258" spans="1:19" s="15" customFormat="1" x14ac:dyDescent="0.3">
      <c r="A2258" s="17"/>
      <c r="B2258"/>
      <c r="C2258"/>
      <c r="D2258"/>
      <c r="E2258"/>
      <c r="F2258"/>
      <c r="G2258"/>
      <c r="H2258"/>
      <c r="I2258"/>
      <c r="J2258"/>
      <c r="K2258"/>
      <c r="L2258"/>
      <c r="M2258"/>
      <c r="S2258" s="54"/>
    </row>
    <row r="2259" spans="1:19" s="15" customFormat="1" x14ac:dyDescent="0.3">
      <c r="A2259" s="17"/>
      <c r="B2259"/>
      <c r="C2259"/>
      <c r="D2259"/>
      <c r="E2259"/>
      <c r="F2259"/>
      <c r="G2259"/>
      <c r="H2259"/>
      <c r="I2259"/>
      <c r="J2259"/>
      <c r="K2259"/>
      <c r="L2259"/>
      <c r="M2259"/>
      <c r="S2259" s="54"/>
    </row>
    <row r="2260" spans="1:19" s="15" customFormat="1" x14ac:dyDescent="0.3">
      <c r="A2260" s="17"/>
      <c r="B2260"/>
      <c r="C2260"/>
      <c r="D2260"/>
      <c r="E2260"/>
      <c r="F2260"/>
      <c r="G2260"/>
      <c r="H2260"/>
      <c r="I2260"/>
      <c r="J2260"/>
      <c r="K2260"/>
      <c r="L2260"/>
      <c r="M2260"/>
      <c r="S2260" s="54"/>
    </row>
    <row r="2261" spans="1:19" s="15" customFormat="1" x14ac:dyDescent="0.3">
      <c r="A2261" s="17"/>
      <c r="B2261"/>
      <c r="C2261"/>
      <c r="D2261"/>
      <c r="E2261"/>
      <c r="F2261"/>
      <c r="G2261"/>
      <c r="H2261"/>
      <c r="I2261"/>
      <c r="J2261"/>
      <c r="K2261"/>
      <c r="L2261"/>
      <c r="M2261"/>
      <c r="S2261" s="54"/>
    </row>
    <row r="2262" spans="1:19" s="15" customFormat="1" x14ac:dyDescent="0.3">
      <c r="A2262" s="17"/>
      <c r="B2262"/>
      <c r="C2262"/>
      <c r="D2262"/>
      <c r="E2262"/>
      <c r="F2262"/>
      <c r="G2262"/>
      <c r="H2262"/>
      <c r="I2262"/>
      <c r="J2262"/>
      <c r="K2262"/>
      <c r="L2262"/>
      <c r="M2262"/>
      <c r="S2262" s="54"/>
    </row>
    <row r="2263" spans="1:19" s="15" customFormat="1" x14ac:dyDescent="0.3">
      <c r="A2263" s="17"/>
      <c r="B2263"/>
      <c r="C2263"/>
      <c r="D2263"/>
      <c r="E2263"/>
      <c r="F2263"/>
      <c r="G2263"/>
      <c r="H2263"/>
      <c r="I2263"/>
      <c r="J2263"/>
      <c r="K2263"/>
      <c r="L2263"/>
      <c r="M2263"/>
      <c r="S2263" s="54"/>
    </row>
    <row r="2264" spans="1:19" s="15" customFormat="1" x14ac:dyDescent="0.3">
      <c r="A2264" s="17"/>
      <c r="B2264"/>
      <c r="C2264"/>
      <c r="D2264"/>
      <c r="E2264"/>
      <c r="F2264"/>
      <c r="G2264"/>
      <c r="H2264"/>
      <c r="I2264"/>
      <c r="J2264"/>
      <c r="K2264"/>
      <c r="L2264"/>
      <c r="M2264"/>
      <c r="S2264" s="54"/>
    </row>
    <row r="2265" spans="1:19" s="15" customFormat="1" x14ac:dyDescent="0.3">
      <c r="A2265" s="17"/>
      <c r="B2265"/>
      <c r="C2265"/>
      <c r="D2265"/>
      <c r="E2265"/>
      <c r="F2265"/>
      <c r="G2265"/>
      <c r="H2265"/>
      <c r="I2265"/>
      <c r="J2265"/>
      <c r="K2265"/>
      <c r="L2265"/>
      <c r="M2265"/>
      <c r="S2265" s="54"/>
    </row>
    <row r="2266" spans="1:19" s="15" customFormat="1" x14ac:dyDescent="0.3">
      <c r="A2266" s="17"/>
      <c r="B2266"/>
      <c r="C2266"/>
      <c r="D2266"/>
      <c r="E2266"/>
      <c r="F2266"/>
      <c r="G2266"/>
      <c r="H2266"/>
      <c r="I2266"/>
      <c r="J2266"/>
      <c r="K2266"/>
      <c r="L2266"/>
      <c r="M2266"/>
      <c r="S2266" s="54"/>
    </row>
    <row r="2267" spans="1:19" s="15" customFormat="1" x14ac:dyDescent="0.3">
      <c r="A2267" s="17"/>
      <c r="B2267"/>
      <c r="C2267"/>
      <c r="D2267"/>
      <c r="E2267"/>
      <c r="F2267"/>
      <c r="G2267"/>
      <c r="H2267"/>
      <c r="I2267"/>
      <c r="J2267"/>
      <c r="K2267"/>
      <c r="L2267"/>
      <c r="M2267"/>
      <c r="S2267" s="54"/>
    </row>
    <row r="2268" spans="1:19" s="15" customFormat="1" x14ac:dyDescent="0.3">
      <c r="A2268" s="17"/>
      <c r="B2268"/>
      <c r="C2268"/>
      <c r="D2268"/>
      <c r="E2268"/>
      <c r="F2268"/>
      <c r="G2268"/>
      <c r="H2268"/>
      <c r="I2268"/>
      <c r="J2268"/>
      <c r="K2268"/>
      <c r="L2268"/>
      <c r="M2268"/>
      <c r="S2268" s="54"/>
    </row>
    <row r="2269" spans="1:19" s="15" customFormat="1" x14ac:dyDescent="0.3">
      <c r="A2269" s="17"/>
      <c r="B2269"/>
      <c r="C2269"/>
      <c r="D2269"/>
      <c r="E2269"/>
      <c r="F2269"/>
      <c r="G2269"/>
      <c r="H2269"/>
      <c r="I2269"/>
      <c r="J2269"/>
      <c r="K2269"/>
      <c r="L2269"/>
      <c r="M2269"/>
      <c r="S2269" s="54"/>
    </row>
    <row r="2270" spans="1:19" s="15" customFormat="1" x14ac:dyDescent="0.3">
      <c r="A2270" s="17"/>
      <c r="B2270"/>
      <c r="C2270"/>
      <c r="D2270"/>
      <c r="E2270"/>
      <c r="F2270"/>
      <c r="G2270"/>
      <c r="H2270"/>
      <c r="I2270"/>
      <c r="J2270"/>
      <c r="K2270"/>
      <c r="L2270"/>
      <c r="M2270"/>
      <c r="S2270" s="54"/>
    </row>
    <row r="2271" spans="1:19" s="15" customFormat="1" x14ac:dyDescent="0.3">
      <c r="A2271" s="17"/>
      <c r="B2271"/>
      <c r="C2271"/>
      <c r="D2271"/>
      <c r="E2271"/>
      <c r="F2271"/>
      <c r="G2271"/>
      <c r="H2271"/>
      <c r="I2271"/>
      <c r="J2271"/>
      <c r="K2271"/>
      <c r="L2271"/>
      <c r="M2271"/>
      <c r="S2271" s="54"/>
    </row>
    <row r="2272" spans="1:19" s="15" customFormat="1" x14ac:dyDescent="0.3">
      <c r="A2272" s="17"/>
      <c r="B2272"/>
      <c r="C2272"/>
      <c r="D2272"/>
      <c r="E2272"/>
      <c r="F2272"/>
      <c r="G2272"/>
      <c r="H2272"/>
      <c r="I2272"/>
      <c r="J2272"/>
      <c r="K2272"/>
      <c r="L2272"/>
      <c r="M2272"/>
      <c r="S2272" s="54"/>
    </row>
    <row r="2273" spans="1:19" s="15" customFormat="1" x14ac:dyDescent="0.3">
      <c r="A2273" s="17"/>
      <c r="B2273"/>
      <c r="C2273"/>
      <c r="D2273"/>
      <c r="E2273"/>
      <c r="F2273"/>
      <c r="G2273"/>
      <c r="H2273"/>
      <c r="I2273"/>
      <c r="J2273"/>
      <c r="K2273"/>
      <c r="L2273"/>
      <c r="M2273"/>
      <c r="S2273" s="54"/>
    </row>
    <row r="2274" spans="1:19" s="15" customFormat="1" x14ac:dyDescent="0.3">
      <c r="A2274" s="17"/>
      <c r="B2274"/>
      <c r="C2274"/>
      <c r="D2274"/>
      <c r="E2274"/>
      <c r="F2274"/>
      <c r="G2274"/>
      <c r="H2274"/>
      <c r="I2274"/>
      <c r="J2274"/>
      <c r="K2274"/>
      <c r="L2274"/>
      <c r="M2274"/>
      <c r="S2274" s="54"/>
    </row>
    <row r="2275" spans="1:19" s="15" customFormat="1" x14ac:dyDescent="0.3">
      <c r="A2275" s="17"/>
      <c r="B2275"/>
      <c r="C2275"/>
      <c r="D2275"/>
      <c r="E2275"/>
      <c r="F2275"/>
      <c r="G2275"/>
      <c r="H2275"/>
      <c r="I2275"/>
      <c r="J2275"/>
      <c r="K2275"/>
      <c r="L2275"/>
      <c r="M2275"/>
      <c r="S2275" s="54"/>
    </row>
    <row r="2276" spans="1:19" s="15" customFormat="1" x14ac:dyDescent="0.3">
      <c r="A2276" s="17"/>
      <c r="B2276"/>
      <c r="C2276"/>
      <c r="D2276"/>
      <c r="E2276"/>
      <c r="F2276"/>
      <c r="G2276"/>
      <c r="H2276"/>
      <c r="I2276"/>
      <c r="J2276"/>
      <c r="K2276"/>
      <c r="L2276"/>
      <c r="M2276"/>
      <c r="S2276" s="54"/>
    </row>
    <row r="2277" spans="1:19" s="15" customFormat="1" x14ac:dyDescent="0.3">
      <c r="A2277" s="17"/>
      <c r="B2277"/>
      <c r="C2277"/>
      <c r="D2277"/>
      <c r="E2277"/>
      <c r="F2277"/>
      <c r="G2277"/>
      <c r="H2277"/>
      <c r="I2277"/>
      <c r="J2277"/>
      <c r="K2277"/>
      <c r="L2277"/>
      <c r="M2277"/>
      <c r="S2277" s="54"/>
    </row>
    <row r="2278" spans="1:19" s="15" customFormat="1" x14ac:dyDescent="0.3">
      <c r="A2278" s="17"/>
      <c r="B2278"/>
      <c r="C2278"/>
      <c r="D2278"/>
      <c r="E2278"/>
      <c r="F2278"/>
      <c r="G2278"/>
      <c r="H2278"/>
      <c r="I2278"/>
      <c r="J2278"/>
      <c r="K2278"/>
      <c r="L2278"/>
      <c r="M2278"/>
      <c r="S2278" s="54"/>
    </row>
    <row r="2279" spans="1:19" s="15" customFormat="1" x14ac:dyDescent="0.3">
      <c r="A2279" s="17"/>
      <c r="B2279"/>
      <c r="C2279"/>
      <c r="D2279"/>
      <c r="E2279"/>
      <c r="F2279"/>
      <c r="G2279"/>
      <c r="H2279"/>
      <c r="I2279"/>
      <c r="J2279"/>
      <c r="K2279"/>
      <c r="L2279"/>
      <c r="M2279"/>
      <c r="S2279" s="54"/>
    </row>
    <row r="2280" spans="1:19" s="15" customFormat="1" x14ac:dyDescent="0.3">
      <c r="A2280" s="17"/>
      <c r="B2280"/>
      <c r="C2280"/>
      <c r="D2280"/>
      <c r="E2280"/>
      <c r="F2280"/>
      <c r="G2280"/>
      <c r="H2280"/>
      <c r="I2280"/>
      <c r="J2280"/>
      <c r="K2280"/>
      <c r="L2280"/>
      <c r="M2280"/>
      <c r="S2280" s="54"/>
    </row>
    <row r="2281" spans="1:19" s="15" customFormat="1" x14ac:dyDescent="0.3">
      <c r="A2281" s="17"/>
      <c r="B2281"/>
      <c r="C2281"/>
      <c r="D2281"/>
      <c r="E2281"/>
      <c r="F2281"/>
      <c r="G2281"/>
      <c r="H2281"/>
      <c r="I2281"/>
      <c r="J2281"/>
      <c r="K2281"/>
      <c r="L2281"/>
      <c r="M2281"/>
      <c r="S2281" s="54"/>
    </row>
    <row r="2282" spans="1:19" s="15" customFormat="1" x14ac:dyDescent="0.3">
      <c r="A2282" s="17"/>
      <c r="B2282"/>
      <c r="C2282"/>
      <c r="D2282"/>
      <c r="E2282"/>
      <c r="F2282"/>
      <c r="G2282"/>
      <c r="H2282"/>
      <c r="I2282"/>
      <c r="J2282"/>
      <c r="K2282"/>
      <c r="L2282"/>
      <c r="M2282"/>
      <c r="S2282" s="54"/>
    </row>
    <row r="2283" spans="1:19" s="15" customFormat="1" x14ac:dyDescent="0.3">
      <c r="A2283" s="17"/>
      <c r="B2283"/>
      <c r="C2283"/>
      <c r="D2283"/>
      <c r="E2283"/>
      <c r="F2283"/>
      <c r="G2283"/>
      <c r="H2283"/>
      <c r="I2283"/>
      <c r="J2283"/>
      <c r="K2283"/>
      <c r="L2283"/>
      <c r="M2283"/>
      <c r="S2283" s="54"/>
    </row>
    <row r="2284" spans="1:19" s="15" customFormat="1" x14ac:dyDescent="0.3">
      <c r="A2284" s="17"/>
      <c r="B2284"/>
      <c r="C2284"/>
      <c r="D2284"/>
      <c r="E2284"/>
      <c r="F2284"/>
      <c r="G2284"/>
      <c r="H2284"/>
      <c r="I2284"/>
      <c r="J2284"/>
      <c r="K2284"/>
      <c r="L2284"/>
      <c r="M2284"/>
      <c r="S2284" s="54"/>
    </row>
    <row r="2285" spans="1:19" s="15" customFormat="1" x14ac:dyDescent="0.3">
      <c r="A2285" s="17"/>
      <c r="B2285"/>
      <c r="C2285"/>
      <c r="D2285"/>
      <c r="E2285"/>
      <c r="F2285"/>
      <c r="G2285"/>
      <c r="H2285"/>
      <c r="I2285"/>
      <c r="J2285"/>
      <c r="K2285"/>
      <c r="L2285"/>
      <c r="M2285"/>
      <c r="S2285" s="54"/>
    </row>
    <row r="2286" spans="1:19" s="15" customFormat="1" x14ac:dyDescent="0.3">
      <c r="A2286" s="17"/>
      <c r="B2286"/>
      <c r="C2286"/>
      <c r="D2286"/>
      <c r="E2286"/>
      <c r="F2286"/>
      <c r="G2286"/>
      <c r="H2286"/>
      <c r="I2286"/>
      <c r="J2286"/>
      <c r="K2286"/>
      <c r="L2286"/>
      <c r="M2286"/>
      <c r="S2286" s="54"/>
    </row>
    <row r="2287" spans="1:19" s="15" customFormat="1" x14ac:dyDescent="0.3">
      <c r="A2287" s="17"/>
      <c r="B2287"/>
      <c r="C2287"/>
      <c r="D2287"/>
      <c r="E2287"/>
      <c r="F2287"/>
      <c r="G2287"/>
      <c r="H2287"/>
      <c r="I2287"/>
      <c r="J2287"/>
      <c r="K2287"/>
      <c r="L2287"/>
      <c r="M2287"/>
      <c r="S2287" s="54"/>
    </row>
    <row r="2288" spans="1:19" s="15" customFormat="1" x14ac:dyDescent="0.3">
      <c r="A2288" s="17"/>
      <c r="B2288"/>
      <c r="C2288"/>
      <c r="D2288"/>
      <c r="E2288"/>
      <c r="F2288"/>
      <c r="G2288"/>
      <c r="H2288"/>
      <c r="I2288"/>
      <c r="J2288"/>
      <c r="K2288"/>
      <c r="L2288"/>
      <c r="M2288"/>
      <c r="S2288" s="54"/>
    </row>
    <row r="2289" spans="1:19" s="15" customFormat="1" x14ac:dyDescent="0.3">
      <c r="A2289" s="17"/>
      <c r="B2289"/>
      <c r="C2289"/>
      <c r="D2289"/>
      <c r="E2289"/>
      <c r="F2289"/>
      <c r="G2289"/>
      <c r="H2289"/>
      <c r="I2289"/>
      <c r="J2289"/>
      <c r="K2289"/>
      <c r="L2289"/>
      <c r="M2289"/>
      <c r="S2289" s="54"/>
    </row>
    <row r="2290" spans="1:19" s="15" customFormat="1" x14ac:dyDescent="0.3">
      <c r="A2290" s="17"/>
      <c r="B2290"/>
      <c r="C2290"/>
      <c r="D2290"/>
      <c r="E2290"/>
      <c r="F2290"/>
      <c r="G2290"/>
      <c r="H2290"/>
      <c r="I2290"/>
      <c r="J2290"/>
      <c r="K2290"/>
      <c r="L2290"/>
      <c r="M2290"/>
      <c r="S2290" s="54"/>
    </row>
    <row r="2291" spans="1:19" s="15" customFormat="1" x14ac:dyDescent="0.3">
      <c r="A2291" s="17"/>
      <c r="B2291"/>
      <c r="C2291"/>
      <c r="D2291"/>
      <c r="E2291"/>
      <c r="F2291"/>
      <c r="G2291"/>
      <c r="H2291"/>
      <c r="I2291"/>
      <c r="J2291"/>
      <c r="K2291"/>
      <c r="L2291"/>
      <c r="M2291"/>
      <c r="S2291" s="54"/>
    </row>
    <row r="2292" spans="1:19" s="15" customFormat="1" x14ac:dyDescent="0.3">
      <c r="A2292" s="17"/>
      <c r="B2292"/>
      <c r="C2292"/>
      <c r="D2292"/>
      <c r="E2292"/>
      <c r="F2292"/>
      <c r="G2292"/>
      <c r="H2292"/>
      <c r="I2292"/>
      <c r="J2292"/>
      <c r="K2292"/>
      <c r="L2292"/>
      <c r="M2292"/>
      <c r="S2292" s="54"/>
    </row>
    <row r="2293" spans="1:19" s="15" customFormat="1" x14ac:dyDescent="0.3">
      <c r="A2293" s="17"/>
      <c r="B2293"/>
      <c r="C2293"/>
      <c r="D2293"/>
      <c r="E2293"/>
      <c r="F2293"/>
      <c r="G2293"/>
      <c r="H2293"/>
      <c r="I2293"/>
      <c r="J2293"/>
      <c r="K2293"/>
      <c r="L2293"/>
      <c r="M2293"/>
      <c r="S2293" s="54"/>
    </row>
    <row r="2294" spans="1:19" s="15" customFormat="1" x14ac:dyDescent="0.3">
      <c r="A2294" s="17"/>
      <c r="B2294"/>
      <c r="C2294"/>
      <c r="D2294"/>
      <c r="E2294"/>
      <c r="F2294"/>
      <c r="G2294"/>
      <c r="H2294"/>
      <c r="I2294"/>
      <c r="J2294"/>
      <c r="K2294"/>
      <c r="L2294"/>
      <c r="M2294"/>
      <c r="S2294" s="54"/>
    </row>
    <row r="2295" spans="1:19" s="15" customFormat="1" x14ac:dyDescent="0.3">
      <c r="A2295" s="17"/>
      <c r="B2295"/>
      <c r="C2295"/>
      <c r="D2295"/>
      <c r="E2295"/>
      <c r="F2295"/>
      <c r="G2295"/>
      <c r="H2295"/>
      <c r="I2295"/>
      <c r="J2295"/>
      <c r="K2295"/>
      <c r="L2295"/>
      <c r="M2295"/>
      <c r="S2295" s="54"/>
    </row>
    <row r="2296" spans="1:19" s="15" customFormat="1" x14ac:dyDescent="0.3">
      <c r="A2296" s="17"/>
      <c r="B2296"/>
      <c r="C2296"/>
      <c r="D2296"/>
      <c r="E2296"/>
      <c r="F2296"/>
      <c r="G2296"/>
      <c r="H2296"/>
      <c r="I2296"/>
      <c r="J2296"/>
      <c r="K2296"/>
      <c r="L2296"/>
      <c r="M2296"/>
      <c r="S2296" s="54"/>
    </row>
    <row r="2297" spans="1:19" s="15" customFormat="1" x14ac:dyDescent="0.3">
      <c r="A2297" s="17"/>
      <c r="B2297"/>
      <c r="C2297"/>
      <c r="D2297"/>
      <c r="E2297"/>
      <c r="F2297"/>
      <c r="G2297"/>
      <c r="H2297"/>
      <c r="I2297"/>
      <c r="J2297"/>
      <c r="K2297"/>
      <c r="L2297"/>
      <c r="M2297"/>
      <c r="S2297" s="54"/>
    </row>
    <row r="2298" spans="1:19" s="15" customFormat="1" x14ac:dyDescent="0.3">
      <c r="A2298" s="17"/>
      <c r="B2298"/>
      <c r="C2298"/>
      <c r="D2298"/>
      <c r="E2298"/>
      <c r="F2298"/>
      <c r="G2298"/>
      <c r="H2298"/>
      <c r="I2298"/>
      <c r="J2298"/>
      <c r="K2298"/>
      <c r="L2298"/>
      <c r="M2298"/>
      <c r="S2298" s="54"/>
    </row>
    <row r="2299" spans="1:19" s="15" customFormat="1" x14ac:dyDescent="0.3">
      <c r="A2299" s="17"/>
      <c r="B2299"/>
      <c r="C2299"/>
      <c r="D2299"/>
      <c r="E2299"/>
      <c r="F2299"/>
      <c r="G2299"/>
      <c r="H2299"/>
      <c r="I2299"/>
      <c r="J2299"/>
      <c r="K2299"/>
      <c r="L2299"/>
      <c r="M2299"/>
      <c r="S2299" s="54"/>
    </row>
    <row r="2300" spans="1:19" s="15" customFormat="1" x14ac:dyDescent="0.3">
      <c r="A2300" s="17"/>
      <c r="B2300"/>
      <c r="C2300"/>
      <c r="D2300"/>
      <c r="E2300"/>
      <c r="F2300"/>
      <c r="G2300"/>
      <c r="H2300"/>
      <c r="I2300"/>
      <c r="J2300"/>
      <c r="K2300"/>
      <c r="L2300"/>
      <c r="M2300"/>
      <c r="S2300" s="54"/>
    </row>
    <row r="2301" spans="1:19" s="15" customFormat="1" x14ac:dyDescent="0.3">
      <c r="A2301" s="17"/>
      <c r="B2301"/>
      <c r="C2301"/>
      <c r="D2301"/>
      <c r="E2301"/>
      <c r="F2301"/>
      <c r="G2301"/>
      <c r="H2301"/>
      <c r="I2301"/>
      <c r="J2301"/>
      <c r="K2301"/>
      <c r="L2301"/>
      <c r="M2301"/>
      <c r="S2301" s="54"/>
    </row>
    <row r="2302" spans="1:19" s="15" customFormat="1" x14ac:dyDescent="0.3">
      <c r="A2302" s="17"/>
      <c r="B2302"/>
      <c r="C2302"/>
      <c r="D2302"/>
      <c r="E2302"/>
      <c r="F2302"/>
      <c r="G2302"/>
      <c r="H2302"/>
      <c r="I2302"/>
      <c r="J2302"/>
      <c r="K2302"/>
      <c r="L2302"/>
      <c r="M2302"/>
      <c r="S2302" s="54"/>
    </row>
    <row r="2303" spans="1:19" s="15" customFormat="1" x14ac:dyDescent="0.3">
      <c r="A2303" s="17"/>
      <c r="B2303"/>
      <c r="C2303"/>
      <c r="D2303"/>
      <c r="E2303"/>
      <c r="F2303"/>
      <c r="G2303"/>
      <c r="H2303"/>
      <c r="I2303"/>
      <c r="J2303"/>
      <c r="K2303"/>
      <c r="L2303"/>
      <c r="M2303"/>
      <c r="S2303" s="54"/>
    </row>
    <row r="2304" spans="1:19" s="15" customFormat="1" x14ac:dyDescent="0.3">
      <c r="A2304" s="17"/>
      <c r="B2304"/>
      <c r="C2304"/>
      <c r="D2304"/>
      <c r="E2304"/>
      <c r="F2304"/>
      <c r="G2304"/>
      <c r="H2304"/>
      <c r="I2304"/>
      <c r="J2304"/>
      <c r="K2304"/>
      <c r="L2304"/>
      <c r="M2304"/>
      <c r="S2304" s="54"/>
    </row>
    <row r="2305" spans="1:19" s="15" customFormat="1" x14ac:dyDescent="0.3">
      <c r="A2305" s="17"/>
      <c r="B2305"/>
      <c r="C2305"/>
      <c r="D2305"/>
      <c r="E2305"/>
      <c r="F2305"/>
      <c r="G2305"/>
      <c r="H2305"/>
      <c r="I2305"/>
      <c r="J2305"/>
      <c r="K2305"/>
      <c r="L2305"/>
      <c r="M2305"/>
      <c r="S2305" s="54"/>
    </row>
    <row r="2306" spans="1:19" s="15" customFormat="1" x14ac:dyDescent="0.3">
      <c r="A2306" s="17"/>
      <c r="B2306"/>
      <c r="C2306"/>
      <c r="D2306"/>
      <c r="E2306"/>
      <c r="F2306"/>
      <c r="G2306"/>
      <c r="H2306"/>
      <c r="I2306"/>
      <c r="J2306"/>
      <c r="K2306"/>
      <c r="L2306"/>
      <c r="M2306"/>
      <c r="S2306" s="54"/>
    </row>
    <row r="2307" spans="1:19" s="15" customFormat="1" x14ac:dyDescent="0.3">
      <c r="A2307" s="17"/>
      <c r="B2307"/>
      <c r="C2307"/>
      <c r="D2307"/>
      <c r="E2307"/>
      <c r="F2307"/>
      <c r="G2307"/>
      <c r="H2307"/>
      <c r="I2307"/>
      <c r="J2307"/>
      <c r="K2307"/>
      <c r="L2307"/>
      <c r="M2307"/>
      <c r="S2307" s="54"/>
    </row>
    <row r="2308" spans="1:19" s="15" customFormat="1" x14ac:dyDescent="0.3">
      <c r="A2308" s="17"/>
      <c r="B2308"/>
      <c r="C2308"/>
      <c r="D2308"/>
      <c r="E2308"/>
      <c r="F2308"/>
      <c r="G2308"/>
      <c r="H2308"/>
      <c r="I2308"/>
      <c r="J2308"/>
      <c r="K2308"/>
      <c r="L2308"/>
      <c r="M2308"/>
      <c r="S2308" s="54"/>
    </row>
    <row r="2309" spans="1:19" s="15" customFormat="1" x14ac:dyDescent="0.3">
      <c r="A2309" s="17"/>
      <c r="B2309"/>
      <c r="C2309"/>
      <c r="D2309"/>
      <c r="E2309"/>
      <c r="F2309"/>
      <c r="G2309"/>
      <c r="H2309"/>
      <c r="I2309"/>
      <c r="J2309"/>
      <c r="K2309"/>
      <c r="L2309"/>
      <c r="M2309"/>
      <c r="S2309" s="54"/>
    </row>
    <row r="2310" spans="1:19" s="15" customFormat="1" x14ac:dyDescent="0.3">
      <c r="A2310" s="17"/>
      <c r="B2310"/>
      <c r="C2310"/>
      <c r="D2310"/>
      <c r="E2310"/>
      <c r="F2310"/>
      <c r="G2310"/>
      <c r="H2310"/>
      <c r="I2310"/>
      <c r="J2310"/>
      <c r="K2310"/>
      <c r="L2310"/>
      <c r="M2310"/>
      <c r="S2310" s="54"/>
    </row>
    <row r="2311" spans="1:19" s="15" customFormat="1" x14ac:dyDescent="0.3">
      <c r="A2311" s="17"/>
      <c r="B2311"/>
      <c r="C2311"/>
      <c r="D2311"/>
      <c r="E2311"/>
      <c r="F2311"/>
      <c r="G2311"/>
      <c r="H2311"/>
      <c r="I2311"/>
      <c r="J2311"/>
      <c r="K2311"/>
      <c r="L2311"/>
      <c r="M2311"/>
      <c r="S2311" s="54"/>
    </row>
    <row r="2312" spans="1:19" s="15" customFormat="1" x14ac:dyDescent="0.3">
      <c r="A2312" s="17"/>
      <c r="B2312"/>
      <c r="C2312"/>
      <c r="D2312"/>
      <c r="E2312"/>
      <c r="F2312"/>
      <c r="G2312"/>
      <c r="H2312"/>
      <c r="I2312"/>
      <c r="J2312"/>
      <c r="K2312"/>
      <c r="L2312"/>
      <c r="M2312"/>
      <c r="S2312" s="54"/>
    </row>
    <row r="2313" spans="1:19" s="15" customFormat="1" x14ac:dyDescent="0.3">
      <c r="A2313" s="17"/>
      <c r="B2313"/>
      <c r="C2313"/>
      <c r="D2313"/>
      <c r="E2313"/>
      <c r="F2313"/>
      <c r="G2313"/>
      <c r="H2313"/>
      <c r="I2313"/>
      <c r="J2313"/>
      <c r="K2313"/>
      <c r="L2313"/>
      <c r="M2313"/>
      <c r="S2313" s="54"/>
    </row>
    <row r="2314" spans="1:19" s="15" customFormat="1" x14ac:dyDescent="0.3">
      <c r="A2314" s="17"/>
      <c r="B2314"/>
      <c r="C2314"/>
      <c r="D2314"/>
      <c r="E2314"/>
      <c r="F2314"/>
      <c r="G2314"/>
      <c r="H2314"/>
      <c r="I2314"/>
      <c r="J2314"/>
      <c r="K2314"/>
      <c r="L2314"/>
      <c r="M2314"/>
      <c r="S2314" s="54"/>
    </row>
    <row r="2315" spans="1:19" s="15" customFormat="1" x14ac:dyDescent="0.3">
      <c r="A2315" s="17"/>
      <c r="B2315"/>
      <c r="C2315"/>
      <c r="D2315"/>
      <c r="E2315"/>
      <c r="F2315"/>
      <c r="G2315"/>
      <c r="H2315"/>
      <c r="I2315"/>
      <c r="J2315"/>
      <c r="K2315"/>
      <c r="L2315"/>
      <c r="M2315"/>
      <c r="S2315" s="54"/>
    </row>
    <row r="2316" spans="1:19" s="15" customFormat="1" x14ac:dyDescent="0.3">
      <c r="A2316" s="17"/>
      <c r="B2316"/>
      <c r="C2316"/>
      <c r="D2316"/>
      <c r="E2316"/>
      <c r="F2316"/>
      <c r="G2316"/>
      <c r="H2316"/>
      <c r="I2316"/>
      <c r="J2316"/>
      <c r="K2316"/>
      <c r="L2316"/>
      <c r="M2316"/>
      <c r="S2316" s="54"/>
    </row>
    <row r="2317" spans="1:19" s="15" customFormat="1" x14ac:dyDescent="0.3">
      <c r="A2317" s="17"/>
      <c r="B2317"/>
      <c r="C2317"/>
      <c r="D2317"/>
      <c r="E2317"/>
      <c r="F2317"/>
      <c r="G2317"/>
      <c r="H2317"/>
      <c r="I2317"/>
      <c r="J2317"/>
      <c r="K2317"/>
      <c r="L2317"/>
      <c r="M2317"/>
      <c r="S2317" s="54"/>
    </row>
    <row r="2318" spans="1:19" s="15" customFormat="1" x14ac:dyDescent="0.3">
      <c r="A2318" s="17"/>
      <c r="B2318"/>
      <c r="C2318"/>
      <c r="D2318"/>
      <c r="E2318"/>
      <c r="F2318"/>
      <c r="G2318"/>
      <c r="H2318"/>
      <c r="I2318"/>
      <c r="J2318"/>
      <c r="K2318"/>
      <c r="L2318"/>
      <c r="M2318"/>
      <c r="S2318" s="54"/>
    </row>
    <row r="2319" spans="1:19" s="15" customFormat="1" x14ac:dyDescent="0.3">
      <c r="A2319" s="17"/>
      <c r="B2319"/>
      <c r="C2319"/>
      <c r="D2319"/>
      <c r="E2319"/>
      <c r="F2319"/>
      <c r="G2319"/>
      <c r="H2319"/>
      <c r="I2319"/>
      <c r="J2319"/>
      <c r="K2319"/>
      <c r="L2319"/>
      <c r="M2319"/>
      <c r="S2319" s="54"/>
    </row>
    <row r="2320" spans="1:19" s="15" customFormat="1" x14ac:dyDescent="0.3">
      <c r="A2320" s="17"/>
      <c r="B2320"/>
      <c r="C2320"/>
      <c r="D2320"/>
      <c r="E2320"/>
      <c r="F2320"/>
      <c r="G2320"/>
      <c r="H2320"/>
      <c r="I2320"/>
      <c r="J2320"/>
      <c r="K2320"/>
      <c r="L2320"/>
      <c r="M2320"/>
      <c r="S2320" s="54"/>
    </row>
    <row r="2321" spans="1:19" s="15" customFormat="1" x14ac:dyDescent="0.3">
      <c r="A2321" s="17"/>
      <c r="B2321"/>
      <c r="C2321"/>
      <c r="D2321"/>
      <c r="E2321"/>
      <c r="F2321"/>
      <c r="G2321"/>
      <c r="H2321"/>
      <c r="I2321"/>
      <c r="J2321"/>
      <c r="K2321"/>
      <c r="L2321"/>
      <c r="M2321"/>
      <c r="S2321" s="54"/>
    </row>
    <row r="2322" spans="1:19" s="15" customFormat="1" x14ac:dyDescent="0.3">
      <c r="A2322" s="17"/>
      <c r="B2322"/>
      <c r="C2322"/>
      <c r="D2322"/>
      <c r="E2322"/>
      <c r="F2322"/>
      <c r="G2322"/>
      <c r="H2322"/>
      <c r="I2322"/>
      <c r="J2322"/>
      <c r="K2322"/>
      <c r="L2322"/>
      <c r="M2322"/>
      <c r="S2322" s="54"/>
    </row>
    <row r="2323" spans="1:19" s="15" customFormat="1" x14ac:dyDescent="0.3">
      <c r="A2323" s="17"/>
      <c r="B2323"/>
      <c r="C2323"/>
      <c r="D2323"/>
      <c r="E2323"/>
      <c r="F2323"/>
      <c r="G2323"/>
      <c r="H2323"/>
      <c r="I2323"/>
      <c r="J2323"/>
      <c r="K2323"/>
      <c r="L2323"/>
      <c r="M2323"/>
      <c r="S2323" s="54"/>
    </row>
    <row r="2324" spans="1:19" s="15" customFormat="1" x14ac:dyDescent="0.3">
      <c r="A2324" s="17"/>
      <c r="B2324"/>
      <c r="C2324"/>
      <c r="D2324"/>
      <c r="E2324"/>
      <c r="F2324"/>
      <c r="G2324"/>
      <c r="H2324"/>
      <c r="I2324"/>
      <c r="J2324"/>
      <c r="K2324"/>
      <c r="L2324"/>
      <c r="M2324"/>
      <c r="S2324" s="54"/>
    </row>
    <row r="2325" spans="1:19" s="15" customFormat="1" x14ac:dyDescent="0.3">
      <c r="A2325" s="17"/>
      <c r="B2325"/>
      <c r="C2325"/>
      <c r="D2325"/>
      <c r="E2325"/>
      <c r="F2325"/>
      <c r="G2325"/>
      <c r="H2325"/>
      <c r="I2325"/>
      <c r="J2325"/>
      <c r="K2325"/>
      <c r="L2325"/>
      <c r="M2325"/>
      <c r="S2325" s="54"/>
    </row>
    <row r="2326" spans="1:19" s="15" customFormat="1" x14ac:dyDescent="0.3">
      <c r="A2326" s="17"/>
      <c r="B2326"/>
      <c r="C2326"/>
      <c r="D2326"/>
      <c r="E2326"/>
      <c r="F2326"/>
      <c r="G2326"/>
      <c r="H2326"/>
      <c r="I2326"/>
      <c r="J2326"/>
      <c r="K2326"/>
      <c r="L2326"/>
      <c r="M2326"/>
      <c r="S2326" s="54"/>
    </row>
    <row r="2327" spans="1:19" s="15" customFormat="1" x14ac:dyDescent="0.3">
      <c r="A2327" s="17"/>
      <c r="B2327"/>
      <c r="C2327"/>
      <c r="D2327"/>
      <c r="E2327"/>
      <c r="F2327"/>
      <c r="G2327"/>
      <c r="H2327"/>
      <c r="I2327"/>
      <c r="J2327"/>
      <c r="K2327"/>
      <c r="L2327"/>
      <c r="M2327"/>
      <c r="S2327" s="54"/>
    </row>
    <row r="2328" spans="1:19" s="15" customFormat="1" x14ac:dyDescent="0.3">
      <c r="A2328" s="17"/>
      <c r="B2328"/>
      <c r="C2328"/>
      <c r="D2328"/>
      <c r="E2328"/>
      <c r="F2328"/>
      <c r="G2328"/>
      <c r="H2328"/>
      <c r="I2328"/>
      <c r="J2328"/>
      <c r="K2328"/>
      <c r="L2328"/>
      <c r="M2328"/>
      <c r="S2328" s="54"/>
    </row>
    <row r="2329" spans="1:19" s="15" customFormat="1" x14ac:dyDescent="0.3">
      <c r="A2329" s="17"/>
      <c r="B2329"/>
      <c r="C2329"/>
      <c r="D2329"/>
      <c r="E2329"/>
      <c r="F2329"/>
      <c r="G2329"/>
      <c r="H2329"/>
      <c r="I2329"/>
      <c r="J2329"/>
      <c r="K2329"/>
      <c r="L2329"/>
      <c r="M2329"/>
      <c r="S2329" s="54"/>
    </row>
    <row r="2330" spans="1:19" s="15" customFormat="1" x14ac:dyDescent="0.3">
      <c r="A2330" s="17"/>
      <c r="B2330"/>
      <c r="C2330"/>
      <c r="D2330"/>
      <c r="E2330"/>
      <c r="F2330"/>
      <c r="G2330"/>
      <c r="H2330"/>
      <c r="I2330"/>
      <c r="J2330"/>
      <c r="K2330"/>
      <c r="L2330"/>
      <c r="M2330"/>
      <c r="S2330" s="54"/>
    </row>
    <row r="2331" spans="1:19" s="15" customFormat="1" x14ac:dyDescent="0.3">
      <c r="A2331" s="17"/>
      <c r="B2331"/>
      <c r="C2331"/>
      <c r="D2331"/>
      <c r="E2331"/>
      <c r="F2331"/>
      <c r="G2331"/>
      <c r="H2331"/>
      <c r="I2331"/>
      <c r="J2331"/>
      <c r="K2331"/>
      <c r="L2331"/>
      <c r="M2331"/>
      <c r="S2331" s="54"/>
    </row>
    <row r="2332" spans="1:19" s="15" customFormat="1" x14ac:dyDescent="0.3">
      <c r="A2332" s="17"/>
      <c r="B2332"/>
      <c r="C2332"/>
      <c r="D2332"/>
      <c r="E2332"/>
      <c r="F2332"/>
      <c r="G2332"/>
      <c r="H2332"/>
      <c r="I2332"/>
      <c r="J2332"/>
      <c r="K2332"/>
      <c r="L2332"/>
      <c r="M2332"/>
      <c r="S2332" s="54"/>
    </row>
    <row r="2333" spans="1:19" s="15" customFormat="1" x14ac:dyDescent="0.3">
      <c r="A2333" s="17"/>
      <c r="B2333"/>
      <c r="C2333"/>
      <c r="D2333"/>
      <c r="E2333"/>
      <c r="F2333"/>
      <c r="G2333"/>
      <c r="H2333"/>
      <c r="I2333"/>
      <c r="J2333"/>
      <c r="K2333"/>
      <c r="L2333"/>
      <c r="M2333"/>
      <c r="S2333" s="54"/>
    </row>
    <row r="2334" spans="1:19" s="15" customFormat="1" x14ac:dyDescent="0.3">
      <c r="A2334" s="17"/>
      <c r="B2334"/>
      <c r="C2334"/>
      <c r="D2334"/>
      <c r="E2334"/>
      <c r="F2334"/>
      <c r="G2334"/>
      <c r="H2334"/>
      <c r="I2334"/>
      <c r="J2334"/>
      <c r="K2334"/>
      <c r="L2334"/>
      <c r="M2334"/>
      <c r="S2334" s="54"/>
    </row>
    <row r="2335" spans="1:19" s="15" customFormat="1" x14ac:dyDescent="0.3">
      <c r="A2335" s="17"/>
      <c r="B2335"/>
      <c r="C2335"/>
      <c r="D2335"/>
      <c r="E2335"/>
      <c r="F2335"/>
      <c r="G2335"/>
      <c r="H2335"/>
      <c r="I2335"/>
      <c r="J2335"/>
      <c r="K2335"/>
      <c r="L2335"/>
      <c r="M2335"/>
      <c r="S2335" s="54"/>
    </row>
    <row r="2336" spans="1:19" s="15" customFormat="1" x14ac:dyDescent="0.3">
      <c r="A2336" s="17"/>
      <c r="B2336"/>
      <c r="C2336"/>
      <c r="D2336"/>
      <c r="E2336"/>
      <c r="F2336"/>
      <c r="G2336"/>
      <c r="H2336"/>
      <c r="I2336"/>
      <c r="J2336"/>
      <c r="K2336"/>
      <c r="L2336"/>
      <c r="M2336"/>
      <c r="S2336" s="54"/>
    </row>
    <row r="2337" spans="1:19" s="15" customFormat="1" x14ac:dyDescent="0.3">
      <c r="A2337" s="17"/>
      <c r="B2337"/>
      <c r="C2337"/>
      <c r="D2337"/>
      <c r="E2337"/>
      <c r="F2337"/>
      <c r="G2337"/>
      <c r="H2337"/>
      <c r="I2337"/>
      <c r="J2337"/>
      <c r="K2337"/>
      <c r="L2337"/>
      <c r="M2337"/>
      <c r="S2337" s="54"/>
    </row>
    <row r="2338" spans="1:19" s="15" customFormat="1" x14ac:dyDescent="0.3">
      <c r="A2338" s="17"/>
      <c r="B2338"/>
      <c r="C2338"/>
      <c r="D2338"/>
      <c r="E2338"/>
      <c r="F2338"/>
      <c r="G2338"/>
      <c r="H2338"/>
      <c r="I2338"/>
      <c r="J2338"/>
      <c r="K2338"/>
      <c r="L2338"/>
      <c r="M2338"/>
      <c r="S2338" s="54"/>
    </row>
    <row r="2339" spans="1:19" s="15" customFormat="1" x14ac:dyDescent="0.3">
      <c r="A2339" s="17"/>
      <c r="B2339"/>
      <c r="C2339"/>
      <c r="D2339"/>
      <c r="E2339"/>
      <c r="F2339"/>
      <c r="G2339"/>
      <c r="H2339"/>
      <c r="I2339"/>
      <c r="J2339"/>
      <c r="K2339"/>
      <c r="L2339"/>
      <c r="M2339"/>
      <c r="S2339" s="54"/>
    </row>
    <row r="2340" spans="1:19" s="15" customFormat="1" x14ac:dyDescent="0.3">
      <c r="A2340" s="17"/>
      <c r="B2340"/>
      <c r="C2340"/>
      <c r="D2340"/>
      <c r="E2340"/>
      <c r="F2340"/>
      <c r="G2340"/>
      <c r="H2340"/>
      <c r="I2340"/>
      <c r="J2340"/>
      <c r="K2340"/>
      <c r="L2340"/>
      <c r="M2340"/>
      <c r="S2340" s="54"/>
    </row>
    <row r="2341" spans="1:19" s="15" customFormat="1" x14ac:dyDescent="0.3">
      <c r="A2341" s="17"/>
      <c r="B2341"/>
      <c r="C2341"/>
      <c r="D2341"/>
      <c r="E2341"/>
      <c r="F2341"/>
      <c r="G2341"/>
      <c r="H2341"/>
      <c r="I2341"/>
      <c r="J2341"/>
      <c r="K2341"/>
      <c r="L2341"/>
      <c r="M2341"/>
      <c r="S2341" s="54"/>
    </row>
    <row r="2342" spans="1:19" s="15" customFormat="1" x14ac:dyDescent="0.3">
      <c r="A2342" s="17"/>
      <c r="B2342"/>
      <c r="C2342"/>
      <c r="D2342"/>
      <c r="E2342"/>
      <c r="F2342"/>
      <c r="G2342"/>
      <c r="H2342"/>
      <c r="I2342"/>
      <c r="J2342"/>
      <c r="K2342"/>
      <c r="L2342"/>
      <c r="M2342"/>
      <c r="S2342" s="54"/>
    </row>
    <row r="2343" spans="1:19" s="15" customFormat="1" x14ac:dyDescent="0.3">
      <c r="A2343" s="17"/>
      <c r="B2343"/>
      <c r="C2343"/>
      <c r="D2343"/>
      <c r="E2343"/>
      <c r="F2343"/>
      <c r="G2343"/>
      <c r="H2343"/>
      <c r="I2343"/>
      <c r="J2343"/>
      <c r="K2343"/>
      <c r="L2343"/>
      <c r="M2343"/>
      <c r="S2343" s="54"/>
    </row>
    <row r="2344" spans="1:19" s="15" customFormat="1" x14ac:dyDescent="0.3">
      <c r="A2344" s="17"/>
      <c r="B2344"/>
      <c r="C2344"/>
      <c r="D2344"/>
      <c r="E2344"/>
      <c r="F2344"/>
      <c r="G2344"/>
      <c r="H2344"/>
      <c r="I2344"/>
      <c r="J2344"/>
      <c r="K2344"/>
      <c r="L2344"/>
      <c r="M2344"/>
      <c r="S2344" s="54"/>
    </row>
    <row r="2345" spans="1:19" s="15" customFormat="1" x14ac:dyDescent="0.3">
      <c r="A2345" s="17"/>
      <c r="B2345"/>
      <c r="C2345"/>
      <c r="D2345"/>
      <c r="E2345"/>
      <c r="F2345"/>
      <c r="G2345"/>
      <c r="H2345"/>
      <c r="I2345"/>
      <c r="J2345"/>
      <c r="K2345"/>
      <c r="L2345"/>
      <c r="M2345"/>
      <c r="S2345" s="54"/>
    </row>
    <row r="2346" spans="1:19" s="15" customFormat="1" x14ac:dyDescent="0.3">
      <c r="A2346" s="17"/>
      <c r="B2346"/>
      <c r="C2346"/>
      <c r="D2346"/>
      <c r="E2346"/>
      <c r="F2346"/>
      <c r="G2346"/>
      <c r="H2346"/>
      <c r="I2346"/>
      <c r="J2346"/>
      <c r="K2346"/>
      <c r="L2346"/>
      <c r="M2346"/>
      <c r="S2346" s="54"/>
    </row>
    <row r="2347" spans="1:19" s="15" customFormat="1" x14ac:dyDescent="0.3">
      <c r="A2347" s="17"/>
      <c r="B2347"/>
      <c r="C2347"/>
      <c r="D2347"/>
      <c r="E2347"/>
      <c r="F2347"/>
      <c r="G2347"/>
      <c r="H2347"/>
      <c r="I2347"/>
      <c r="J2347"/>
      <c r="K2347"/>
      <c r="L2347"/>
      <c r="M2347"/>
      <c r="S2347" s="54"/>
    </row>
    <row r="2348" spans="1:19" s="15" customFormat="1" x14ac:dyDescent="0.3">
      <c r="A2348" s="17"/>
      <c r="B2348"/>
      <c r="C2348"/>
      <c r="D2348"/>
      <c r="E2348"/>
      <c r="F2348"/>
      <c r="G2348"/>
      <c r="H2348"/>
      <c r="I2348"/>
      <c r="J2348"/>
      <c r="K2348"/>
      <c r="L2348"/>
      <c r="M2348"/>
      <c r="S2348" s="54"/>
    </row>
    <row r="2349" spans="1:19" s="15" customFormat="1" x14ac:dyDescent="0.3">
      <c r="A2349" s="17"/>
      <c r="B2349"/>
      <c r="C2349"/>
      <c r="D2349"/>
      <c r="E2349"/>
      <c r="F2349"/>
      <c r="G2349"/>
      <c r="H2349"/>
      <c r="I2349"/>
      <c r="J2349"/>
      <c r="K2349"/>
      <c r="L2349"/>
      <c r="M2349"/>
      <c r="S2349" s="54"/>
    </row>
    <row r="2350" spans="1:19" s="15" customFormat="1" x14ac:dyDescent="0.3">
      <c r="A2350" s="17"/>
      <c r="B2350"/>
      <c r="C2350"/>
      <c r="D2350"/>
      <c r="E2350"/>
      <c r="F2350"/>
      <c r="G2350"/>
      <c r="H2350"/>
      <c r="I2350"/>
      <c r="J2350"/>
      <c r="K2350"/>
      <c r="L2350"/>
      <c r="M2350"/>
      <c r="S2350" s="54"/>
    </row>
    <row r="2351" spans="1:19" s="15" customFormat="1" x14ac:dyDescent="0.3">
      <c r="A2351" s="17"/>
      <c r="B2351"/>
      <c r="C2351"/>
      <c r="D2351"/>
      <c r="E2351"/>
      <c r="F2351"/>
      <c r="G2351"/>
      <c r="H2351"/>
      <c r="I2351"/>
      <c r="J2351"/>
      <c r="K2351"/>
      <c r="L2351"/>
      <c r="M2351"/>
      <c r="S2351" s="54"/>
    </row>
    <row r="2352" spans="1:19" s="15" customFormat="1" x14ac:dyDescent="0.3">
      <c r="A2352" s="17"/>
      <c r="B2352"/>
      <c r="C2352"/>
      <c r="D2352"/>
      <c r="E2352"/>
      <c r="F2352"/>
      <c r="G2352"/>
      <c r="H2352"/>
      <c r="I2352"/>
      <c r="J2352"/>
      <c r="K2352"/>
      <c r="L2352"/>
      <c r="M2352"/>
      <c r="S2352" s="54"/>
    </row>
    <row r="2353" spans="1:19" s="15" customFormat="1" x14ac:dyDescent="0.3">
      <c r="A2353" s="17"/>
      <c r="B2353"/>
      <c r="C2353"/>
      <c r="D2353"/>
      <c r="E2353"/>
      <c r="F2353"/>
      <c r="G2353"/>
      <c r="H2353"/>
      <c r="I2353"/>
      <c r="J2353"/>
      <c r="K2353"/>
      <c r="L2353"/>
      <c r="M2353"/>
      <c r="S2353" s="54"/>
    </row>
    <row r="2354" spans="1:19" s="15" customFormat="1" x14ac:dyDescent="0.3">
      <c r="A2354" s="17"/>
      <c r="B2354"/>
      <c r="C2354"/>
      <c r="D2354"/>
      <c r="E2354"/>
      <c r="F2354"/>
      <c r="G2354"/>
      <c r="H2354"/>
      <c r="I2354"/>
      <c r="J2354"/>
      <c r="K2354"/>
      <c r="L2354"/>
      <c r="M2354"/>
      <c r="S2354" s="54"/>
    </row>
    <row r="2355" spans="1:19" s="15" customFormat="1" x14ac:dyDescent="0.3">
      <c r="A2355" s="17"/>
      <c r="B2355"/>
      <c r="C2355"/>
      <c r="D2355"/>
      <c r="E2355"/>
      <c r="F2355"/>
      <c r="G2355"/>
      <c r="H2355"/>
      <c r="I2355"/>
      <c r="J2355"/>
      <c r="K2355"/>
      <c r="L2355"/>
      <c r="M2355"/>
      <c r="S2355" s="54"/>
    </row>
    <row r="2356" spans="1:19" s="15" customFormat="1" x14ac:dyDescent="0.3">
      <c r="A2356" s="17"/>
      <c r="B2356"/>
      <c r="C2356"/>
      <c r="D2356"/>
      <c r="E2356"/>
      <c r="F2356"/>
      <c r="G2356"/>
      <c r="H2356"/>
      <c r="I2356"/>
      <c r="J2356"/>
      <c r="K2356"/>
      <c r="L2356"/>
      <c r="M2356"/>
      <c r="S2356" s="54"/>
    </row>
    <row r="2357" spans="1:19" s="15" customFormat="1" x14ac:dyDescent="0.3">
      <c r="A2357" s="17"/>
      <c r="B2357"/>
      <c r="C2357"/>
      <c r="D2357"/>
      <c r="E2357"/>
      <c r="F2357"/>
      <c r="G2357"/>
      <c r="H2357"/>
      <c r="I2357"/>
      <c r="J2357"/>
      <c r="K2357"/>
      <c r="L2357"/>
      <c r="M2357"/>
      <c r="S2357" s="54"/>
    </row>
    <row r="2358" spans="1:19" s="15" customFormat="1" x14ac:dyDescent="0.3">
      <c r="A2358" s="17"/>
      <c r="B2358"/>
      <c r="C2358"/>
      <c r="D2358"/>
      <c r="E2358"/>
      <c r="F2358"/>
      <c r="G2358"/>
      <c r="H2358"/>
      <c r="I2358"/>
      <c r="J2358"/>
      <c r="K2358"/>
      <c r="L2358"/>
      <c r="M2358"/>
      <c r="S2358" s="54"/>
    </row>
    <row r="2359" spans="1:19" s="15" customFormat="1" x14ac:dyDescent="0.3">
      <c r="A2359" s="17"/>
      <c r="B2359"/>
      <c r="C2359"/>
      <c r="D2359"/>
      <c r="E2359"/>
      <c r="F2359"/>
      <c r="G2359"/>
      <c r="H2359"/>
      <c r="I2359"/>
      <c r="J2359"/>
      <c r="K2359"/>
      <c r="L2359"/>
      <c r="M2359"/>
      <c r="S2359" s="54"/>
    </row>
    <row r="2360" spans="1:19" s="15" customFormat="1" x14ac:dyDescent="0.3">
      <c r="A2360" s="17"/>
      <c r="B2360"/>
      <c r="C2360"/>
      <c r="D2360"/>
      <c r="E2360"/>
      <c r="F2360"/>
      <c r="G2360"/>
      <c r="H2360"/>
      <c r="I2360"/>
      <c r="J2360"/>
      <c r="K2360"/>
      <c r="L2360"/>
      <c r="M2360"/>
      <c r="S2360" s="54"/>
    </row>
    <row r="2361" spans="1:19" s="15" customFormat="1" x14ac:dyDescent="0.3">
      <c r="A2361" s="17"/>
      <c r="B2361"/>
      <c r="C2361"/>
      <c r="D2361"/>
      <c r="E2361"/>
      <c r="F2361"/>
      <c r="G2361"/>
      <c r="H2361"/>
      <c r="I2361"/>
      <c r="J2361"/>
      <c r="K2361"/>
      <c r="L2361"/>
      <c r="M2361"/>
      <c r="S2361" s="54"/>
    </row>
    <row r="2362" spans="1:19" s="15" customFormat="1" x14ac:dyDescent="0.3">
      <c r="A2362" s="17"/>
      <c r="B2362"/>
      <c r="C2362"/>
      <c r="D2362"/>
      <c r="E2362"/>
      <c r="F2362"/>
      <c r="G2362"/>
      <c r="H2362"/>
      <c r="I2362"/>
      <c r="J2362"/>
      <c r="K2362"/>
      <c r="L2362"/>
      <c r="M2362"/>
      <c r="S2362" s="54"/>
    </row>
    <row r="2363" spans="1:19" s="15" customFormat="1" x14ac:dyDescent="0.3">
      <c r="A2363" s="17"/>
      <c r="B2363"/>
      <c r="C2363"/>
      <c r="D2363"/>
      <c r="E2363"/>
      <c r="F2363"/>
      <c r="G2363"/>
      <c r="H2363"/>
      <c r="I2363"/>
      <c r="J2363"/>
      <c r="K2363"/>
      <c r="L2363"/>
      <c r="M2363"/>
      <c r="S2363" s="54"/>
    </row>
    <row r="2364" spans="1:19" s="15" customFormat="1" x14ac:dyDescent="0.3">
      <c r="A2364" s="17"/>
      <c r="B2364"/>
      <c r="C2364"/>
      <c r="D2364"/>
      <c r="E2364"/>
      <c r="F2364"/>
      <c r="G2364"/>
      <c r="H2364"/>
      <c r="I2364"/>
      <c r="J2364"/>
      <c r="K2364"/>
      <c r="L2364"/>
      <c r="M2364"/>
      <c r="S2364" s="54"/>
    </row>
    <row r="2365" spans="1:19" s="15" customFormat="1" x14ac:dyDescent="0.3">
      <c r="A2365" s="17"/>
      <c r="B2365"/>
      <c r="C2365"/>
      <c r="D2365"/>
      <c r="E2365"/>
      <c r="F2365"/>
      <c r="G2365"/>
      <c r="H2365"/>
      <c r="I2365"/>
      <c r="J2365"/>
      <c r="K2365"/>
      <c r="L2365"/>
      <c r="M2365"/>
      <c r="S2365" s="54"/>
    </row>
    <row r="2366" spans="1:19" s="15" customFormat="1" x14ac:dyDescent="0.3">
      <c r="A2366" s="17"/>
      <c r="B2366"/>
      <c r="C2366"/>
      <c r="D2366"/>
      <c r="E2366"/>
      <c r="F2366"/>
      <c r="G2366"/>
      <c r="H2366"/>
      <c r="I2366"/>
      <c r="J2366"/>
      <c r="K2366"/>
      <c r="L2366"/>
      <c r="M2366"/>
      <c r="S2366" s="54"/>
    </row>
    <row r="2367" spans="1:19" s="15" customFormat="1" x14ac:dyDescent="0.3">
      <c r="A2367" s="17"/>
      <c r="B2367"/>
      <c r="C2367"/>
      <c r="D2367"/>
      <c r="E2367"/>
      <c r="F2367"/>
      <c r="G2367"/>
      <c r="H2367"/>
      <c r="I2367"/>
      <c r="J2367"/>
      <c r="K2367"/>
      <c r="L2367"/>
      <c r="M2367"/>
      <c r="S2367" s="54"/>
    </row>
    <row r="2368" spans="1:19" s="15" customFormat="1" x14ac:dyDescent="0.3">
      <c r="A2368" s="17"/>
      <c r="B2368"/>
      <c r="C2368"/>
      <c r="D2368"/>
      <c r="E2368"/>
      <c r="F2368"/>
      <c r="G2368"/>
      <c r="H2368"/>
      <c r="I2368"/>
      <c r="J2368"/>
      <c r="K2368"/>
      <c r="L2368"/>
      <c r="M2368"/>
      <c r="S2368" s="54"/>
    </row>
    <row r="2369" spans="1:19" s="15" customFormat="1" x14ac:dyDescent="0.3">
      <c r="A2369" s="17"/>
      <c r="B2369"/>
      <c r="C2369"/>
      <c r="D2369"/>
      <c r="E2369"/>
      <c r="F2369"/>
      <c r="G2369"/>
      <c r="H2369"/>
      <c r="I2369"/>
      <c r="J2369"/>
      <c r="K2369"/>
      <c r="L2369"/>
      <c r="M2369"/>
      <c r="S2369" s="54"/>
    </row>
    <row r="2370" spans="1:19" s="15" customFormat="1" x14ac:dyDescent="0.3">
      <c r="A2370" s="17"/>
      <c r="B2370"/>
      <c r="C2370"/>
      <c r="D2370"/>
      <c r="E2370"/>
      <c r="F2370"/>
      <c r="G2370"/>
      <c r="H2370"/>
      <c r="I2370"/>
      <c r="J2370"/>
      <c r="K2370"/>
      <c r="L2370"/>
      <c r="M2370"/>
      <c r="S2370" s="54"/>
    </row>
    <row r="2371" spans="1:19" s="15" customFormat="1" x14ac:dyDescent="0.3">
      <c r="A2371" s="17"/>
      <c r="B2371"/>
      <c r="C2371"/>
      <c r="D2371"/>
      <c r="E2371"/>
      <c r="F2371"/>
      <c r="G2371"/>
      <c r="H2371"/>
      <c r="I2371"/>
      <c r="J2371"/>
      <c r="K2371"/>
      <c r="L2371"/>
      <c r="M2371"/>
      <c r="S2371" s="54"/>
    </row>
    <row r="2372" spans="1:19" s="15" customFormat="1" x14ac:dyDescent="0.3">
      <c r="A2372" s="17"/>
      <c r="B2372"/>
      <c r="C2372"/>
      <c r="D2372"/>
      <c r="E2372"/>
      <c r="F2372"/>
      <c r="G2372"/>
      <c r="H2372"/>
      <c r="I2372"/>
      <c r="J2372"/>
      <c r="K2372"/>
      <c r="L2372"/>
      <c r="M2372"/>
      <c r="S2372" s="54"/>
    </row>
    <row r="2373" spans="1:19" s="15" customFormat="1" x14ac:dyDescent="0.3">
      <c r="A2373" s="17"/>
      <c r="B2373"/>
      <c r="C2373"/>
      <c r="D2373"/>
      <c r="E2373"/>
      <c r="F2373"/>
      <c r="G2373"/>
      <c r="H2373"/>
      <c r="I2373"/>
      <c r="J2373"/>
      <c r="K2373"/>
      <c r="L2373"/>
      <c r="M2373"/>
      <c r="S2373" s="54"/>
    </row>
    <row r="2374" spans="1:19" s="15" customFormat="1" x14ac:dyDescent="0.3">
      <c r="A2374" s="17"/>
      <c r="B2374"/>
      <c r="C2374"/>
      <c r="D2374"/>
      <c r="E2374"/>
      <c r="F2374"/>
      <c r="G2374"/>
      <c r="H2374"/>
      <c r="I2374"/>
      <c r="J2374"/>
      <c r="K2374"/>
      <c r="L2374"/>
      <c r="M2374"/>
      <c r="S2374" s="54"/>
    </row>
    <row r="2375" spans="1:19" s="15" customFormat="1" x14ac:dyDescent="0.3">
      <c r="A2375" s="17"/>
      <c r="B2375"/>
      <c r="C2375"/>
      <c r="D2375"/>
      <c r="E2375"/>
      <c r="F2375"/>
      <c r="G2375"/>
      <c r="H2375"/>
      <c r="I2375"/>
      <c r="J2375"/>
      <c r="K2375"/>
      <c r="L2375"/>
      <c r="M2375"/>
      <c r="S2375" s="54"/>
    </row>
    <row r="2376" spans="1:19" s="15" customFormat="1" x14ac:dyDescent="0.3">
      <c r="A2376" s="17"/>
      <c r="B2376"/>
      <c r="C2376"/>
      <c r="D2376"/>
      <c r="E2376"/>
      <c r="F2376"/>
      <c r="G2376"/>
      <c r="H2376"/>
      <c r="I2376"/>
      <c r="J2376"/>
      <c r="K2376"/>
      <c r="L2376"/>
      <c r="M2376"/>
      <c r="S2376" s="54"/>
    </row>
    <row r="2377" spans="1:19" s="15" customFormat="1" x14ac:dyDescent="0.3">
      <c r="A2377" s="17"/>
      <c r="B2377"/>
      <c r="C2377"/>
      <c r="D2377"/>
      <c r="E2377"/>
      <c r="F2377"/>
      <c r="G2377"/>
      <c r="H2377"/>
      <c r="I2377"/>
      <c r="J2377"/>
      <c r="K2377"/>
      <c r="L2377"/>
      <c r="M2377"/>
      <c r="S2377" s="54"/>
    </row>
    <row r="2378" spans="1:19" s="15" customFormat="1" x14ac:dyDescent="0.3">
      <c r="A2378" s="17"/>
      <c r="B2378"/>
      <c r="C2378"/>
      <c r="D2378"/>
      <c r="E2378"/>
      <c r="F2378"/>
      <c r="G2378"/>
      <c r="H2378"/>
      <c r="I2378"/>
      <c r="J2378"/>
      <c r="K2378"/>
      <c r="L2378"/>
      <c r="M2378"/>
      <c r="S2378" s="54"/>
    </row>
    <row r="2379" spans="1:19" s="15" customFormat="1" x14ac:dyDescent="0.3">
      <c r="A2379" s="17"/>
      <c r="B2379"/>
      <c r="C2379"/>
      <c r="D2379"/>
      <c r="E2379"/>
      <c r="F2379"/>
      <c r="G2379"/>
      <c r="H2379"/>
      <c r="I2379"/>
      <c r="J2379"/>
      <c r="K2379"/>
      <c r="L2379"/>
      <c r="M2379"/>
      <c r="S2379" s="54"/>
    </row>
    <row r="2380" spans="1:19" s="15" customFormat="1" x14ac:dyDescent="0.3">
      <c r="A2380" s="17"/>
      <c r="B2380"/>
      <c r="C2380"/>
      <c r="D2380"/>
      <c r="E2380"/>
      <c r="F2380"/>
      <c r="G2380"/>
      <c r="H2380"/>
      <c r="I2380"/>
      <c r="J2380"/>
      <c r="K2380"/>
      <c r="L2380"/>
      <c r="M2380"/>
      <c r="S2380" s="54"/>
    </row>
    <row r="2381" spans="1:19" s="15" customFormat="1" x14ac:dyDescent="0.3">
      <c r="A2381" s="17"/>
      <c r="B2381"/>
      <c r="C2381"/>
      <c r="D2381"/>
      <c r="E2381"/>
      <c r="F2381"/>
      <c r="G2381"/>
      <c r="H2381"/>
      <c r="I2381"/>
      <c r="J2381"/>
      <c r="K2381"/>
      <c r="L2381"/>
      <c r="M2381"/>
      <c r="S2381" s="54"/>
    </row>
    <row r="2382" spans="1:19" s="15" customFormat="1" x14ac:dyDescent="0.3">
      <c r="A2382" s="17"/>
      <c r="B2382"/>
      <c r="C2382"/>
      <c r="D2382"/>
      <c r="E2382"/>
      <c r="F2382"/>
      <c r="G2382"/>
      <c r="H2382"/>
      <c r="I2382"/>
      <c r="J2382"/>
      <c r="K2382"/>
      <c r="L2382"/>
      <c r="M2382"/>
      <c r="S2382" s="54"/>
    </row>
    <row r="2383" spans="1:19" s="15" customFormat="1" x14ac:dyDescent="0.3">
      <c r="A2383" s="17"/>
      <c r="B2383"/>
      <c r="C2383"/>
      <c r="D2383"/>
      <c r="E2383"/>
      <c r="F2383"/>
      <c r="G2383"/>
      <c r="H2383"/>
      <c r="I2383"/>
      <c r="J2383"/>
      <c r="K2383"/>
      <c r="L2383"/>
      <c r="M2383"/>
      <c r="S2383" s="54"/>
    </row>
    <row r="2384" spans="1:19" s="15" customFormat="1" x14ac:dyDescent="0.3">
      <c r="A2384" s="17"/>
      <c r="B2384"/>
      <c r="C2384"/>
      <c r="D2384"/>
      <c r="E2384"/>
      <c r="F2384"/>
      <c r="G2384"/>
      <c r="H2384"/>
      <c r="I2384"/>
      <c r="J2384"/>
      <c r="K2384"/>
      <c r="L2384"/>
      <c r="M2384"/>
      <c r="S2384" s="54"/>
    </row>
    <row r="2385" spans="1:19" s="15" customFormat="1" x14ac:dyDescent="0.3">
      <c r="A2385" s="17"/>
      <c r="B2385"/>
      <c r="C2385"/>
      <c r="D2385"/>
      <c r="E2385"/>
      <c r="F2385"/>
      <c r="G2385"/>
      <c r="H2385"/>
      <c r="I2385"/>
      <c r="J2385"/>
      <c r="K2385"/>
      <c r="L2385"/>
      <c r="M2385"/>
      <c r="S2385" s="54"/>
    </row>
    <row r="2386" spans="1:19" s="15" customFormat="1" x14ac:dyDescent="0.3">
      <c r="A2386" s="17"/>
      <c r="B2386"/>
      <c r="C2386"/>
      <c r="D2386"/>
      <c r="E2386"/>
      <c r="F2386"/>
      <c r="G2386"/>
      <c r="H2386"/>
      <c r="I2386"/>
      <c r="J2386"/>
      <c r="K2386"/>
      <c r="L2386"/>
      <c r="M2386"/>
      <c r="S2386" s="54"/>
    </row>
    <row r="2387" spans="1:19" s="15" customFormat="1" x14ac:dyDescent="0.3">
      <c r="A2387" s="17"/>
      <c r="B2387"/>
      <c r="C2387"/>
      <c r="D2387"/>
      <c r="E2387"/>
      <c r="F2387"/>
      <c r="G2387"/>
      <c r="H2387"/>
      <c r="I2387"/>
      <c r="J2387"/>
      <c r="K2387"/>
      <c r="L2387"/>
      <c r="M2387"/>
      <c r="S2387" s="54"/>
    </row>
    <row r="2388" spans="1:19" s="15" customFormat="1" x14ac:dyDescent="0.3">
      <c r="A2388" s="17"/>
      <c r="B2388"/>
      <c r="C2388"/>
      <c r="D2388"/>
      <c r="E2388"/>
      <c r="F2388"/>
      <c r="G2388"/>
      <c r="H2388"/>
      <c r="I2388"/>
      <c r="J2388"/>
      <c r="K2388"/>
      <c r="L2388"/>
      <c r="M2388"/>
      <c r="S2388" s="54"/>
    </row>
    <row r="2389" spans="1:19" s="15" customFormat="1" x14ac:dyDescent="0.3">
      <c r="A2389" s="17"/>
      <c r="B2389"/>
      <c r="C2389"/>
      <c r="D2389"/>
      <c r="E2389"/>
      <c r="F2389"/>
      <c r="G2389"/>
      <c r="H2389"/>
      <c r="I2389"/>
      <c r="J2389"/>
      <c r="K2389"/>
      <c r="L2389"/>
      <c r="M2389"/>
      <c r="S2389" s="54"/>
    </row>
    <row r="2390" spans="1:19" s="15" customFormat="1" x14ac:dyDescent="0.3">
      <c r="A2390" s="17"/>
      <c r="B2390"/>
      <c r="C2390"/>
      <c r="D2390"/>
      <c r="E2390"/>
      <c r="F2390"/>
      <c r="G2390"/>
      <c r="H2390"/>
      <c r="I2390"/>
      <c r="J2390"/>
      <c r="K2390"/>
      <c r="L2390"/>
      <c r="M2390"/>
      <c r="S2390" s="54"/>
    </row>
    <row r="2391" spans="1:19" s="15" customFormat="1" x14ac:dyDescent="0.3">
      <c r="A2391" s="17"/>
      <c r="B2391"/>
      <c r="C2391"/>
      <c r="D2391"/>
      <c r="E2391"/>
      <c r="F2391"/>
      <c r="G2391"/>
      <c r="H2391"/>
      <c r="I2391"/>
      <c r="J2391"/>
      <c r="K2391"/>
      <c r="L2391"/>
      <c r="M2391"/>
      <c r="S2391" s="54"/>
    </row>
    <row r="2392" spans="1:19" s="15" customFormat="1" x14ac:dyDescent="0.3">
      <c r="A2392" s="17"/>
      <c r="B2392"/>
      <c r="C2392"/>
      <c r="D2392"/>
      <c r="E2392"/>
      <c r="F2392"/>
      <c r="G2392"/>
      <c r="H2392"/>
      <c r="I2392"/>
      <c r="J2392"/>
      <c r="K2392"/>
      <c r="L2392"/>
      <c r="M2392"/>
      <c r="S2392" s="54"/>
    </row>
    <row r="2393" spans="1:19" s="15" customFormat="1" x14ac:dyDescent="0.3">
      <c r="A2393" s="17"/>
      <c r="B2393"/>
      <c r="C2393"/>
      <c r="D2393"/>
      <c r="E2393"/>
      <c r="F2393"/>
      <c r="G2393"/>
      <c r="H2393"/>
      <c r="I2393"/>
      <c r="J2393"/>
      <c r="K2393"/>
      <c r="L2393"/>
      <c r="M2393"/>
      <c r="S2393" s="54"/>
    </row>
    <row r="2394" spans="1:19" s="15" customFormat="1" x14ac:dyDescent="0.3">
      <c r="A2394" s="17"/>
      <c r="B2394"/>
      <c r="C2394"/>
      <c r="D2394"/>
      <c r="E2394"/>
      <c r="F2394"/>
      <c r="G2394"/>
      <c r="H2394"/>
      <c r="I2394"/>
      <c r="J2394"/>
      <c r="K2394"/>
      <c r="L2394"/>
      <c r="M2394"/>
      <c r="S2394" s="54"/>
    </row>
    <row r="2395" spans="1:19" s="15" customFormat="1" x14ac:dyDescent="0.3">
      <c r="A2395" s="17"/>
      <c r="B2395"/>
      <c r="C2395"/>
      <c r="D2395"/>
      <c r="E2395"/>
      <c r="F2395"/>
      <c r="G2395"/>
      <c r="H2395"/>
      <c r="I2395"/>
      <c r="J2395"/>
      <c r="K2395"/>
      <c r="L2395"/>
      <c r="M2395"/>
      <c r="S2395" s="54"/>
    </row>
    <row r="2396" spans="1:19" s="15" customFormat="1" x14ac:dyDescent="0.3">
      <c r="A2396" s="17"/>
      <c r="B2396"/>
      <c r="C2396"/>
      <c r="D2396"/>
      <c r="E2396"/>
      <c r="F2396"/>
      <c r="G2396"/>
      <c r="H2396"/>
      <c r="I2396"/>
      <c r="J2396"/>
      <c r="K2396"/>
      <c r="L2396"/>
      <c r="M2396"/>
      <c r="S2396" s="54"/>
    </row>
    <row r="2397" spans="1:19" s="15" customFormat="1" x14ac:dyDescent="0.3">
      <c r="A2397" s="17"/>
      <c r="B2397"/>
      <c r="C2397"/>
      <c r="D2397"/>
      <c r="E2397"/>
      <c r="F2397"/>
      <c r="G2397"/>
      <c r="H2397"/>
      <c r="I2397"/>
      <c r="J2397"/>
      <c r="K2397"/>
      <c r="L2397"/>
      <c r="M2397"/>
      <c r="S2397" s="54"/>
    </row>
    <row r="2398" spans="1:19" s="15" customFormat="1" x14ac:dyDescent="0.3">
      <c r="A2398" s="17"/>
      <c r="B2398"/>
      <c r="C2398"/>
      <c r="D2398"/>
      <c r="E2398"/>
      <c r="F2398"/>
      <c r="G2398"/>
      <c r="H2398"/>
      <c r="I2398"/>
      <c r="J2398"/>
      <c r="K2398"/>
      <c r="L2398"/>
      <c r="M2398"/>
      <c r="S2398" s="54"/>
    </row>
    <row r="2399" spans="1:19" s="15" customFormat="1" x14ac:dyDescent="0.3">
      <c r="A2399" s="17"/>
      <c r="B2399"/>
      <c r="C2399"/>
      <c r="D2399"/>
      <c r="E2399"/>
      <c r="F2399"/>
      <c r="G2399"/>
      <c r="H2399"/>
      <c r="I2399"/>
      <c r="J2399"/>
      <c r="K2399"/>
      <c r="L2399"/>
      <c r="M2399"/>
      <c r="S2399" s="54"/>
    </row>
    <row r="2400" spans="1:19" s="15" customFormat="1" x14ac:dyDescent="0.3">
      <c r="A2400" s="17"/>
      <c r="B2400"/>
      <c r="C2400"/>
      <c r="D2400"/>
      <c r="E2400"/>
      <c r="F2400"/>
      <c r="G2400"/>
      <c r="H2400"/>
      <c r="I2400"/>
      <c r="J2400"/>
      <c r="K2400"/>
      <c r="L2400"/>
      <c r="M2400"/>
      <c r="S2400" s="54"/>
    </row>
    <row r="2401" spans="1:19" s="15" customFormat="1" x14ac:dyDescent="0.3">
      <c r="A2401" s="17"/>
      <c r="B2401"/>
      <c r="C2401"/>
      <c r="D2401"/>
      <c r="E2401"/>
      <c r="F2401"/>
      <c r="G2401"/>
      <c r="H2401"/>
      <c r="I2401"/>
      <c r="J2401"/>
      <c r="K2401"/>
      <c r="L2401"/>
      <c r="M2401"/>
      <c r="S2401" s="54"/>
    </row>
    <row r="2402" spans="1:19" s="15" customFormat="1" x14ac:dyDescent="0.3">
      <c r="A2402" s="17"/>
      <c r="B2402"/>
      <c r="C2402"/>
      <c r="D2402"/>
      <c r="E2402"/>
      <c r="F2402"/>
      <c r="G2402"/>
      <c r="H2402"/>
      <c r="I2402"/>
      <c r="J2402"/>
      <c r="K2402"/>
      <c r="L2402"/>
      <c r="M2402"/>
      <c r="S2402" s="54"/>
    </row>
    <row r="2403" spans="1:19" s="15" customFormat="1" x14ac:dyDescent="0.3">
      <c r="A2403" s="17"/>
      <c r="B2403"/>
      <c r="C2403"/>
      <c r="D2403"/>
      <c r="E2403"/>
      <c r="F2403"/>
      <c r="G2403"/>
      <c r="H2403"/>
      <c r="I2403"/>
      <c r="J2403"/>
      <c r="K2403"/>
      <c r="L2403"/>
      <c r="M2403"/>
      <c r="S2403" s="54"/>
    </row>
    <row r="2404" spans="1:19" s="15" customFormat="1" x14ac:dyDescent="0.3">
      <c r="A2404" s="17"/>
      <c r="B2404"/>
      <c r="C2404"/>
      <c r="D2404"/>
      <c r="E2404"/>
      <c r="F2404"/>
      <c r="G2404"/>
      <c r="H2404"/>
      <c r="I2404"/>
      <c r="J2404"/>
      <c r="K2404"/>
      <c r="L2404"/>
      <c r="M2404"/>
      <c r="S2404" s="54"/>
    </row>
    <row r="2405" spans="1:19" s="15" customFormat="1" x14ac:dyDescent="0.3">
      <c r="A2405" s="17"/>
      <c r="B2405"/>
      <c r="C2405"/>
      <c r="D2405"/>
      <c r="E2405"/>
      <c r="F2405"/>
      <c r="G2405"/>
      <c r="H2405"/>
      <c r="I2405"/>
      <c r="J2405"/>
      <c r="K2405"/>
      <c r="L2405"/>
      <c r="M2405"/>
      <c r="S2405" s="54"/>
    </row>
    <row r="2406" spans="1:19" s="15" customFormat="1" x14ac:dyDescent="0.3">
      <c r="A2406" s="17"/>
      <c r="B2406"/>
      <c r="C2406"/>
      <c r="D2406"/>
      <c r="E2406"/>
      <c r="F2406"/>
      <c r="G2406"/>
      <c r="H2406"/>
      <c r="I2406"/>
      <c r="J2406"/>
      <c r="K2406"/>
      <c r="L2406"/>
      <c r="M2406"/>
      <c r="S2406" s="54"/>
    </row>
    <row r="2407" spans="1:19" s="15" customFormat="1" x14ac:dyDescent="0.3">
      <c r="A2407" s="17"/>
      <c r="B2407"/>
      <c r="C2407"/>
      <c r="D2407"/>
      <c r="E2407"/>
      <c r="F2407"/>
      <c r="G2407"/>
      <c r="H2407"/>
      <c r="I2407"/>
      <c r="J2407"/>
      <c r="K2407"/>
      <c r="L2407"/>
      <c r="M2407"/>
      <c r="S2407" s="54"/>
    </row>
    <row r="2408" spans="1:19" s="15" customFormat="1" x14ac:dyDescent="0.3">
      <c r="A2408" s="17"/>
      <c r="B2408"/>
      <c r="C2408"/>
      <c r="D2408"/>
      <c r="E2408"/>
      <c r="F2408"/>
      <c r="G2408"/>
      <c r="H2408"/>
      <c r="I2408"/>
      <c r="J2408"/>
      <c r="K2408"/>
      <c r="L2408"/>
      <c r="M2408"/>
      <c r="S2408" s="54"/>
    </row>
    <row r="2409" spans="1:19" s="15" customFormat="1" x14ac:dyDescent="0.3">
      <c r="A2409" s="17"/>
      <c r="B2409"/>
      <c r="C2409"/>
      <c r="D2409"/>
      <c r="E2409"/>
      <c r="F2409"/>
      <c r="G2409"/>
      <c r="H2409"/>
      <c r="I2409"/>
      <c r="J2409"/>
      <c r="K2409"/>
      <c r="L2409"/>
      <c r="M2409"/>
      <c r="S2409" s="54"/>
    </row>
    <row r="2410" spans="1:19" s="15" customFormat="1" x14ac:dyDescent="0.3">
      <c r="A2410" s="17"/>
      <c r="B2410"/>
      <c r="C2410"/>
      <c r="D2410"/>
      <c r="E2410"/>
      <c r="F2410"/>
      <c r="G2410"/>
      <c r="H2410"/>
      <c r="I2410"/>
      <c r="J2410"/>
      <c r="K2410"/>
      <c r="L2410"/>
      <c r="M2410"/>
      <c r="S2410" s="54"/>
    </row>
    <row r="2411" spans="1:19" s="15" customFormat="1" x14ac:dyDescent="0.3">
      <c r="A2411" s="17"/>
      <c r="B2411"/>
      <c r="C2411"/>
      <c r="D2411"/>
      <c r="E2411"/>
      <c r="F2411"/>
      <c r="G2411"/>
      <c r="H2411"/>
      <c r="I2411"/>
      <c r="J2411"/>
      <c r="K2411"/>
      <c r="L2411"/>
      <c r="M2411"/>
      <c r="S2411" s="54"/>
    </row>
    <row r="2412" spans="1:19" s="15" customFormat="1" x14ac:dyDescent="0.3">
      <c r="A2412" s="17"/>
      <c r="B2412"/>
      <c r="C2412"/>
      <c r="D2412"/>
      <c r="E2412"/>
      <c r="F2412"/>
      <c r="G2412"/>
      <c r="H2412"/>
      <c r="I2412"/>
      <c r="J2412"/>
      <c r="K2412"/>
      <c r="L2412"/>
      <c r="M2412"/>
      <c r="S2412" s="54"/>
    </row>
    <row r="2413" spans="1:19" s="15" customFormat="1" x14ac:dyDescent="0.3">
      <c r="A2413" s="17"/>
      <c r="B2413"/>
      <c r="C2413"/>
      <c r="D2413"/>
      <c r="E2413"/>
      <c r="F2413"/>
      <c r="G2413"/>
      <c r="H2413"/>
      <c r="I2413"/>
      <c r="J2413"/>
      <c r="K2413"/>
      <c r="L2413"/>
      <c r="M2413"/>
      <c r="S2413" s="54"/>
    </row>
    <row r="2414" spans="1:19" s="15" customFormat="1" x14ac:dyDescent="0.3">
      <c r="A2414" s="17"/>
      <c r="B2414"/>
      <c r="C2414"/>
      <c r="D2414"/>
      <c r="E2414"/>
      <c r="F2414"/>
      <c r="G2414"/>
      <c r="H2414"/>
      <c r="I2414"/>
      <c r="J2414"/>
      <c r="K2414"/>
      <c r="L2414"/>
      <c r="M2414"/>
      <c r="S2414" s="54"/>
    </row>
    <row r="2415" spans="1:19" s="15" customFormat="1" x14ac:dyDescent="0.3">
      <c r="A2415" s="17"/>
      <c r="B2415"/>
      <c r="C2415"/>
      <c r="D2415"/>
      <c r="E2415"/>
      <c r="F2415"/>
      <c r="G2415"/>
      <c r="H2415"/>
      <c r="I2415"/>
      <c r="J2415"/>
      <c r="K2415"/>
      <c r="L2415"/>
      <c r="M2415"/>
      <c r="S2415" s="54"/>
    </row>
    <row r="2416" spans="1:19" s="15" customFormat="1" x14ac:dyDescent="0.3">
      <c r="A2416" s="17"/>
      <c r="B2416"/>
      <c r="C2416"/>
      <c r="D2416"/>
      <c r="E2416"/>
      <c r="F2416"/>
      <c r="G2416"/>
      <c r="H2416"/>
      <c r="I2416"/>
      <c r="J2416"/>
      <c r="K2416"/>
      <c r="L2416"/>
      <c r="M2416"/>
      <c r="S2416" s="54"/>
    </row>
    <row r="2417" spans="1:19" s="15" customFormat="1" x14ac:dyDescent="0.3">
      <c r="A2417" s="17"/>
      <c r="B2417"/>
      <c r="C2417"/>
      <c r="D2417"/>
      <c r="E2417"/>
      <c r="F2417"/>
      <c r="G2417"/>
      <c r="H2417"/>
      <c r="I2417"/>
      <c r="J2417"/>
      <c r="K2417"/>
      <c r="L2417"/>
      <c r="M2417"/>
      <c r="S2417" s="54"/>
    </row>
    <row r="2418" spans="1:19" s="15" customFormat="1" x14ac:dyDescent="0.3">
      <c r="A2418" s="17"/>
      <c r="B2418"/>
      <c r="C2418"/>
      <c r="D2418"/>
      <c r="E2418"/>
      <c r="F2418"/>
      <c r="G2418"/>
      <c r="H2418"/>
      <c r="I2418"/>
      <c r="J2418"/>
      <c r="K2418"/>
      <c r="L2418"/>
      <c r="M2418"/>
      <c r="S2418" s="54"/>
    </row>
    <row r="2419" spans="1:19" s="15" customFormat="1" x14ac:dyDescent="0.3">
      <c r="A2419" s="17"/>
      <c r="B2419"/>
      <c r="C2419"/>
      <c r="D2419"/>
      <c r="E2419"/>
      <c r="F2419"/>
      <c r="G2419"/>
      <c r="H2419"/>
      <c r="I2419"/>
      <c r="J2419"/>
      <c r="K2419"/>
      <c r="L2419"/>
      <c r="M2419"/>
      <c r="S2419" s="54"/>
    </row>
    <row r="2420" spans="1:19" s="15" customFormat="1" x14ac:dyDescent="0.3">
      <c r="A2420" s="17"/>
      <c r="B2420"/>
      <c r="C2420"/>
      <c r="D2420"/>
      <c r="E2420"/>
      <c r="F2420"/>
      <c r="G2420"/>
      <c r="H2420"/>
      <c r="I2420"/>
      <c r="J2420"/>
      <c r="K2420"/>
      <c r="L2420"/>
      <c r="M2420"/>
      <c r="S2420" s="54"/>
    </row>
    <row r="2421" spans="1:19" s="15" customFormat="1" x14ac:dyDescent="0.3">
      <c r="A2421" s="17"/>
      <c r="B2421"/>
      <c r="C2421"/>
      <c r="D2421"/>
      <c r="E2421"/>
      <c r="F2421"/>
      <c r="G2421"/>
      <c r="H2421"/>
      <c r="I2421"/>
      <c r="J2421"/>
      <c r="K2421"/>
      <c r="L2421"/>
      <c r="M2421"/>
      <c r="S2421" s="54"/>
    </row>
    <row r="2422" spans="1:19" s="15" customFormat="1" x14ac:dyDescent="0.3">
      <c r="A2422" s="17"/>
      <c r="B2422"/>
      <c r="C2422"/>
      <c r="D2422"/>
      <c r="E2422"/>
      <c r="F2422"/>
      <c r="G2422"/>
      <c r="H2422"/>
      <c r="I2422"/>
      <c r="J2422"/>
      <c r="K2422"/>
      <c r="L2422"/>
      <c r="M2422"/>
      <c r="S2422" s="54"/>
    </row>
    <row r="2423" spans="1:19" s="15" customFormat="1" x14ac:dyDescent="0.3">
      <c r="A2423" s="17"/>
      <c r="B2423"/>
      <c r="C2423"/>
      <c r="D2423"/>
      <c r="E2423"/>
      <c r="F2423"/>
      <c r="G2423"/>
      <c r="H2423"/>
      <c r="I2423"/>
      <c r="J2423"/>
      <c r="K2423"/>
      <c r="L2423"/>
      <c r="M2423"/>
      <c r="S2423" s="54"/>
    </row>
    <row r="2424" spans="1:19" s="15" customFormat="1" x14ac:dyDescent="0.3">
      <c r="A2424" s="17"/>
      <c r="B2424"/>
      <c r="C2424"/>
      <c r="D2424"/>
      <c r="E2424"/>
      <c r="F2424"/>
      <c r="G2424"/>
      <c r="H2424"/>
      <c r="I2424"/>
      <c r="J2424"/>
      <c r="K2424"/>
      <c r="L2424"/>
      <c r="M2424"/>
      <c r="S2424" s="54"/>
    </row>
    <row r="2425" spans="1:19" s="15" customFormat="1" x14ac:dyDescent="0.3">
      <c r="A2425" s="17"/>
      <c r="B2425"/>
      <c r="C2425"/>
      <c r="D2425"/>
      <c r="E2425"/>
      <c r="F2425"/>
      <c r="G2425"/>
      <c r="H2425"/>
      <c r="I2425"/>
      <c r="J2425"/>
      <c r="K2425"/>
      <c r="L2425"/>
      <c r="M2425"/>
      <c r="S2425" s="54"/>
    </row>
    <row r="2426" spans="1:19" s="15" customFormat="1" x14ac:dyDescent="0.3">
      <c r="A2426" s="17"/>
      <c r="B2426"/>
      <c r="C2426"/>
      <c r="D2426"/>
      <c r="E2426"/>
      <c r="F2426"/>
      <c r="G2426"/>
      <c r="H2426"/>
      <c r="I2426"/>
      <c r="J2426"/>
      <c r="K2426"/>
      <c r="L2426"/>
      <c r="M2426"/>
      <c r="S2426" s="54"/>
    </row>
    <row r="2427" spans="1:19" s="15" customFormat="1" x14ac:dyDescent="0.3">
      <c r="A2427" s="17"/>
      <c r="B2427"/>
      <c r="C2427"/>
      <c r="D2427"/>
      <c r="E2427"/>
      <c r="F2427"/>
      <c r="G2427"/>
      <c r="H2427"/>
      <c r="I2427"/>
      <c r="J2427"/>
      <c r="K2427"/>
      <c r="L2427"/>
      <c r="M2427"/>
      <c r="S2427" s="54"/>
    </row>
    <row r="2428" spans="1:19" s="15" customFormat="1" x14ac:dyDescent="0.3">
      <c r="A2428" s="17"/>
      <c r="B2428"/>
      <c r="C2428"/>
      <c r="D2428"/>
      <c r="E2428"/>
      <c r="F2428"/>
      <c r="G2428"/>
      <c r="H2428"/>
      <c r="I2428"/>
      <c r="J2428"/>
      <c r="K2428"/>
      <c r="L2428"/>
      <c r="M2428"/>
      <c r="S2428" s="54"/>
    </row>
    <row r="2429" spans="1:19" s="15" customFormat="1" x14ac:dyDescent="0.3">
      <c r="A2429" s="17"/>
      <c r="B2429"/>
      <c r="C2429"/>
      <c r="D2429"/>
      <c r="E2429"/>
      <c r="F2429"/>
      <c r="G2429"/>
      <c r="H2429"/>
      <c r="I2429"/>
      <c r="J2429"/>
      <c r="K2429"/>
      <c r="L2429"/>
      <c r="M2429"/>
      <c r="S2429" s="54"/>
    </row>
    <row r="2430" spans="1:19" s="15" customFormat="1" x14ac:dyDescent="0.3">
      <c r="A2430" s="17"/>
      <c r="B2430"/>
      <c r="C2430"/>
      <c r="D2430"/>
      <c r="E2430"/>
      <c r="F2430"/>
      <c r="G2430"/>
      <c r="H2430"/>
      <c r="I2430"/>
      <c r="J2430"/>
      <c r="K2430"/>
      <c r="L2430"/>
      <c r="M2430"/>
      <c r="S2430" s="54"/>
    </row>
    <row r="2431" spans="1:19" s="15" customFormat="1" x14ac:dyDescent="0.3">
      <c r="A2431" s="17"/>
      <c r="B2431"/>
      <c r="C2431"/>
      <c r="D2431"/>
      <c r="E2431"/>
      <c r="F2431"/>
      <c r="G2431"/>
      <c r="H2431"/>
      <c r="I2431"/>
      <c r="J2431"/>
      <c r="K2431"/>
      <c r="L2431"/>
      <c r="M2431"/>
      <c r="S2431" s="54"/>
    </row>
    <row r="2432" spans="1:19" s="15" customFormat="1" x14ac:dyDescent="0.3">
      <c r="A2432" s="17"/>
      <c r="B2432"/>
      <c r="C2432"/>
      <c r="D2432"/>
      <c r="E2432"/>
      <c r="F2432"/>
      <c r="G2432"/>
      <c r="H2432"/>
      <c r="I2432"/>
      <c r="J2432"/>
      <c r="K2432"/>
      <c r="L2432"/>
      <c r="M2432"/>
      <c r="S2432" s="54"/>
    </row>
    <row r="2433" spans="1:19" s="15" customFormat="1" x14ac:dyDescent="0.3">
      <c r="A2433" s="17"/>
      <c r="B2433"/>
      <c r="C2433"/>
      <c r="D2433"/>
      <c r="E2433"/>
      <c r="F2433"/>
      <c r="G2433"/>
      <c r="H2433"/>
      <c r="I2433"/>
      <c r="J2433"/>
      <c r="K2433"/>
      <c r="L2433"/>
      <c r="M2433"/>
      <c r="S2433" s="54"/>
    </row>
    <row r="2434" spans="1:19" s="15" customFormat="1" x14ac:dyDescent="0.3">
      <c r="A2434" s="17"/>
      <c r="B2434"/>
      <c r="C2434"/>
      <c r="D2434"/>
      <c r="E2434"/>
      <c r="F2434"/>
      <c r="G2434"/>
      <c r="H2434"/>
      <c r="I2434"/>
      <c r="J2434"/>
      <c r="K2434"/>
      <c r="L2434"/>
      <c r="M2434"/>
      <c r="S2434" s="54"/>
    </row>
    <row r="2435" spans="1:19" s="15" customFormat="1" x14ac:dyDescent="0.3">
      <c r="A2435" s="17"/>
      <c r="B2435"/>
      <c r="C2435"/>
      <c r="D2435"/>
      <c r="E2435"/>
      <c r="F2435"/>
      <c r="G2435"/>
      <c r="H2435"/>
      <c r="I2435"/>
      <c r="J2435"/>
      <c r="K2435"/>
      <c r="L2435"/>
      <c r="M2435"/>
      <c r="S2435" s="54"/>
    </row>
    <row r="2436" spans="1:19" s="15" customFormat="1" x14ac:dyDescent="0.3">
      <c r="A2436" s="17"/>
      <c r="B2436"/>
      <c r="C2436"/>
      <c r="D2436"/>
      <c r="E2436"/>
      <c r="F2436"/>
      <c r="G2436"/>
      <c r="H2436"/>
      <c r="I2436"/>
      <c r="J2436"/>
      <c r="K2436"/>
      <c r="L2436"/>
      <c r="M2436"/>
      <c r="S2436" s="54"/>
    </row>
    <row r="2437" spans="1:19" s="15" customFormat="1" x14ac:dyDescent="0.3">
      <c r="A2437" s="17"/>
      <c r="B2437"/>
      <c r="C2437"/>
      <c r="D2437"/>
      <c r="E2437"/>
      <c r="F2437"/>
      <c r="G2437"/>
      <c r="H2437"/>
      <c r="I2437"/>
      <c r="J2437"/>
      <c r="K2437"/>
      <c r="L2437"/>
      <c r="M2437"/>
      <c r="S2437" s="54"/>
    </row>
    <row r="2438" spans="1:19" s="15" customFormat="1" x14ac:dyDescent="0.3">
      <c r="A2438" s="17"/>
      <c r="B2438"/>
      <c r="C2438"/>
      <c r="D2438"/>
      <c r="E2438"/>
      <c r="F2438"/>
      <c r="G2438"/>
      <c r="H2438"/>
      <c r="I2438"/>
      <c r="J2438"/>
      <c r="K2438"/>
      <c r="L2438"/>
      <c r="M2438"/>
      <c r="S2438" s="54"/>
    </row>
    <row r="2439" spans="1:19" s="15" customFormat="1" x14ac:dyDescent="0.3">
      <c r="A2439" s="17"/>
      <c r="B2439"/>
      <c r="C2439"/>
      <c r="D2439"/>
      <c r="E2439"/>
      <c r="F2439"/>
      <c r="G2439"/>
      <c r="H2439"/>
      <c r="I2439"/>
      <c r="J2439"/>
      <c r="K2439"/>
      <c r="L2439"/>
      <c r="M2439"/>
      <c r="S2439" s="54"/>
    </row>
    <row r="2440" spans="1:19" s="15" customFormat="1" x14ac:dyDescent="0.3">
      <c r="A2440" s="17"/>
      <c r="B2440"/>
      <c r="C2440"/>
      <c r="D2440"/>
      <c r="E2440"/>
      <c r="F2440"/>
      <c r="G2440"/>
      <c r="H2440"/>
      <c r="I2440"/>
      <c r="J2440"/>
      <c r="K2440"/>
      <c r="L2440"/>
      <c r="M2440"/>
      <c r="S2440" s="54"/>
    </row>
    <row r="2441" spans="1:19" s="15" customFormat="1" x14ac:dyDescent="0.3">
      <c r="A2441" s="17"/>
      <c r="B2441"/>
      <c r="C2441"/>
      <c r="D2441"/>
      <c r="E2441"/>
      <c r="F2441"/>
      <c r="G2441"/>
      <c r="H2441"/>
      <c r="I2441"/>
      <c r="J2441"/>
      <c r="K2441"/>
      <c r="L2441"/>
      <c r="M2441"/>
      <c r="S2441" s="54"/>
    </row>
    <row r="2442" spans="1:19" s="15" customFormat="1" x14ac:dyDescent="0.3">
      <c r="A2442" s="17"/>
      <c r="B2442"/>
      <c r="C2442"/>
      <c r="D2442"/>
      <c r="E2442"/>
      <c r="F2442"/>
      <c r="G2442"/>
      <c r="H2442"/>
      <c r="I2442"/>
      <c r="J2442"/>
      <c r="K2442"/>
      <c r="L2442"/>
      <c r="M2442"/>
      <c r="S2442" s="54"/>
    </row>
    <row r="2443" spans="1:19" s="15" customFormat="1" x14ac:dyDescent="0.3">
      <c r="A2443" s="17"/>
      <c r="B2443"/>
      <c r="C2443"/>
      <c r="D2443"/>
      <c r="E2443"/>
      <c r="F2443"/>
      <c r="G2443"/>
      <c r="H2443"/>
      <c r="I2443"/>
      <c r="J2443"/>
      <c r="K2443"/>
      <c r="L2443"/>
      <c r="M2443"/>
      <c r="S2443" s="54"/>
    </row>
    <row r="2444" spans="1:19" s="15" customFormat="1" x14ac:dyDescent="0.3">
      <c r="A2444" s="17"/>
      <c r="B2444"/>
      <c r="C2444"/>
      <c r="D2444"/>
      <c r="E2444"/>
      <c r="F2444"/>
      <c r="G2444"/>
      <c r="H2444"/>
      <c r="I2444"/>
      <c r="J2444"/>
      <c r="K2444"/>
      <c r="L2444"/>
      <c r="M2444"/>
      <c r="S2444" s="54"/>
    </row>
    <row r="2445" spans="1:19" s="15" customFormat="1" x14ac:dyDescent="0.3">
      <c r="A2445" s="17"/>
      <c r="B2445"/>
      <c r="C2445"/>
      <c r="D2445"/>
      <c r="E2445"/>
      <c r="F2445"/>
      <c r="G2445"/>
      <c r="H2445"/>
      <c r="I2445"/>
      <c r="J2445"/>
      <c r="K2445"/>
      <c r="L2445"/>
      <c r="M2445"/>
      <c r="S2445" s="54"/>
    </row>
    <row r="2446" spans="1:19" s="15" customFormat="1" x14ac:dyDescent="0.3">
      <c r="A2446" s="17"/>
      <c r="B2446"/>
      <c r="C2446"/>
      <c r="D2446"/>
      <c r="E2446"/>
      <c r="F2446"/>
      <c r="G2446"/>
      <c r="H2446"/>
      <c r="I2446"/>
      <c r="J2446"/>
      <c r="K2446"/>
      <c r="L2446"/>
      <c r="M2446"/>
      <c r="S2446" s="54"/>
    </row>
    <row r="2447" spans="1:19" s="15" customFormat="1" x14ac:dyDescent="0.3">
      <c r="A2447" s="17"/>
      <c r="B2447"/>
      <c r="C2447"/>
      <c r="D2447"/>
      <c r="E2447"/>
      <c r="F2447"/>
      <c r="G2447"/>
      <c r="H2447"/>
      <c r="I2447"/>
      <c r="J2447"/>
      <c r="K2447"/>
      <c r="L2447"/>
      <c r="M2447"/>
      <c r="S2447" s="54"/>
    </row>
    <row r="2448" spans="1:19" s="15" customFormat="1" x14ac:dyDescent="0.3">
      <c r="A2448" s="17"/>
      <c r="B2448"/>
      <c r="C2448"/>
      <c r="D2448"/>
      <c r="E2448"/>
      <c r="F2448"/>
      <c r="G2448"/>
      <c r="H2448"/>
      <c r="I2448"/>
      <c r="J2448"/>
      <c r="K2448"/>
      <c r="L2448"/>
      <c r="M2448"/>
      <c r="S2448" s="54"/>
    </row>
    <row r="2449" spans="1:19" s="15" customFormat="1" x14ac:dyDescent="0.3">
      <c r="A2449" s="17"/>
      <c r="B2449"/>
      <c r="C2449"/>
      <c r="D2449"/>
      <c r="E2449"/>
      <c r="F2449"/>
      <c r="G2449"/>
      <c r="H2449"/>
      <c r="I2449"/>
      <c r="J2449"/>
      <c r="K2449"/>
      <c r="L2449"/>
      <c r="M2449"/>
      <c r="S2449" s="54"/>
    </row>
    <row r="2450" spans="1:19" s="15" customFormat="1" x14ac:dyDescent="0.3">
      <c r="A2450" s="17"/>
      <c r="B2450"/>
      <c r="C2450"/>
      <c r="D2450"/>
      <c r="E2450"/>
      <c r="F2450"/>
      <c r="G2450"/>
      <c r="H2450"/>
      <c r="I2450"/>
      <c r="J2450"/>
      <c r="K2450"/>
      <c r="L2450"/>
      <c r="M2450"/>
      <c r="S2450" s="54"/>
    </row>
    <row r="2451" spans="1:19" s="15" customFormat="1" x14ac:dyDescent="0.3">
      <c r="A2451" s="17"/>
      <c r="B2451"/>
      <c r="C2451"/>
      <c r="D2451"/>
      <c r="E2451"/>
      <c r="F2451"/>
      <c r="G2451"/>
      <c r="H2451"/>
      <c r="I2451"/>
      <c r="J2451"/>
      <c r="K2451"/>
      <c r="L2451"/>
      <c r="M2451"/>
      <c r="S2451" s="54"/>
    </row>
    <row r="2452" spans="1:19" s="15" customFormat="1" x14ac:dyDescent="0.3">
      <c r="A2452" s="17"/>
      <c r="B2452"/>
      <c r="C2452"/>
      <c r="D2452"/>
      <c r="E2452"/>
      <c r="F2452"/>
      <c r="G2452"/>
      <c r="H2452"/>
      <c r="I2452"/>
      <c r="J2452"/>
      <c r="K2452"/>
      <c r="L2452"/>
      <c r="M2452"/>
      <c r="S2452" s="54"/>
    </row>
    <row r="2453" spans="1:19" s="15" customFormat="1" x14ac:dyDescent="0.3">
      <c r="A2453" s="17"/>
      <c r="B2453"/>
      <c r="C2453"/>
      <c r="D2453"/>
      <c r="E2453"/>
      <c r="F2453"/>
      <c r="G2453"/>
      <c r="H2453"/>
      <c r="I2453"/>
      <c r="J2453"/>
      <c r="K2453"/>
      <c r="L2453"/>
      <c r="M2453"/>
      <c r="S2453" s="54"/>
    </row>
    <row r="2454" spans="1:19" s="15" customFormat="1" x14ac:dyDescent="0.3">
      <c r="A2454" s="17"/>
      <c r="B2454"/>
      <c r="C2454"/>
      <c r="D2454"/>
      <c r="E2454"/>
      <c r="F2454"/>
      <c r="G2454"/>
      <c r="H2454"/>
      <c r="I2454"/>
      <c r="J2454"/>
      <c r="K2454"/>
      <c r="L2454"/>
      <c r="M2454"/>
      <c r="S2454" s="54"/>
    </row>
    <row r="2455" spans="1:19" s="15" customFormat="1" x14ac:dyDescent="0.3">
      <c r="A2455" s="17"/>
      <c r="B2455"/>
      <c r="C2455"/>
      <c r="D2455"/>
      <c r="E2455"/>
      <c r="F2455"/>
      <c r="G2455"/>
      <c r="H2455"/>
      <c r="I2455"/>
      <c r="J2455"/>
      <c r="K2455"/>
      <c r="L2455"/>
      <c r="M2455"/>
      <c r="S2455" s="54"/>
    </row>
    <row r="2456" spans="1:19" s="15" customFormat="1" x14ac:dyDescent="0.3">
      <c r="A2456" s="17"/>
      <c r="B2456"/>
      <c r="C2456"/>
      <c r="D2456"/>
      <c r="E2456"/>
      <c r="F2456"/>
      <c r="G2456"/>
      <c r="H2456"/>
      <c r="I2456"/>
      <c r="J2456"/>
      <c r="K2456"/>
      <c r="L2456"/>
      <c r="M2456"/>
      <c r="S2456" s="54"/>
    </row>
    <row r="2457" spans="1:19" s="15" customFormat="1" x14ac:dyDescent="0.3">
      <c r="A2457" s="17"/>
      <c r="B2457"/>
      <c r="C2457"/>
      <c r="D2457"/>
      <c r="E2457"/>
      <c r="F2457"/>
      <c r="G2457"/>
      <c r="H2457"/>
      <c r="I2457"/>
      <c r="J2457"/>
      <c r="K2457"/>
      <c r="L2457"/>
      <c r="M2457"/>
      <c r="S2457" s="54"/>
    </row>
    <row r="2458" spans="1:19" s="15" customFormat="1" x14ac:dyDescent="0.3">
      <c r="A2458" s="17"/>
      <c r="B2458"/>
      <c r="C2458"/>
      <c r="D2458"/>
      <c r="E2458"/>
      <c r="F2458"/>
      <c r="G2458"/>
      <c r="H2458"/>
      <c r="I2458"/>
      <c r="J2458"/>
      <c r="K2458"/>
      <c r="L2458"/>
      <c r="M2458"/>
      <c r="S2458" s="54"/>
    </row>
    <row r="2459" spans="1:19" s="15" customFormat="1" x14ac:dyDescent="0.3">
      <c r="A2459" s="17"/>
      <c r="B2459"/>
      <c r="C2459"/>
      <c r="D2459"/>
      <c r="E2459"/>
      <c r="F2459"/>
      <c r="G2459"/>
      <c r="H2459"/>
      <c r="I2459"/>
      <c r="J2459"/>
      <c r="K2459"/>
      <c r="L2459"/>
      <c r="M2459"/>
      <c r="S2459" s="54"/>
    </row>
    <row r="2460" spans="1:19" s="15" customFormat="1" x14ac:dyDescent="0.3">
      <c r="A2460" s="17"/>
      <c r="B2460"/>
      <c r="C2460"/>
      <c r="D2460"/>
      <c r="E2460"/>
      <c r="F2460"/>
      <c r="G2460"/>
      <c r="H2460"/>
      <c r="I2460"/>
      <c r="J2460"/>
      <c r="K2460"/>
      <c r="L2460"/>
      <c r="M2460"/>
      <c r="S2460" s="54"/>
    </row>
    <row r="2461" spans="1:19" s="15" customFormat="1" x14ac:dyDescent="0.3">
      <c r="A2461" s="17"/>
      <c r="B2461"/>
      <c r="C2461"/>
      <c r="D2461"/>
      <c r="E2461"/>
      <c r="F2461"/>
      <c r="G2461"/>
      <c r="H2461"/>
      <c r="I2461"/>
      <c r="J2461"/>
      <c r="K2461"/>
      <c r="L2461"/>
      <c r="M2461"/>
      <c r="S2461" s="54"/>
    </row>
    <row r="2462" spans="1:19" s="15" customFormat="1" x14ac:dyDescent="0.3">
      <c r="A2462" s="17"/>
      <c r="B2462"/>
      <c r="C2462"/>
      <c r="D2462"/>
      <c r="E2462"/>
      <c r="F2462"/>
      <c r="G2462"/>
      <c r="H2462"/>
      <c r="I2462"/>
      <c r="J2462"/>
      <c r="K2462"/>
      <c r="L2462"/>
      <c r="M2462"/>
      <c r="S2462" s="54"/>
    </row>
    <row r="2463" spans="1:19" s="15" customFormat="1" x14ac:dyDescent="0.3">
      <c r="A2463" s="17"/>
      <c r="B2463"/>
      <c r="C2463"/>
      <c r="D2463"/>
      <c r="E2463"/>
      <c r="F2463"/>
      <c r="G2463"/>
      <c r="H2463"/>
      <c r="I2463"/>
      <c r="J2463"/>
      <c r="K2463"/>
      <c r="L2463"/>
      <c r="M2463"/>
      <c r="S2463" s="54"/>
    </row>
    <row r="2464" spans="1:19" s="15" customFormat="1" x14ac:dyDescent="0.3">
      <c r="A2464" s="17"/>
      <c r="B2464"/>
      <c r="C2464"/>
      <c r="D2464"/>
      <c r="E2464"/>
      <c r="F2464"/>
      <c r="G2464"/>
      <c r="H2464"/>
      <c r="I2464"/>
      <c r="J2464"/>
      <c r="K2464"/>
      <c r="L2464"/>
      <c r="M2464"/>
      <c r="S2464" s="54"/>
    </row>
    <row r="2465" spans="1:19" s="15" customFormat="1" x14ac:dyDescent="0.3">
      <c r="A2465" s="17"/>
      <c r="B2465"/>
      <c r="C2465"/>
      <c r="D2465"/>
      <c r="E2465"/>
      <c r="F2465"/>
      <c r="G2465"/>
      <c r="H2465"/>
      <c r="I2465"/>
      <c r="J2465"/>
      <c r="K2465"/>
      <c r="L2465"/>
      <c r="M2465"/>
      <c r="S2465" s="54"/>
    </row>
    <row r="2466" spans="1:19" s="15" customFormat="1" x14ac:dyDescent="0.3">
      <c r="A2466" s="17"/>
      <c r="B2466"/>
      <c r="C2466"/>
      <c r="D2466"/>
      <c r="E2466"/>
      <c r="F2466"/>
      <c r="G2466"/>
      <c r="H2466"/>
      <c r="I2466"/>
      <c r="J2466"/>
      <c r="K2466"/>
      <c r="L2466"/>
      <c r="M2466"/>
      <c r="S2466" s="54"/>
    </row>
    <row r="2467" spans="1:19" s="15" customFormat="1" x14ac:dyDescent="0.3">
      <c r="A2467" s="17"/>
      <c r="B2467"/>
      <c r="C2467"/>
      <c r="D2467"/>
      <c r="E2467"/>
      <c r="F2467"/>
      <c r="G2467"/>
      <c r="H2467"/>
      <c r="I2467"/>
      <c r="J2467"/>
      <c r="K2467"/>
      <c r="L2467"/>
      <c r="M2467"/>
      <c r="S2467" s="54"/>
    </row>
    <row r="2468" spans="1:19" s="15" customFormat="1" x14ac:dyDescent="0.3">
      <c r="A2468" s="17"/>
      <c r="B2468"/>
      <c r="C2468"/>
      <c r="D2468"/>
      <c r="E2468"/>
      <c r="F2468"/>
      <c r="G2468"/>
      <c r="H2468"/>
      <c r="I2468"/>
      <c r="J2468"/>
      <c r="K2468"/>
      <c r="L2468"/>
      <c r="M2468"/>
      <c r="S2468" s="54"/>
    </row>
    <row r="2469" spans="1:19" s="15" customFormat="1" x14ac:dyDescent="0.3">
      <c r="A2469" s="17"/>
      <c r="B2469"/>
      <c r="C2469"/>
      <c r="D2469"/>
      <c r="E2469"/>
      <c r="F2469"/>
      <c r="G2469"/>
      <c r="H2469"/>
      <c r="I2469"/>
      <c r="J2469"/>
      <c r="K2469"/>
      <c r="L2469"/>
      <c r="M2469"/>
      <c r="S2469" s="54"/>
    </row>
    <row r="2470" spans="1:19" s="15" customFormat="1" x14ac:dyDescent="0.3">
      <c r="A2470" s="17"/>
      <c r="B2470"/>
      <c r="C2470"/>
      <c r="D2470"/>
      <c r="E2470"/>
      <c r="F2470"/>
      <c r="G2470"/>
      <c r="H2470"/>
      <c r="I2470"/>
      <c r="J2470"/>
      <c r="K2470"/>
      <c r="L2470"/>
      <c r="M2470"/>
      <c r="S2470" s="54"/>
    </row>
    <row r="2471" spans="1:19" s="15" customFormat="1" x14ac:dyDescent="0.3">
      <c r="A2471" s="17"/>
      <c r="B2471"/>
      <c r="C2471"/>
      <c r="D2471"/>
      <c r="E2471"/>
      <c r="F2471"/>
      <c r="G2471"/>
      <c r="H2471"/>
      <c r="I2471"/>
      <c r="J2471"/>
      <c r="K2471"/>
      <c r="L2471"/>
      <c r="M2471"/>
      <c r="S2471" s="54"/>
    </row>
    <row r="2472" spans="1:19" s="15" customFormat="1" x14ac:dyDescent="0.3">
      <c r="A2472" s="17"/>
      <c r="B2472"/>
      <c r="C2472"/>
      <c r="D2472"/>
      <c r="E2472"/>
      <c r="F2472"/>
      <c r="G2472"/>
      <c r="H2472"/>
      <c r="I2472"/>
      <c r="J2472"/>
      <c r="K2472"/>
      <c r="L2472"/>
      <c r="M2472"/>
      <c r="S2472" s="54"/>
    </row>
    <row r="2473" spans="1:19" s="15" customFormat="1" x14ac:dyDescent="0.3">
      <c r="A2473" s="17"/>
      <c r="B2473"/>
      <c r="C2473"/>
      <c r="D2473"/>
      <c r="E2473"/>
      <c r="F2473"/>
      <c r="G2473"/>
      <c r="H2473"/>
      <c r="I2473"/>
      <c r="J2473"/>
      <c r="K2473"/>
      <c r="L2473"/>
      <c r="M2473"/>
      <c r="S2473" s="54"/>
    </row>
    <row r="2474" spans="1:19" s="15" customFormat="1" x14ac:dyDescent="0.3">
      <c r="A2474" s="17"/>
      <c r="B2474"/>
      <c r="C2474"/>
      <c r="D2474"/>
      <c r="E2474"/>
      <c r="F2474"/>
      <c r="G2474"/>
      <c r="H2474"/>
      <c r="I2474"/>
      <c r="J2474"/>
      <c r="K2474"/>
      <c r="L2474"/>
      <c r="M2474"/>
      <c r="S2474" s="54"/>
    </row>
    <row r="2475" spans="1:19" s="15" customFormat="1" x14ac:dyDescent="0.3">
      <c r="A2475" s="17"/>
      <c r="B2475"/>
      <c r="C2475"/>
      <c r="D2475"/>
      <c r="E2475"/>
      <c r="F2475"/>
      <c r="G2475"/>
      <c r="H2475"/>
      <c r="I2475"/>
      <c r="J2475"/>
      <c r="K2475"/>
      <c r="L2475"/>
      <c r="M2475"/>
      <c r="S2475" s="54"/>
    </row>
    <row r="2476" spans="1:19" s="15" customFormat="1" x14ac:dyDescent="0.3">
      <c r="A2476" s="17"/>
      <c r="B2476"/>
      <c r="C2476"/>
      <c r="D2476"/>
      <c r="E2476"/>
      <c r="F2476"/>
      <c r="G2476"/>
      <c r="H2476"/>
      <c r="I2476"/>
      <c r="J2476"/>
      <c r="K2476"/>
      <c r="L2476"/>
      <c r="M2476"/>
      <c r="S2476" s="54"/>
    </row>
    <row r="2477" spans="1:19" s="15" customFormat="1" x14ac:dyDescent="0.3">
      <c r="A2477" s="17"/>
      <c r="B2477"/>
      <c r="C2477"/>
      <c r="D2477"/>
      <c r="E2477"/>
      <c r="F2477"/>
      <c r="G2477"/>
      <c r="H2477"/>
      <c r="I2477"/>
      <c r="J2477"/>
      <c r="K2477"/>
      <c r="L2477"/>
      <c r="M2477"/>
      <c r="S2477" s="54"/>
    </row>
    <row r="2478" spans="1:19" s="15" customFormat="1" x14ac:dyDescent="0.3">
      <c r="A2478" s="17"/>
      <c r="B2478"/>
      <c r="C2478"/>
      <c r="D2478"/>
      <c r="E2478"/>
      <c r="F2478"/>
      <c r="G2478"/>
      <c r="H2478"/>
      <c r="I2478"/>
      <c r="J2478"/>
      <c r="K2478"/>
      <c r="L2478"/>
      <c r="M2478"/>
      <c r="S2478" s="54"/>
    </row>
    <row r="2479" spans="1:19" s="15" customFormat="1" x14ac:dyDescent="0.3">
      <c r="A2479" s="17"/>
      <c r="B2479"/>
      <c r="C2479"/>
      <c r="D2479"/>
      <c r="E2479"/>
      <c r="F2479"/>
      <c r="G2479"/>
      <c r="H2479"/>
      <c r="I2479"/>
      <c r="J2479"/>
      <c r="K2479"/>
      <c r="L2479"/>
      <c r="M2479"/>
      <c r="S2479" s="54"/>
    </row>
    <row r="2480" spans="1:19" s="15" customFormat="1" x14ac:dyDescent="0.3">
      <c r="A2480" s="17"/>
      <c r="B2480"/>
      <c r="C2480"/>
      <c r="D2480"/>
      <c r="E2480"/>
      <c r="F2480"/>
      <c r="G2480"/>
      <c r="H2480"/>
      <c r="I2480"/>
      <c r="J2480"/>
      <c r="K2480"/>
      <c r="L2480"/>
      <c r="M2480"/>
      <c r="S2480" s="54"/>
    </row>
    <row r="2481" spans="1:19" s="15" customFormat="1" x14ac:dyDescent="0.3">
      <c r="A2481" s="17"/>
      <c r="B2481"/>
      <c r="C2481"/>
      <c r="D2481"/>
      <c r="E2481"/>
      <c r="F2481"/>
      <c r="G2481"/>
      <c r="H2481"/>
      <c r="I2481"/>
      <c r="J2481"/>
      <c r="K2481"/>
      <c r="L2481"/>
      <c r="M2481"/>
      <c r="S2481" s="54"/>
    </row>
    <row r="2482" spans="1:19" s="15" customFormat="1" x14ac:dyDescent="0.3">
      <c r="A2482" s="17"/>
      <c r="B2482"/>
      <c r="C2482"/>
      <c r="D2482"/>
      <c r="E2482"/>
      <c r="F2482"/>
      <c r="G2482"/>
      <c r="H2482"/>
      <c r="I2482"/>
      <c r="J2482"/>
      <c r="K2482"/>
      <c r="L2482"/>
      <c r="M2482"/>
      <c r="S2482" s="54"/>
    </row>
    <row r="2483" spans="1:19" s="15" customFormat="1" x14ac:dyDescent="0.3">
      <c r="A2483" s="17"/>
      <c r="B2483"/>
      <c r="C2483"/>
      <c r="D2483"/>
      <c r="E2483"/>
      <c r="F2483"/>
      <c r="G2483"/>
      <c r="H2483"/>
      <c r="I2483"/>
      <c r="J2483"/>
      <c r="K2483"/>
      <c r="L2483"/>
      <c r="M2483"/>
      <c r="S2483" s="54"/>
    </row>
    <row r="2484" spans="1:19" s="15" customFormat="1" x14ac:dyDescent="0.3">
      <c r="A2484" s="17"/>
      <c r="B2484"/>
      <c r="C2484"/>
      <c r="D2484"/>
      <c r="E2484"/>
      <c r="F2484"/>
      <c r="G2484"/>
      <c r="H2484"/>
      <c r="I2484"/>
      <c r="J2484"/>
      <c r="K2484"/>
      <c r="L2484"/>
      <c r="M2484"/>
      <c r="S2484" s="54"/>
    </row>
    <row r="2485" spans="1:19" s="15" customFormat="1" x14ac:dyDescent="0.3">
      <c r="A2485" s="17"/>
      <c r="B2485"/>
      <c r="C2485"/>
      <c r="D2485"/>
      <c r="E2485"/>
      <c r="F2485"/>
      <c r="G2485"/>
      <c r="H2485"/>
      <c r="I2485"/>
      <c r="J2485"/>
      <c r="K2485"/>
      <c r="L2485"/>
      <c r="M2485"/>
      <c r="S2485" s="54"/>
    </row>
    <row r="2486" spans="1:19" s="15" customFormat="1" x14ac:dyDescent="0.3">
      <c r="A2486" s="17"/>
      <c r="B2486"/>
      <c r="C2486"/>
      <c r="D2486"/>
      <c r="E2486"/>
      <c r="F2486"/>
      <c r="G2486"/>
      <c r="H2486"/>
      <c r="I2486"/>
      <c r="J2486"/>
      <c r="K2486"/>
      <c r="L2486"/>
      <c r="M2486"/>
      <c r="S2486" s="54"/>
    </row>
    <row r="2487" spans="1:19" s="15" customFormat="1" x14ac:dyDescent="0.3">
      <c r="A2487" s="17"/>
      <c r="B2487"/>
      <c r="C2487"/>
      <c r="D2487"/>
      <c r="E2487"/>
      <c r="F2487"/>
      <c r="G2487"/>
      <c r="H2487"/>
      <c r="I2487"/>
      <c r="J2487"/>
      <c r="K2487"/>
      <c r="L2487"/>
      <c r="M2487"/>
      <c r="S2487" s="54"/>
    </row>
    <row r="2488" spans="1:19" s="15" customFormat="1" x14ac:dyDescent="0.3">
      <c r="A2488" s="17"/>
      <c r="B2488"/>
      <c r="C2488"/>
      <c r="D2488"/>
      <c r="E2488"/>
      <c r="F2488"/>
      <c r="G2488"/>
      <c r="H2488"/>
      <c r="I2488"/>
      <c r="J2488"/>
      <c r="K2488"/>
      <c r="L2488"/>
      <c r="M2488"/>
      <c r="S2488" s="54"/>
    </row>
    <row r="2489" spans="1:19" s="15" customFormat="1" x14ac:dyDescent="0.3">
      <c r="A2489" s="17"/>
      <c r="B2489"/>
      <c r="C2489"/>
      <c r="D2489"/>
      <c r="E2489"/>
      <c r="F2489"/>
      <c r="G2489"/>
      <c r="H2489"/>
      <c r="I2489"/>
      <c r="J2489"/>
      <c r="K2489"/>
      <c r="L2489"/>
      <c r="M2489"/>
      <c r="S2489" s="54"/>
    </row>
    <row r="2490" spans="1:19" s="15" customFormat="1" x14ac:dyDescent="0.3">
      <c r="A2490" s="17"/>
      <c r="B2490"/>
      <c r="C2490"/>
      <c r="D2490"/>
      <c r="E2490"/>
      <c r="F2490"/>
      <c r="G2490"/>
      <c r="H2490"/>
      <c r="I2490"/>
      <c r="J2490"/>
      <c r="K2490"/>
      <c r="L2490"/>
      <c r="M2490"/>
      <c r="S2490" s="54"/>
    </row>
    <row r="2491" spans="1:19" s="15" customFormat="1" x14ac:dyDescent="0.3">
      <c r="A2491" s="17"/>
      <c r="B2491"/>
      <c r="C2491"/>
      <c r="D2491"/>
      <c r="E2491"/>
      <c r="F2491"/>
      <c r="G2491"/>
      <c r="H2491"/>
      <c r="I2491"/>
      <c r="J2491"/>
      <c r="K2491"/>
      <c r="L2491"/>
      <c r="M2491"/>
      <c r="S2491" s="54"/>
    </row>
    <row r="2492" spans="1:19" s="15" customFormat="1" x14ac:dyDescent="0.3">
      <c r="A2492" s="17"/>
      <c r="B2492"/>
      <c r="C2492"/>
      <c r="D2492"/>
      <c r="E2492"/>
      <c r="F2492"/>
      <c r="G2492"/>
      <c r="H2492"/>
      <c r="I2492"/>
      <c r="J2492"/>
      <c r="K2492"/>
      <c r="L2492"/>
      <c r="M2492"/>
      <c r="S2492" s="54"/>
    </row>
    <row r="2493" spans="1:19" s="15" customFormat="1" x14ac:dyDescent="0.3">
      <c r="A2493" s="17"/>
      <c r="B2493"/>
      <c r="C2493"/>
      <c r="D2493"/>
      <c r="E2493"/>
      <c r="F2493"/>
      <c r="G2493"/>
      <c r="H2493"/>
      <c r="I2493"/>
      <c r="J2493"/>
      <c r="K2493"/>
      <c r="L2493"/>
      <c r="M2493"/>
      <c r="S2493" s="54"/>
    </row>
    <row r="2494" spans="1:19" s="15" customFormat="1" x14ac:dyDescent="0.3">
      <c r="A2494" s="17"/>
      <c r="B2494"/>
      <c r="C2494"/>
      <c r="D2494"/>
      <c r="E2494"/>
      <c r="F2494"/>
      <c r="G2494"/>
      <c r="H2494"/>
      <c r="I2494"/>
      <c r="J2494"/>
      <c r="K2494"/>
      <c r="L2494"/>
      <c r="M2494"/>
      <c r="S2494" s="54"/>
    </row>
    <row r="2495" spans="1:19" s="15" customFormat="1" x14ac:dyDescent="0.3">
      <c r="A2495" s="17"/>
      <c r="B2495"/>
      <c r="C2495"/>
      <c r="D2495"/>
      <c r="E2495"/>
      <c r="F2495"/>
      <c r="G2495"/>
      <c r="H2495"/>
      <c r="I2495"/>
      <c r="J2495"/>
      <c r="K2495"/>
      <c r="L2495"/>
      <c r="M2495"/>
      <c r="S2495" s="54"/>
    </row>
    <row r="2496" spans="1:19" s="15" customFormat="1" x14ac:dyDescent="0.3">
      <c r="A2496" s="17"/>
      <c r="B2496"/>
      <c r="C2496"/>
      <c r="D2496"/>
      <c r="E2496"/>
      <c r="F2496"/>
      <c r="G2496"/>
      <c r="H2496"/>
      <c r="I2496"/>
      <c r="J2496"/>
      <c r="K2496"/>
      <c r="L2496"/>
      <c r="M2496"/>
      <c r="S2496" s="54"/>
    </row>
    <row r="2497" spans="1:19" s="15" customFormat="1" x14ac:dyDescent="0.3">
      <c r="A2497" s="17"/>
      <c r="B2497"/>
      <c r="C2497"/>
      <c r="D2497"/>
      <c r="E2497"/>
      <c r="F2497"/>
      <c r="G2497"/>
      <c r="H2497"/>
      <c r="I2497"/>
      <c r="J2497"/>
      <c r="K2497"/>
      <c r="L2497"/>
      <c r="M2497"/>
      <c r="S2497" s="54"/>
    </row>
    <row r="2498" spans="1:19" s="15" customFormat="1" x14ac:dyDescent="0.3">
      <c r="A2498" s="17"/>
      <c r="B2498"/>
      <c r="C2498"/>
      <c r="D2498"/>
      <c r="E2498"/>
      <c r="F2498"/>
      <c r="G2498"/>
      <c r="H2498"/>
      <c r="I2498"/>
      <c r="J2498"/>
      <c r="K2498"/>
      <c r="L2498"/>
      <c r="M2498"/>
      <c r="S2498" s="54"/>
    </row>
    <row r="2499" spans="1:19" s="15" customFormat="1" x14ac:dyDescent="0.3">
      <c r="A2499" s="17"/>
      <c r="B2499"/>
      <c r="C2499"/>
      <c r="D2499"/>
      <c r="E2499"/>
      <c r="F2499"/>
      <c r="G2499"/>
      <c r="H2499"/>
      <c r="I2499"/>
      <c r="J2499"/>
      <c r="K2499"/>
      <c r="L2499"/>
      <c r="M2499"/>
      <c r="S2499" s="54"/>
    </row>
    <row r="2500" spans="1:19" s="15" customFormat="1" x14ac:dyDescent="0.3">
      <c r="A2500" s="17"/>
      <c r="B2500"/>
      <c r="C2500"/>
      <c r="D2500"/>
      <c r="E2500"/>
      <c r="F2500"/>
      <c r="G2500"/>
      <c r="H2500"/>
      <c r="I2500"/>
      <c r="J2500"/>
      <c r="K2500"/>
      <c r="L2500"/>
      <c r="M2500"/>
      <c r="S2500" s="54"/>
    </row>
    <row r="2501" spans="1:19" s="15" customFormat="1" x14ac:dyDescent="0.3">
      <c r="A2501" s="17"/>
      <c r="B2501"/>
      <c r="C2501"/>
      <c r="D2501"/>
      <c r="E2501"/>
      <c r="F2501"/>
      <c r="G2501"/>
      <c r="H2501"/>
      <c r="I2501"/>
      <c r="J2501"/>
      <c r="K2501"/>
      <c r="L2501"/>
      <c r="M2501"/>
      <c r="S2501" s="54"/>
    </row>
    <row r="2502" spans="1:19" s="15" customFormat="1" x14ac:dyDescent="0.3">
      <c r="A2502" s="17"/>
      <c r="B2502"/>
      <c r="C2502"/>
      <c r="D2502"/>
      <c r="E2502"/>
      <c r="F2502"/>
      <c r="G2502"/>
      <c r="H2502"/>
      <c r="I2502"/>
      <c r="J2502"/>
      <c r="K2502"/>
      <c r="L2502"/>
      <c r="M2502"/>
      <c r="S2502" s="54"/>
    </row>
    <row r="2503" spans="1:19" s="15" customFormat="1" x14ac:dyDescent="0.3">
      <c r="A2503" s="17"/>
      <c r="B2503"/>
      <c r="C2503"/>
      <c r="D2503"/>
      <c r="E2503"/>
      <c r="F2503"/>
      <c r="G2503"/>
      <c r="H2503"/>
      <c r="I2503"/>
      <c r="J2503"/>
      <c r="K2503"/>
      <c r="L2503"/>
      <c r="M2503"/>
      <c r="S2503" s="54"/>
    </row>
    <row r="2504" spans="1:19" s="15" customFormat="1" x14ac:dyDescent="0.3">
      <c r="A2504" s="17"/>
      <c r="B2504"/>
      <c r="C2504"/>
      <c r="D2504"/>
      <c r="E2504"/>
      <c r="F2504"/>
      <c r="G2504"/>
      <c r="H2504"/>
      <c r="I2504"/>
      <c r="J2504"/>
      <c r="K2504"/>
      <c r="L2504"/>
      <c r="M2504"/>
      <c r="S2504" s="54"/>
    </row>
    <row r="2505" spans="1:19" s="15" customFormat="1" x14ac:dyDescent="0.3">
      <c r="A2505" s="17"/>
      <c r="B2505"/>
      <c r="C2505"/>
      <c r="D2505"/>
      <c r="E2505"/>
      <c r="F2505"/>
      <c r="G2505"/>
      <c r="H2505"/>
      <c r="I2505"/>
      <c r="J2505"/>
      <c r="K2505"/>
      <c r="L2505"/>
      <c r="M2505"/>
      <c r="S2505" s="54"/>
    </row>
    <row r="2506" spans="1:19" s="15" customFormat="1" x14ac:dyDescent="0.3">
      <c r="A2506" s="17"/>
      <c r="B2506"/>
      <c r="C2506"/>
      <c r="D2506"/>
      <c r="E2506"/>
      <c r="F2506"/>
      <c r="G2506"/>
      <c r="H2506"/>
      <c r="I2506"/>
      <c r="J2506"/>
      <c r="K2506"/>
      <c r="L2506"/>
      <c r="M2506"/>
      <c r="S2506" s="54"/>
    </row>
    <row r="2507" spans="1:19" s="15" customFormat="1" x14ac:dyDescent="0.3">
      <c r="A2507" s="17"/>
      <c r="B2507"/>
      <c r="C2507"/>
      <c r="D2507"/>
      <c r="E2507"/>
      <c r="F2507"/>
      <c r="G2507"/>
      <c r="H2507"/>
      <c r="I2507"/>
      <c r="J2507"/>
      <c r="K2507"/>
      <c r="L2507"/>
      <c r="M2507"/>
      <c r="S2507" s="54"/>
    </row>
    <row r="2508" spans="1:19" s="15" customFormat="1" x14ac:dyDescent="0.3">
      <c r="A2508" s="17"/>
      <c r="B2508"/>
      <c r="C2508"/>
      <c r="D2508"/>
      <c r="E2508"/>
      <c r="F2508"/>
      <c r="G2508"/>
      <c r="H2508"/>
      <c r="I2508"/>
      <c r="J2508"/>
      <c r="K2508"/>
      <c r="L2508"/>
      <c r="M2508"/>
      <c r="S2508" s="54"/>
    </row>
    <row r="2509" spans="1:19" s="15" customFormat="1" x14ac:dyDescent="0.3">
      <c r="A2509" s="17"/>
      <c r="B2509"/>
      <c r="C2509"/>
      <c r="D2509"/>
      <c r="E2509"/>
      <c r="F2509"/>
      <c r="G2509"/>
      <c r="H2509"/>
      <c r="I2509"/>
      <c r="J2509"/>
      <c r="K2509"/>
      <c r="L2509"/>
      <c r="M2509"/>
      <c r="S2509" s="54"/>
    </row>
    <row r="2510" spans="1:19" s="15" customFormat="1" x14ac:dyDescent="0.3">
      <c r="A2510" s="17"/>
      <c r="B2510"/>
      <c r="C2510"/>
      <c r="D2510"/>
      <c r="E2510"/>
      <c r="F2510"/>
      <c r="G2510"/>
      <c r="H2510"/>
      <c r="I2510"/>
      <c r="J2510"/>
      <c r="K2510"/>
      <c r="L2510"/>
      <c r="M2510"/>
      <c r="S2510" s="54"/>
    </row>
    <row r="2511" spans="1:19" s="15" customFormat="1" x14ac:dyDescent="0.3">
      <c r="A2511" s="17"/>
      <c r="B2511"/>
      <c r="C2511"/>
      <c r="D2511"/>
      <c r="E2511"/>
      <c r="F2511"/>
      <c r="G2511"/>
      <c r="H2511"/>
      <c r="I2511"/>
      <c r="J2511"/>
      <c r="K2511"/>
      <c r="L2511"/>
      <c r="M2511"/>
      <c r="S2511" s="54"/>
    </row>
    <row r="2512" spans="1:19" s="15" customFormat="1" x14ac:dyDescent="0.3">
      <c r="A2512" s="17"/>
      <c r="B2512"/>
      <c r="C2512"/>
      <c r="D2512"/>
      <c r="E2512"/>
      <c r="F2512"/>
      <c r="G2512"/>
      <c r="H2512"/>
      <c r="I2512"/>
      <c r="J2512"/>
      <c r="K2512"/>
      <c r="L2512"/>
      <c r="M2512"/>
      <c r="S2512" s="54"/>
    </row>
    <row r="2513" spans="1:19" s="15" customFormat="1" x14ac:dyDescent="0.3">
      <c r="A2513" s="17"/>
      <c r="B2513"/>
      <c r="C2513"/>
      <c r="D2513"/>
      <c r="E2513"/>
      <c r="F2513"/>
      <c r="G2513"/>
      <c r="H2513"/>
      <c r="I2513"/>
      <c r="J2513"/>
      <c r="K2513"/>
      <c r="L2513"/>
      <c r="M2513"/>
      <c r="S2513" s="54"/>
    </row>
    <row r="2514" spans="1:19" s="15" customFormat="1" x14ac:dyDescent="0.3">
      <c r="A2514" s="17"/>
      <c r="B2514"/>
      <c r="C2514"/>
      <c r="D2514"/>
      <c r="E2514"/>
      <c r="F2514"/>
      <c r="G2514"/>
      <c r="H2514"/>
      <c r="I2514"/>
      <c r="J2514"/>
      <c r="K2514"/>
      <c r="L2514"/>
      <c r="M2514"/>
      <c r="S2514" s="54"/>
    </row>
    <row r="2515" spans="1:19" s="15" customFormat="1" x14ac:dyDescent="0.3">
      <c r="A2515" s="17"/>
      <c r="B2515"/>
      <c r="C2515"/>
      <c r="D2515"/>
      <c r="E2515"/>
      <c r="F2515"/>
      <c r="G2515"/>
      <c r="H2515"/>
      <c r="I2515"/>
      <c r="J2515"/>
      <c r="K2515"/>
      <c r="L2515"/>
      <c r="M2515"/>
      <c r="S2515" s="54"/>
    </row>
    <row r="2516" spans="1:19" s="15" customFormat="1" x14ac:dyDescent="0.3">
      <c r="A2516" s="17"/>
      <c r="B2516"/>
      <c r="C2516"/>
      <c r="D2516"/>
      <c r="E2516"/>
      <c r="F2516"/>
      <c r="G2516"/>
      <c r="H2516"/>
      <c r="I2516"/>
      <c r="J2516"/>
      <c r="K2516"/>
      <c r="L2516"/>
      <c r="M2516"/>
      <c r="S2516" s="54"/>
    </row>
    <row r="2517" spans="1:19" s="15" customFormat="1" x14ac:dyDescent="0.3">
      <c r="A2517" s="17"/>
      <c r="B2517"/>
      <c r="C2517"/>
      <c r="D2517"/>
      <c r="E2517"/>
      <c r="F2517"/>
      <c r="G2517"/>
      <c r="H2517"/>
      <c r="I2517"/>
      <c r="J2517"/>
      <c r="K2517"/>
      <c r="L2517"/>
      <c r="M2517"/>
      <c r="S2517" s="54"/>
    </row>
    <row r="2518" spans="1:19" s="15" customFormat="1" x14ac:dyDescent="0.3">
      <c r="A2518" s="17"/>
      <c r="B2518"/>
      <c r="C2518"/>
      <c r="D2518"/>
      <c r="E2518"/>
      <c r="F2518"/>
      <c r="G2518"/>
      <c r="H2518"/>
      <c r="I2518"/>
      <c r="J2518"/>
      <c r="K2518"/>
      <c r="L2518"/>
      <c r="M2518"/>
      <c r="S2518" s="54"/>
    </row>
    <row r="2519" spans="1:19" s="15" customFormat="1" x14ac:dyDescent="0.3">
      <c r="A2519" s="17"/>
      <c r="B2519"/>
      <c r="C2519"/>
      <c r="D2519"/>
      <c r="E2519"/>
      <c r="F2519"/>
      <c r="G2519"/>
      <c r="H2519"/>
      <c r="I2519"/>
      <c r="J2519"/>
      <c r="K2519"/>
      <c r="L2519"/>
      <c r="M2519"/>
      <c r="S2519" s="54"/>
    </row>
    <row r="2520" spans="1:19" s="15" customFormat="1" x14ac:dyDescent="0.3">
      <c r="A2520" s="17"/>
      <c r="B2520"/>
      <c r="C2520"/>
      <c r="D2520"/>
      <c r="E2520"/>
      <c r="F2520"/>
      <c r="G2520"/>
      <c r="H2520"/>
      <c r="I2520"/>
      <c r="J2520"/>
      <c r="K2520"/>
      <c r="L2520"/>
      <c r="M2520"/>
      <c r="S2520" s="54"/>
    </row>
    <row r="2521" spans="1:19" s="15" customFormat="1" x14ac:dyDescent="0.3">
      <c r="A2521" s="17"/>
      <c r="B2521"/>
      <c r="C2521"/>
      <c r="D2521"/>
      <c r="E2521"/>
      <c r="F2521"/>
      <c r="G2521"/>
      <c r="H2521"/>
      <c r="I2521"/>
      <c r="J2521"/>
      <c r="K2521"/>
      <c r="L2521"/>
      <c r="M2521"/>
      <c r="S2521" s="54"/>
    </row>
    <row r="2522" spans="1:19" s="15" customFormat="1" x14ac:dyDescent="0.3">
      <c r="A2522" s="17"/>
      <c r="B2522"/>
      <c r="C2522"/>
      <c r="D2522"/>
      <c r="E2522"/>
      <c r="F2522"/>
      <c r="G2522"/>
      <c r="H2522"/>
      <c r="I2522"/>
      <c r="J2522"/>
      <c r="K2522"/>
      <c r="L2522"/>
      <c r="M2522"/>
      <c r="S2522" s="54"/>
    </row>
    <row r="2523" spans="1:19" s="15" customFormat="1" x14ac:dyDescent="0.3">
      <c r="A2523" s="17"/>
      <c r="B2523"/>
      <c r="C2523"/>
      <c r="D2523"/>
      <c r="E2523"/>
      <c r="F2523"/>
      <c r="G2523"/>
      <c r="H2523"/>
      <c r="I2523"/>
      <c r="J2523"/>
      <c r="K2523"/>
      <c r="L2523"/>
      <c r="M2523"/>
      <c r="S2523" s="54"/>
    </row>
    <row r="2524" spans="1:19" s="15" customFormat="1" x14ac:dyDescent="0.3">
      <c r="A2524" s="17"/>
      <c r="B2524"/>
      <c r="C2524"/>
      <c r="D2524"/>
      <c r="E2524"/>
      <c r="F2524"/>
      <c r="G2524"/>
      <c r="H2524"/>
      <c r="I2524"/>
      <c r="J2524"/>
      <c r="K2524"/>
      <c r="L2524"/>
      <c r="M2524"/>
      <c r="S2524" s="54"/>
    </row>
    <row r="2525" spans="1:19" s="15" customFormat="1" x14ac:dyDescent="0.3">
      <c r="A2525" s="17"/>
      <c r="B2525"/>
      <c r="C2525"/>
      <c r="D2525"/>
      <c r="E2525"/>
      <c r="F2525"/>
      <c r="G2525"/>
      <c r="H2525"/>
      <c r="I2525"/>
      <c r="J2525"/>
      <c r="K2525"/>
      <c r="L2525"/>
      <c r="M2525"/>
      <c r="S2525" s="54"/>
    </row>
    <row r="2526" spans="1:19" s="15" customFormat="1" x14ac:dyDescent="0.3">
      <c r="A2526" s="17"/>
      <c r="B2526"/>
      <c r="C2526"/>
      <c r="D2526"/>
      <c r="E2526"/>
      <c r="F2526"/>
      <c r="G2526"/>
      <c r="H2526"/>
      <c r="I2526"/>
      <c r="J2526"/>
      <c r="K2526"/>
      <c r="L2526"/>
      <c r="M2526"/>
      <c r="S2526" s="54"/>
    </row>
    <row r="2527" spans="1:19" s="15" customFormat="1" x14ac:dyDescent="0.3">
      <c r="A2527" s="17"/>
      <c r="B2527"/>
      <c r="C2527"/>
      <c r="D2527"/>
      <c r="E2527"/>
      <c r="F2527"/>
      <c r="G2527"/>
      <c r="H2527"/>
      <c r="I2527"/>
      <c r="J2527"/>
      <c r="K2527"/>
      <c r="L2527"/>
      <c r="M2527"/>
      <c r="S2527" s="54"/>
    </row>
    <row r="2528" spans="1:19" s="15" customFormat="1" x14ac:dyDescent="0.3">
      <c r="A2528" s="17"/>
      <c r="B2528"/>
      <c r="C2528"/>
      <c r="D2528"/>
      <c r="E2528"/>
      <c r="F2528"/>
      <c r="G2528"/>
      <c r="H2528"/>
      <c r="I2528"/>
      <c r="J2528"/>
      <c r="K2528"/>
      <c r="L2528"/>
      <c r="M2528"/>
      <c r="S2528" s="54"/>
    </row>
    <row r="2529" spans="1:19" s="15" customFormat="1" x14ac:dyDescent="0.3">
      <c r="A2529" s="17"/>
      <c r="B2529"/>
      <c r="C2529"/>
      <c r="D2529"/>
      <c r="E2529"/>
      <c r="F2529"/>
      <c r="G2529"/>
      <c r="H2529"/>
      <c r="I2529"/>
      <c r="J2529"/>
      <c r="K2529"/>
      <c r="L2529"/>
      <c r="M2529"/>
      <c r="S2529" s="54"/>
    </row>
    <row r="2530" spans="1:19" s="15" customFormat="1" x14ac:dyDescent="0.3">
      <c r="A2530" s="17"/>
      <c r="B2530"/>
      <c r="C2530"/>
      <c r="D2530"/>
      <c r="E2530"/>
      <c r="F2530"/>
      <c r="G2530"/>
      <c r="H2530"/>
      <c r="I2530"/>
      <c r="J2530"/>
      <c r="K2530"/>
      <c r="L2530"/>
      <c r="M2530"/>
      <c r="S2530" s="54"/>
    </row>
    <row r="2531" spans="1:19" s="15" customFormat="1" x14ac:dyDescent="0.3">
      <c r="A2531" s="17"/>
      <c r="B2531"/>
      <c r="C2531"/>
      <c r="D2531"/>
      <c r="E2531"/>
      <c r="F2531"/>
      <c r="G2531"/>
      <c r="H2531"/>
      <c r="I2531"/>
      <c r="J2531"/>
      <c r="K2531"/>
      <c r="L2531"/>
      <c r="M2531"/>
      <c r="S2531" s="54"/>
    </row>
    <row r="2532" spans="1:19" s="15" customFormat="1" x14ac:dyDescent="0.3">
      <c r="A2532" s="17"/>
      <c r="B2532"/>
      <c r="C2532"/>
      <c r="D2532"/>
      <c r="E2532"/>
      <c r="F2532"/>
      <c r="G2532"/>
      <c r="H2532"/>
      <c r="I2532"/>
      <c r="J2532"/>
      <c r="K2532"/>
      <c r="L2532"/>
      <c r="M2532"/>
      <c r="S2532" s="54"/>
    </row>
    <row r="2533" spans="1:19" s="15" customFormat="1" x14ac:dyDescent="0.3">
      <c r="A2533" s="17"/>
      <c r="B2533"/>
      <c r="C2533"/>
      <c r="D2533"/>
      <c r="E2533"/>
      <c r="F2533"/>
      <c r="G2533"/>
      <c r="H2533"/>
      <c r="I2533"/>
      <c r="J2533"/>
      <c r="K2533"/>
      <c r="L2533"/>
      <c r="M2533"/>
      <c r="S2533" s="54"/>
    </row>
    <row r="2534" spans="1:19" s="15" customFormat="1" x14ac:dyDescent="0.3">
      <c r="A2534" s="17"/>
      <c r="B2534"/>
      <c r="C2534"/>
      <c r="D2534"/>
      <c r="E2534"/>
      <c r="F2534"/>
      <c r="G2534"/>
      <c r="H2534"/>
      <c r="I2534"/>
      <c r="J2534"/>
      <c r="K2534"/>
      <c r="L2534"/>
      <c r="M2534"/>
      <c r="S2534" s="54"/>
    </row>
    <row r="2535" spans="1:19" s="15" customFormat="1" x14ac:dyDescent="0.3">
      <c r="A2535" s="17"/>
      <c r="B2535"/>
      <c r="C2535"/>
      <c r="D2535"/>
      <c r="E2535"/>
      <c r="F2535"/>
      <c r="G2535"/>
      <c r="H2535"/>
      <c r="I2535"/>
      <c r="J2535"/>
      <c r="K2535"/>
      <c r="L2535"/>
      <c r="M2535"/>
      <c r="S2535" s="54"/>
    </row>
    <row r="2536" spans="1:19" s="15" customFormat="1" x14ac:dyDescent="0.3">
      <c r="A2536" s="17"/>
      <c r="B2536"/>
      <c r="C2536"/>
      <c r="D2536"/>
      <c r="E2536"/>
      <c r="F2536"/>
      <c r="G2536"/>
      <c r="H2536"/>
      <c r="I2536"/>
      <c r="J2536"/>
      <c r="K2536"/>
      <c r="L2536"/>
      <c r="M2536"/>
      <c r="S2536" s="54"/>
    </row>
    <row r="2537" spans="1:19" s="15" customFormat="1" x14ac:dyDescent="0.3">
      <c r="A2537" s="17"/>
      <c r="B2537"/>
      <c r="C2537"/>
      <c r="D2537"/>
      <c r="E2537"/>
      <c r="F2537"/>
      <c r="G2537"/>
      <c r="H2537"/>
      <c r="I2537"/>
      <c r="J2537"/>
      <c r="K2537"/>
      <c r="L2537"/>
      <c r="M2537"/>
      <c r="S2537" s="54"/>
    </row>
    <row r="2538" spans="1:19" s="15" customFormat="1" x14ac:dyDescent="0.3">
      <c r="A2538" s="17"/>
      <c r="B2538"/>
      <c r="C2538"/>
      <c r="D2538"/>
      <c r="E2538"/>
      <c r="F2538"/>
      <c r="G2538"/>
      <c r="H2538"/>
      <c r="I2538"/>
      <c r="J2538"/>
      <c r="K2538"/>
      <c r="L2538"/>
      <c r="M2538"/>
      <c r="S2538" s="54"/>
    </row>
    <row r="2539" spans="1:19" s="15" customFormat="1" x14ac:dyDescent="0.3">
      <c r="A2539" s="17"/>
      <c r="B2539"/>
      <c r="C2539"/>
      <c r="D2539"/>
      <c r="E2539"/>
      <c r="F2539"/>
      <c r="G2539"/>
      <c r="H2539"/>
      <c r="I2539"/>
      <c r="J2539"/>
      <c r="K2539"/>
      <c r="L2539"/>
      <c r="M2539"/>
      <c r="S2539" s="54"/>
    </row>
    <row r="2540" spans="1:19" s="15" customFormat="1" x14ac:dyDescent="0.3">
      <c r="A2540" s="17"/>
      <c r="B2540"/>
      <c r="C2540"/>
      <c r="D2540"/>
      <c r="E2540"/>
      <c r="F2540"/>
      <c r="G2540"/>
      <c r="H2540"/>
      <c r="I2540"/>
      <c r="J2540"/>
      <c r="K2540"/>
      <c r="L2540"/>
      <c r="M2540"/>
      <c r="S2540" s="54"/>
    </row>
    <row r="2541" spans="1:19" s="15" customFormat="1" x14ac:dyDescent="0.3">
      <c r="A2541" s="17"/>
      <c r="B2541"/>
      <c r="C2541"/>
      <c r="D2541"/>
      <c r="E2541"/>
      <c r="F2541"/>
      <c r="G2541"/>
      <c r="H2541"/>
      <c r="I2541"/>
      <c r="J2541"/>
      <c r="K2541"/>
      <c r="L2541"/>
      <c r="M2541"/>
      <c r="S2541" s="54"/>
    </row>
    <row r="2542" spans="1:19" s="15" customFormat="1" x14ac:dyDescent="0.3">
      <c r="A2542" s="17"/>
      <c r="B2542"/>
      <c r="C2542"/>
      <c r="D2542"/>
      <c r="E2542"/>
      <c r="F2542"/>
      <c r="G2542"/>
      <c r="H2542"/>
      <c r="I2542"/>
      <c r="J2542"/>
      <c r="K2542"/>
      <c r="L2542"/>
      <c r="M2542"/>
      <c r="S2542" s="54"/>
    </row>
    <row r="2543" spans="1:19" s="15" customFormat="1" x14ac:dyDescent="0.3">
      <c r="A2543" s="17"/>
      <c r="B2543"/>
      <c r="C2543"/>
      <c r="D2543"/>
      <c r="E2543"/>
      <c r="F2543"/>
      <c r="G2543"/>
      <c r="H2543"/>
      <c r="I2543"/>
      <c r="J2543"/>
      <c r="K2543"/>
      <c r="L2543"/>
      <c r="M2543"/>
      <c r="S2543" s="54"/>
    </row>
    <row r="2544" spans="1:19" s="15" customFormat="1" x14ac:dyDescent="0.3">
      <c r="A2544" s="17"/>
      <c r="B2544"/>
      <c r="C2544"/>
      <c r="D2544"/>
      <c r="E2544"/>
      <c r="F2544"/>
      <c r="G2544"/>
      <c r="H2544"/>
      <c r="I2544"/>
      <c r="J2544"/>
      <c r="K2544"/>
      <c r="L2544"/>
      <c r="M2544"/>
      <c r="S2544" s="54"/>
    </row>
    <row r="2545" spans="1:19" s="15" customFormat="1" x14ac:dyDescent="0.3">
      <c r="A2545" s="17"/>
      <c r="B2545"/>
      <c r="C2545"/>
      <c r="D2545"/>
      <c r="E2545"/>
      <c r="F2545"/>
      <c r="G2545"/>
      <c r="H2545"/>
      <c r="I2545"/>
      <c r="J2545"/>
      <c r="K2545"/>
      <c r="L2545"/>
      <c r="M2545"/>
      <c r="S2545" s="54"/>
    </row>
    <row r="2546" spans="1:19" s="15" customFormat="1" x14ac:dyDescent="0.3">
      <c r="A2546" s="17"/>
      <c r="B2546"/>
      <c r="C2546"/>
      <c r="D2546"/>
      <c r="E2546"/>
      <c r="F2546"/>
      <c r="G2546"/>
      <c r="H2546"/>
      <c r="I2546"/>
      <c r="J2546"/>
      <c r="K2546"/>
      <c r="L2546"/>
      <c r="M2546"/>
      <c r="S2546" s="54"/>
    </row>
    <row r="2547" spans="1:19" s="15" customFormat="1" x14ac:dyDescent="0.3">
      <c r="A2547" s="17"/>
      <c r="B2547"/>
      <c r="C2547"/>
      <c r="D2547"/>
      <c r="E2547"/>
      <c r="F2547"/>
      <c r="G2547"/>
      <c r="H2547"/>
      <c r="I2547"/>
      <c r="J2547"/>
      <c r="K2547"/>
      <c r="L2547"/>
      <c r="M2547"/>
      <c r="S2547" s="54"/>
    </row>
    <row r="2548" spans="1:19" s="15" customFormat="1" x14ac:dyDescent="0.3">
      <c r="A2548" s="17"/>
      <c r="B2548"/>
      <c r="C2548"/>
      <c r="D2548"/>
      <c r="E2548"/>
      <c r="F2548"/>
      <c r="G2548"/>
      <c r="H2548"/>
      <c r="I2548"/>
      <c r="J2548"/>
      <c r="K2548"/>
      <c r="L2548"/>
      <c r="M2548"/>
      <c r="S2548" s="54"/>
    </row>
    <row r="2549" spans="1:19" s="15" customFormat="1" x14ac:dyDescent="0.3">
      <c r="A2549" s="17"/>
      <c r="B2549"/>
      <c r="C2549"/>
      <c r="D2549"/>
      <c r="E2549"/>
      <c r="F2549"/>
      <c r="G2549"/>
      <c r="H2549"/>
      <c r="I2549"/>
      <c r="J2549"/>
      <c r="K2549"/>
      <c r="L2549"/>
      <c r="M2549"/>
      <c r="S2549" s="54"/>
    </row>
    <row r="2550" spans="1:19" s="15" customFormat="1" x14ac:dyDescent="0.3">
      <c r="A2550" s="17"/>
      <c r="B2550"/>
      <c r="C2550"/>
      <c r="D2550"/>
      <c r="E2550"/>
      <c r="F2550"/>
      <c r="G2550"/>
      <c r="H2550"/>
      <c r="I2550"/>
      <c r="J2550"/>
      <c r="K2550"/>
      <c r="L2550"/>
      <c r="M2550"/>
      <c r="S2550" s="54"/>
    </row>
    <row r="2551" spans="1:19" s="15" customFormat="1" x14ac:dyDescent="0.3">
      <c r="A2551" s="17"/>
      <c r="B2551"/>
      <c r="C2551"/>
      <c r="D2551"/>
      <c r="E2551"/>
      <c r="F2551"/>
      <c r="G2551"/>
      <c r="H2551"/>
      <c r="I2551"/>
      <c r="J2551"/>
      <c r="K2551"/>
      <c r="L2551"/>
      <c r="M2551"/>
      <c r="S2551" s="54"/>
    </row>
    <row r="2552" spans="1:19" s="15" customFormat="1" x14ac:dyDescent="0.3">
      <c r="A2552" s="17"/>
      <c r="B2552"/>
      <c r="C2552"/>
      <c r="D2552"/>
      <c r="E2552"/>
      <c r="F2552"/>
      <c r="G2552"/>
      <c r="H2552"/>
      <c r="I2552"/>
      <c r="J2552"/>
      <c r="K2552"/>
      <c r="L2552"/>
      <c r="M2552"/>
      <c r="S2552" s="54"/>
    </row>
    <row r="2553" spans="1:19" s="15" customFormat="1" x14ac:dyDescent="0.3">
      <c r="A2553" s="17"/>
      <c r="B2553"/>
      <c r="C2553"/>
      <c r="D2553"/>
      <c r="E2553"/>
      <c r="F2553"/>
      <c r="G2553"/>
      <c r="H2553"/>
      <c r="I2553"/>
      <c r="J2553"/>
      <c r="K2553"/>
      <c r="L2553"/>
      <c r="M2553"/>
      <c r="S2553" s="54"/>
    </row>
    <row r="2554" spans="1:19" s="15" customFormat="1" x14ac:dyDescent="0.3">
      <c r="A2554" s="17"/>
      <c r="B2554"/>
      <c r="C2554"/>
      <c r="D2554"/>
      <c r="E2554"/>
      <c r="F2554"/>
      <c r="G2554"/>
      <c r="H2554"/>
      <c r="I2554"/>
      <c r="J2554"/>
      <c r="K2554"/>
      <c r="L2554"/>
      <c r="M2554"/>
      <c r="S2554" s="54"/>
    </row>
    <row r="2555" spans="1:19" s="15" customFormat="1" x14ac:dyDescent="0.3">
      <c r="A2555" s="17"/>
      <c r="B2555"/>
      <c r="C2555"/>
      <c r="D2555"/>
      <c r="E2555"/>
      <c r="F2555"/>
      <c r="G2555"/>
      <c r="H2555"/>
      <c r="I2555"/>
      <c r="J2555"/>
      <c r="K2555"/>
      <c r="L2555"/>
      <c r="M2555"/>
      <c r="S2555" s="54"/>
    </row>
    <row r="2556" spans="1:19" s="15" customFormat="1" x14ac:dyDescent="0.3">
      <c r="A2556" s="17"/>
      <c r="B2556"/>
      <c r="C2556"/>
      <c r="D2556"/>
      <c r="E2556"/>
      <c r="F2556"/>
      <c r="G2556"/>
      <c r="H2556"/>
      <c r="I2556"/>
      <c r="J2556"/>
      <c r="K2556"/>
      <c r="L2556"/>
      <c r="M2556"/>
      <c r="S2556" s="54"/>
    </row>
    <row r="2557" spans="1:19" s="15" customFormat="1" x14ac:dyDescent="0.3">
      <c r="A2557" s="17"/>
      <c r="B2557"/>
      <c r="C2557"/>
      <c r="D2557"/>
      <c r="E2557"/>
      <c r="F2557"/>
      <c r="G2557"/>
      <c r="H2557"/>
      <c r="I2557"/>
      <c r="J2557"/>
      <c r="K2557"/>
      <c r="L2557"/>
      <c r="M2557"/>
      <c r="S2557" s="54"/>
    </row>
    <row r="2558" spans="1:19" s="15" customFormat="1" x14ac:dyDescent="0.3">
      <c r="A2558" s="17"/>
      <c r="B2558"/>
      <c r="C2558"/>
      <c r="D2558"/>
      <c r="E2558"/>
      <c r="F2558"/>
      <c r="G2558"/>
      <c r="H2558"/>
      <c r="I2558"/>
      <c r="J2558"/>
      <c r="K2558"/>
      <c r="L2558"/>
      <c r="M2558"/>
      <c r="S2558" s="54"/>
    </row>
    <row r="2559" spans="1:19" s="15" customFormat="1" x14ac:dyDescent="0.3">
      <c r="A2559" s="17"/>
      <c r="B2559"/>
      <c r="C2559"/>
      <c r="D2559"/>
      <c r="E2559"/>
      <c r="F2559"/>
      <c r="G2559"/>
      <c r="H2559"/>
      <c r="I2559"/>
      <c r="J2559"/>
      <c r="K2559"/>
      <c r="L2559"/>
      <c r="M2559"/>
      <c r="S2559" s="54"/>
    </row>
    <row r="2560" spans="1:19" s="15" customFormat="1" x14ac:dyDescent="0.3">
      <c r="A2560" s="17"/>
      <c r="B2560"/>
      <c r="C2560"/>
      <c r="D2560"/>
      <c r="E2560"/>
      <c r="F2560"/>
      <c r="G2560"/>
      <c r="H2560"/>
      <c r="I2560"/>
      <c r="J2560"/>
      <c r="K2560"/>
      <c r="L2560"/>
      <c r="M2560"/>
      <c r="S2560" s="54"/>
    </row>
    <row r="2561" spans="1:19" s="15" customFormat="1" x14ac:dyDescent="0.3">
      <c r="A2561" s="17"/>
      <c r="B2561"/>
      <c r="C2561"/>
      <c r="D2561"/>
      <c r="E2561"/>
      <c r="F2561"/>
      <c r="G2561"/>
      <c r="H2561"/>
      <c r="I2561"/>
      <c r="J2561"/>
      <c r="K2561"/>
      <c r="L2561"/>
      <c r="M2561"/>
      <c r="S2561" s="54"/>
    </row>
    <row r="2562" spans="1:19" s="15" customFormat="1" x14ac:dyDescent="0.3">
      <c r="A2562" s="17"/>
      <c r="B2562"/>
      <c r="C2562"/>
      <c r="D2562"/>
      <c r="E2562"/>
      <c r="F2562"/>
      <c r="G2562"/>
      <c r="H2562"/>
      <c r="I2562"/>
      <c r="J2562"/>
      <c r="K2562"/>
      <c r="L2562"/>
      <c r="M2562"/>
      <c r="S2562" s="54"/>
    </row>
    <row r="2563" spans="1:19" s="15" customFormat="1" x14ac:dyDescent="0.3">
      <c r="A2563" s="17"/>
      <c r="B2563"/>
      <c r="C2563"/>
      <c r="D2563"/>
      <c r="E2563"/>
      <c r="F2563"/>
      <c r="G2563"/>
      <c r="H2563"/>
      <c r="I2563"/>
      <c r="J2563"/>
      <c r="K2563"/>
      <c r="L2563"/>
      <c r="M2563"/>
      <c r="S2563" s="54"/>
    </row>
    <row r="2564" spans="1:19" s="15" customFormat="1" x14ac:dyDescent="0.3">
      <c r="A2564" s="17"/>
      <c r="B2564"/>
      <c r="C2564"/>
      <c r="D2564"/>
      <c r="E2564"/>
      <c r="F2564"/>
      <c r="G2564"/>
      <c r="H2564"/>
      <c r="I2564"/>
      <c r="J2564"/>
      <c r="K2564"/>
      <c r="L2564"/>
      <c r="M2564"/>
      <c r="S2564" s="54"/>
    </row>
    <row r="2565" spans="1:19" s="15" customFormat="1" x14ac:dyDescent="0.3">
      <c r="A2565" s="17"/>
      <c r="B2565"/>
      <c r="C2565"/>
      <c r="D2565"/>
      <c r="E2565"/>
      <c r="F2565"/>
      <c r="G2565"/>
      <c r="H2565"/>
      <c r="I2565"/>
      <c r="J2565"/>
      <c r="K2565"/>
      <c r="L2565"/>
      <c r="M2565"/>
      <c r="S2565" s="54"/>
    </row>
    <row r="2566" spans="1:19" s="15" customFormat="1" x14ac:dyDescent="0.3">
      <c r="A2566" s="17"/>
      <c r="B2566"/>
      <c r="C2566"/>
      <c r="D2566"/>
      <c r="E2566"/>
      <c r="F2566"/>
      <c r="G2566"/>
      <c r="H2566"/>
      <c r="I2566"/>
      <c r="J2566"/>
      <c r="K2566"/>
      <c r="L2566"/>
      <c r="M2566"/>
      <c r="S2566" s="54"/>
    </row>
    <row r="2567" spans="1:19" s="15" customFormat="1" x14ac:dyDescent="0.3">
      <c r="A2567" s="17"/>
      <c r="B2567"/>
      <c r="C2567"/>
      <c r="D2567"/>
      <c r="E2567"/>
      <c r="F2567"/>
      <c r="G2567"/>
      <c r="H2567"/>
      <c r="I2567"/>
      <c r="J2567"/>
      <c r="K2567"/>
      <c r="L2567"/>
      <c r="M2567"/>
      <c r="S2567" s="54"/>
    </row>
    <row r="2568" spans="1:19" s="15" customFormat="1" x14ac:dyDescent="0.3">
      <c r="A2568" s="17"/>
      <c r="B2568"/>
      <c r="C2568"/>
      <c r="D2568"/>
      <c r="E2568"/>
      <c r="F2568"/>
      <c r="G2568"/>
      <c r="H2568"/>
      <c r="I2568"/>
      <c r="J2568"/>
      <c r="K2568"/>
      <c r="L2568"/>
      <c r="M2568"/>
      <c r="S2568" s="54"/>
    </row>
    <row r="2569" spans="1:19" s="15" customFormat="1" x14ac:dyDescent="0.3">
      <c r="A2569" s="17"/>
      <c r="B2569"/>
      <c r="C2569"/>
      <c r="D2569"/>
      <c r="E2569"/>
      <c r="F2569"/>
      <c r="G2569"/>
      <c r="H2569"/>
      <c r="I2569"/>
      <c r="J2569"/>
      <c r="K2569"/>
      <c r="L2569"/>
      <c r="M2569"/>
      <c r="S2569" s="54"/>
    </row>
    <row r="2570" spans="1:19" s="15" customFormat="1" x14ac:dyDescent="0.3">
      <c r="A2570" s="17"/>
      <c r="B2570"/>
      <c r="C2570"/>
      <c r="D2570"/>
      <c r="E2570"/>
      <c r="F2570"/>
      <c r="G2570"/>
      <c r="H2570"/>
      <c r="I2570"/>
      <c r="J2570"/>
      <c r="K2570"/>
      <c r="L2570"/>
      <c r="M2570"/>
      <c r="S2570" s="54"/>
    </row>
    <row r="2571" spans="1:19" s="15" customFormat="1" x14ac:dyDescent="0.3">
      <c r="A2571" s="17"/>
      <c r="B2571"/>
      <c r="C2571"/>
      <c r="D2571"/>
      <c r="E2571"/>
      <c r="F2571"/>
      <c r="G2571"/>
      <c r="H2571"/>
      <c r="I2571"/>
      <c r="J2571"/>
      <c r="K2571"/>
      <c r="L2571"/>
      <c r="M2571"/>
      <c r="S2571" s="54"/>
    </row>
    <row r="2572" spans="1:19" s="15" customFormat="1" x14ac:dyDescent="0.3">
      <c r="A2572" s="17"/>
      <c r="B2572"/>
      <c r="C2572"/>
      <c r="D2572"/>
      <c r="E2572"/>
      <c r="F2572"/>
      <c r="G2572"/>
      <c r="H2572"/>
      <c r="I2572"/>
      <c r="J2572"/>
      <c r="K2572"/>
      <c r="L2572"/>
      <c r="M2572"/>
      <c r="S2572" s="54"/>
    </row>
    <row r="2573" spans="1:19" s="15" customFormat="1" x14ac:dyDescent="0.3">
      <c r="A2573" s="17"/>
      <c r="B2573"/>
      <c r="C2573"/>
      <c r="D2573"/>
      <c r="E2573"/>
      <c r="F2573"/>
      <c r="G2573"/>
      <c r="H2573"/>
      <c r="I2573"/>
      <c r="J2573"/>
      <c r="K2573"/>
      <c r="L2573"/>
      <c r="M2573"/>
      <c r="S2573" s="54"/>
    </row>
    <row r="2574" spans="1:19" s="15" customFormat="1" x14ac:dyDescent="0.3">
      <c r="A2574" s="17"/>
      <c r="B2574"/>
      <c r="C2574"/>
      <c r="D2574"/>
      <c r="E2574"/>
      <c r="F2574"/>
      <c r="G2574"/>
      <c r="H2574"/>
      <c r="I2574"/>
      <c r="J2574"/>
      <c r="K2574"/>
      <c r="L2574"/>
      <c r="M2574"/>
      <c r="S2574" s="54"/>
    </row>
    <row r="2575" spans="1:19" s="15" customFormat="1" x14ac:dyDescent="0.3">
      <c r="A2575" s="17"/>
      <c r="B2575"/>
      <c r="C2575"/>
      <c r="D2575"/>
      <c r="E2575"/>
      <c r="F2575"/>
      <c r="G2575"/>
      <c r="H2575"/>
      <c r="I2575"/>
      <c r="J2575"/>
      <c r="K2575"/>
      <c r="L2575"/>
      <c r="M2575"/>
      <c r="S2575" s="54"/>
    </row>
    <row r="2576" spans="1:19" s="15" customFormat="1" x14ac:dyDescent="0.3">
      <c r="A2576" s="17"/>
      <c r="B2576"/>
      <c r="C2576"/>
      <c r="D2576"/>
      <c r="E2576"/>
      <c r="F2576"/>
      <c r="G2576"/>
      <c r="H2576"/>
      <c r="I2576"/>
      <c r="J2576"/>
      <c r="K2576"/>
      <c r="L2576"/>
      <c r="M2576"/>
      <c r="S2576" s="54"/>
    </row>
    <row r="2577" spans="1:19" s="15" customFormat="1" x14ac:dyDescent="0.3">
      <c r="A2577" s="17"/>
      <c r="B2577"/>
      <c r="C2577"/>
      <c r="D2577"/>
      <c r="E2577"/>
      <c r="F2577"/>
      <c r="G2577"/>
      <c r="H2577"/>
      <c r="I2577"/>
      <c r="J2577"/>
      <c r="K2577"/>
      <c r="L2577"/>
      <c r="M2577"/>
      <c r="S2577" s="54"/>
    </row>
    <row r="2578" spans="1:19" s="15" customFormat="1" x14ac:dyDescent="0.3">
      <c r="A2578" s="17"/>
      <c r="B2578"/>
      <c r="C2578"/>
      <c r="D2578"/>
      <c r="E2578"/>
      <c r="F2578"/>
      <c r="G2578"/>
      <c r="H2578"/>
      <c r="I2578"/>
      <c r="J2578"/>
      <c r="K2578"/>
      <c r="L2578"/>
      <c r="M2578"/>
      <c r="S2578" s="54"/>
    </row>
    <row r="2579" spans="1:19" s="15" customFormat="1" x14ac:dyDescent="0.3">
      <c r="A2579" s="17"/>
      <c r="B2579"/>
      <c r="C2579"/>
      <c r="D2579"/>
      <c r="E2579"/>
      <c r="F2579"/>
      <c r="G2579"/>
      <c r="H2579"/>
      <c r="I2579"/>
      <c r="J2579"/>
      <c r="K2579"/>
      <c r="L2579"/>
      <c r="M2579"/>
      <c r="S2579" s="54"/>
    </row>
    <row r="2580" spans="1:19" s="15" customFormat="1" x14ac:dyDescent="0.3">
      <c r="A2580" s="17"/>
      <c r="B2580"/>
      <c r="C2580"/>
      <c r="D2580"/>
      <c r="E2580"/>
      <c r="F2580"/>
      <c r="G2580"/>
      <c r="H2580"/>
      <c r="I2580"/>
      <c r="J2580"/>
      <c r="K2580"/>
      <c r="L2580"/>
      <c r="M2580"/>
      <c r="S2580" s="54"/>
    </row>
    <row r="2581" spans="1:19" s="15" customFormat="1" x14ac:dyDescent="0.3">
      <c r="A2581" s="17"/>
      <c r="B2581"/>
      <c r="C2581"/>
      <c r="D2581"/>
      <c r="E2581"/>
      <c r="F2581"/>
      <c r="G2581"/>
      <c r="H2581"/>
      <c r="I2581"/>
      <c r="J2581"/>
      <c r="K2581"/>
      <c r="L2581"/>
      <c r="M2581"/>
      <c r="S2581" s="54"/>
    </row>
    <row r="2582" spans="1:19" s="15" customFormat="1" x14ac:dyDescent="0.3">
      <c r="A2582" s="17"/>
      <c r="B2582"/>
      <c r="C2582"/>
      <c r="D2582"/>
      <c r="E2582"/>
      <c r="F2582"/>
      <c r="G2582"/>
      <c r="H2582"/>
      <c r="I2582"/>
      <c r="J2582"/>
      <c r="K2582"/>
      <c r="L2582"/>
      <c r="M2582"/>
      <c r="S2582" s="54"/>
    </row>
    <row r="2583" spans="1:19" s="15" customFormat="1" x14ac:dyDescent="0.3">
      <c r="A2583" s="17"/>
      <c r="B2583"/>
      <c r="C2583"/>
      <c r="D2583"/>
      <c r="E2583"/>
      <c r="F2583"/>
      <c r="G2583"/>
      <c r="H2583"/>
      <c r="I2583"/>
      <c r="J2583"/>
      <c r="K2583"/>
      <c r="L2583"/>
      <c r="M2583"/>
      <c r="S2583" s="54"/>
    </row>
    <row r="2584" spans="1:19" s="15" customFormat="1" x14ac:dyDescent="0.3">
      <c r="A2584" s="17"/>
      <c r="B2584"/>
      <c r="C2584"/>
      <c r="D2584"/>
      <c r="E2584"/>
      <c r="F2584"/>
      <c r="G2584"/>
      <c r="H2584"/>
      <c r="I2584"/>
      <c r="J2584"/>
      <c r="K2584"/>
      <c r="L2584"/>
      <c r="M2584"/>
      <c r="S2584" s="54"/>
    </row>
    <row r="2585" spans="1:19" s="15" customFormat="1" x14ac:dyDescent="0.3">
      <c r="A2585" s="17"/>
      <c r="B2585"/>
      <c r="C2585"/>
      <c r="D2585"/>
      <c r="E2585"/>
      <c r="F2585"/>
      <c r="G2585"/>
      <c r="H2585"/>
      <c r="I2585"/>
      <c r="J2585"/>
      <c r="K2585"/>
      <c r="L2585"/>
      <c r="M2585"/>
      <c r="S2585" s="54"/>
    </row>
    <row r="2586" spans="1:19" s="15" customFormat="1" x14ac:dyDescent="0.3">
      <c r="A2586" s="17"/>
      <c r="B2586"/>
      <c r="C2586"/>
      <c r="D2586"/>
      <c r="E2586"/>
      <c r="F2586"/>
      <c r="G2586"/>
      <c r="H2586"/>
      <c r="I2586"/>
      <c r="J2586"/>
      <c r="K2586"/>
      <c r="L2586"/>
      <c r="M2586"/>
      <c r="S2586" s="54"/>
    </row>
    <row r="2587" spans="1:19" s="15" customFormat="1" x14ac:dyDescent="0.3">
      <c r="A2587" s="17"/>
      <c r="B2587"/>
      <c r="C2587"/>
      <c r="D2587"/>
      <c r="E2587"/>
      <c r="F2587"/>
      <c r="G2587"/>
      <c r="H2587"/>
      <c r="I2587"/>
      <c r="J2587"/>
      <c r="K2587"/>
      <c r="L2587"/>
      <c r="M2587"/>
      <c r="S2587" s="54"/>
    </row>
    <row r="2588" spans="1:19" s="15" customFormat="1" x14ac:dyDescent="0.3">
      <c r="A2588" s="17"/>
      <c r="B2588"/>
      <c r="C2588"/>
      <c r="D2588"/>
      <c r="E2588"/>
      <c r="F2588"/>
      <c r="G2588"/>
      <c r="H2588"/>
      <c r="I2588"/>
      <c r="J2588"/>
      <c r="K2588"/>
      <c r="L2588"/>
      <c r="M2588"/>
      <c r="S2588" s="54"/>
    </row>
    <row r="2589" spans="1:19" s="15" customFormat="1" x14ac:dyDescent="0.3">
      <c r="A2589" s="17"/>
      <c r="B2589"/>
      <c r="C2589"/>
      <c r="D2589"/>
      <c r="E2589"/>
      <c r="F2589"/>
      <c r="G2589"/>
      <c r="H2589"/>
      <c r="I2589"/>
      <c r="J2589"/>
      <c r="K2589"/>
      <c r="L2589"/>
      <c r="M2589"/>
      <c r="S2589" s="54"/>
    </row>
    <row r="2590" spans="1:19" s="15" customFormat="1" x14ac:dyDescent="0.3">
      <c r="A2590" s="17"/>
      <c r="B2590"/>
      <c r="C2590"/>
      <c r="D2590"/>
      <c r="E2590"/>
      <c r="F2590"/>
      <c r="G2590"/>
      <c r="H2590"/>
      <c r="I2590"/>
      <c r="J2590"/>
      <c r="K2590"/>
      <c r="L2590"/>
      <c r="M2590"/>
      <c r="S2590" s="54"/>
    </row>
    <row r="2591" spans="1:19" s="15" customFormat="1" x14ac:dyDescent="0.3">
      <c r="A2591" s="17"/>
      <c r="B2591"/>
      <c r="C2591"/>
      <c r="D2591"/>
      <c r="E2591"/>
      <c r="F2591"/>
      <c r="G2591"/>
      <c r="H2591"/>
      <c r="I2591"/>
      <c r="J2591"/>
      <c r="K2591"/>
      <c r="L2591"/>
      <c r="M2591"/>
      <c r="S2591" s="54"/>
    </row>
    <row r="2592" spans="1:19" s="15" customFormat="1" x14ac:dyDescent="0.3">
      <c r="A2592" s="17"/>
      <c r="B2592"/>
      <c r="C2592"/>
      <c r="D2592"/>
      <c r="E2592"/>
      <c r="F2592"/>
      <c r="G2592"/>
      <c r="H2592"/>
      <c r="I2592"/>
      <c r="J2592"/>
      <c r="K2592"/>
      <c r="L2592"/>
      <c r="M2592"/>
      <c r="S2592" s="54"/>
    </row>
    <row r="2593" spans="1:19" s="15" customFormat="1" x14ac:dyDescent="0.3">
      <c r="A2593" s="17"/>
      <c r="B2593"/>
      <c r="C2593"/>
      <c r="D2593"/>
      <c r="E2593"/>
      <c r="F2593"/>
      <c r="G2593"/>
      <c r="H2593"/>
      <c r="I2593"/>
      <c r="J2593"/>
      <c r="K2593"/>
      <c r="L2593"/>
      <c r="M2593"/>
      <c r="S2593" s="54"/>
    </row>
    <row r="2594" spans="1:19" s="15" customFormat="1" x14ac:dyDescent="0.3">
      <c r="A2594" s="17"/>
      <c r="B2594"/>
      <c r="C2594"/>
      <c r="D2594"/>
      <c r="E2594"/>
      <c r="F2594"/>
      <c r="G2594"/>
      <c r="H2594"/>
      <c r="I2594"/>
      <c r="J2594"/>
      <c r="K2594"/>
      <c r="L2594"/>
      <c r="M2594"/>
      <c r="S2594" s="54"/>
    </row>
    <row r="2595" spans="1:19" s="15" customFormat="1" x14ac:dyDescent="0.3">
      <c r="A2595" s="17"/>
      <c r="B2595"/>
      <c r="C2595"/>
      <c r="D2595"/>
      <c r="E2595"/>
      <c r="F2595"/>
      <c r="G2595"/>
      <c r="H2595"/>
      <c r="I2595"/>
      <c r="J2595"/>
      <c r="K2595"/>
      <c r="L2595"/>
      <c r="M2595"/>
      <c r="S2595" s="54"/>
    </row>
    <row r="2596" spans="1:19" s="15" customFormat="1" x14ac:dyDescent="0.3">
      <c r="A2596" s="17"/>
      <c r="B2596"/>
      <c r="C2596"/>
      <c r="D2596"/>
      <c r="E2596"/>
      <c r="F2596"/>
      <c r="G2596"/>
      <c r="H2596"/>
      <c r="I2596"/>
      <c r="J2596"/>
      <c r="K2596"/>
      <c r="L2596"/>
      <c r="M2596"/>
      <c r="S2596" s="54"/>
    </row>
    <row r="2597" spans="1:19" s="15" customFormat="1" x14ac:dyDescent="0.3">
      <c r="A2597" s="17"/>
      <c r="B2597"/>
      <c r="C2597"/>
      <c r="D2597"/>
      <c r="E2597"/>
      <c r="F2597"/>
      <c r="G2597"/>
      <c r="H2597"/>
      <c r="I2597"/>
      <c r="J2597"/>
      <c r="K2597"/>
      <c r="L2597"/>
      <c r="M2597"/>
      <c r="S2597" s="54"/>
    </row>
    <row r="2598" spans="1:19" s="15" customFormat="1" x14ac:dyDescent="0.3">
      <c r="A2598" s="17"/>
      <c r="B2598"/>
      <c r="C2598"/>
      <c r="D2598"/>
      <c r="E2598"/>
      <c r="F2598"/>
      <c r="G2598"/>
      <c r="H2598"/>
      <c r="I2598"/>
      <c r="J2598"/>
      <c r="K2598"/>
      <c r="L2598"/>
      <c r="M2598"/>
      <c r="S2598" s="54"/>
    </row>
    <row r="2599" spans="1:19" s="15" customFormat="1" x14ac:dyDescent="0.3">
      <c r="A2599" s="17"/>
      <c r="B2599"/>
      <c r="C2599"/>
      <c r="D2599"/>
      <c r="E2599"/>
      <c r="F2599"/>
      <c r="G2599"/>
      <c r="H2599"/>
      <c r="I2599"/>
      <c r="J2599"/>
      <c r="K2599"/>
      <c r="L2599"/>
      <c r="M2599"/>
      <c r="S2599" s="54"/>
    </row>
    <row r="2600" spans="1:19" s="15" customFormat="1" x14ac:dyDescent="0.3">
      <c r="A2600" s="17"/>
      <c r="B2600"/>
      <c r="C2600"/>
      <c r="D2600"/>
      <c r="E2600"/>
      <c r="F2600"/>
      <c r="G2600"/>
      <c r="H2600"/>
      <c r="I2600"/>
      <c r="J2600"/>
      <c r="K2600"/>
      <c r="L2600"/>
      <c r="M2600"/>
      <c r="S2600" s="54"/>
    </row>
    <row r="2601" spans="1:19" s="15" customFormat="1" x14ac:dyDescent="0.3">
      <c r="A2601" s="17"/>
      <c r="B2601"/>
      <c r="C2601"/>
      <c r="D2601"/>
      <c r="E2601"/>
      <c r="F2601"/>
      <c r="G2601"/>
      <c r="H2601"/>
      <c r="I2601"/>
      <c r="J2601"/>
      <c r="K2601"/>
      <c r="L2601"/>
      <c r="M2601"/>
      <c r="S2601" s="54"/>
    </row>
    <row r="2602" spans="1:19" s="15" customFormat="1" x14ac:dyDescent="0.3">
      <c r="A2602" s="17"/>
      <c r="B2602"/>
      <c r="C2602"/>
      <c r="D2602"/>
      <c r="E2602"/>
      <c r="F2602"/>
      <c r="G2602"/>
      <c r="H2602"/>
      <c r="I2602"/>
      <c r="J2602"/>
      <c r="K2602"/>
      <c r="L2602"/>
      <c r="M2602"/>
      <c r="S2602" s="54"/>
    </row>
    <row r="2603" spans="1:19" s="15" customFormat="1" x14ac:dyDescent="0.3">
      <c r="A2603" s="17"/>
      <c r="B2603"/>
      <c r="C2603"/>
      <c r="D2603"/>
      <c r="E2603"/>
      <c r="F2603"/>
      <c r="G2603"/>
      <c r="H2603"/>
      <c r="I2603"/>
      <c r="J2603"/>
      <c r="K2603"/>
      <c r="L2603"/>
      <c r="M2603"/>
      <c r="S2603" s="54"/>
    </row>
    <row r="2604" spans="1:19" s="15" customFormat="1" x14ac:dyDescent="0.3">
      <c r="A2604" s="17"/>
      <c r="B2604"/>
      <c r="C2604"/>
      <c r="D2604"/>
      <c r="E2604"/>
      <c r="F2604"/>
      <c r="G2604"/>
      <c r="H2604"/>
      <c r="I2604"/>
      <c r="J2604"/>
      <c r="K2604"/>
      <c r="L2604"/>
      <c r="M2604"/>
      <c r="S2604" s="54"/>
    </row>
    <row r="2605" spans="1:19" s="15" customFormat="1" x14ac:dyDescent="0.3">
      <c r="A2605" s="17"/>
      <c r="B2605"/>
      <c r="C2605"/>
      <c r="D2605"/>
      <c r="E2605"/>
      <c r="F2605"/>
      <c r="G2605"/>
      <c r="H2605"/>
      <c r="I2605"/>
      <c r="J2605"/>
      <c r="K2605"/>
      <c r="L2605"/>
      <c r="M2605"/>
      <c r="S2605" s="54"/>
    </row>
    <row r="2606" spans="1:19" s="15" customFormat="1" x14ac:dyDescent="0.3">
      <c r="A2606" s="17"/>
      <c r="B2606"/>
      <c r="C2606"/>
      <c r="D2606"/>
      <c r="E2606"/>
      <c r="F2606"/>
      <c r="G2606"/>
      <c r="H2606"/>
      <c r="I2606"/>
      <c r="J2606"/>
      <c r="K2606"/>
      <c r="L2606"/>
      <c r="M2606"/>
      <c r="S2606" s="54"/>
    </row>
    <row r="2607" spans="1:19" s="15" customFormat="1" x14ac:dyDescent="0.3">
      <c r="A2607" s="17"/>
      <c r="B2607"/>
      <c r="C2607"/>
      <c r="D2607"/>
      <c r="E2607"/>
      <c r="F2607"/>
      <c r="G2607"/>
      <c r="H2607"/>
      <c r="I2607"/>
      <c r="J2607"/>
      <c r="K2607"/>
      <c r="L2607"/>
      <c r="M2607"/>
      <c r="S2607" s="54"/>
    </row>
    <row r="2608" spans="1:19" s="15" customFormat="1" x14ac:dyDescent="0.3">
      <c r="A2608" s="17"/>
      <c r="B2608"/>
      <c r="C2608"/>
      <c r="D2608"/>
      <c r="E2608"/>
      <c r="F2608"/>
      <c r="G2608"/>
      <c r="H2608"/>
      <c r="I2608"/>
      <c r="J2608"/>
      <c r="K2608"/>
      <c r="L2608"/>
      <c r="M2608"/>
      <c r="S2608" s="54"/>
    </row>
    <row r="2609" spans="1:19" s="15" customFormat="1" x14ac:dyDescent="0.3">
      <c r="A2609" s="17"/>
      <c r="B2609"/>
      <c r="C2609"/>
      <c r="D2609"/>
      <c r="E2609"/>
      <c r="F2609"/>
      <c r="G2609"/>
      <c r="H2609"/>
      <c r="I2609"/>
      <c r="J2609"/>
      <c r="K2609"/>
      <c r="L2609"/>
      <c r="M2609"/>
      <c r="S2609" s="54"/>
    </row>
    <row r="2610" spans="1:19" s="15" customFormat="1" x14ac:dyDescent="0.3">
      <c r="A2610" s="17"/>
      <c r="B2610"/>
      <c r="C2610"/>
      <c r="D2610"/>
      <c r="E2610"/>
      <c r="F2610"/>
      <c r="G2610"/>
      <c r="H2610"/>
      <c r="I2610"/>
      <c r="J2610"/>
      <c r="K2610"/>
      <c r="L2610"/>
      <c r="M2610"/>
      <c r="S2610" s="54"/>
    </row>
    <row r="2611" spans="1:19" s="15" customFormat="1" x14ac:dyDescent="0.3">
      <c r="A2611" s="17"/>
      <c r="B2611"/>
      <c r="C2611"/>
      <c r="D2611"/>
      <c r="E2611"/>
      <c r="F2611"/>
      <c r="G2611"/>
      <c r="H2611"/>
      <c r="I2611"/>
      <c r="J2611"/>
      <c r="K2611"/>
      <c r="L2611"/>
      <c r="M2611"/>
      <c r="S2611" s="54"/>
    </row>
    <row r="2612" spans="1:19" s="15" customFormat="1" x14ac:dyDescent="0.3">
      <c r="A2612" s="17"/>
      <c r="B2612"/>
      <c r="C2612"/>
      <c r="D2612"/>
      <c r="E2612"/>
      <c r="F2612"/>
      <c r="G2612"/>
      <c r="H2612"/>
      <c r="I2612"/>
      <c r="J2612"/>
      <c r="K2612"/>
      <c r="L2612"/>
      <c r="M2612"/>
      <c r="S2612" s="54"/>
    </row>
    <row r="2613" spans="1:19" s="15" customFormat="1" x14ac:dyDescent="0.3">
      <c r="A2613" s="17"/>
      <c r="B2613"/>
      <c r="C2613"/>
      <c r="D2613"/>
      <c r="E2613"/>
      <c r="F2613"/>
      <c r="G2613"/>
      <c r="H2613"/>
      <c r="I2613"/>
      <c r="J2613"/>
      <c r="K2613"/>
      <c r="L2613"/>
      <c r="M2613"/>
      <c r="S2613" s="54"/>
    </row>
    <row r="2614" spans="1:19" s="15" customFormat="1" x14ac:dyDescent="0.3">
      <c r="A2614" s="17"/>
      <c r="B2614"/>
      <c r="C2614"/>
      <c r="D2614"/>
      <c r="E2614"/>
      <c r="F2614"/>
      <c r="G2614"/>
      <c r="H2614"/>
      <c r="I2614"/>
      <c r="J2614"/>
      <c r="K2614"/>
      <c r="L2614"/>
      <c r="M2614"/>
      <c r="S2614" s="54"/>
    </row>
    <row r="2615" spans="1:19" s="15" customFormat="1" x14ac:dyDescent="0.3">
      <c r="A2615" s="17"/>
      <c r="B2615"/>
      <c r="C2615"/>
      <c r="D2615"/>
      <c r="E2615"/>
      <c r="F2615"/>
      <c r="G2615"/>
      <c r="H2615"/>
      <c r="I2615"/>
      <c r="J2615"/>
      <c r="K2615"/>
      <c r="L2615"/>
      <c r="M2615"/>
      <c r="S2615" s="54"/>
    </row>
    <row r="2616" spans="1:19" s="15" customFormat="1" x14ac:dyDescent="0.3">
      <c r="A2616" s="17"/>
      <c r="B2616"/>
      <c r="C2616"/>
      <c r="D2616"/>
      <c r="E2616"/>
      <c r="F2616"/>
      <c r="G2616"/>
      <c r="H2616"/>
      <c r="I2616"/>
      <c r="J2616"/>
      <c r="K2616"/>
      <c r="L2616"/>
      <c r="M2616"/>
      <c r="S2616" s="54"/>
    </row>
    <row r="2617" spans="1:19" s="15" customFormat="1" x14ac:dyDescent="0.3">
      <c r="A2617" s="17"/>
      <c r="B2617"/>
      <c r="C2617"/>
      <c r="D2617"/>
      <c r="E2617"/>
      <c r="F2617"/>
      <c r="G2617"/>
      <c r="H2617"/>
      <c r="I2617"/>
      <c r="J2617"/>
      <c r="K2617"/>
      <c r="L2617"/>
      <c r="M2617"/>
      <c r="S2617" s="54"/>
    </row>
    <row r="2618" spans="1:19" s="15" customFormat="1" x14ac:dyDescent="0.3">
      <c r="A2618" s="17"/>
      <c r="B2618"/>
      <c r="C2618"/>
      <c r="D2618"/>
      <c r="E2618"/>
      <c r="F2618"/>
      <c r="G2618"/>
      <c r="H2618"/>
      <c r="I2618"/>
      <c r="J2618"/>
      <c r="K2618"/>
      <c r="L2618"/>
      <c r="M2618"/>
      <c r="S2618" s="54"/>
    </row>
    <row r="2619" spans="1:19" s="15" customFormat="1" x14ac:dyDescent="0.3">
      <c r="A2619" s="17"/>
      <c r="B2619"/>
      <c r="C2619"/>
      <c r="D2619"/>
      <c r="E2619"/>
      <c r="F2619"/>
      <c r="G2619"/>
      <c r="H2619"/>
      <c r="I2619"/>
      <c r="J2619"/>
      <c r="K2619"/>
      <c r="L2619"/>
      <c r="M2619"/>
      <c r="S2619" s="54"/>
    </row>
    <row r="2620" spans="1:19" s="15" customFormat="1" x14ac:dyDescent="0.3">
      <c r="A2620" s="17"/>
      <c r="B2620"/>
      <c r="C2620"/>
      <c r="D2620"/>
      <c r="E2620"/>
      <c r="F2620"/>
      <c r="G2620"/>
      <c r="H2620"/>
      <c r="I2620"/>
      <c r="J2620"/>
      <c r="K2620"/>
      <c r="L2620"/>
      <c r="M2620"/>
      <c r="S2620" s="54"/>
    </row>
    <row r="2621" spans="1:19" s="15" customFormat="1" x14ac:dyDescent="0.3">
      <c r="A2621" s="17"/>
      <c r="B2621"/>
      <c r="C2621"/>
      <c r="D2621"/>
      <c r="E2621"/>
      <c r="F2621"/>
      <c r="G2621"/>
      <c r="H2621"/>
      <c r="I2621"/>
      <c r="J2621"/>
      <c r="K2621"/>
      <c r="L2621"/>
      <c r="M2621"/>
      <c r="S2621" s="54"/>
    </row>
    <row r="2622" spans="1:19" s="15" customFormat="1" x14ac:dyDescent="0.3">
      <c r="A2622" s="17"/>
      <c r="B2622"/>
      <c r="C2622"/>
      <c r="D2622"/>
      <c r="E2622"/>
      <c r="F2622"/>
      <c r="G2622"/>
      <c r="H2622"/>
      <c r="I2622"/>
      <c r="J2622"/>
      <c r="K2622"/>
      <c r="L2622"/>
      <c r="M2622"/>
      <c r="S2622" s="54"/>
    </row>
    <row r="2623" spans="1:19" s="15" customFormat="1" x14ac:dyDescent="0.3">
      <c r="A2623" s="17"/>
      <c r="B2623"/>
      <c r="C2623"/>
      <c r="D2623"/>
      <c r="E2623"/>
      <c r="F2623"/>
      <c r="G2623"/>
      <c r="H2623"/>
      <c r="I2623"/>
      <c r="J2623"/>
      <c r="K2623"/>
      <c r="L2623"/>
      <c r="M2623"/>
      <c r="S2623" s="54"/>
    </row>
    <row r="2624" spans="1:19" s="15" customFormat="1" x14ac:dyDescent="0.3">
      <c r="A2624" s="17"/>
      <c r="B2624"/>
      <c r="C2624"/>
      <c r="D2624"/>
      <c r="E2624"/>
      <c r="F2624"/>
      <c r="G2624"/>
      <c r="H2624"/>
      <c r="I2624"/>
      <c r="J2624"/>
      <c r="K2624"/>
      <c r="L2624"/>
      <c r="M2624"/>
      <c r="S2624" s="54"/>
    </row>
    <row r="2625" spans="1:19" s="15" customFormat="1" x14ac:dyDescent="0.3">
      <c r="A2625" s="17"/>
      <c r="B2625"/>
      <c r="C2625"/>
      <c r="D2625"/>
      <c r="E2625"/>
      <c r="F2625"/>
      <c r="G2625"/>
      <c r="H2625"/>
      <c r="I2625"/>
      <c r="J2625"/>
      <c r="K2625"/>
      <c r="L2625"/>
      <c r="M2625"/>
      <c r="S2625" s="54"/>
    </row>
    <row r="2626" spans="1:19" s="15" customFormat="1" x14ac:dyDescent="0.3">
      <c r="A2626" s="17"/>
      <c r="B2626"/>
      <c r="C2626"/>
      <c r="D2626"/>
      <c r="E2626"/>
      <c r="F2626"/>
      <c r="G2626"/>
      <c r="H2626"/>
      <c r="I2626"/>
      <c r="J2626"/>
      <c r="K2626"/>
      <c r="L2626"/>
      <c r="M2626"/>
      <c r="S2626" s="54"/>
    </row>
    <row r="2627" spans="1:19" s="15" customFormat="1" x14ac:dyDescent="0.3">
      <c r="A2627" s="17"/>
      <c r="B2627"/>
      <c r="C2627"/>
      <c r="D2627"/>
      <c r="E2627"/>
      <c r="F2627"/>
      <c r="G2627"/>
      <c r="H2627"/>
      <c r="I2627"/>
      <c r="J2627"/>
      <c r="K2627"/>
      <c r="L2627"/>
      <c r="M2627"/>
      <c r="S2627" s="54"/>
    </row>
    <row r="2628" spans="1:19" s="15" customFormat="1" x14ac:dyDescent="0.3">
      <c r="A2628" s="17"/>
      <c r="B2628"/>
      <c r="C2628"/>
      <c r="D2628"/>
      <c r="E2628"/>
      <c r="F2628"/>
      <c r="G2628"/>
      <c r="H2628"/>
      <c r="I2628"/>
      <c r="J2628"/>
      <c r="K2628"/>
      <c r="L2628"/>
      <c r="M2628"/>
      <c r="S2628" s="54"/>
    </row>
    <row r="2629" spans="1:19" s="15" customFormat="1" x14ac:dyDescent="0.3">
      <c r="A2629" s="17"/>
      <c r="B2629"/>
      <c r="C2629"/>
      <c r="D2629"/>
      <c r="E2629"/>
      <c r="F2629"/>
      <c r="G2629"/>
      <c r="H2629"/>
      <c r="I2629"/>
      <c r="J2629"/>
      <c r="K2629"/>
      <c r="L2629"/>
      <c r="M2629"/>
      <c r="S2629" s="54"/>
    </row>
    <row r="2630" spans="1:19" s="15" customFormat="1" x14ac:dyDescent="0.3">
      <c r="A2630" s="17"/>
      <c r="B2630"/>
      <c r="C2630"/>
      <c r="D2630"/>
      <c r="E2630"/>
      <c r="F2630"/>
      <c r="G2630"/>
      <c r="H2630"/>
      <c r="I2630"/>
      <c r="J2630"/>
      <c r="K2630"/>
      <c r="L2630"/>
      <c r="M2630"/>
      <c r="S2630" s="54"/>
    </row>
    <row r="2631" spans="1:19" s="15" customFormat="1" x14ac:dyDescent="0.3">
      <c r="A2631" s="17"/>
      <c r="B2631"/>
      <c r="C2631"/>
      <c r="D2631"/>
      <c r="E2631"/>
      <c r="F2631"/>
      <c r="G2631"/>
      <c r="H2631"/>
      <c r="I2631"/>
      <c r="J2631"/>
      <c r="K2631"/>
      <c r="L2631"/>
      <c r="M2631"/>
      <c r="S2631" s="54"/>
    </row>
    <row r="2632" spans="1:19" s="15" customFormat="1" x14ac:dyDescent="0.3">
      <c r="A2632" s="17"/>
      <c r="B2632"/>
      <c r="C2632"/>
      <c r="D2632"/>
      <c r="E2632"/>
      <c r="F2632"/>
      <c r="G2632"/>
      <c r="H2632"/>
      <c r="I2632"/>
      <c r="J2632"/>
      <c r="K2632"/>
      <c r="L2632"/>
      <c r="M2632"/>
      <c r="S2632" s="54"/>
    </row>
    <row r="2633" spans="1:19" s="15" customFormat="1" x14ac:dyDescent="0.3">
      <c r="A2633" s="17"/>
      <c r="B2633"/>
      <c r="C2633"/>
      <c r="D2633"/>
      <c r="E2633"/>
      <c r="F2633"/>
      <c r="G2633"/>
      <c r="H2633"/>
      <c r="I2633"/>
      <c r="J2633"/>
      <c r="K2633"/>
      <c r="L2633"/>
      <c r="M2633"/>
      <c r="S2633" s="54"/>
    </row>
    <row r="2634" spans="1:19" s="15" customFormat="1" x14ac:dyDescent="0.3">
      <c r="A2634" s="17"/>
      <c r="B2634"/>
      <c r="C2634"/>
      <c r="D2634"/>
      <c r="E2634"/>
      <c r="F2634"/>
      <c r="G2634"/>
      <c r="H2634"/>
      <c r="I2634"/>
      <c r="J2634"/>
      <c r="K2634"/>
      <c r="L2634"/>
      <c r="M2634"/>
      <c r="S2634" s="54"/>
    </row>
    <row r="2635" spans="1:19" s="15" customFormat="1" x14ac:dyDescent="0.3">
      <c r="A2635" s="17"/>
      <c r="B2635"/>
      <c r="C2635"/>
      <c r="D2635"/>
      <c r="E2635"/>
      <c r="F2635"/>
      <c r="G2635"/>
      <c r="H2635"/>
      <c r="I2635"/>
      <c r="J2635"/>
      <c r="K2635"/>
      <c r="L2635"/>
      <c r="M2635"/>
      <c r="S2635" s="54"/>
    </row>
    <row r="2636" spans="1:19" s="15" customFormat="1" x14ac:dyDescent="0.3">
      <c r="A2636" s="17"/>
      <c r="B2636"/>
      <c r="C2636"/>
      <c r="D2636"/>
      <c r="E2636"/>
      <c r="F2636"/>
      <c r="G2636"/>
      <c r="H2636"/>
      <c r="I2636"/>
      <c r="J2636"/>
      <c r="K2636"/>
      <c r="L2636"/>
      <c r="M2636"/>
      <c r="S2636" s="54"/>
    </row>
    <row r="2637" spans="1:19" s="15" customFormat="1" x14ac:dyDescent="0.3">
      <c r="A2637" s="17"/>
      <c r="B2637"/>
      <c r="C2637"/>
      <c r="D2637"/>
      <c r="E2637"/>
      <c r="F2637"/>
      <c r="G2637"/>
      <c r="H2637"/>
      <c r="I2637"/>
      <c r="J2637"/>
      <c r="K2637"/>
      <c r="L2637"/>
      <c r="M2637"/>
      <c r="S2637" s="54"/>
    </row>
    <row r="2638" spans="1:19" s="15" customFormat="1" x14ac:dyDescent="0.3">
      <c r="A2638" s="17"/>
      <c r="B2638"/>
      <c r="C2638"/>
      <c r="D2638"/>
      <c r="E2638"/>
      <c r="F2638"/>
      <c r="G2638"/>
      <c r="H2638"/>
      <c r="I2638"/>
      <c r="J2638"/>
      <c r="K2638"/>
      <c r="L2638"/>
      <c r="M2638"/>
      <c r="S2638" s="54"/>
    </row>
    <row r="2639" spans="1:19" s="15" customFormat="1" x14ac:dyDescent="0.3">
      <c r="A2639" s="17"/>
      <c r="B2639"/>
      <c r="C2639"/>
      <c r="D2639"/>
      <c r="E2639"/>
      <c r="F2639"/>
      <c r="G2639"/>
      <c r="H2639"/>
      <c r="I2639"/>
      <c r="J2639"/>
      <c r="K2639"/>
      <c r="L2639"/>
      <c r="M2639"/>
      <c r="S2639" s="54"/>
    </row>
    <row r="2640" spans="1:19" s="15" customFormat="1" x14ac:dyDescent="0.3">
      <c r="A2640" s="17"/>
      <c r="B2640"/>
      <c r="C2640"/>
      <c r="D2640"/>
      <c r="E2640"/>
      <c r="F2640"/>
      <c r="G2640"/>
      <c r="H2640"/>
      <c r="I2640"/>
      <c r="J2640"/>
      <c r="K2640"/>
      <c r="L2640"/>
      <c r="M2640"/>
      <c r="S2640" s="54"/>
    </row>
    <row r="2641" spans="1:19" s="15" customFormat="1" x14ac:dyDescent="0.3">
      <c r="A2641" s="17"/>
      <c r="B2641"/>
      <c r="C2641"/>
      <c r="D2641"/>
      <c r="E2641"/>
      <c r="F2641"/>
      <c r="G2641"/>
      <c r="H2641"/>
      <c r="I2641"/>
      <c r="J2641"/>
      <c r="K2641"/>
      <c r="L2641"/>
      <c r="M2641"/>
      <c r="S2641" s="54"/>
    </row>
    <row r="2642" spans="1:19" s="15" customFormat="1" x14ac:dyDescent="0.3">
      <c r="A2642" s="17"/>
      <c r="B2642"/>
      <c r="C2642"/>
      <c r="D2642"/>
      <c r="E2642"/>
      <c r="F2642"/>
      <c r="G2642"/>
      <c r="H2642"/>
      <c r="I2642"/>
      <c r="J2642"/>
      <c r="K2642"/>
      <c r="L2642"/>
      <c r="M2642"/>
      <c r="S2642" s="54"/>
    </row>
    <row r="2643" spans="1:19" s="15" customFormat="1" x14ac:dyDescent="0.3">
      <c r="A2643" s="17"/>
      <c r="B2643"/>
      <c r="C2643"/>
      <c r="D2643"/>
      <c r="E2643"/>
      <c r="F2643"/>
      <c r="G2643"/>
      <c r="H2643"/>
      <c r="I2643"/>
      <c r="J2643"/>
      <c r="K2643"/>
      <c r="L2643"/>
      <c r="M2643"/>
      <c r="S2643" s="54"/>
    </row>
    <row r="2644" spans="1:19" s="15" customFormat="1" x14ac:dyDescent="0.3">
      <c r="A2644" s="17"/>
      <c r="B2644"/>
      <c r="C2644"/>
      <c r="D2644"/>
      <c r="E2644"/>
      <c r="F2644"/>
      <c r="G2644"/>
      <c r="H2644"/>
      <c r="I2644"/>
      <c r="J2644"/>
      <c r="K2644"/>
      <c r="L2644"/>
      <c r="M2644"/>
      <c r="S2644" s="54"/>
    </row>
    <row r="2645" spans="1:19" s="15" customFormat="1" x14ac:dyDescent="0.3">
      <c r="A2645" s="17"/>
      <c r="B2645"/>
      <c r="C2645"/>
      <c r="D2645"/>
      <c r="E2645"/>
      <c r="F2645"/>
      <c r="G2645"/>
      <c r="H2645"/>
      <c r="I2645"/>
      <c r="J2645"/>
      <c r="K2645"/>
      <c r="L2645"/>
      <c r="M2645"/>
      <c r="S2645" s="54"/>
    </row>
    <row r="2646" spans="1:19" s="15" customFormat="1" x14ac:dyDescent="0.3">
      <c r="A2646" s="17"/>
      <c r="B2646"/>
      <c r="C2646"/>
      <c r="D2646"/>
      <c r="E2646"/>
      <c r="F2646"/>
      <c r="G2646"/>
      <c r="H2646"/>
      <c r="I2646"/>
      <c r="J2646"/>
      <c r="K2646"/>
      <c r="L2646"/>
      <c r="M2646"/>
      <c r="S2646" s="54"/>
    </row>
    <row r="2647" spans="1:19" s="15" customFormat="1" x14ac:dyDescent="0.3">
      <c r="A2647" s="17"/>
      <c r="B2647"/>
      <c r="C2647"/>
      <c r="D2647"/>
      <c r="E2647"/>
      <c r="F2647"/>
      <c r="G2647"/>
      <c r="H2647"/>
      <c r="I2647"/>
      <c r="J2647"/>
      <c r="K2647"/>
      <c r="L2647"/>
      <c r="M2647"/>
      <c r="S2647" s="54"/>
    </row>
    <row r="2648" spans="1:19" s="15" customFormat="1" x14ac:dyDescent="0.3">
      <c r="A2648" s="17"/>
      <c r="B2648"/>
      <c r="C2648"/>
      <c r="D2648"/>
      <c r="E2648"/>
      <c r="F2648"/>
      <c r="G2648"/>
      <c r="H2648"/>
      <c r="I2648"/>
      <c r="J2648"/>
      <c r="K2648"/>
      <c r="L2648"/>
      <c r="M2648"/>
      <c r="S2648" s="54"/>
    </row>
    <row r="2649" spans="1:19" s="15" customFormat="1" x14ac:dyDescent="0.3">
      <c r="A2649" s="17"/>
      <c r="B2649"/>
      <c r="C2649"/>
      <c r="D2649"/>
      <c r="E2649"/>
      <c r="F2649"/>
      <c r="G2649"/>
      <c r="H2649"/>
      <c r="I2649"/>
      <c r="J2649"/>
      <c r="K2649"/>
      <c r="L2649"/>
      <c r="M2649"/>
      <c r="S2649" s="54"/>
    </row>
    <row r="2650" spans="1:19" s="15" customFormat="1" x14ac:dyDescent="0.3">
      <c r="A2650" s="17"/>
      <c r="B2650"/>
      <c r="C2650"/>
      <c r="D2650"/>
      <c r="E2650"/>
      <c r="F2650"/>
      <c r="G2650"/>
      <c r="H2650"/>
      <c r="I2650"/>
      <c r="J2650"/>
      <c r="K2650"/>
      <c r="L2650"/>
      <c r="M2650"/>
      <c r="S2650" s="54"/>
    </row>
    <row r="2651" spans="1:19" s="15" customFormat="1" x14ac:dyDescent="0.3">
      <c r="A2651" s="17"/>
      <c r="B2651"/>
      <c r="C2651"/>
      <c r="D2651"/>
      <c r="E2651"/>
      <c r="F2651"/>
      <c r="G2651"/>
      <c r="H2651"/>
      <c r="I2651"/>
      <c r="J2651"/>
      <c r="K2651"/>
      <c r="L2651"/>
      <c r="M2651"/>
      <c r="S2651" s="54"/>
    </row>
    <row r="2652" spans="1:19" s="15" customFormat="1" x14ac:dyDescent="0.3">
      <c r="A2652" s="17"/>
      <c r="B2652"/>
      <c r="C2652"/>
      <c r="D2652"/>
      <c r="E2652"/>
      <c r="F2652"/>
      <c r="G2652"/>
      <c r="H2652"/>
      <c r="I2652"/>
      <c r="J2652"/>
      <c r="K2652"/>
      <c r="L2652"/>
      <c r="M2652"/>
      <c r="S2652" s="54"/>
    </row>
    <row r="2653" spans="1:19" s="15" customFormat="1" x14ac:dyDescent="0.3">
      <c r="A2653" s="17"/>
      <c r="B2653"/>
      <c r="C2653"/>
      <c r="D2653"/>
      <c r="E2653"/>
      <c r="F2653"/>
      <c r="G2653"/>
      <c r="H2653"/>
      <c r="I2653"/>
      <c r="J2653"/>
      <c r="K2653"/>
      <c r="L2653"/>
      <c r="M2653"/>
      <c r="S2653" s="54"/>
    </row>
    <row r="2654" spans="1:19" s="15" customFormat="1" x14ac:dyDescent="0.3">
      <c r="A2654" s="17"/>
      <c r="B2654"/>
      <c r="C2654"/>
      <c r="D2654"/>
      <c r="E2654"/>
      <c r="F2654"/>
      <c r="G2654"/>
      <c r="H2654"/>
      <c r="I2654"/>
      <c r="J2654"/>
      <c r="K2654"/>
      <c r="L2654"/>
      <c r="M2654"/>
      <c r="S2654" s="54"/>
    </row>
    <row r="2655" spans="1:19" s="15" customFormat="1" x14ac:dyDescent="0.3">
      <c r="A2655" s="17"/>
      <c r="B2655"/>
      <c r="C2655"/>
      <c r="D2655"/>
      <c r="E2655"/>
      <c r="F2655"/>
      <c r="G2655"/>
      <c r="H2655"/>
      <c r="I2655"/>
      <c r="J2655"/>
      <c r="K2655"/>
      <c r="L2655"/>
      <c r="M2655"/>
      <c r="S2655" s="54"/>
    </row>
    <row r="2656" spans="1:19" s="15" customFormat="1" x14ac:dyDescent="0.3">
      <c r="A2656" s="17"/>
      <c r="B2656"/>
      <c r="C2656"/>
      <c r="D2656"/>
      <c r="E2656"/>
      <c r="F2656"/>
      <c r="G2656"/>
      <c r="H2656"/>
      <c r="I2656"/>
      <c r="J2656"/>
      <c r="K2656"/>
      <c r="L2656"/>
      <c r="M2656"/>
      <c r="S2656" s="54"/>
    </row>
    <row r="2657" spans="1:19" s="15" customFormat="1" x14ac:dyDescent="0.3">
      <c r="A2657" s="17"/>
      <c r="B2657"/>
      <c r="C2657"/>
      <c r="D2657"/>
      <c r="E2657"/>
      <c r="F2657"/>
      <c r="G2657"/>
      <c r="H2657"/>
      <c r="I2657"/>
      <c r="J2657"/>
      <c r="K2657"/>
      <c r="L2657"/>
      <c r="M2657"/>
      <c r="S2657" s="54"/>
    </row>
    <row r="2658" spans="1:19" s="15" customFormat="1" x14ac:dyDescent="0.3">
      <c r="A2658" s="17"/>
      <c r="B2658"/>
      <c r="C2658"/>
      <c r="D2658"/>
      <c r="E2658"/>
      <c r="F2658"/>
      <c r="G2658"/>
      <c r="H2658"/>
      <c r="I2658"/>
      <c r="J2658"/>
      <c r="K2658"/>
      <c r="L2658"/>
      <c r="M2658"/>
      <c r="S2658" s="54"/>
    </row>
    <row r="2659" spans="1:19" s="15" customFormat="1" x14ac:dyDescent="0.3">
      <c r="A2659" s="17"/>
      <c r="B2659"/>
      <c r="C2659"/>
      <c r="D2659"/>
      <c r="E2659"/>
      <c r="F2659"/>
      <c r="G2659"/>
      <c r="H2659"/>
      <c r="I2659"/>
      <c r="J2659"/>
      <c r="K2659"/>
      <c r="L2659"/>
      <c r="M2659"/>
      <c r="S2659" s="54"/>
    </row>
    <row r="2660" spans="1:19" s="15" customFormat="1" x14ac:dyDescent="0.3">
      <c r="A2660" s="17"/>
      <c r="B2660"/>
      <c r="C2660"/>
      <c r="D2660"/>
      <c r="E2660"/>
      <c r="F2660"/>
      <c r="G2660"/>
      <c r="H2660"/>
      <c r="I2660"/>
      <c r="J2660"/>
      <c r="K2660"/>
      <c r="L2660"/>
      <c r="M2660"/>
      <c r="S2660" s="54"/>
    </row>
    <row r="2661" spans="1:19" s="15" customFormat="1" x14ac:dyDescent="0.3">
      <c r="A2661" s="17"/>
      <c r="B2661"/>
      <c r="C2661"/>
      <c r="D2661"/>
      <c r="E2661"/>
      <c r="F2661"/>
      <c r="G2661"/>
      <c r="H2661"/>
      <c r="I2661"/>
      <c r="J2661"/>
      <c r="K2661"/>
      <c r="L2661"/>
      <c r="M2661"/>
      <c r="S2661" s="54"/>
    </row>
    <row r="2662" spans="1:19" s="15" customFormat="1" x14ac:dyDescent="0.3">
      <c r="A2662" s="17"/>
      <c r="B2662"/>
      <c r="C2662"/>
      <c r="D2662"/>
      <c r="E2662"/>
      <c r="F2662"/>
      <c r="G2662"/>
      <c r="H2662"/>
      <c r="I2662"/>
      <c r="J2662"/>
      <c r="K2662"/>
      <c r="L2662"/>
      <c r="M2662"/>
      <c r="S2662" s="54"/>
    </row>
    <row r="2663" spans="1:19" s="15" customFormat="1" x14ac:dyDescent="0.3">
      <c r="A2663" s="17"/>
      <c r="B2663"/>
      <c r="C2663"/>
      <c r="D2663"/>
      <c r="E2663"/>
      <c r="F2663"/>
      <c r="G2663"/>
      <c r="H2663"/>
      <c r="I2663"/>
      <c r="J2663"/>
      <c r="K2663"/>
      <c r="L2663"/>
      <c r="M2663"/>
      <c r="S2663" s="54"/>
    </row>
    <row r="2664" spans="1:19" s="15" customFormat="1" x14ac:dyDescent="0.3">
      <c r="A2664" s="17"/>
      <c r="B2664"/>
      <c r="C2664"/>
      <c r="D2664"/>
      <c r="E2664"/>
      <c r="F2664"/>
      <c r="G2664"/>
      <c r="H2664"/>
      <c r="I2664"/>
      <c r="J2664"/>
      <c r="K2664"/>
      <c r="L2664"/>
      <c r="M2664"/>
      <c r="S2664" s="54"/>
    </row>
    <row r="2665" spans="1:19" s="15" customFormat="1" x14ac:dyDescent="0.3">
      <c r="A2665" s="17"/>
      <c r="B2665"/>
      <c r="C2665"/>
      <c r="D2665"/>
      <c r="E2665"/>
      <c r="F2665"/>
      <c r="G2665"/>
      <c r="H2665"/>
      <c r="I2665"/>
      <c r="J2665"/>
      <c r="K2665"/>
      <c r="L2665"/>
      <c r="M2665"/>
      <c r="S2665" s="54"/>
    </row>
    <row r="2666" spans="1:19" s="15" customFormat="1" x14ac:dyDescent="0.3">
      <c r="A2666" s="17"/>
      <c r="B2666"/>
      <c r="C2666"/>
      <c r="D2666"/>
      <c r="E2666"/>
      <c r="F2666"/>
      <c r="G2666"/>
      <c r="H2666"/>
      <c r="I2666"/>
      <c r="J2666"/>
      <c r="K2666"/>
      <c r="L2666"/>
      <c r="M2666"/>
      <c r="S2666" s="54"/>
    </row>
    <row r="2667" spans="1:19" s="15" customFormat="1" x14ac:dyDescent="0.3">
      <c r="A2667" s="17"/>
      <c r="B2667"/>
      <c r="C2667"/>
      <c r="D2667"/>
      <c r="E2667"/>
      <c r="F2667"/>
      <c r="G2667"/>
      <c r="H2667"/>
      <c r="I2667"/>
      <c r="J2667"/>
      <c r="K2667"/>
      <c r="L2667"/>
      <c r="M2667"/>
      <c r="S2667" s="54"/>
    </row>
    <row r="2668" spans="1:19" s="15" customFormat="1" x14ac:dyDescent="0.3">
      <c r="A2668" s="17"/>
      <c r="B2668"/>
      <c r="C2668"/>
      <c r="D2668"/>
      <c r="E2668"/>
      <c r="F2668"/>
      <c r="G2668"/>
      <c r="H2668"/>
      <c r="I2668"/>
      <c r="J2668"/>
      <c r="K2668"/>
      <c r="L2668"/>
      <c r="M2668"/>
      <c r="S2668" s="54"/>
    </row>
    <row r="2669" spans="1:19" s="15" customFormat="1" x14ac:dyDescent="0.3">
      <c r="A2669" s="17"/>
      <c r="B2669"/>
      <c r="C2669"/>
      <c r="D2669"/>
      <c r="E2669"/>
      <c r="F2669"/>
      <c r="G2669"/>
      <c r="H2669"/>
      <c r="I2669"/>
      <c r="J2669"/>
      <c r="K2669"/>
      <c r="L2669"/>
      <c r="M2669"/>
      <c r="S2669" s="54"/>
    </row>
    <row r="2670" spans="1:19" s="15" customFormat="1" x14ac:dyDescent="0.3">
      <c r="A2670" s="17"/>
      <c r="B2670"/>
      <c r="C2670"/>
      <c r="D2670"/>
      <c r="E2670"/>
      <c r="F2670"/>
      <c r="G2670"/>
      <c r="H2670"/>
      <c r="I2670"/>
      <c r="J2670"/>
      <c r="K2670"/>
      <c r="L2670"/>
      <c r="M2670"/>
      <c r="S2670" s="54"/>
    </row>
    <row r="2671" spans="1:19" s="15" customFormat="1" x14ac:dyDescent="0.3">
      <c r="A2671" s="17"/>
      <c r="B2671"/>
      <c r="C2671"/>
      <c r="D2671"/>
      <c r="E2671"/>
      <c r="F2671"/>
      <c r="G2671"/>
      <c r="H2671"/>
      <c r="I2671"/>
      <c r="J2671"/>
      <c r="K2671"/>
      <c r="L2671"/>
      <c r="M2671"/>
      <c r="S2671" s="54"/>
    </row>
    <row r="2672" spans="1:19" s="15" customFormat="1" x14ac:dyDescent="0.3">
      <c r="A2672" s="17"/>
      <c r="B2672"/>
      <c r="C2672"/>
      <c r="D2672"/>
      <c r="E2672"/>
      <c r="F2672"/>
      <c r="G2672"/>
      <c r="H2672"/>
      <c r="I2672"/>
      <c r="J2672"/>
      <c r="K2672"/>
      <c r="L2672"/>
      <c r="M2672"/>
      <c r="S2672" s="54"/>
    </row>
    <row r="2673" spans="1:19" s="15" customFormat="1" x14ac:dyDescent="0.3">
      <c r="A2673" s="17"/>
      <c r="B2673"/>
      <c r="C2673"/>
      <c r="D2673"/>
      <c r="E2673"/>
      <c r="F2673"/>
      <c r="G2673"/>
      <c r="H2673"/>
      <c r="I2673"/>
      <c r="J2673"/>
      <c r="K2673"/>
      <c r="L2673"/>
      <c r="M2673"/>
      <c r="S2673" s="54"/>
    </row>
    <row r="2674" spans="1:19" s="15" customFormat="1" x14ac:dyDescent="0.3">
      <c r="A2674" s="17"/>
      <c r="B2674"/>
      <c r="C2674"/>
      <c r="D2674"/>
      <c r="E2674"/>
      <c r="F2674"/>
      <c r="G2674"/>
      <c r="H2674"/>
      <c r="I2674"/>
      <c r="J2674"/>
      <c r="K2674"/>
      <c r="L2674"/>
      <c r="M2674"/>
      <c r="S2674" s="54"/>
    </row>
    <row r="2675" spans="1:19" s="15" customFormat="1" x14ac:dyDescent="0.3">
      <c r="A2675" s="17"/>
      <c r="B2675"/>
      <c r="C2675"/>
      <c r="D2675"/>
      <c r="E2675"/>
      <c r="F2675"/>
      <c r="G2675"/>
      <c r="H2675"/>
      <c r="I2675"/>
      <c r="J2675"/>
      <c r="K2675"/>
      <c r="L2675"/>
      <c r="M2675"/>
      <c r="S2675" s="54"/>
    </row>
    <row r="2676" spans="1:19" s="15" customFormat="1" x14ac:dyDescent="0.3">
      <c r="A2676" s="17"/>
      <c r="B2676"/>
      <c r="C2676"/>
      <c r="D2676"/>
      <c r="E2676"/>
      <c r="F2676"/>
      <c r="G2676"/>
      <c r="H2676"/>
      <c r="I2676"/>
      <c r="J2676"/>
      <c r="K2676"/>
      <c r="L2676"/>
      <c r="M2676"/>
      <c r="S2676" s="54"/>
    </row>
    <row r="2677" spans="1:19" s="15" customFormat="1" x14ac:dyDescent="0.3">
      <c r="A2677" s="17"/>
      <c r="B2677"/>
      <c r="C2677"/>
      <c r="D2677"/>
      <c r="E2677"/>
      <c r="F2677"/>
      <c r="G2677"/>
      <c r="H2677"/>
      <c r="I2677"/>
      <c r="J2677"/>
      <c r="K2677"/>
      <c r="L2677"/>
      <c r="M2677"/>
      <c r="S2677" s="54"/>
    </row>
    <row r="2678" spans="1:19" s="15" customFormat="1" x14ac:dyDescent="0.3">
      <c r="A2678" s="17"/>
      <c r="B2678"/>
      <c r="C2678"/>
      <c r="D2678"/>
      <c r="E2678"/>
      <c r="F2678"/>
      <c r="G2678"/>
      <c r="H2678"/>
      <c r="I2678"/>
      <c r="J2678"/>
      <c r="K2678"/>
      <c r="L2678"/>
      <c r="M2678"/>
      <c r="S2678" s="54"/>
    </row>
    <row r="2679" spans="1:19" s="15" customFormat="1" x14ac:dyDescent="0.3">
      <c r="A2679" s="17"/>
      <c r="B2679"/>
      <c r="C2679"/>
      <c r="D2679"/>
      <c r="E2679"/>
      <c r="F2679"/>
      <c r="G2679"/>
      <c r="H2679"/>
      <c r="I2679"/>
      <c r="J2679"/>
      <c r="K2679"/>
      <c r="L2679"/>
      <c r="M2679"/>
      <c r="S2679" s="54"/>
    </row>
    <row r="2680" spans="1:19" s="15" customFormat="1" x14ac:dyDescent="0.3">
      <c r="A2680" s="17"/>
      <c r="B2680"/>
      <c r="C2680"/>
      <c r="D2680"/>
      <c r="E2680"/>
      <c r="F2680"/>
      <c r="G2680"/>
      <c r="H2680"/>
      <c r="I2680"/>
      <c r="J2680"/>
      <c r="K2680"/>
      <c r="L2680"/>
      <c r="M2680"/>
      <c r="S2680" s="54"/>
    </row>
    <row r="2681" spans="1:19" s="15" customFormat="1" x14ac:dyDescent="0.3">
      <c r="A2681" s="17"/>
      <c r="B2681"/>
      <c r="C2681"/>
      <c r="D2681"/>
      <c r="E2681"/>
      <c r="F2681"/>
      <c r="G2681"/>
      <c r="H2681"/>
      <c r="I2681"/>
      <c r="J2681"/>
      <c r="K2681"/>
      <c r="L2681"/>
      <c r="M2681"/>
      <c r="S2681" s="54"/>
    </row>
    <row r="2682" spans="1:19" s="15" customFormat="1" x14ac:dyDescent="0.3">
      <c r="A2682" s="17"/>
      <c r="B2682"/>
      <c r="C2682"/>
      <c r="D2682"/>
      <c r="E2682"/>
      <c r="F2682"/>
      <c r="G2682"/>
      <c r="H2682"/>
      <c r="I2682"/>
      <c r="J2682"/>
      <c r="K2682"/>
      <c r="L2682"/>
      <c r="M2682"/>
      <c r="S2682" s="54"/>
    </row>
    <row r="2683" spans="1:19" s="15" customFormat="1" x14ac:dyDescent="0.3">
      <c r="A2683" s="17"/>
      <c r="B2683"/>
      <c r="C2683"/>
      <c r="D2683"/>
      <c r="E2683"/>
      <c r="F2683"/>
      <c r="G2683"/>
      <c r="H2683"/>
      <c r="I2683"/>
      <c r="J2683"/>
      <c r="K2683"/>
      <c r="L2683"/>
      <c r="M2683"/>
      <c r="S2683" s="54"/>
    </row>
    <row r="2684" spans="1:19" s="15" customFormat="1" x14ac:dyDescent="0.3">
      <c r="A2684" s="17"/>
      <c r="B2684"/>
      <c r="C2684"/>
      <c r="D2684"/>
      <c r="E2684"/>
      <c r="F2684"/>
      <c r="G2684"/>
      <c r="H2684"/>
      <c r="I2684"/>
      <c r="J2684"/>
      <c r="K2684"/>
      <c r="L2684"/>
      <c r="M2684"/>
      <c r="S2684" s="54"/>
    </row>
    <row r="2685" spans="1:19" s="15" customFormat="1" x14ac:dyDescent="0.3">
      <c r="A2685" s="17"/>
      <c r="B2685"/>
      <c r="C2685"/>
      <c r="D2685"/>
      <c r="E2685"/>
      <c r="F2685"/>
      <c r="G2685"/>
      <c r="H2685"/>
      <c r="I2685"/>
      <c r="J2685"/>
      <c r="K2685"/>
      <c r="L2685"/>
      <c r="M2685"/>
      <c r="S2685" s="54"/>
    </row>
    <row r="2686" spans="1:19" s="15" customFormat="1" x14ac:dyDescent="0.3">
      <c r="A2686" s="17"/>
      <c r="B2686"/>
      <c r="C2686"/>
      <c r="D2686"/>
      <c r="E2686"/>
      <c r="F2686"/>
      <c r="G2686"/>
      <c r="H2686"/>
      <c r="I2686"/>
      <c r="J2686"/>
      <c r="K2686"/>
      <c r="L2686"/>
      <c r="M2686"/>
      <c r="S2686" s="54"/>
    </row>
    <row r="2687" spans="1:19" s="15" customFormat="1" x14ac:dyDescent="0.3">
      <c r="A2687" s="17"/>
      <c r="B2687"/>
      <c r="C2687"/>
      <c r="D2687"/>
      <c r="E2687"/>
      <c r="F2687"/>
      <c r="G2687"/>
      <c r="H2687"/>
      <c r="I2687"/>
      <c r="J2687"/>
      <c r="K2687"/>
      <c r="L2687"/>
      <c r="M2687"/>
      <c r="S2687" s="54"/>
    </row>
    <row r="2688" spans="1:19" s="15" customFormat="1" x14ac:dyDescent="0.3">
      <c r="A2688" s="17"/>
      <c r="B2688"/>
      <c r="C2688"/>
      <c r="D2688"/>
      <c r="E2688"/>
      <c r="F2688"/>
      <c r="G2688"/>
      <c r="H2688"/>
      <c r="I2688"/>
      <c r="J2688"/>
      <c r="K2688"/>
      <c r="L2688"/>
      <c r="M2688"/>
      <c r="S2688" s="54"/>
    </row>
    <row r="2689" spans="1:19" s="15" customFormat="1" x14ac:dyDescent="0.3">
      <c r="A2689" s="17"/>
      <c r="B2689"/>
      <c r="C2689"/>
      <c r="D2689"/>
      <c r="E2689"/>
      <c r="F2689"/>
      <c r="G2689"/>
      <c r="H2689"/>
      <c r="I2689"/>
      <c r="J2689"/>
      <c r="K2689"/>
      <c r="L2689"/>
      <c r="M2689"/>
      <c r="S2689" s="54"/>
    </row>
    <row r="2690" spans="1:19" s="15" customFormat="1" x14ac:dyDescent="0.3">
      <c r="A2690" s="17"/>
      <c r="B2690"/>
      <c r="C2690"/>
      <c r="D2690"/>
      <c r="E2690"/>
      <c r="F2690"/>
      <c r="G2690"/>
      <c r="H2690"/>
      <c r="I2690"/>
      <c r="J2690"/>
      <c r="K2690"/>
      <c r="L2690"/>
      <c r="M2690"/>
      <c r="S2690" s="54"/>
    </row>
    <row r="2691" spans="1:19" s="15" customFormat="1" x14ac:dyDescent="0.3">
      <c r="A2691" s="17"/>
      <c r="B2691"/>
      <c r="C2691"/>
      <c r="D2691"/>
      <c r="E2691"/>
      <c r="F2691"/>
      <c r="G2691"/>
      <c r="H2691"/>
      <c r="I2691"/>
      <c r="J2691"/>
      <c r="K2691"/>
      <c r="L2691"/>
      <c r="M2691"/>
      <c r="S2691" s="54"/>
    </row>
    <row r="2692" spans="1:19" s="15" customFormat="1" x14ac:dyDescent="0.3">
      <c r="A2692" s="17"/>
      <c r="B2692"/>
      <c r="C2692"/>
      <c r="D2692"/>
      <c r="E2692"/>
      <c r="F2692"/>
      <c r="G2692"/>
      <c r="H2692"/>
      <c r="I2692"/>
      <c r="J2692"/>
      <c r="K2692"/>
      <c r="L2692"/>
      <c r="M2692"/>
      <c r="S2692" s="54"/>
    </row>
    <row r="2693" spans="1:19" s="15" customFormat="1" x14ac:dyDescent="0.3">
      <c r="A2693" s="17"/>
      <c r="B2693"/>
      <c r="C2693"/>
      <c r="D2693"/>
      <c r="E2693"/>
      <c r="F2693"/>
      <c r="G2693"/>
      <c r="H2693"/>
      <c r="I2693"/>
      <c r="J2693"/>
      <c r="K2693"/>
      <c r="L2693"/>
      <c r="M2693"/>
      <c r="S2693" s="54"/>
    </row>
    <row r="2694" spans="1:19" s="15" customFormat="1" x14ac:dyDescent="0.3">
      <c r="A2694" s="17"/>
      <c r="B2694"/>
      <c r="C2694"/>
      <c r="D2694"/>
      <c r="E2694"/>
      <c r="F2694"/>
      <c r="G2694"/>
      <c r="H2694"/>
      <c r="I2694"/>
      <c r="J2694"/>
      <c r="K2694"/>
      <c r="L2694"/>
      <c r="M2694"/>
      <c r="S2694" s="54"/>
    </row>
    <row r="2695" spans="1:19" s="15" customFormat="1" x14ac:dyDescent="0.3">
      <c r="A2695" s="17"/>
      <c r="B2695"/>
      <c r="C2695"/>
      <c r="D2695"/>
      <c r="E2695"/>
      <c r="F2695"/>
      <c r="G2695"/>
      <c r="H2695"/>
      <c r="I2695"/>
      <c r="J2695"/>
      <c r="K2695"/>
      <c r="L2695"/>
      <c r="M2695"/>
      <c r="S2695" s="54"/>
    </row>
    <row r="2696" spans="1:19" s="15" customFormat="1" x14ac:dyDescent="0.3">
      <c r="A2696" s="17"/>
      <c r="B2696"/>
      <c r="C2696"/>
      <c r="D2696"/>
      <c r="E2696"/>
      <c r="F2696"/>
      <c r="G2696"/>
      <c r="H2696"/>
      <c r="I2696"/>
      <c r="J2696"/>
      <c r="K2696"/>
      <c r="L2696"/>
      <c r="M2696"/>
      <c r="S2696" s="54"/>
    </row>
    <row r="2697" spans="1:19" s="15" customFormat="1" x14ac:dyDescent="0.3">
      <c r="A2697" s="17"/>
      <c r="B2697"/>
      <c r="C2697"/>
      <c r="D2697"/>
      <c r="E2697"/>
      <c r="F2697"/>
      <c r="G2697"/>
      <c r="H2697"/>
      <c r="I2697"/>
      <c r="J2697"/>
      <c r="K2697"/>
      <c r="L2697"/>
      <c r="M2697"/>
      <c r="S2697" s="54"/>
    </row>
    <row r="2698" spans="1:19" s="15" customFormat="1" x14ac:dyDescent="0.3">
      <c r="A2698" s="17"/>
      <c r="B2698"/>
      <c r="C2698"/>
      <c r="D2698"/>
      <c r="E2698"/>
      <c r="F2698"/>
      <c r="G2698"/>
      <c r="H2698"/>
      <c r="I2698"/>
      <c r="J2698"/>
      <c r="K2698"/>
      <c r="L2698"/>
      <c r="M2698"/>
      <c r="S2698" s="54"/>
    </row>
    <row r="2699" spans="1:19" s="15" customFormat="1" x14ac:dyDescent="0.3">
      <c r="A2699" s="17"/>
      <c r="B2699"/>
      <c r="C2699"/>
      <c r="D2699"/>
      <c r="E2699"/>
      <c r="F2699"/>
      <c r="G2699"/>
      <c r="H2699"/>
      <c r="I2699"/>
      <c r="J2699"/>
      <c r="K2699"/>
      <c r="L2699"/>
      <c r="M2699"/>
      <c r="S2699" s="54"/>
    </row>
    <row r="2700" spans="1:19" s="15" customFormat="1" x14ac:dyDescent="0.3">
      <c r="A2700" s="17"/>
      <c r="B2700"/>
      <c r="C2700"/>
      <c r="D2700"/>
      <c r="E2700"/>
      <c r="F2700"/>
      <c r="G2700"/>
      <c r="H2700"/>
      <c r="I2700"/>
      <c r="J2700"/>
      <c r="K2700"/>
      <c r="L2700"/>
      <c r="M2700"/>
      <c r="S2700" s="54"/>
    </row>
    <row r="2701" spans="1:19" s="15" customFormat="1" x14ac:dyDescent="0.3">
      <c r="A2701" s="17"/>
      <c r="B2701"/>
      <c r="C2701"/>
      <c r="D2701"/>
      <c r="E2701"/>
      <c r="F2701"/>
      <c r="G2701"/>
      <c r="H2701"/>
      <c r="I2701"/>
      <c r="J2701"/>
      <c r="K2701"/>
      <c r="L2701"/>
      <c r="M2701"/>
      <c r="S2701" s="54"/>
    </row>
    <row r="2702" spans="1:19" s="15" customFormat="1" x14ac:dyDescent="0.3">
      <c r="A2702" s="17"/>
      <c r="B2702"/>
      <c r="C2702"/>
      <c r="D2702"/>
      <c r="E2702"/>
      <c r="F2702"/>
      <c r="G2702"/>
      <c r="H2702"/>
      <c r="I2702"/>
      <c r="J2702"/>
      <c r="K2702"/>
      <c r="L2702"/>
      <c r="M2702"/>
      <c r="S2702" s="54"/>
    </row>
    <row r="2703" spans="1:19" s="15" customFormat="1" x14ac:dyDescent="0.3">
      <c r="A2703" s="17"/>
      <c r="B2703"/>
      <c r="C2703"/>
      <c r="D2703"/>
      <c r="E2703"/>
      <c r="F2703"/>
      <c r="G2703"/>
      <c r="H2703"/>
      <c r="I2703"/>
      <c r="J2703"/>
      <c r="K2703"/>
      <c r="L2703"/>
      <c r="M2703"/>
      <c r="S2703" s="54"/>
    </row>
    <row r="2704" spans="1:19" s="15" customFormat="1" x14ac:dyDescent="0.3">
      <c r="A2704" s="17"/>
      <c r="B2704"/>
      <c r="C2704"/>
      <c r="D2704"/>
      <c r="E2704"/>
      <c r="F2704"/>
      <c r="G2704"/>
      <c r="H2704"/>
      <c r="I2704"/>
      <c r="J2704"/>
      <c r="K2704"/>
      <c r="L2704"/>
      <c r="M2704"/>
      <c r="S2704" s="54"/>
    </row>
    <row r="2705" spans="1:19" s="15" customFormat="1" x14ac:dyDescent="0.3">
      <c r="A2705" s="17"/>
      <c r="B2705"/>
      <c r="C2705"/>
      <c r="D2705"/>
      <c r="E2705"/>
      <c r="F2705"/>
      <c r="G2705"/>
      <c r="H2705"/>
      <c r="I2705"/>
      <c r="J2705"/>
      <c r="K2705"/>
      <c r="L2705"/>
      <c r="M2705"/>
      <c r="S2705" s="54"/>
    </row>
    <row r="2706" spans="1:19" s="15" customFormat="1" x14ac:dyDescent="0.3">
      <c r="A2706" s="17"/>
      <c r="B2706"/>
      <c r="C2706"/>
      <c r="D2706"/>
      <c r="E2706"/>
      <c r="F2706"/>
      <c r="G2706"/>
      <c r="H2706"/>
      <c r="I2706"/>
      <c r="J2706"/>
      <c r="K2706"/>
      <c r="L2706"/>
      <c r="M2706"/>
      <c r="S2706" s="54"/>
    </row>
    <row r="2707" spans="1:19" s="15" customFormat="1" x14ac:dyDescent="0.3">
      <c r="A2707" s="17"/>
      <c r="B2707"/>
      <c r="C2707"/>
      <c r="D2707"/>
      <c r="E2707"/>
      <c r="F2707"/>
      <c r="G2707"/>
      <c r="H2707"/>
      <c r="I2707"/>
      <c r="J2707"/>
      <c r="K2707"/>
      <c r="L2707"/>
      <c r="M2707"/>
      <c r="S2707" s="54"/>
    </row>
    <row r="2708" spans="1:19" s="15" customFormat="1" x14ac:dyDescent="0.3">
      <c r="A2708" s="17"/>
      <c r="B2708"/>
      <c r="C2708"/>
      <c r="D2708"/>
      <c r="E2708"/>
      <c r="F2708"/>
      <c r="G2708"/>
      <c r="H2708"/>
      <c r="I2708"/>
      <c r="J2708"/>
      <c r="K2708"/>
      <c r="L2708"/>
      <c r="M2708"/>
      <c r="S2708" s="54"/>
    </row>
    <row r="2709" spans="1:19" s="15" customFormat="1" x14ac:dyDescent="0.3">
      <c r="A2709" s="17"/>
      <c r="B2709"/>
      <c r="C2709"/>
      <c r="D2709"/>
      <c r="E2709"/>
      <c r="F2709"/>
      <c r="G2709"/>
      <c r="H2709"/>
      <c r="I2709"/>
      <c r="J2709"/>
      <c r="K2709"/>
      <c r="L2709"/>
      <c r="M2709"/>
      <c r="S2709" s="54"/>
    </row>
    <row r="2710" spans="1:19" s="15" customFormat="1" x14ac:dyDescent="0.3">
      <c r="A2710" s="17"/>
      <c r="B2710"/>
      <c r="C2710"/>
      <c r="D2710"/>
      <c r="E2710"/>
      <c r="F2710"/>
      <c r="G2710"/>
      <c r="H2710"/>
      <c r="I2710"/>
      <c r="J2710"/>
      <c r="K2710"/>
      <c r="L2710"/>
      <c r="M2710"/>
      <c r="S2710" s="54"/>
    </row>
    <row r="2711" spans="1:19" s="15" customFormat="1" x14ac:dyDescent="0.3">
      <c r="A2711" s="17"/>
      <c r="B2711"/>
      <c r="C2711"/>
      <c r="D2711"/>
      <c r="E2711"/>
      <c r="F2711"/>
      <c r="G2711"/>
      <c r="H2711"/>
      <c r="I2711"/>
      <c r="J2711"/>
      <c r="K2711"/>
      <c r="L2711"/>
      <c r="M2711"/>
      <c r="S2711" s="54"/>
    </row>
    <row r="2712" spans="1:19" s="15" customFormat="1" x14ac:dyDescent="0.3">
      <c r="A2712" s="17"/>
      <c r="B2712"/>
      <c r="C2712"/>
      <c r="D2712"/>
      <c r="E2712"/>
      <c r="F2712"/>
      <c r="G2712"/>
      <c r="H2712"/>
      <c r="I2712"/>
      <c r="J2712"/>
      <c r="K2712"/>
      <c r="L2712"/>
      <c r="M2712"/>
      <c r="S2712" s="54"/>
    </row>
    <row r="2713" spans="1:19" s="15" customFormat="1" x14ac:dyDescent="0.3">
      <c r="A2713" s="17"/>
      <c r="B2713"/>
      <c r="C2713"/>
      <c r="D2713"/>
      <c r="E2713"/>
      <c r="F2713"/>
      <c r="G2713"/>
      <c r="H2713"/>
      <c r="I2713"/>
      <c r="J2713"/>
      <c r="K2713"/>
      <c r="L2713"/>
      <c r="M2713"/>
      <c r="S2713" s="54"/>
    </row>
    <row r="2714" spans="1:19" s="15" customFormat="1" x14ac:dyDescent="0.3">
      <c r="A2714" s="17"/>
      <c r="B2714"/>
      <c r="C2714"/>
      <c r="D2714"/>
      <c r="E2714"/>
      <c r="F2714"/>
      <c r="G2714"/>
      <c r="H2714"/>
      <c r="I2714"/>
      <c r="J2714"/>
      <c r="K2714"/>
      <c r="L2714"/>
      <c r="M2714"/>
      <c r="S2714" s="54"/>
    </row>
    <row r="2715" spans="1:19" s="15" customFormat="1" x14ac:dyDescent="0.3">
      <c r="A2715" s="17"/>
      <c r="B2715"/>
      <c r="C2715"/>
      <c r="D2715"/>
      <c r="E2715"/>
      <c r="F2715"/>
      <c r="G2715"/>
      <c r="H2715"/>
      <c r="I2715"/>
      <c r="J2715"/>
      <c r="K2715"/>
      <c r="L2715"/>
      <c r="M2715"/>
      <c r="S2715" s="54"/>
    </row>
    <row r="2716" spans="1:19" s="15" customFormat="1" x14ac:dyDescent="0.3">
      <c r="A2716" s="17"/>
      <c r="B2716"/>
      <c r="C2716"/>
      <c r="D2716"/>
      <c r="E2716"/>
      <c r="F2716"/>
      <c r="G2716"/>
      <c r="H2716"/>
      <c r="I2716"/>
      <c r="J2716"/>
      <c r="K2716"/>
      <c r="L2716"/>
      <c r="M2716"/>
      <c r="S2716" s="54"/>
    </row>
    <row r="2717" spans="1:19" s="15" customFormat="1" x14ac:dyDescent="0.3">
      <c r="A2717" s="17"/>
      <c r="B2717"/>
      <c r="C2717"/>
      <c r="D2717"/>
      <c r="E2717"/>
      <c r="F2717"/>
      <c r="G2717"/>
      <c r="H2717"/>
      <c r="I2717"/>
      <c r="J2717"/>
      <c r="K2717"/>
      <c r="L2717"/>
      <c r="M2717"/>
      <c r="S2717" s="54"/>
    </row>
    <row r="2718" spans="1:19" s="15" customFormat="1" x14ac:dyDescent="0.3">
      <c r="A2718" s="17"/>
      <c r="B2718"/>
      <c r="C2718"/>
      <c r="D2718"/>
      <c r="E2718"/>
      <c r="F2718"/>
      <c r="G2718"/>
      <c r="H2718"/>
      <c r="I2718"/>
      <c r="J2718"/>
      <c r="K2718"/>
      <c r="L2718"/>
      <c r="M2718"/>
      <c r="S2718" s="54"/>
    </row>
    <row r="2719" spans="1:19" s="15" customFormat="1" x14ac:dyDescent="0.3">
      <c r="A2719" s="17"/>
      <c r="B2719"/>
      <c r="C2719"/>
      <c r="D2719"/>
      <c r="E2719"/>
      <c r="F2719"/>
      <c r="G2719"/>
      <c r="H2719"/>
      <c r="I2719"/>
      <c r="J2719"/>
      <c r="K2719"/>
      <c r="L2719"/>
      <c r="M2719"/>
      <c r="S2719" s="54"/>
    </row>
    <row r="2720" spans="1:19" s="15" customFormat="1" x14ac:dyDescent="0.3">
      <c r="A2720" s="17"/>
      <c r="B2720"/>
      <c r="C2720"/>
      <c r="D2720"/>
      <c r="E2720"/>
      <c r="F2720"/>
      <c r="G2720"/>
      <c r="H2720"/>
      <c r="I2720"/>
      <c r="J2720"/>
      <c r="K2720"/>
      <c r="L2720"/>
      <c r="M2720"/>
      <c r="S2720" s="54"/>
    </row>
    <row r="2721" spans="1:19" s="15" customFormat="1" x14ac:dyDescent="0.3">
      <c r="A2721" s="17"/>
      <c r="B2721"/>
      <c r="C2721"/>
      <c r="D2721"/>
      <c r="E2721"/>
      <c r="F2721"/>
      <c r="G2721"/>
      <c r="H2721"/>
      <c r="I2721"/>
      <c r="J2721"/>
      <c r="K2721"/>
      <c r="L2721"/>
      <c r="M2721"/>
      <c r="S2721" s="54"/>
    </row>
    <row r="2722" spans="1:19" s="15" customFormat="1" x14ac:dyDescent="0.3">
      <c r="A2722" s="17"/>
      <c r="B2722"/>
      <c r="C2722"/>
      <c r="D2722"/>
      <c r="E2722"/>
      <c r="F2722"/>
      <c r="G2722"/>
      <c r="H2722"/>
      <c r="I2722"/>
      <c r="J2722"/>
      <c r="K2722"/>
      <c r="L2722"/>
      <c r="M2722"/>
      <c r="S2722" s="54"/>
    </row>
    <row r="2723" spans="1:19" s="15" customFormat="1" x14ac:dyDescent="0.3">
      <c r="A2723" s="17"/>
      <c r="B2723"/>
      <c r="C2723"/>
      <c r="D2723"/>
      <c r="E2723"/>
      <c r="F2723"/>
      <c r="G2723"/>
      <c r="H2723"/>
      <c r="I2723"/>
      <c r="J2723"/>
      <c r="K2723"/>
      <c r="L2723"/>
      <c r="M2723"/>
      <c r="S2723" s="54"/>
    </row>
    <row r="2724" spans="1:19" s="15" customFormat="1" x14ac:dyDescent="0.3">
      <c r="A2724" s="17"/>
      <c r="B2724"/>
      <c r="C2724"/>
      <c r="D2724"/>
      <c r="E2724"/>
      <c r="F2724"/>
      <c r="G2724"/>
      <c r="H2724"/>
      <c r="I2724"/>
      <c r="J2724"/>
      <c r="K2724"/>
      <c r="L2724"/>
      <c r="M2724"/>
      <c r="S2724" s="54"/>
    </row>
    <row r="2725" spans="1:19" s="15" customFormat="1" x14ac:dyDescent="0.3">
      <c r="A2725" s="17"/>
      <c r="B2725"/>
      <c r="C2725"/>
      <c r="D2725"/>
      <c r="E2725"/>
      <c r="F2725"/>
      <c r="G2725"/>
      <c r="H2725"/>
      <c r="I2725"/>
      <c r="J2725"/>
      <c r="K2725"/>
      <c r="L2725"/>
      <c r="M2725"/>
      <c r="S2725" s="54"/>
    </row>
    <row r="2726" spans="1:19" s="15" customFormat="1" x14ac:dyDescent="0.3">
      <c r="A2726" s="17"/>
      <c r="B2726"/>
      <c r="C2726"/>
      <c r="D2726"/>
      <c r="E2726"/>
      <c r="F2726"/>
      <c r="G2726"/>
      <c r="H2726"/>
      <c r="I2726"/>
      <c r="J2726"/>
      <c r="K2726"/>
      <c r="L2726"/>
      <c r="M2726"/>
      <c r="S2726" s="54"/>
    </row>
    <row r="2727" spans="1:19" s="15" customFormat="1" x14ac:dyDescent="0.3">
      <c r="A2727" s="17"/>
      <c r="B2727"/>
      <c r="C2727"/>
      <c r="D2727"/>
      <c r="E2727"/>
      <c r="F2727"/>
      <c r="G2727"/>
      <c r="H2727"/>
      <c r="I2727"/>
      <c r="J2727"/>
      <c r="K2727"/>
      <c r="L2727"/>
      <c r="M2727"/>
      <c r="S2727" s="54"/>
    </row>
    <row r="2728" spans="1:19" s="15" customFormat="1" x14ac:dyDescent="0.3">
      <c r="A2728" s="17"/>
      <c r="B2728"/>
      <c r="C2728"/>
      <c r="D2728"/>
      <c r="E2728"/>
      <c r="F2728"/>
      <c r="G2728"/>
      <c r="H2728"/>
      <c r="I2728"/>
      <c r="J2728"/>
      <c r="K2728"/>
      <c r="L2728"/>
      <c r="M2728"/>
      <c r="S2728" s="54"/>
    </row>
    <row r="2729" spans="1:19" s="15" customFormat="1" x14ac:dyDescent="0.3">
      <c r="A2729" s="17"/>
      <c r="B2729"/>
      <c r="C2729"/>
      <c r="D2729"/>
      <c r="E2729"/>
      <c r="F2729"/>
      <c r="G2729"/>
      <c r="H2729"/>
      <c r="I2729"/>
      <c r="J2729"/>
      <c r="K2729"/>
      <c r="L2729"/>
      <c r="M2729"/>
      <c r="S2729" s="54"/>
    </row>
    <row r="2730" spans="1:19" s="15" customFormat="1" x14ac:dyDescent="0.3">
      <c r="A2730" s="17"/>
      <c r="B2730"/>
      <c r="C2730"/>
      <c r="D2730"/>
      <c r="E2730"/>
      <c r="F2730"/>
      <c r="G2730"/>
      <c r="H2730"/>
      <c r="I2730"/>
      <c r="J2730"/>
      <c r="K2730"/>
      <c r="L2730"/>
      <c r="M2730"/>
      <c r="S2730" s="54"/>
    </row>
    <row r="2731" spans="1:19" s="15" customFormat="1" x14ac:dyDescent="0.3">
      <c r="A2731" s="17"/>
      <c r="B2731"/>
      <c r="C2731"/>
      <c r="D2731"/>
      <c r="E2731"/>
      <c r="F2731"/>
      <c r="G2731"/>
      <c r="H2731"/>
      <c r="I2731"/>
      <c r="J2731"/>
      <c r="K2731"/>
      <c r="L2731"/>
      <c r="M2731"/>
      <c r="S2731" s="54"/>
    </row>
    <row r="2732" spans="1:19" s="15" customFormat="1" x14ac:dyDescent="0.3">
      <c r="A2732" s="17"/>
      <c r="B2732"/>
      <c r="C2732"/>
      <c r="D2732"/>
      <c r="E2732"/>
      <c r="F2732"/>
      <c r="G2732"/>
      <c r="H2732"/>
      <c r="I2732"/>
      <c r="J2732"/>
      <c r="K2732"/>
      <c r="L2732"/>
      <c r="M2732"/>
      <c r="S2732" s="54"/>
    </row>
    <row r="2733" spans="1:19" s="15" customFormat="1" x14ac:dyDescent="0.3">
      <c r="A2733" s="17"/>
      <c r="B2733"/>
      <c r="C2733"/>
      <c r="D2733"/>
      <c r="E2733"/>
      <c r="F2733"/>
      <c r="G2733"/>
      <c r="H2733"/>
      <c r="I2733"/>
      <c r="J2733"/>
      <c r="K2733"/>
      <c r="L2733"/>
      <c r="M2733"/>
      <c r="S2733" s="54"/>
    </row>
    <row r="2734" spans="1:19" s="15" customFormat="1" x14ac:dyDescent="0.3">
      <c r="A2734" s="17"/>
      <c r="B2734"/>
      <c r="C2734"/>
      <c r="D2734"/>
      <c r="E2734"/>
      <c r="F2734"/>
      <c r="G2734"/>
      <c r="H2734"/>
      <c r="I2734"/>
      <c r="J2734"/>
      <c r="K2734"/>
      <c r="L2734"/>
      <c r="M2734"/>
      <c r="S2734" s="54"/>
    </row>
    <row r="2735" spans="1:19" s="15" customFormat="1" x14ac:dyDescent="0.3">
      <c r="A2735" s="17"/>
      <c r="B2735"/>
      <c r="C2735"/>
      <c r="D2735"/>
      <c r="E2735"/>
      <c r="F2735"/>
      <c r="G2735"/>
      <c r="H2735"/>
      <c r="I2735"/>
      <c r="J2735"/>
      <c r="K2735"/>
      <c r="L2735"/>
      <c r="M2735"/>
      <c r="S2735" s="54"/>
    </row>
    <row r="2736" spans="1:19" s="15" customFormat="1" x14ac:dyDescent="0.3">
      <c r="A2736" s="17"/>
      <c r="B2736"/>
      <c r="C2736"/>
      <c r="D2736"/>
      <c r="E2736"/>
      <c r="F2736"/>
      <c r="G2736"/>
      <c r="H2736"/>
      <c r="I2736"/>
      <c r="J2736"/>
      <c r="K2736"/>
      <c r="L2736"/>
      <c r="M2736"/>
      <c r="S2736" s="54"/>
    </row>
    <row r="2737" spans="1:19" s="15" customFormat="1" x14ac:dyDescent="0.3">
      <c r="A2737" s="17"/>
      <c r="B2737"/>
      <c r="C2737"/>
      <c r="D2737"/>
      <c r="E2737"/>
      <c r="F2737"/>
      <c r="G2737"/>
      <c r="H2737"/>
      <c r="I2737"/>
      <c r="J2737"/>
      <c r="K2737"/>
      <c r="L2737"/>
      <c r="M2737"/>
      <c r="S2737" s="54"/>
    </row>
    <row r="2738" spans="1:19" s="15" customFormat="1" x14ac:dyDescent="0.3">
      <c r="A2738" s="17"/>
      <c r="B2738"/>
      <c r="C2738"/>
      <c r="D2738"/>
      <c r="E2738"/>
      <c r="F2738"/>
      <c r="G2738"/>
      <c r="H2738"/>
      <c r="I2738"/>
      <c r="J2738"/>
      <c r="K2738"/>
      <c r="L2738"/>
      <c r="M2738"/>
      <c r="S2738" s="54"/>
    </row>
    <row r="2739" spans="1:19" s="15" customFormat="1" x14ac:dyDescent="0.3">
      <c r="A2739" s="17"/>
      <c r="B2739"/>
      <c r="C2739"/>
      <c r="D2739"/>
      <c r="E2739"/>
      <c r="F2739"/>
      <c r="G2739"/>
      <c r="H2739"/>
      <c r="I2739"/>
      <c r="J2739"/>
      <c r="K2739"/>
      <c r="L2739"/>
      <c r="M2739"/>
      <c r="S2739" s="54"/>
    </row>
    <row r="2740" spans="1:19" s="15" customFormat="1" x14ac:dyDescent="0.3">
      <c r="A2740" s="17"/>
      <c r="B2740"/>
      <c r="C2740"/>
      <c r="D2740"/>
      <c r="E2740"/>
      <c r="F2740"/>
      <c r="G2740"/>
      <c r="H2740"/>
      <c r="I2740"/>
      <c r="J2740"/>
      <c r="K2740"/>
      <c r="L2740"/>
      <c r="M2740"/>
      <c r="S2740" s="54"/>
    </row>
    <row r="2741" spans="1:19" s="15" customFormat="1" x14ac:dyDescent="0.3">
      <c r="A2741" s="17"/>
      <c r="B2741"/>
      <c r="C2741"/>
      <c r="D2741"/>
      <c r="E2741"/>
      <c r="F2741"/>
      <c r="G2741"/>
      <c r="H2741"/>
      <c r="I2741"/>
      <c r="J2741"/>
      <c r="K2741"/>
      <c r="L2741"/>
      <c r="M2741"/>
      <c r="S2741" s="54"/>
    </row>
    <row r="2742" spans="1:19" s="15" customFormat="1" x14ac:dyDescent="0.3">
      <c r="A2742" s="17"/>
      <c r="B2742"/>
      <c r="C2742"/>
      <c r="D2742"/>
      <c r="E2742"/>
      <c r="F2742"/>
      <c r="G2742"/>
      <c r="H2742"/>
      <c r="I2742"/>
      <c r="J2742"/>
      <c r="K2742"/>
      <c r="L2742"/>
      <c r="M2742"/>
      <c r="S2742" s="54"/>
    </row>
    <row r="2743" spans="1:19" s="15" customFormat="1" x14ac:dyDescent="0.3">
      <c r="A2743" s="17"/>
      <c r="B2743"/>
      <c r="C2743"/>
      <c r="D2743"/>
      <c r="E2743"/>
      <c r="F2743"/>
      <c r="G2743"/>
      <c r="H2743"/>
      <c r="I2743"/>
      <c r="J2743"/>
      <c r="K2743"/>
      <c r="L2743"/>
      <c r="M2743"/>
      <c r="S2743" s="54"/>
    </row>
    <row r="2744" spans="1:19" s="15" customFormat="1" x14ac:dyDescent="0.3">
      <c r="A2744" s="17"/>
      <c r="B2744"/>
      <c r="C2744"/>
      <c r="D2744"/>
      <c r="E2744"/>
      <c r="F2744"/>
      <c r="G2744"/>
      <c r="H2744"/>
      <c r="I2744"/>
      <c r="J2744"/>
      <c r="K2744"/>
      <c r="L2744"/>
      <c r="M2744"/>
      <c r="S2744" s="54"/>
    </row>
    <row r="2745" spans="1:19" s="15" customFormat="1" x14ac:dyDescent="0.3">
      <c r="A2745" s="17"/>
      <c r="B2745"/>
      <c r="C2745"/>
      <c r="D2745"/>
      <c r="E2745"/>
      <c r="F2745"/>
      <c r="G2745"/>
      <c r="H2745"/>
      <c r="I2745"/>
      <c r="J2745"/>
      <c r="K2745"/>
      <c r="L2745"/>
      <c r="M2745"/>
      <c r="S2745" s="54"/>
    </row>
    <row r="2746" spans="1:19" s="15" customFormat="1" x14ac:dyDescent="0.3">
      <c r="A2746" s="17"/>
      <c r="B2746"/>
      <c r="C2746"/>
      <c r="D2746"/>
      <c r="E2746"/>
      <c r="F2746"/>
      <c r="G2746"/>
      <c r="H2746"/>
      <c r="I2746"/>
      <c r="J2746"/>
      <c r="K2746"/>
      <c r="L2746"/>
      <c r="M2746"/>
      <c r="S2746" s="54"/>
    </row>
    <row r="2747" spans="1:19" s="15" customFormat="1" x14ac:dyDescent="0.3">
      <c r="A2747" s="17"/>
      <c r="B2747"/>
      <c r="C2747"/>
      <c r="D2747"/>
      <c r="E2747"/>
      <c r="F2747"/>
      <c r="G2747"/>
      <c r="H2747"/>
      <c r="I2747"/>
      <c r="J2747"/>
      <c r="K2747"/>
      <c r="L2747"/>
      <c r="M2747"/>
      <c r="S2747" s="54"/>
    </row>
    <row r="2748" spans="1:19" s="15" customFormat="1" x14ac:dyDescent="0.3">
      <c r="A2748" s="17"/>
      <c r="B2748"/>
      <c r="C2748"/>
      <c r="D2748"/>
      <c r="E2748"/>
      <c r="F2748"/>
      <c r="G2748"/>
      <c r="H2748"/>
      <c r="I2748"/>
      <c r="J2748"/>
      <c r="K2748"/>
      <c r="L2748"/>
      <c r="M2748"/>
      <c r="S2748" s="54"/>
    </row>
    <row r="2749" spans="1:19" s="15" customFormat="1" x14ac:dyDescent="0.3">
      <c r="A2749" s="17"/>
      <c r="B2749"/>
      <c r="C2749"/>
      <c r="D2749"/>
      <c r="E2749"/>
      <c r="F2749"/>
      <c r="G2749"/>
      <c r="H2749"/>
      <c r="I2749"/>
      <c r="J2749"/>
      <c r="K2749"/>
      <c r="L2749"/>
      <c r="M2749"/>
      <c r="S2749" s="54"/>
    </row>
    <row r="2750" spans="1:19" s="15" customFormat="1" x14ac:dyDescent="0.3">
      <c r="A2750" s="17"/>
      <c r="B2750"/>
      <c r="C2750"/>
      <c r="D2750"/>
      <c r="E2750"/>
      <c r="F2750"/>
      <c r="G2750"/>
      <c r="H2750"/>
      <c r="I2750"/>
      <c r="J2750"/>
      <c r="K2750"/>
      <c r="L2750"/>
      <c r="M2750"/>
      <c r="S2750" s="54"/>
    </row>
    <row r="2751" spans="1:19" s="15" customFormat="1" x14ac:dyDescent="0.3">
      <c r="A2751" s="17"/>
      <c r="B2751"/>
      <c r="C2751"/>
      <c r="D2751"/>
      <c r="E2751"/>
      <c r="F2751"/>
      <c r="G2751"/>
      <c r="H2751"/>
      <c r="I2751"/>
      <c r="J2751"/>
      <c r="K2751"/>
      <c r="L2751"/>
      <c r="M2751"/>
      <c r="S2751" s="54"/>
    </row>
    <row r="2752" spans="1:19" s="15" customFormat="1" x14ac:dyDescent="0.3">
      <c r="A2752" s="17"/>
      <c r="B2752"/>
      <c r="C2752"/>
      <c r="D2752"/>
      <c r="E2752"/>
      <c r="F2752"/>
      <c r="G2752"/>
      <c r="H2752"/>
      <c r="I2752"/>
      <c r="J2752"/>
      <c r="K2752"/>
      <c r="L2752"/>
      <c r="M2752"/>
      <c r="S2752" s="54"/>
    </row>
    <row r="2753" spans="1:19" s="15" customFormat="1" x14ac:dyDescent="0.3">
      <c r="A2753" s="17"/>
      <c r="B2753"/>
      <c r="C2753"/>
      <c r="D2753"/>
      <c r="E2753"/>
      <c r="F2753"/>
      <c r="G2753"/>
      <c r="H2753"/>
      <c r="I2753"/>
      <c r="J2753"/>
      <c r="K2753"/>
      <c r="L2753"/>
      <c r="M2753"/>
      <c r="S2753" s="54"/>
    </row>
    <row r="2754" spans="1:19" s="15" customFormat="1" x14ac:dyDescent="0.3">
      <c r="A2754" s="17"/>
      <c r="B2754"/>
      <c r="C2754"/>
      <c r="D2754"/>
      <c r="E2754"/>
      <c r="F2754"/>
      <c r="G2754"/>
      <c r="H2754"/>
      <c r="I2754"/>
      <c r="J2754"/>
      <c r="K2754"/>
      <c r="L2754"/>
      <c r="M2754"/>
      <c r="S2754" s="54"/>
    </row>
    <row r="2755" spans="1:19" s="15" customFormat="1" x14ac:dyDescent="0.3">
      <c r="A2755" s="17"/>
      <c r="B2755"/>
      <c r="C2755"/>
      <c r="D2755"/>
      <c r="E2755"/>
      <c r="F2755"/>
      <c r="G2755"/>
      <c r="H2755"/>
      <c r="I2755"/>
      <c r="J2755"/>
      <c r="K2755"/>
      <c r="L2755"/>
      <c r="M2755"/>
      <c r="S2755" s="54"/>
    </row>
    <row r="2756" spans="1:19" s="15" customFormat="1" x14ac:dyDescent="0.3">
      <c r="A2756" s="17"/>
      <c r="B2756"/>
      <c r="C2756"/>
      <c r="D2756"/>
      <c r="E2756"/>
      <c r="F2756"/>
      <c r="G2756"/>
      <c r="H2756"/>
      <c r="I2756"/>
      <c r="J2756"/>
      <c r="K2756"/>
      <c r="L2756"/>
      <c r="M2756"/>
      <c r="S2756" s="54"/>
    </row>
    <row r="2757" spans="1:19" s="15" customFormat="1" x14ac:dyDescent="0.3">
      <c r="A2757" s="17"/>
      <c r="B2757"/>
      <c r="C2757"/>
      <c r="D2757"/>
      <c r="E2757"/>
      <c r="F2757"/>
      <c r="G2757"/>
      <c r="H2757"/>
      <c r="I2757"/>
      <c r="J2757"/>
      <c r="K2757"/>
      <c r="L2757"/>
      <c r="M2757"/>
      <c r="S2757" s="54"/>
    </row>
    <row r="2758" spans="1:19" s="15" customFormat="1" x14ac:dyDescent="0.3">
      <c r="A2758" s="17"/>
      <c r="B2758"/>
      <c r="C2758"/>
      <c r="D2758"/>
      <c r="E2758"/>
      <c r="F2758"/>
      <c r="G2758"/>
      <c r="H2758"/>
      <c r="I2758"/>
      <c r="J2758"/>
      <c r="K2758"/>
      <c r="L2758"/>
      <c r="M2758"/>
      <c r="S2758" s="54"/>
    </row>
    <row r="2759" spans="1:19" s="15" customFormat="1" x14ac:dyDescent="0.3">
      <c r="A2759" s="17"/>
      <c r="B2759"/>
      <c r="C2759"/>
      <c r="D2759"/>
      <c r="E2759"/>
      <c r="F2759"/>
      <c r="G2759"/>
      <c r="H2759"/>
      <c r="I2759"/>
      <c r="J2759"/>
      <c r="K2759"/>
      <c r="L2759"/>
      <c r="M2759"/>
      <c r="S2759" s="54"/>
    </row>
    <row r="2760" spans="1:19" s="15" customFormat="1" x14ac:dyDescent="0.3">
      <c r="A2760" s="17"/>
      <c r="B2760"/>
      <c r="C2760"/>
      <c r="D2760"/>
      <c r="E2760"/>
      <c r="F2760"/>
      <c r="G2760"/>
      <c r="H2760"/>
      <c r="I2760"/>
      <c r="J2760"/>
      <c r="K2760"/>
      <c r="L2760"/>
      <c r="M2760"/>
      <c r="S2760" s="54"/>
    </row>
    <row r="2761" spans="1:19" s="15" customFormat="1" x14ac:dyDescent="0.3">
      <c r="A2761" s="17"/>
      <c r="B2761"/>
      <c r="C2761"/>
      <c r="D2761"/>
      <c r="E2761"/>
      <c r="F2761"/>
      <c r="G2761"/>
      <c r="H2761"/>
      <c r="I2761"/>
      <c r="J2761"/>
      <c r="K2761"/>
      <c r="L2761"/>
      <c r="M2761"/>
      <c r="S2761" s="54"/>
    </row>
    <row r="2762" spans="1:19" s="15" customFormat="1" x14ac:dyDescent="0.3">
      <c r="A2762" s="17"/>
      <c r="B2762"/>
      <c r="C2762"/>
      <c r="D2762"/>
      <c r="E2762"/>
      <c r="F2762"/>
      <c r="G2762"/>
      <c r="H2762"/>
      <c r="I2762"/>
      <c r="J2762"/>
      <c r="K2762"/>
      <c r="L2762"/>
      <c r="M2762"/>
      <c r="S2762" s="54"/>
    </row>
    <row r="2763" spans="1:19" s="15" customFormat="1" x14ac:dyDescent="0.3">
      <c r="A2763" s="17"/>
      <c r="B2763"/>
      <c r="C2763"/>
      <c r="D2763"/>
      <c r="E2763"/>
      <c r="F2763"/>
      <c r="G2763"/>
      <c r="H2763"/>
      <c r="I2763"/>
      <c r="J2763"/>
      <c r="K2763"/>
      <c r="L2763"/>
      <c r="M2763"/>
      <c r="S2763" s="54"/>
    </row>
    <row r="2764" spans="1:19" s="15" customFormat="1" x14ac:dyDescent="0.3">
      <c r="A2764" s="17"/>
      <c r="B2764"/>
      <c r="C2764"/>
      <c r="D2764"/>
      <c r="E2764"/>
      <c r="F2764"/>
      <c r="G2764"/>
      <c r="H2764"/>
      <c r="I2764"/>
      <c r="J2764"/>
      <c r="K2764"/>
      <c r="L2764"/>
      <c r="M2764"/>
      <c r="S2764" s="54"/>
    </row>
    <row r="2765" spans="1:19" s="15" customFormat="1" x14ac:dyDescent="0.3">
      <c r="A2765" s="17"/>
      <c r="B2765"/>
      <c r="C2765"/>
      <c r="D2765"/>
      <c r="E2765"/>
      <c r="F2765"/>
      <c r="G2765"/>
      <c r="H2765"/>
      <c r="I2765"/>
      <c r="J2765"/>
      <c r="K2765"/>
      <c r="L2765"/>
      <c r="M2765"/>
      <c r="S2765" s="54"/>
    </row>
    <row r="2766" spans="1:19" s="15" customFormat="1" x14ac:dyDescent="0.3">
      <c r="A2766" s="17"/>
      <c r="B2766"/>
      <c r="C2766"/>
      <c r="D2766"/>
      <c r="E2766"/>
      <c r="F2766"/>
      <c r="G2766"/>
      <c r="H2766"/>
      <c r="I2766"/>
      <c r="J2766"/>
      <c r="K2766"/>
      <c r="L2766"/>
      <c r="M2766"/>
      <c r="S2766" s="54"/>
    </row>
    <row r="2767" spans="1:19" s="15" customFormat="1" x14ac:dyDescent="0.3">
      <c r="A2767" s="17"/>
      <c r="B2767"/>
      <c r="C2767"/>
      <c r="D2767"/>
      <c r="E2767"/>
      <c r="F2767"/>
      <c r="G2767"/>
      <c r="H2767"/>
      <c r="I2767"/>
      <c r="J2767"/>
      <c r="K2767"/>
      <c r="L2767"/>
      <c r="M2767"/>
      <c r="S2767" s="54"/>
    </row>
    <row r="2768" spans="1:19" s="15" customFormat="1" x14ac:dyDescent="0.3">
      <c r="A2768" s="17"/>
      <c r="B2768"/>
      <c r="C2768"/>
      <c r="D2768"/>
      <c r="E2768"/>
      <c r="F2768"/>
      <c r="G2768"/>
      <c r="H2768"/>
      <c r="I2768"/>
      <c r="J2768"/>
      <c r="K2768"/>
      <c r="L2768"/>
      <c r="M2768"/>
      <c r="S2768" s="54"/>
    </row>
    <row r="2769" spans="1:19" s="15" customFormat="1" x14ac:dyDescent="0.3">
      <c r="A2769" s="17"/>
      <c r="B2769"/>
      <c r="C2769"/>
      <c r="D2769"/>
      <c r="E2769"/>
      <c r="F2769"/>
      <c r="G2769"/>
      <c r="H2769"/>
      <c r="I2769"/>
      <c r="J2769"/>
      <c r="K2769"/>
      <c r="L2769"/>
      <c r="M2769"/>
      <c r="S2769" s="54"/>
    </row>
    <row r="2770" spans="1:19" s="15" customFormat="1" x14ac:dyDescent="0.3">
      <c r="A2770" s="17"/>
      <c r="B2770"/>
      <c r="C2770"/>
      <c r="D2770"/>
      <c r="E2770"/>
      <c r="F2770"/>
      <c r="G2770"/>
      <c r="H2770"/>
      <c r="I2770"/>
      <c r="J2770"/>
      <c r="K2770"/>
      <c r="L2770"/>
      <c r="M2770"/>
      <c r="S2770" s="54"/>
    </row>
    <row r="2771" spans="1:19" s="15" customFormat="1" x14ac:dyDescent="0.3">
      <c r="A2771" s="17"/>
      <c r="B2771"/>
      <c r="C2771"/>
      <c r="D2771"/>
      <c r="E2771"/>
      <c r="F2771"/>
      <c r="G2771"/>
      <c r="H2771"/>
      <c r="I2771"/>
      <c r="J2771"/>
      <c r="K2771"/>
      <c r="L2771"/>
      <c r="M2771"/>
      <c r="S2771" s="54"/>
    </row>
    <row r="2772" spans="1:19" s="15" customFormat="1" x14ac:dyDescent="0.3">
      <c r="A2772" s="17"/>
      <c r="B2772"/>
      <c r="C2772"/>
      <c r="D2772"/>
      <c r="E2772"/>
      <c r="F2772"/>
      <c r="G2772"/>
      <c r="H2772"/>
      <c r="I2772"/>
      <c r="J2772"/>
      <c r="K2772"/>
      <c r="L2772"/>
      <c r="M2772"/>
      <c r="S2772" s="54"/>
    </row>
    <row r="2773" spans="1:19" s="15" customFormat="1" x14ac:dyDescent="0.3">
      <c r="A2773" s="17"/>
      <c r="B2773"/>
      <c r="C2773"/>
      <c r="D2773"/>
      <c r="E2773"/>
      <c r="F2773"/>
      <c r="G2773"/>
      <c r="H2773"/>
      <c r="I2773"/>
      <c r="J2773"/>
      <c r="K2773"/>
      <c r="L2773"/>
      <c r="M2773"/>
      <c r="S2773" s="54"/>
    </row>
    <row r="2774" spans="1:19" s="15" customFormat="1" x14ac:dyDescent="0.3">
      <c r="A2774" s="17"/>
      <c r="B2774"/>
      <c r="C2774"/>
      <c r="D2774"/>
      <c r="E2774"/>
      <c r="F2774"/>
      <c r="G2774"/>
      <c r="H2774"/>
      <c r="I2774"/>
      <c r="J2774"/>
      <c r="K2774"/>
      <c r="L2774"/>
      <c r="M2774"/>
      <c r="S2774" s="54"/>
    </row>
    <row r="2775" spans="1:19" s="15" customFormat="1" x14ac:dyDescent="0.3">
      <c r="A2775" s="17"/>
      <c r="B2775"/>
      <c r="C2775"/>
      <c r="D2775"/>
      <c r="E2775"/>
      <c r="F2775"/>
      <c r="G2775"/>
      <c r="H2775"/>
      <c r="I2775"/>
      <c r="J2775"/>
      <c r="K2775"/>
      <c r="L2775"/>
      <c r="M2775"/>
      <c r="S2775" s="54"/>
    </row>
    <row r="2776" spans="1:19" s="15" customFormat="1" x14ac:dyDescent="0.3">
      <c r="A2776" s="17"/>
      <c r="B2776"/>
      <c r="C2776"/>
      <c r="D2776"/>
      <c r="E2776"/>
      <c r="F2776"/>
      <c r="G2776"/>
      <c r="H2776"/>
      <c r="I2776"/>
      <c r="J2776"/>
      <c r="K2776"/>
      <c r="L2776"/>
      <c r="M2776"/>
      <c r="S2776" s="54"/>
    </row>
    <row r="2777" spans="1:19" s="15" customFormat="1" x14ac:dyDescent="0.3">
      <c r="A2777" s="17"/>
      <c r="B2777"/>
      <c r="C2777"/>
      <c r="D2777"/>
      <c r="E2777"/>
      <c r="F2777"/>
      <c r="G2777"/>
      <c r="H2777"/>
      <c r="I2777"/>
      <c r="J2777"/>
      <c r="K2777"/>
      <c r="L2777"/>
      <c r="M2777"/>
      <c r="S2777" s="54"/>
    </row>
    <row r="2778" spans="1:19" s="15" customFormat="1" x14ac:dyDescent="0.3">
      <c r="A2778" s="17"/>
      <c r="B2778"/>
      <c r="C2778"/>
      <c r="D2778"/>
      <c r="E2778"/>
      <c r="F2778"/>
      <c r="G2778"/>
      <c r="H2778"/>
      <c r="I2778"/>
      <c r="J2778"/>
      <c r="K2778"/>
      <c r="L2778"/>
      <c r="M2778"/>
      <c r="S2778" s="54"/>
    </row>
    <row r="2779" spans="1:19" s="15" customFormat="1" x14ac:dyDescent="0.3">
      <c r="A2779" s="17"/>
      <c r="B2779"/>
      <c r="C2779"/>
      <c r="D2779"/>
      <c r="E2779"/>
      <c r="F2779"/>
      <c r="G2779"/>
      <c r="H2779"/>
      <c r="I2779"/>
      <c r="J2779"/>
      <c r="K2779"/>
      <c r="L2779"/>
      <c r="M2779"/>
      <c r="S2779" s="54"/>
    </row>
    <row r="2780" spans="1:19" s="15" customFormat="1" x14ac:dyDescent="0.3">
      <c r="A2780" s="17"/>
      <c r="B2780"/>
      <c r="C2780"/>
      <c r="D2780"/>
      <c r="E2780"/>
      <c r="F2780"/>
      <c r="G2780"/>
      <c r="H2780"/>
      <c r="I2780"/>
      <c r="J2780"/>
      <c r="K2780"/>
      <c r="L2780"/>
      <c r="M2780"/>
      <c r="S2780" s="54"/>
    </row>
    <row r="2781" spans="1:19" s="15" customFormat="1" x14ac:dyDescent="0.3">
      <c r="A2781" s="17"/>
      <c r="B2781"/>
      <c r="C2781"/>
      <c r="D2781"/>
      <c r="E2781"/>
      <c r="F2781"/>
      <c r="G2781"/>
      <c r="H2781"/>
      <c r="I2781"/>
      <c r="J2781"/>
      <c r="K2781"/>
      <c r="L2781"/>
      <c r="M2781"/>
      <c r="S2781" s="54"/>
    </row>
    <row r="2782" spans="1:19" s="15" customFormat="1" x14ac:dyDescent="0.3">
      <c r="A2782" s="17"/>
      <c r="B2782"/>
      <c r="C2782"/>
      <c r="D2782"/>
      <c r="E2782"/>
      <c r="F2782"/>
      <c r="G2782"/>
      <c r="H2782"/>
      <c r="I2782"/>
      <c r="J2782"/>
      <c r="K2782"/>
      <c r="L2782"/>
      <c r="M2782"/>
      <c r="S2782" s="54"/>
    </row>
    <row r="2783" spans="1:19" s="15" customFormat="1" x14ac:dyDescent="0.3">
      <c r="A2783" s="17"/>
      <c r="B2783"/>
      <c r="C2783"/>
      <c r="D2783"/>
      <c r="E2783"/>
      <c r="F2783"/>
      <c r="G2783"/>
      <c r="H2783"/>
      <c r="I2783"/>
      <c r="J2783"/>
      <c r="K2783"/>
      <c r="L2783"/>
      <c r="M2783"/>
      <c r="S2783" s="54"/>
    </row>
    <row r="2784" spans="1:19" s="15" customFormat="1" x14ac:dyDescent="0.3">
      <c r="A2784" s="17"/>
      <c r="B2784"/>
      <c r="C2784"/>
      <c r="D2784"/>
      <c r="E2784"/>
      <c r="F2784"/>
      <c r="G2784"/>
      <c r="H2784"/>
      <c r="I2784"/>
      <c r="J2784"/>
      <c r="K2784"/>
      <c r="L2784"/>
      <c r="M2784"/>
      <c r="S2784" s="54"/>
    </row>
    <row r="2785" spans="1:19" s="15" customFormat="1" x14ac:dyDescent="0.3">
      <c r="A2785" s="17"/>
      <c r="B2785"/>
      <c r="C2785"/>
      <c r="D2785"/>
      <c r="E2785"/>
      <c r="F2785"/>
      <c r="G2785"/>
      <c r="H2785"/>
      <c r="I2785"/>
      <c r="J2785"/>
      <c r="K2785"/>
      <c r="L2785"/>
      <c r="M2785"/>
      <c r="S2785" s="54"/>
    </row>
    <row r="2786" spans="1:19" s="15" customFormat="1" x14ac:dyDescent="0.3">
      <c r="A2786" s="17"/>
      <c r="B2786"/>
      <c r="C2786"/>
      <c r="D2786"/>
      <c r="E2786"/>
      <c r="F2786"/>
      <c r="G2786"/>
      <c r="H2786"/>
      <c r="I2786"/>
      <c r="J2786"/>
      <c r="K2786"/>
      <c r="L2786"/>
      <c r="M2786"/>
      <c r="S2786" s="54"/>
    </row>
    <row r="2787" spans="1:19" s="15" customFormat="1" x14ac:dyDescent="0.3">
      <c r="A2787" s="17"/>
      <c r="B2787"/>
      <c r="C2787"/>
      <c r="D2787"/>
      <c r="E2787"/>
      <c r="F2787"/>
      <c r="G2787"/>
      <c r="H2787"/>
      <c r="I2787"/>
      <c r="J2787"/>
      <c r="K2787"/>
      <c r="L2787"/>
      <c r="M2787"/>
      <c r="S2787" s="54"/>
    </row>
    <row r="2788" spans="1:19" s="15" customFormat="1" x14ac:dyDescent="0.3">
      <c r="A2788" s="17"/>
      <c r="B2788"/>
      <c r="C2788"/>
      <c r="D2788"/>
      <c r="E2788"/>
      <c r="F2788"/>
      <c r="G2788"/>
      <c r="H2788"/>
      <c r="I2788"/>
      <c r="J2788"/>
      <c r="K2788"/>
      <c r="L2788"/>
      <c r="M2788"/>
      <c r="S2788" s="54"/>
    </row>
    <row r="2789" spans="1:19" s="15" customFormat="1" x14ac:dyDescent="0.3">
      <c r="A2789" s="17"/>
      <c r="B2789"/>
      <c r="C2789"/>
      <c r="D2789"/>
      <c r="E2789"/>
      <c r="F2789"/>
      <c r="G2789"/>
      <c r="H2789"/>
      <c r="I2789"/>
      <c r="J2789"/>
      <c r="K2789"/>
      <c r="L2789"/>
      <c r="M2789"/>
      <c r="S2789" s="54"/>
    </row>
    <row r="2790" spans="1:19" s="15" customFormat="1" x14ac:dyDescent="0.3">
      <c r="A2790" s="17"/>
      <c r="B2790"/>
      <c r="C2790"/>
      <c r="D2790"/>
      <c r="E2790"/>
      <c r="F2790"/>
      <c r="G2790"/>
      <c r="H2790"/>
      <c r="I2790"/>
      <c r="J2790"/>
      <c r="K2790"/>
      <c r="L2790"/>
      <c r="M2790"/>
      <c r="S2790" s="54"/>
    </row>
    <row r="2791" spans="1:19" s="15" customFormat="1" x14ac:dyDescent="0.3">
      <c r="A2791" s="17"/>
      <c r="B2791"/>
      <c r="C2791"/>
      <c r="D2791"/>
      <c r="E2791"/>
      <c r="F2791"/>
      <c r="G2791"/>
      <c r="H2791"/>
      <c r="I2791"/>
      <c r="J2791"/>
      <c r="K2791"/>
      <c r="L2791"/>
      <c r="M2791"/>
      <c r="S2791" s="54"/>
    </row>
    <row r="2792" spans="1:19" s="15" customFormat="1" x14ac:dyDescent="0.3">
      <c r="A2792" s="17"/>
      <c r="B2792"/>
      <c r="C2792"/>
      <c r="D2792"/>
      <c r="E2792"/>
      <c r="F2792"/>
      <c r="G2792"/>
      <c r="H2792"/>
      <c r="I2792"/>
      <c r="J2792"/>
      <c r="K2792"/>
      <c r="L2792"/>
      <c r="M2792"/>
      <c r="S2792" s="54"/>
    </row>
    <row r="2793" spans="1:19" s="15" customFormat="1" x14ac:dyDescent="0.3">
      <c r="A2793" s="17"/>
      <c r="B2793"/>
      <c r="C2793"/>
      <c r="D2793"/>
      <c r="E2793"/>
      <c r="F2793"/>
      <c r="G2793"/>
      <c r="H2793"/>
      <c r="I2793"/>
      <c r="J2793"/>
      <c r="K2793"/>
      <c r="L2793"/>
      <c r="M2793"/>
      <c r="S2793" s="54"/>
    </row>
    <row r="2794" spans="1:19" s="15" customFormat="1" x14ac:dyDescent="0.3">
      <c r="A2794" s="17"/>
      <c r="B2794"/>
      <c r="C2794"/>
      <c r="D2794"/>
      <c r="E2794"/>
      <c r="F2794"/>
      <c r="G2794"/>
      <c r="H2794"/>
      <c r="I2794"/>
      <c r="J2794"/>
      <c r="K2794"/>
      <c r="L2794"/>
      <c r="M2794"/>
      <c r="S2794" s="54"/>
    </row>
    <row r="2795" spans="1:19" s="15" customFormat="1" x14ac:dyDescent="0.3">
      <c r="A2795" s="17"/>
      <c r="B2795"/>
      <c r="C2795"/>
      <c r="D2795"/>
      <c r="E2795"/>
      <c r="F2795"/>
      <c r="G2795"/>
      <c r="H2795"/>
      <c r="I2795"/>
      <c r="J2795"/>
      <c r="K2795"/>
      <c r="L2795"/>
      <c r="M2795"/>
      <c r="S2795" s="54"/>
    </row>
    <row r="2796" spans="1:19" s="15" customFormat="1" x14ac:dyDescent="0.3">
      <c r="A2796" s="17"/>
      <c r="B2796"/>
      <c r="C2796"/>
      <c r="D2796"/>
      <c r="E2796"/>
      <c r="F2796"/>
      <c r="G2796"/>
      <c r="H2796"/>
      <c r="I2796"/>
      <c r="J2796"/>
      <c r="K2796"/>
      <c r="L2796"/>
      <c r="M2796"/>
      <c r="S2796" s="54"/>
    </row>
    <row r="2797" spans="1:19" s="15" customFormat="1" x14ac:dyDescent="0.3">
      <c r="A2797" s="17"/>
      <c r="B2797"/>
      <c r="C2797"/>
      <c r="D2797"/>
      <c r="E2797"/>
      <c r="F2797"/>
      <c r="G2797"/>
      <c r="H2797"/>
      <c r="I2797"/>
      <c r="J2797"/>
      <c r="K2797"/>
      <c r="L2797"/>
      <c r="M2797"/>
      <c r="S2797" s="54"/>
    </row>
    <row r="2798" spans="1:19" s="15" customFormat="1" x14ac:dyDescent="0.3">
      <c r="A2798" s="17"/>
      <c r="B2798"/>
      <c r="C2798"/>
      <c r="D2798"/>
      <c r="E2798"/>
      <c r="F2798"/>
      <c r="G2798"/>
      <c r="H2798"/>
      <c r="I2798"/>
      <c r="J2798"/>
      <c r="K2798"/>
      <c r="L2798"/>
      <c r="M2798"/>
      <c r="S2798" s="54"/>
    </row>
    <row r="2799" spans="1:19" s="15" customFormat="1" x14ac:dyDescent="0.3">
      <c r="A2799" s="17"/>
      <c r="B2799"/>
      <c r="C2799"/>
      <c r="D2799"/>
      <c r="E2799"/>
      <c r="F2799"/>
      <c r="G2799"/>
      <c r="H2799"/>
      <c r="I2799"/>
      <c r="J2799"/>
      <c r="K2799"/>
      <c r="L2799"/>
      <c r="M2799"/>
      <c r="S2799" s="54"/>
    </row>
    <row r="2800" spans="1:19" s="15" customFormat="1" x14ac:dyDescent="0.3">
      <c r="A2800" s="17"/>
      <c r="B2800"/>
      <c r="C2800"/>
      <c r="D2800"/>
      <c r="E2800"/>
      <c r="F2800"/>
      <c r="G2800"/>
      <c r="H2800"/>
      <c r="I2800"/>
      <c r="J2800"/>
      <c r="K2800"/>
      <c r="L2800"/>
      <c r="M2800"/>
      <c r="S2800" s="54"/>
    </row>
    <row r="2801" spans="1:19" s="15" customFormat="1" x14ac:dyDescent="0.3">
      <c r="A2801" s="17"/>
      <c r="B2801"/>
      <c r="C2801"/>
      <c r="D2801"/>
      <c r="E2801"/>
      <c r="F2801"/>
      <c r="G2801"/>
      <c r="H2801"/>
      <c r="I2801"/>
      <c r="J2801"/>
      <c r="K2801"/>
      <c r="L2801"/>
      <c r="M2801"/>
      <c r="S2801" s="54"/>
    </row>
    <row r="2802" spans="1:19" s="15" customFormat="1" x14ac:dyDescent="0.3">
      <c r="A2802" s="17"/>
      <c r="B2802"/>
      <c r="C2802"/>
      <c r="D2802"/>
      <c r="E2802"/>
      <c r="F2802"/>
      <c r="G2802"/>
      <c r="H2802"/>
      <c r="I2802"/>
      <c r="J2802"/>
      <c r="K2802"/>
      <c r="L2802"/>
      <c r="M2802"/>
      <c r="S2802" s="54"/>
    </row>
    <row r="2803" spans="1:19" s="15" customFormat="1" x14ac:dyDescent="0.3">
      <c r="A2803" s="17"/>
      <c r="B2803"/>
      <c r="C2803"/>
      <c r="D2803"/>
      <c r="E2803"/>
      <c r="F2803"/>
      <c r="G2803"/>
      <c r="H2803"/>
      <c r="I2803"/>
      <c r="J2803"/>
      <c r="K2803"/>
      <c r="L2803"/>
      <c r="M2803"/>
      <c r="S2803" s="54"/>
    </row>
    <row r="2804" spans="1:19" s="15" customFormat="1" x14ac:dyDescent="0.3">
      <c r="A2804" s="17"/>
      <c r="B2804"/>
      <c r="C2804"/>
      <c r="D2804"/>
      <c r="E2804"/>
      <c r="F2804"/>
      <c r="G2804"/>
      <c r="H2804"/>
      <c r="I2804"/>
      <c r="J2804"/>
      <c r="K2804"/>
      <c r="L2804"/>
      <c r="M2804"/>
      <c r="S2804" s="54"/>
    </row>
    <row r="2805" spans="1:19" s="15" customFormat="1" x14ac:dyDescent="0.3">
      <c r="A2805" s="17"/>
      <c r="B2805"/>
      <c r="C2805"/>
      <c r="D2805"/>
      <c r="E2805"/>
      <c r="F2805"/>
      <c r="G2805"/>
      <c r="H2805"/>
      <c r="I2805"/>
      <c r="J2805"/>
      <c r="K2805"/>
      <c r="L2805"/>
      <c r="M2805"/>
      <c r="S2805" s="54"/>
    </row>
    <row r="2806" spans="1:19" s="15" customFormat="1" x14ac:dyDescent="0.3">
      <c r="A2806" s="17"/>
      <c r="B2806"/>
      <c r="C2806"/>
      <c r="D2806"/>
      <c r="E2806"/>
      <c r="F2806"/>
      <c r="G2806"/>
      <c r="H2806"/>
      <c r="I2806"/>
      <c r="J2806"/>
      <c r="K2806"/>
      <c r="L2806"/>
      <c r="M2806"/>
      <c r="S2806" s="54"/>
    </row>
    <row r="2807" spans="1:19" s="15" customFormat="1" x14ac:dyDescent="0.3">
      <c r="A2807" s="17"/>
      <c r="B2807"/>
      <c r="C2807"/>
      <c r="D2807"/>
      <c r="E2807"/>
      <c r="F2807"/>
      <c r="G2807"/>
      <c r="H2807"/>
      <c r="I2807"/>
      <c r="J2807"/>
      <c r="K2807"/>
      <c r="L2807"/>
      <c r="M2807"/>
      <c r="S2807" s="54"/>
    </row>
    <row r="2808" spans="1:19" s="15" customFormat="1" x14ac:dyDescent="0.3">
      <c r="A2808" s="17"/>
      <c r="B2808"/>
      <c r="C2808"/>
      <c r="D2808"/>
      <c r="E2808"/>
      <c r="F2808"/>
      <c r="G2808"/>
      <c r="H2808"/>
      <c r="I2808"/>
      <c r="J2808"/>
      <c r="K2808"/>
      <c r="L2808"/>
      <c r="M2808"/>
      <c r="S2808" s="54"/>
    </row>
    <row r="2809" spans="1:19" s="15" customFormat="1" x14ac:dyDescent="0.3">
      <c r="A2809" s="17"/>
      <c r="B2809"/>
      <c r="C2809"/>
      <c r="D2809"/>
      <c r="E2809"/>
      <c r="F2809"/>
      <c r="G2809"/>
      <c r="H2809"/>
      <c r="I2809"/>
      <c r="J2809"/>
      <c r="K2809"/>
      <c r="L2809"/>
      <c r="M2809"/>
      <c r="S2809" s="54"/>
    </row>
    <row r="2810" spans="1:19" s="15" customFormat="1" x14ac:dyDescent="0.3">
      <c r="A2810" s="17"/>
      <c r="B2810"/>
      <c r="C2810"/>
      <c r="D2810"/>
      <c r="E2810"/>
      <c r="F2810"/>
      <c r="G2810"/>
      <c r="H2810"/>
      <c r="I2810"/>
      <c r="J2810"/>
      <c r="K2810"/>
      <c r="L2810"/>
      <c r="M2810"/>
      <c r="S2810" s="54"/>
    </row>
    <row r="2811" spans="1:19" s="15" customFormat="1" x14ac:dyDescent="0.3">
      <c r="A2811" s="17"/>
      <c r="B2811"/>
      <c r="C2811"/>
      <c r="D2811"/>
      <c r="E2811"/>
      <c r="F2811"/>
      <c r="G2811"/>
      <c r="H2811"/>
      <c r="I2811"/>
      <c r="J2811"/>
      <c r="K2811"/>
      <c r="L2811"/>
      <c r="M2811"/>
      <c r="S2811" s="54"/>
    </row>
    <row r="2812" spans="1:19" s="15" customFormat="1" x14ac:dyDescent="0.3">
      <c r="A2812" s="17"/>
      <c r="B2812"/>
      <c r="C2812"/>
      <c r="D2812"/>
      <c r="E2812"/>
      <c r="F2812"/>
      <c r="G2812"/>
      <c r="H2812"/>
      <c r="I2812"/>
      <c r="J2812"/>
      <c r="K2812"/>
      <c r="L2812"/>
      <c r="M2812"/>
      <c r="S2812" s="54"/>
    </row>
    <row r="2813" spans="1:19" s="15" customFormat="1" x14ac:dyDescent="0.3">
      <c r="A2813" s="17"/>
      <c r="B2813"/>
      <c r="C2813"/>
      <c r="D2813"/>
      <c r="E2813"/>
      <c r="F2813"/>
      <c r="G2813"/>
      <c r="H2813"/>
      <c r="I2813"/>
      <c r="J2813"/>
      <c r="K2813"/>
      <c r="L2813"/>
      <c r="M2813"/>
      <c r="S2813" s="54"/>
    </row>
    <row r="2814" spans="1:19" s="15" customFormat="1" x14ac:dyDescent="0.3">
      <c r="A2814" s="17"/>
      <c r="B2814"/>
      <c r="C2814"/>
      <c r="D2814"/>
      <c r="E2814"/>
      <c r="F2814"/>
      <c r="G2814"/>
      <c r="H2814"/>
      <c r="I2814"/>
      <c r="J2814"/>
      <c r="K2814"/>
      <c r="L2814"/>
      <c r="M2814"/>
      <c r="S2814" s="54"/>
    </row>
    <row r="2815" spans="1:19" s="15" customFormat="1" x14ac:dyDescent="0.3">
      <c r="A2815" s="17"/>
      <c r="B2815"/>
      <c r="C2815"/>
      <c r="D2815"/>
      <c r="E2815"/>
      <c r="F2815"/>
      <c r="G2815"/>
      <c r="H2815"/>
      <c r="I2815"/>
      <c r="J2815"/>
      <c r="K2815"/>
      <c r="L2815"/>
      <c r="M2815"/>
      <c r="S2815" s="54"/>
    </row>
    <row r="2816" spans="1:19" s="15" customFormat="1" x14ac:dyDescent="0.3">
      <c r="A2816" s="17"/>
      <c r="B2816"/>
      <c r="C2816"/>
      <c r="D2816"/>
      <c r="E2816"/>
      <c r="F2816"/>
      <c r="G2816"/>
      <c r="H2816"/>
      <c r="I2816"/>
      <c r="J2816"/>
      <c r="K2816"/>
      <c r="L2816"/>
      <c r="M2816"/>
      <c r="S2816" s="54"/>
    </row>
    <row r="2817" spans="1:19" s="15" customFormat="1" x14ac:dyDescent="0.3">
      <c r="A2817" s="17"/>
      <c r="B2817"/>
      <c r="C2817"/>
      <c r="D2817"/>
      <c r="E2817"/>
      <c r="F2817"/>
      <c r="G2817"/>
      <c r="H2817"/>
      <c r="I2817"/>
      <c r="J2817"/>
      <c r="K2817"/>
      <c r="L2817"/>
      <c r="M2817"/>
      <c r="S2817" s="54"/>
    </row>
    <row r="2818" spans="1:19" s="15" customFormat="1" x14ac:dyDescent="0.3">
      <c r="A2818" s="17"/>
      <c r="B2818"/>
      <c r="C2818"/>
      <c r="D2818"/>
      <c r="E2818"/>
      <c r="F2818"/>
      <c r="G2818"/>
      <c r="H2818"/>
      <c r="I2818"/>
      <c r="J2818"/>
      <c r="K2818"/>
      <c r="L2818"/>
      <c r="M2818"/>
      <c r="S2818" s="54"/>
    </row>
    <row r="2819" spans="1:19" s="15" customFormat="1" x14ac:dyDescent="0.3">
      <c r="A2819" s="17"/>
      <c r="B2819"/>
      <c r="C2819"/>
      <c r="D2819"/>
      <c r="E2819"/>
      <c r="F2819"/>
      <c r="G2819"/>
      <c r="H2819"/>
      <c r="I2819"/>
      <c r="J2819"/>
      <c r="K2819"/>
      <c r="L2819"/>
      <c r="M2819"/>
      <c r="S2819" s="54"/>
    </row>
    <row r="2820" spans="1:19" s="15" customFormat="1" x14ac:dyDescent="0.3">
      <c r="A2820" s="17"/>
      <c r="B2820"/>
      <c r="C2820"/>
      <c r="D2820"/>
      <c r="E2820"/>
      <c r="F2820"/>
      <c r="G2820"/>
      <c r="H2820"/>
      <c r="I2820"/>
      <c r="J2820"/>
      <c r="K2820"/>
      <c r="L2820"/>
      <c r="M2820"/>
      <c r="S2820" s="54"/>
    </row>
    <row r="2821" spans="1:19" s="15" customFormat="1" x14ac:dyDescent="0.3">
      <c r="A2821" s="17"/>
      <c r="B2821"/>
      <c r="C2821"/>
      <c r="D2821"/>
      <c r="E2821"/>
      <c r="F2821"/>
      <c r="G2821"/>
      <c r="H2821"/>
      <c r="I2821"/>
      <c r="J2821"/>
      <c r="K2821"/>
      <c r="L2821"/>
      <c r="M2821"/>
      <c r="S2821" s="54"/>
    </row>
    <row r="2822" spans="1:19" s="15" customFormat="1" x14ac:dyDescent="0.3">
      <c r="A2822" s="17"/>
      <c r="B2822"/>
      <c r="C2822"/>
      <c r="D2822"/>
      <c r="E2822"/>
      <c r="F2822"/>
      <c r="G2822"/>
      <c r="H2822"/>
      <c r="I2822"/>
      <c r="J2822"/>
      <c r="K2822"/>
      <c r="L2822"/>
      <c r="M2822"/>
      <c r="S2822" s="54"/>
    </row>
    <row r="2823" spans="1:19" s="15" customFormat="1" x14ac:dyDescent="0.3">
      <c r="A2823" s="17"/>
      <c r="B2823"/>
      <c r="C2823"/>
      <c r="D2823"/>
      <c r="E2823"/>
      <c r="F2823"/>
      <c r="G2823"/>
      <c r="H2823"/>
      <c r="I2823"/>
      <c r="J2823"/>
      <c r="K2823"/>
      <c r="L2823"/>
      <c r="M2823"/>
      <c r="S2823" s="54"/>
    </row>
    <row r="2824" spans="1:19" s="15" customFormat="1" x14ac:dyDescent="0.3">
      <c r="A2824" s="17"/>
      <c r="B2824"/>
      <c r="C2824"/>
      <c r="D2824"/>
      <c r="E2824"/>
      <c r="F2824"/>
      <c r="G2824"/>
      <c r="H2824"/>
      <c r="I2824"/>
      <c r="J2824"/>
      <c r="K2824"/>
      <c r="L2824"/>
      <c r="M2824"/>
      <c r="S2824" s="54"/>
    </row>
    <row r="2825" spans="1:19" s="15" customFormat="1" x14ac:dyDescent="0.3">
      <c r="A2825" s="17"/>
      <c r="B2825"/>
      <c r="C2825"/>
      <c r="D2825"/>
      <c r="E2825"/>
      <c r="F2825"/>
      <c r="G2825"/>
      <c r="H2825"/>
      <c r="I2825"/>
      <c r="J2825"/>
      <c r="K2825"/>
      <c r="L2825"/>
      <c r="M2825"/>
      <c r="S2825" s="54"/>
    </row>
    <row r="2826" spans="1:19" s="15" customFormat="1" x14ac:dyDescent="0.3">
      <c r="A2826" s="17"/>
      <c r="B2826"/>
      <c r="C2826"/>
      <c r="D2826"/>
      <c r="E2826"/>
      <c r="F2826"/>
      <c r="G2826"/>
      <c r="H2826"/>
      <c r="I2826"/>
      <c r="J2826"/>
      <c r="K2826"/>
      <c r="L2826"/>
      <c r="M2826"/>
      <c r="S2826" s="54"/>
    </row>
    <row r="2827" spans="1:19" s="15" customFormat="1" x14ac:dyDescent="0.3">
      <c r="A2827" s="17"/>
      <c r="B2827"/>
      <c r="C2827"/>
      <c r="D2827"/>
      <c r="E2827"/>
      <c r="F2827"/>
      <c r="G2827"/>
      <c r="H2827"/>
      <c r="I2827"/>
      <c r="J2827"/>
      <c r="K2827"/>
      <c r="L2827"/>
      <c r="M2827"/>
      <c r="S2827" s="54"/>
    </row>
    <row r="2828" spans="1:19" s="15" customFormat="1" x14ac:dyDescent="0.3">
      <c r="A2828" s="17"/>
      <c r="B2828"/>
      <c r="C2828"/>
      <c r="D2828"/>
      <c r="E2828"/>
      <c r="F2828"/>
      <c r="G2828"/>
      <c r="H2828"/>
      <c r="I2828"/>
      <c r="J2828"/>
      <c r="K2828"/>
      <c r="L2828"/>
      <c r="M2828"/>
      <c r="S2828" s="54"/>
    </row>
    <row r="2829" spans="1:19" s="15" customFormat="1" x14ac:dyDescent="0.3">
      <c r="A2829" s="17"/>
      <c r="B2829"/>
      <c r="C2829"/>
      <c r="D2829"/>
      <c r="E2829"/>
      <c r="F2829"/>
      <c r="G2829"/>
      <c r="H2829"/>
      <c r="I2829"/>
      <c r="J2829"/>
      <c r="K2829"/>
      <c r="L2829"/>
      <c r="M2829"/>
      <c r="S2829" s="54"/>
    </row>
    <row r="2830" spans="1:19" s="15" customFormat="1" x14ac:dyDescent="0.3">
      <c r="A2830" s="17"/>
      <c r="B2830"/>
      <c r="C2830"/>
      <c r="D2830"/>
      <c r="E2830"/>
      <c r="F2830"/>
      <c r="G2830"/>
      <c r="H2830"/>
      <c r="I2830"/>
      <c r="J2830"/>
      <c r="K2830"/>
      <c r="L2830"/>
      <c r="M2830"/>
      <c r="S2830" s="54"/>
    </row>
    <row r="2831" spans="1:19" s="15" customFormat="1" x14ac:dyDescent="0.3">
      <c r="A2831" s="17"/>
      <c r="B2831"/>
      <c r="C2831"/>
      <c r="D2831"/>
      <c r="E2831"/>
      <c r="F2831"/>
      <c r="G2831"/>
      <c r="H2831"/>
      <c r="I2831"/>
      <c r="J2831"/>
      <c r="K2831"/>
      <c r="L2831"/>
      <c r="M2831"/>
      <c r="S2831" s="54"/>
    </row>
    <row r="2832" spans="1:19" s="15" customFormat="1" x14ac:dyDescent="0.3">
      <c r="A2832" s="17"/>
      <c r="B2832"/>
      <c r="C2832"/>
      <c r="D2832"/>
      <c r="E2832"/>
      <c r="F2832"/>
      <c r="G2832"/>
      <c r="H2832"/>
      <c r="I2832"/>
      <c r="J2832"/>
      <c r="K2832"/>
      <c r="L2832"/>
      <c r="M2832"/>
      <c r="S2832" s="54"/>
    </row>
    <row r="2833" spans="1:19" s="15" customFormat="1" x14ac:dyDescent="0.3">
      <c r="A2833" s="17"/>
      <c r="B2833"/>
      <c r="C2833"/>
      <c r="D2833"/>
      <c r="E2833"/>
      <c r="F2833"/>
      <c r="G2833"/>
      <c r="H2833"/>
      <c r="I2833"/>
      <c r="J2833"/>
      <c r="K2833"/>
      <c r="L2833"/>
      <c r="M2833"/>
      <c r="S2833" s="54"/>
    </row>
    <row r="2834" spans="1:19" s="15" customFormat="1" x14ac:dyDescent="0.3">
      <c r="A2834" s="17"/>
      <c r="B2834"/>
      <c r="C2834"/>
      <c r="D2834"/>
      <c r="E2834"/>
      <c r="F2834"/>
      <c r="G2834"/>
      <c r="H2834"/>
      <c r="I2834"/>
      <c r="J2834"/>
      <c r="K2834"/>
      <c r="L2834"/>
      <c r="M2834"/>
      <c r="S2834" s="54"/>
    </row>
    <row r="2835" spans="1:19" s="15" customFormat="1" x14ac:dyDescent="0.3">
      <c r="A2835" s="17"/>
      <c r="B2835"/>
      <c r="C2835"/>
      <c r="D2835"/>
      <c r="E2835"/>
      <c r="F2835"/>
      <c r="G2835"/>
      <c r="H2835"/>
      <c r="I2835"/>
      <c r="J2835"/>
      <c r="K2835"/>
      <c r="L2835"/>
      <c r="M2835"/>
      <c r="S2835" s="54"/>
    </row>
    <row r="2836" spans="1:19" s="15" customFormat="1" x14ac:dyDescent="0.3">
      <c r="A2836" s="17"/>
      <c r="B2836"/>
      <c r="C2836"/>
      <c r="D2836"/>
      <c r="E2836"/>
      <c r="F2836"/>
      <c r="G2836"/>
      <c r="H2836"/>
      <c r="I2836"/>
      <c r="J2836"/>
      <c r="K2836"/>
      <c r="L2836"/>
      <c r="M2836"/>
      <c r="S2836" s="54"/>
    </row>
    <row r="2837" spans="1:19" s="15" customFormat="1" x14ac:dyDescent="0.3">
      <c r="A2837" s="17"/>
      <c r="B2837"/>
      <c r="C2837"/>
      <c r="D2837"/>
      <c r="E2837"/>
      <c r="F2837"/>
      <c r="G2837"/>
      <c r="H2837"/>
      <c r="I2837"/>
      <c r="J2837"/>
      <c r="K2837"/>
      <c r="L2837"/>
      <c r="M2837"/>
      <c r="S2837" s="54"/>
    </row>
    <row r="2838" spans="1:19" s="15" customFormat="1" x14ac:dyDescent="0.3">
      <c r="A2838" s="17"/>
      <c r="B2838"/>
      <c r="C2838"/>
      <c r="D2838"/>
      <c r="E2838"/>
      <c r="F2838"/>
      <c r="G2838"/>
      <c r="H2838"/>
      <c r="I2838"/>
      <c r="J2838"/>
      <c r="K2838"/>
      <c r="L2838"/>
      <c r="M2838"/>
      <c r="S2838" s="54"/>
    </row>
    <row r="2839" spans="1:19" s="15" customFormat="1" x14ac:dyDescent="0.3">
      <c r="A2839" s="17"/>
      <c r="B2839"/>
      <c r="C2839"/>
      <c r="D2839"/>
      <c r="E2839"/>
      <c r="F2839"/>
      <c r="G2839"/>
      <c r="H2839"/>
      <c r="I2839"/>
      <c r="J2839"/>
      <c r="K2839"/>
      <c r="L2839"/>
      <c r="M2839"/>
      <c r="S2839" s="54"/>
    </row>
    <row r="2840" spans="1:19" s="15" customFormat="1" x14ac:dyDescent="0.3">
      <c r="A2840" s="17"/>
      <c r="B2840"/>
      <c r="C2840"/>
      <c r="D2840"/>
      <c r="E2840"/>
      <c r="F2840"/>
      <c r="G2840"/>
      <c r="H2840"/>
      <c r="I2840"/>
      <c r="J2840"/>
      <c r="K2840"/>
      <c r="L2840"/>
      <c r="M2840"/>
      <c r="S2840" s="54"/>
    </row>
    <row r="2841" spans="1:19" s="15" customFormat="1" x14ac:dyDescent="0.3">
      <c r="A2841" s="17"/>
      <c r="B2841"/>
      <c r="C2841"/>
      <c r="D2841"/>
      <c r="E2841"/>
      <c r="F2841"/>
      <c r="G2841"/>
      <c r="H2841"/>
      <c r="I2841"/>
      <c r="J2841"/>
      <c r="K2841"/>
      <c r="L2841"/>
      <c r="M2841"/>
      <c r="S2841" s="54"/>
    </row>
    <row r="2842" spans="1:19" s="15" customFormat="1" x14ac:dyDescent="0.3">
      <c r="A2842" s="17"/>
      <c r="B2842"/>
      <c r="C2842"/>
      <c r="D2842"/>
      <c r="E2842"/>
      <c r="F2842"/>
      <c r="G2842"/>
      <c r="H2842"/>
      <c r="I2842"/>
      <c r="J2842"/>
      <c r="K2842"/>
      <c r="L2842"/>
      <c r="M2842"/>
      <c r="S2842" s="54"/>
    </row>
    <row r="2843" spans="1:19" s="15" customFormat="1" x14ac:dyDescent="0.3">
      <c r="A2843" s="17"/>
      <c r="B2843"/>
      <c r="C2843"/>
      <c r="D2843"/>
      <c r="E2843"/>
      <c r="F2843"/>
      <c r="G2843"/>
      <c r="H2843"/>
      <c r="I2843"/>
      <c r="J2843"/>
      <c r="K2843"/>
      <c r="L2843"/>
      <c r="M2843"/>
      <c r="S2843" s="54"/>
    </row>
    <row r="2844" spans="1:19" s="15" customFormat="1" x14ac:dyDescent="0.3">
      <c r="A2844" s="17"/>
      <c r="B2844"/>
      <c r="C2844"/>
      <c r="D2844"/>
      <c r="E2844"/>
      <c r="F2844"/>
      <c r="G2844"/>
      <c r="H2844"/>
      <c r="I2844"/>
      <c r="J2844"/>
      <c r="K2844"/>
      <c r="L2844"/>
      <c r="M2844"/>
      <c r="S2844" s="54"/>
    </row>
    <row r="2845" spans="1:19" s="15" customFormat="1" x14ac:dyDescent="0.3">
      <c r="A2845" s="17"/>
      <c r="B2845"/>
      <c r="C2845"/>
      <c r="D2845"/>
      <c r="E2845"/>
      <c r="F2845"/>
      <c r="G2845"/>
      <c r="H2845"/>
      <c r="I2845"/>
      <c r="J2845"/>
      <c r="K2845"/>
      <c r="L2845"/>
      <c r="M2845"/>
      <c r="S2845" s="54"/>
    </row>
    <row r="2846" spans="1:19" s="15" customFormat="1" x14ac:dyDescent="0.3">
      <c r="A2846" s="17"/>
      <c r="B2846"/>
      <c r="C2846"/>
      <c r="D2846"/>
      <c r="E2846"/>
      <c r="F2846"/>
      <c r="G2846"/>
      <c r="H2846"/>
      <c r="I2846"/>
      <c r="J2846"/>
      <c r="K2846"/>
      <c r="L2846"/>
      <c r="M2846"/>
      <c r="S2846" s="54"/>
    </row>
    <row r="2847" spans="1:19" s="15" customFormat="1" x14ac:dyDescent="0.3">
      <c r="A2847" s="17"/>
      <c r="B2847"/>
      <c r="C2847"/>
      <c r="D2847"/>
      <c r="E2847"/>
      <c r="F2847"/>
      <c r="G2847"/>
      <c r="H2847"/>
      <c r="I2847"/>
      <c r="J2847"/>
      <c r="K2847"/>
      <c r="L2847"/>
      <c r="M2847"/>
      <c r="S2847" s="54"/>
    </row>
    <row r="2848" spans="1:19" s="15" customFormat="1" x14ac:dyDescent="0.3">
      <c r="A2848" s="17"/>
      <c r="B2848"/>
      <c r="C2848"/>
      <c r="D2848"/>
      <c r="E2848"/>
      <c r="F2848"/>
      <c r="G2848"/>
      <c r="H2848"/>
      <c r="I2848"/>
      <c r="J2848"/>
      <c r="K2848"/>
      <c r="L2848"/>
      <c r="M2848"/>
      <c r="S2848" s="54"/>
    </row>
    <row r="2849" spans="1:19" s="15" customFormat="1" x14ac:dyDescent="0.3">
      <c r="A2849" s="17"/>
      <c r="B2849"/>
      <c r="C2849"/>
      <c r="D2849"/>
      <c r="E2849"/>
      <c r="F2849"/>
      <c r="G2849"/>
      <c r="H2849"/>
      <c r="I2849"/>
      <c r="J2849"/>
      <c r="K2849"/>
      <c r="L2849"/>
      <c r="M2849"/>
      <c r="S2849" s="54"/>
    </row>
    <row r="2850" spans="1:19" s="15" customFormat="1" x14ac:dyDescent="0.3">
      <c r="A2850" s="17"/>
      <c r="B2850"/>
      <c r="C2850"/>
      <c r="D2850"/>
      <c r="E2850"/>
      <c r="F2850"/>
      <c r="G2850"/>
      <c r="H2850"/>
      <c r="I2850"/>
      <c r="J2850"/>
      <c r="K2850"/>
      <c r="L2850"/>
      <c r="M2850"/>
      <c r="S2850" s="54"/>
    </row>
    <row r="2851" spans="1:19" s="15" customFormat="1" x14ac:dyDescent="0.3">
      <c r="A2851" s="17"/>
      <c r="B2851"/>
      <c r="C2851"/>
      <c r="D2851"/>
      <c r="E2851"/>
      <c r="F2851"/>
      <c r="G2851"/>
      <c r="H2851"/>
      <c r="I2851"/>
      <c r="J2851"/>
      <c r="K2851"/>
      <c r="L2851"/>
      <c r="M2851"/>
      <c r="S2851" s="54"/>
    </row>
    <row r="2852" spans="1:19" s="15" customFormat="1" x14ac:dyDescent="0.3">
      <c r="A2852" s="17"/>
      <c r="B2852"/>
      <c r="C2852"/>
      <c r="D2852"/>
      <c r="E2852"/>
      <c r="F2852"/>
      <c r="G2852"/>
      <c r="H2852"/>
      <c r="I2852"/>
      <c r="J2852"/>
      <c r="K2852"/>
      <c r="L2852"/>
      <c r="M2852"/>
      <c r="S2852" s="54"/>
    </row>
    <row r="2853" spans="1:19" s="15" customFormat="1" x14ac:dyDescent="0.3">
      <c r="A2853" s="17"/>
      <c r="B2853"/>
      <c r="C2853"/>
      <c r="D2853"/>
      <c r="E2853"/>
      <c r="F2853"/>
      <c r="G2853"/>
      <c r="H2853"/>
      <c r="I2853"/>
      <c r="J2853"/>
      <c r="K2853"/>
      <c r="L2853"/>
      <c r="M2853"/>
      <c r="S2853" s="54"/>
    </row>
    <row r="2854" spans="1:19" s="15" customFormat="1" x14ac:dyDescent="0.3">
      <c r="A2854" s="17"/>
      <c r="B2854"/>
      <c r="C2854"/>
      <c r="D2854"/>
      <c r="E2854"/>
      <c r="F2854"/>
      <c r="G2854"/>
      <c r="H2854"/>
      <c r="I2854"/>
      <c r="J2854"/>
      <c r="K2854"/>
      <c r="L2854"/>
      <c r="M2854"/>
      <c r="S2854" s="54"/>
    </row>
    <row r="2855" spans="1:19" s="15" customFormat="1" x14ac:dyDescent="0.3">
      <c r="A2855" s="17"/>
      <c r="B2855"/>
      <c r="C2855"/>
      <c r="D2855"/>
      <c r="E2855"/>
      <c r="F2855"/>
      <c r="G2855"/>
      <c r="H2855"/>
      <c r="I2855"/>
      <c r="J2855"/>
      <c r="K2855"/>
      <c r="L2855"/>
      <c r="M2855"/>
      <c r="S2855" s="54"/>
    </row>
    <row r="2856" spans="1:19" s="15" customFormat="1" x14ac:dyDescent="0.3">
      <c r="A2856" s="17"/>
      <c r="B2856"/>
      <c r="C2856"/>
      <c r="D2856"/>
      <c r="E2856"/>
      <c r="F2856"/>
      <c r="G2856"/>
      <c r="H2856"/>
      <c r="I2856"/>
      <c r="J2856"/>
      <c r="K2856"/>
      <c r="L2856"/>
      <c r="M2856"/>
      <c r="S2856" s="54"/>
    </row>
    <row r="2857" spans="1:19" s="15" customFormat="1" x14ac:dyDescent="0.3">
      <c r="A2857" s="17"/>
      <c r="B2857"/>
      <c r="C2857"/>
      <c r="D2857"/>
      <c r="E2857"/>
      <c r="F2857"/>
      <c r="G2857"/>
      <c r="H2857"/>
      <c r="I2857"/>
      <c r="J2857"/>
      <c r="K2857"/>
      <c r="L2857"/>
      <c r="M2857"/>
      <c r="S2857" s="54"/>
    </row>
    <row r="2858" spans="1:19" s="15" customFormat="1" x14ac:dyDescent="0.3">
      <c r="A2858" s="17"/>
      <c r="B2858"/>
      <c r="C2858"/>
      <c r="D2858"/>
      <c r="E2858"/>
      <c r="F2858"/>
      <c r="G2858"/>
      <c r="H2858"/>
      <c r="I2858"/>
      <c r="J2858"/>
      <c r="K2858"/>
      <c r="L2858"/>
      <c r="M2858"/>
      <c r="S2858" s="54"/>
    </row>
    <row r="2859" spans="1:19" s="15" customFormat="1" x14ac:dyDescent="0.3">
      <c r="A2859" s="17"/>
      <c r="B2859"/>
      <c r="C2859"/>
      <c r="D2859"/>
      <c r="E2859"/>
      <c r="F2859"/>
      <c r="G2859"/>
      <c r="H2859"/>
      <c r="I2859"/>
      <c r="J2859"/>
      <c r="K2859"/>
      <c r="L2859"/>
      <c r="M2859"/>
      <c r="S2859" s="54"/>
    </row>
    <row r="2860" spans="1:19" s="15" customFormat="1" x14ac:dyDescent="0.3">
      <c r="A2860" s="17"/>
      <c r="B2860"/>
      <c r="C2860"/>
      <c r="D2860"/>
      <c r="E2860"/>
      <c r="F2860"/>
      <c r="G2860"/>
      <c r="H2860"/>
      <c r="I2860"/>
      <c r="J2860"/>
      <c r="K2860"/>
      <c r="L2860"/>
      <c r="M2860"/>
      <c r="S2860" s="54"/>
    </row>
    <row r="2861" spans="1:19" s="15" customFormat="1" x14ac:dyDescent="0.3">
      <c r="A2861" s="17"/>
      <c r="B2861"/>
      <c r="C2861"/>
      <c r="D2861"/>
      <c r="E2861"/>
      <c r="F2861"/>
      <c r="G2861"/>
      <c r="H2861"/>
      <c r="I2861"/>
      <c r="J2861"/>
      <c r="K2861"/>
      <c r="L2861"/>
      <c r="M2861"/>
      <c r="S2861" s="54"/>
    </row>
    <row r="2862" spans="1:19" s="15" customFormat="1" x14ac:dyDescent="0.3">
      <c r="A2862" s="17"/>
      <c r="B2862"/>
      <c r="C2862"/>
      <c r="D2862"/>
      <c r="E2862"/>
      <c r="F2862"/>
      <c r="G2862"/>
      <c r="H2862"/>
      <c r="I2862"/>
      <c r="J2862"/>
      <c r="K2862"/>
      <c r="L2862"/>
      <c r="M2862"/>
      <c r="S2862" s="54"/>
    </row>
    <row r="2863" spans="1:19" s="15" customFormat="1" x14ac:dyDescent="0.3">
      <c r="A2863" s="17"/>
      <c r="B2863"/>
      <c r="C2863"/>
      <c r="D2863"/>
      <c r="E2863"/>
      <c r="F2863"/>
      <c r="G2863"/>
      <c r="H2863"/>
      <c r="I2863"/>
      <c r="J2863"/>
      <c r="K2863"/>
      <c r="L2863"/>
      <c r="M2863"/>
      <c r="S2863" s="54"/>
    </row>
    <row r="2864" spans="1:19" s="15" customFormat="1" x14ac:dyDescent="0.3">
      <c r="A2864" s="17"/>
      <c r="B2864"/>
      <c r="C2864"/>
      <c r="D2864"/>
      <c r="E2864"/>
      <c r="F2864"/>
      <c r="G2864"/>
      <c r="H2864"/>
      <c r="I2864"/>
      <c r="J2864"/>
      <c r="K2864"/>
      <c r="L2864"/>
      <c r="M2864"/>
      <c r="S2864" s="54"/>
    </row>
    <row r="2865" spans="1:19" s="15" customFormat="1" x14ac:dyDescent="0.3">
      <c r="A2865" s="17"/>
      <c r="B2865"/>
      <c r="C2865"/>
      <c r="D2865"/>
      <c r="E2865"/>
      <c r="F2865"/>
      <c r="G2865"/>
      <c r="H2865"/>
      <c r="I2865"/>
      <c r="J2865"/>
      <c r="K2865"/>
      <c r="L2865"/>
      <c r="M2865"/>
      <c r="S2865" s="54"/>
    </row>
    <row r="2866" spans="1:19" s="15" customFormat="1" x14ac:dyDescent="0.3">
      <c r="A2866" s="17"/>
      <c r="B2866"/>
      <c r="C2866"/>
      <c r="D2866"/>
      <c r="E2866"/>
      <c r="F2866"/>
      <c r="G2866"/>
      <c r="H2866"/>
      <c r="I2866"/>
      <c r="J2866"/>
      <c r="K2866"/>
      <c r="L2866"/>
      <c r="M2866"/>
      <c r="S2866" s="54"/>
    </row>
    <row r="2867" spans="1:19" s="15" customFormat="1" x14ac:dyDescent="0.3">
      <c r="A2867" s="17"/>
      <c r="B2867"/>
      <c r="C2867"/>
      <c r="D2867"/>
      <c r="E2867"/>
      <c r="F2867"/>
      <c r="G2867"/>
      <c r="H2867"/>
      <c r="I2867"/>
      <c r="J2867"/>
      <c r="K2867"/>
      <c r="L2867"/>
      <c r="M2867"/>
      <c r="S2867" s="54"/>
    </row>
    <row r="2868" spans="1:19" s="15" customFormat="1" x14ac:dyDescent="0.3">
      <c r="A2868" s="17"/>
      <c r="B2868"/>
      <c r="C2868"/>
      <c r="D2868"/>
      <c r="E2868"/>
      <c r="F2868"/>
      <c r="G2868"/>
      <c r="H2868"/>
      <c r="I2868"/>
      <c r="J2868"/>
      <c r="K2868"/>
      <c r="L2868"/>
      <c r="M2868"/>
      <c r="S2868" s="54"/>
    </row>
    <row r="2869" spans="1:19" s="15" customFormat="1" x14ac:dyDescent="0.3">
      <c r="A2869" s="17"/>
      <c r="B2869"/>
      <c r="C2869"/>
      <c r="D2869"/>
      <c r="E2869"/>
      <c r="F2869"/>
      <c r="G2869"/>
      <c r="H2869"/>
      <c r="I2869"/>
      <c r="J2869"/>
      <c r="K2869"/>
      <c r="L2869"/>
      <c r="M2869"/>
      <c r="S2869" s="54"/>
    </row>
    <row r="2870" spans="1:19" s="15" customFormat="1" x14ac:dyDescent="0.3">
      <c r="A2870" s="17"/>
      <c r="B2870"/>
      <c r="C2870"/>
      <c r="D2870"/>
      <c r="E2870"/>
      <c r="F2870"/>
      <c r="G2870"/>
      <c r="H2870"/>
      <c r="I2870"/>
      <c r="J2870"/>
      <c r="K2870"/>
      <c r="L2870"/>
      <c r="M2870"/>
      <c r="S2870" s="54"/>
    </row>
    <row r="2871" spans="1:19" s="15" customFormat="1" x14ac:dyDescent="0.3">
      <c r="A2871" s="17"/>
      <c r="B2871"/>
      <c r="C2871"/>
      <c r="D2871"/>
      <c r="E2871"/>
      <c r="F2871"/>
      <c r="G2871"/>
      <c r="H2871"/>
      <c r="I2871"/>
      <c r="J2871"/>
      <c r="K2871"/>
      <c r="L2871"/>
      <c r="M2871"/>
      <c r="S2871" s="54"/>
    </row>
    <row r="2872" spans="1:19" s="15" customFormat="1" x14ac:dyDescent="0.3">
      <c r="A2872" s="17"/>
      <c r="B2872"/>
      <c r="C2872"/>
      <c r="D2872"/>
      <c r="E2872"/>
      <c r="F2872"/>
      <c r="G2872"/>
      <c r="H2872"/>
      <c r="I2872"/>
      <c r="J2872"/>
      <c r="K2872"/>
      <c r="L2872"/>
      <c r="M2872"/>
      <c r="S2872" s="54"/>
    </row>
    <row r="2873" spans="1:19" s="15" customFormat="1" x14ac:dyDescent="0.3">
      <c r="A2873" s="17"/>
      <c r="B2873"/>
      <c r="C2873"/>
      <c r="D2873"/>
      <c r="E2873"/>
      <c r="F2873"/>
      <c r="G2873"/>
      <c r="H2873"/>
      <c r="I2873"/>
      <c r="J2873"/>
      <c r="K2873"/>
      <c r="L2873"/>
      <c r="M2873"/>
      <c r="S2873" s="54"/>
    </row>
    <row r="2874" spans="1:19" s="15" customFormat="1" x14ac:dyDescent="0.3">
      <c r="A2874" s="17"/>
      <c r="B2874"/>
      <c r="C2874"/>
      <c r="D2874"/>
      <c r="E2874"/>
      <c r="F2874"/>
      <c r="G2874"/>
      <c r="H2874"/>
      <c r="I2874"/>
      <c r="J2874"/>
      <c r="K2874"/>
      <c r="L2874"/>
      <c r="M2874"/>
      <c r="S2874" s="54"/>
    </row>
    <row r="2875" spans="1:19" s="15" customFormat="1" x14ac:dyDescent="0.3">
      <c r="A2875" s="17"/>
      <c r="B2875"/>
      <c r="C2875"/>
      <c r="D2875"/>
      <c r="E2875"/>
      <c r="F2875"/>
      <c r="G2875"/>
      <c r="H2875"/>
      <c r="I2875"/>
      <c r="J2875"/>
      <c r="K2875"/>
      <c r="L2875"/>
      <c r="M2875"/>
      <c r="S2875" s="54"/>
    </row>
    <row r="2876" spans="1:19" s="15" customFormat="1" x14ac:dyDescent="0.3">
      <c r="A2876" s="17"/>
      <c r="B2876"/>
      <c r="C2876"/>
      <c r="D2876"/>
      <c r="E2876"/>
      <c r="F2876"/>
      <c r="G2876"/>
      <c r="H2876"/>
      <c r="I2876"/>
      <c r="J2876"/>
      <c r="K2876"/>
      <c r="L2876"/>
      <c r="M2876"/>
      <c r="S2876" s="54"/>
    </row>
    <row r="2877" spans="1:19" s="15" customFormat="1" x14ac:dyDescent="0.3">
      <c r="A2877" s="17"/>
      <c r="B2877"/>
      <c r="C2877"/>
      <c r="D2877"/>
      <c r="E2877"/>
      <c r="F2877"/>
      <c r="G2877"/>
      <c r="H2877"/>
      <c r="I2877"/>
      <c r="J2877"/>
      <c r="K2877"/>
      <c r="L2877"/>
      <c r="M2877"/>
      <c r="S2877" s="54"/>
    </row>
    <row r="2878" spans="1:19" s="15" customFormat="1" x14ac:dyDescent="0.3">
      <c r="A2878" s="17"/>
      <c r="B2878"/>
      <c r="C2878"/>
      <c r="D2878"/>
      <c r="E2878"/>
      <c r="F2878"/>
      <c r="G2878"/>
      <c r="H2878"/>
      <c r="I2878"/>
      <c r="J2878"/>
      <c r="K2878"/>
      <c r="L2878"/>
      <c r="M2878"/>
      <c r="S2878" s="54"/>
    </row>
    <row r="2879" spans="1:19" s="15" customFormat="1" x14ac:dyDescent="0.3">
      <c r="A2879" s="17"/>
      <c r="B2879"/>
      <c r="C2879"/>
      <c r="D2879"/>
      <c r="E2879"/>
      <c r="F2879"/>
      <c r="G2879"/>
      <c r="H2879"/>
      <c r="I2879"/>
      <c r="J2879"/>
      <c r="K2879"/>
      <c r="L2879"/>
      <c r="M2879"/>
      <c r="S2879" s="54"/>
    </row>
    <row r="2880" spans="1:19" s="15" customFormat="1" x14ac:dyDescent="0.3">
      <c r="A2880" s="17"/>
      <c r="B2880"/>
      <c r="C2880"/>
      <c r="D2880"/>
      <c r="E2880"/>
      <c r="F2880"/>
      <c r="G2880"/>
      <c r="H2880"/>
      <c r="I2880"/>
      <c r="J2880"/>
      <c r="K2880"/>
      <c r="L2880"/>
      <c r="M2880"/>
      <c r="S2880" s="54"/>
    </row>
    <row r="2881" spans="1:19" s="15" customFormat="1" x14ac:dyDescent="0.3">
      <c r="A2881" s="17"/>
      <c r="B2881"/>
      <c r="C2881"/>
      <c r="D2881"/>
      <c r="E2881"/>
      <c r="F2881"/>
      <c r="G2881"/>
      <c r="H2881"/>
      <c r="I2881"/>
      <c r="J2881"/>
      <c r="K2881"/>
      <c r="L2881"/>
      <c r="M2881"/>
      <c r="S2881" s="54"/>
    </row>
    <row r="2882" spans="1:19" s="15" customFormat="1" x14ac:dyDescent="0.3">
      <c r="A2882" s="17"/>
      <c r="B2882"/>
      <c r="C2882"/>
      <c r="D2882"/>
      <c r="E2882"/>
      <c r="F2882"/>
      <c r="G2882"/>
      <c r="H2882"/>
      <c r="I2882"/>
      <c r="J2882"/>
      <c r="K2882"/>
      <c r="L2882"/>
      <c r="M2882"/>
      <c r="S2882" s="54"/>
    </row>
    <row r="2883" spans="1:19" s="15" customFormat="1" x14ac:dyDescent="0.3">
      <c r="A2883" s="17"/>
      <c r="B2883"/>
      <c r="C2883"/>
      <c r="D2883"/>
      <c r="E2883"/>
      <c r="F2883"/>
      <c r="G2883"/>
      <c r="H2883"/>
      <c r="I2883"/>
      <c r="J2883"/>
      <c r="K2883"/>
      <c r="L2883"/>
      <c r="M2883"/>
      <c r="S2883" s="54"/>
    </row>
    <row r="2884" spans="1:19" s="15" customFormat="1" x14ac:dyDescent="0.3">
      <c r="A2884" s="17"/>
      <c r="B2884"/>
      <c r="C2884"/>
      <c r="D2884"/>
      <c r="E2884"/>
      <c r="F2884"/>
      <c r="G2884"/>
      <c r="H2884"/>
      <c r="I2884"/>
      <c r="J2884"/>
      <c r="K2884"/>
      <c r="L2884"/>
      <c r="M2884"/>
      <c r="S2884" s="54"/>
    </row>
    <row r="2885" spans="1:19" s="15" customFormat="1" x14ac:dyDescent="0.3">
      <c r="A2885" s="17"/>
      <c r="B2885"/>
      <c r="C2885"/>
      <c r="D2885"/>
      <c r="E2885"/>
      <c r="F2885"/>
      <c r="G2885"/>
      <c r="H2885"/>
      <c r="I2885"/>
      <c r="J2885"/>
      <c r="K2885"/>
      <c r="L2885"/>
      <c r="M2885"/>
      <c r="S2885" s="54"/>
    </row>
    <row r="2886" spans="1:19" s="15" customFormat="1" x14ac:dyDescent="0.3">
      <c r="A2886" s="17"/>
      <c r="B2886"/>
      <c r="C2886"/>
      <c r="D2886"/>
      <c r="E2886"/>
      <c r="F2886"/>
      <c r="G2886"/>
      <c r="H2886"/>
      <c r="I2886"/>
      <c r="J2886"/>
      <c r="K2886"/>
      <c r="L2886"/>
      <c r="M2886"/>
      <c r="S2886" s="54"/>
    </row>
    <row r="2887" spans="1:19" s="15" customFormat="1" x14ac:dyDescent="0.3">
      <c r="A2887" s="17"/>
      <c r="B2887"/>
      <c r="C2887"/>
      <c r="D2887"/>
      <c r="E2887"/>
      <c r="F2887"/>
      <c r="G2887"/>
      <c r="H2887"/>
      <c r="I2887"/>
      <c r="J2887"/>
      <c r="K2887"/>
      <c r="L2887"/>
      <c r="M2887"/>
      <c r="S2887" s="54"/>
    </row>
    <row r="2888" spans="1:19" s="15" customFormat="1" x14ac:dyDescent="0.3">
      <c r="A2888" s="17"/>
      <c r="B2888"/>
      <c r="C2888"/>
      <c r="D2888"/>
      <c r="E2888"/>
      <c r="F2888"/>
      <c r="G2888"/>
      <c r="H2888"/>
      <c r="I2888"/>
      <c r="J2888"/>
      <c r="K2888"/>
      <c r="L2888"/>
      <c r="M2888"/>
      <c r="S2888" s="54"/>
    </row>
    <row r="2889" spans="1:19" s="15" customFormat="1" x14ac:dyDescent="0.3">
      <c r="A2889" s="17"/>
      <c r="B2889"/>
      <c r="C2889"/>
      <c r="D2889"/>
      <c r="E2889"/>
      <c r="F2889"/>
      <c r="G2889"/>
      <c r="H2889"/>
      <c r="I2889"/>
      <c r="J2889"/>
      <c r="K2889"/>
      <c r="L2889"/>
      <c r="M2889"/>
      <c r="S2889" s="54"/>
    </row>
    <row r="2890" spans="1:19" s="15" customFormat="1" x14ac:dyDescent="0.3">
      <c r="A2890" s="17"/>
      <c r="B2890"/>
      <c r="C2890"/>
      <c r="D2890"/>
      <c r="E2890"/>
      <c r="F2890"/>
      <c r="G2890"/>
      <c r="H2890"/>
      <c r="I2890"/>
      <c r="J2890"/>
      <c r="K2890"/>
      <c r="L2890"/>
      <c r="M2890"/>
      <c r="S2890" s="54"/>
    </row>
    <row r="2891" spans="1:19" s="15" customFormat="1" x14ac:dyDescent="0.3">
      <c r="A2891" s="17"/>
      <c r="B2891"/>
      <c r="C2891"/>
      <c r="D2891"/>
      <c r="E2891"/>
      <c r="F2891"/>
      <c r="G2891"/>
      <c r="H2891"/>
      <c r="I2891"/>
      <c r="J2891"/>
      <c r="K2891"/>
      <c r="L2891"/>
      <c r="M2891"/>
      <c r="S2891" s="54"/>
    </row>
    <row r="2892" spans="1:19" s="15" customFormat="1" x14ac:dyDescent="0.3">
      <c r="A2892" s="17"/>
      <c r="B2892"/>
      <c r="C2892"/>
      <c r="D2892"/>
      <c r="E2892"/>
      <c r="F2892"/>
      <c r="G2892"/>
      <c r="H2892"/>
      <c r="I2892"/>
      <c r="J2892"/>
      <c r="K2892"/>
      <c r="L2892"/>
      <c r="M2892"/>
      <c r="S2892" s="54"/>
    </row>
    <row r="2893" spans="1:19" s="15" customFormat="1" x14ac:dyDescent="0.3">
      <c r="A2893" s="17"/>
      <c r="B2893"/>
      <c r="C2893"/>
      <c r="D2893"/>
      <c r="E2893"/>
      <c r="F2893"/>
      <c r="G2893"/>
      <c r="H2893"/>
      <c r="I2893"/>
      <c r="J2893"/>
      <c r="K2893"/>
      <c r="L2893"/>
      <c r="M2893"/>
      <c r="S2893" s="54"/>
    </row>
    <row r="2894" spans="1:19" s="15" customFormat="1" x14ac:dyDescent="0.3">
      <c r="A2894" s="17"/>
      <c r="B2894"/>
      <c r="C2894"/>
      <c r="D2894"/>
      <c r="E2894"/>
      <c r="F2894"/>
      <c r="G2894"/>
      <c r="H2894"/>
      <c r="I2894"/>
      <c r="J2894"/>
      <c r="K2894"/>
      <c r="L2894"/>
      <c r="M2894"/>
      <c r="S2894" s="54"/>
    </row>
    <row r="2895" spans="1:19" s="15" customFormat="1" x14ac:dyDescent="0.3">
      <c r="A2895" s="17"/>
      <c r="B2895"/>
      <c r="C2895"/>
      <c r="D2895"/>
      <c r="E2895"/>
      <c r="F2895"/>
      <c r="G2895"/>
      <c r="H2895"/>
      <c r="I2895"/>
      <c r="J2895"/>
      <c r="K2895"/>
      <c r="L2895"/>
      <c r="M2895"/>
      <c r="S2895" s="54"/>
    </row>
    <row r="2896" spans="1:19" s="15" customFormat="1" x14ac:dyDescent="0.3">
      <c r="A2896" s="17"/>
      <c r="B2896"/>
      <c r="C2896"/>
      <c r="D2896"/>
      <c r="E2896"/>
      <c r="F2896"/>
      <c r="G2896"/>
      <c r="H2896"/>
      <c r="I2896"/>
      <c r="J2896"/>
      <c r="K2896"/>
      <c r="L2896"/>
      <c r="M2896"/>
      <c r="S2896" s="54"/>
    </row>
    <row r="2897" spans="1:19" s="15" customFormat="1" x14ac:dyDescent="0.3">
      <c r="A2897" s="17"/>
      <c r="B2897"/>
      <c r="C2897"/>
      <c r="D2897"/>
      <c r="E2897"/>
      <c r="F2897"/>
      <c r="G2897"/>
      <c r="H2897"/>
      <c r="I2897"/>
      <c r="J2897"/>
      <c r="K2897"/>
      <c r="L2897"/>
      <c r="M2897"/>
      <c r="S2897" s="54"/>
    </row>
    <row r="2898" spans="1:19" s="15" customFormat="1" x14ac:dyDescent="0.3">
      <c r="A2898" s="17"/>
      <c r="B2898"/>
      <c r="C2898"/>
      <c r="D2898"/>
      <c r="E2898"/>
      <c r="F2898"/>
      <c r="G2898"/>
      <c r="H2898"/>
      <c r="I2898"/>
      <c r="J2898"/>
      <c r="K2898"/>
      <c r="L2898"/>
      <c r="M2898"/>
      <c r="S2898" s="54"/>
    </row>
    <row r="2899" spans="1:19" s="15" customFormat="1" x14ac:dyDescent="0.3">
      <c r="A2899" s="17"/>
      <c r="B2899"/>
      <c r="C2899"/>
      <c r="D2899"/>
      <c r="E2899"/>
      <c r="F2899"/>
      <c r="G2899"/>
      <c r="H2899"/>
      <c r="I2899"/>
      <c r="J2899"/>
      <c r="K2899"/>
      <c r="L2899"/>
      <c r="M2899"/>
      <c r="S2899" s="54"/>
    </row>
    <row r="2900" spans="1:19" s="15" customFormat="1" x14ac:dyDescent="0.3">
      <c r="A2900" s="17"/>
      <c r="B2900"/>
      <c r="C2900"/>
      <c r="D2900"/>
      <c r="E2900"/>
      <c r="F2900"/>
      <c r="G2900"/>
      <c r="H2900"/>
      <c r="I2900"/>
      <c r="J2900"/>
      <c r="K2900"/>
      <c r="L2900"/>
      <c r="M2900"/>
      <c r="S2900" s="54"/>
    </row>
    <row r="2901" spans="1:19" s="15" customFormat="1" x14ac:dyDescent="0.3">
      <c r="A2901" s="17"/>
      <c r="B2901"/>
      <c r="C2901"/>
      <c r="D2901"/>
      <c r="E2901"/>
      <c r="F2901"/>
      <c r="G2901"/>
      <c r="H2901"/>
      <c r="I2901"/>
      <c r="J2901"/>
      <c r="K2901"/>
      <c r="L2901"/>
      <c r="M2901"/>
      <c r="S2901" s="54"/>
    </row>
    <row r="2902" spans="1:19" s="15" customFormat="1" x14ac:dyDescent="0.3">
      <c r="A2902" s="17"/>
      <c r="B2902"/>
      <c r="C2902"/>
      <c r="D2902"/>
      <c r="E2902"/>
      <c r="F2902"/>
      <c r="G2902"/>
      <c r="H2902"/>
      <c r="I2902"/>
      <c r="J2902"/>
      <c r="K2902"/>
      <c r="L2902"/>
      <c r="M2902"/>
      <c r="S2902" s="54"/>
    </row>
    <row r="2903" spans="1:19" s="15" customFormat="1" x14ac:dyDescent="0.3">
      <c r="A2903" s="17"/>
      <c r="B2903"/>
      <c r="C2903"/>
      <c r="D2903"/>
      <c r="E2903"/>
      <c r="F2903"/>
      <c r="G2903"/>
      <c r="H2903"/>
      <c r="I2903"/>
      <c r="J2903"/>
      <c r="K2903"/>
      <c r="L2903"/>
      <c r="M2903"/>
      <c r="S2903" s="54"/>
    </row>
    <row r="2904" spans="1:19" s="15" customFormat="1" x14ac:dyDescent="0.3">
      <c r="A2904" s="17"/>
      <c r="B2904"/>
      <c r="C2904"/>
      <c r="D2904"/>
      <c r="E2904"/>
      <c r="F2904"/>
      <c r="G2904"/>
      <c r="H2904"/>
      <c r="I2904"/>
      <c r="J2904"/>
      <c r="K2904"/>
      <c r="L2904"/>
      <c r="M2904"/>
      <c r="S2904" s="54"/>
    </row>
    <row r="2905" spans="1:19" s="15" customFormat="1" x14ac:dyDescent="0.3">
      <c r="A2905" s="17"/>
      <c r="B2905"/>
      <c r="C2905"/>
      <c r="D2905"/>
      <c r="E2905"/>
      <c r="F2905"/>
      <c r="G2905"/>
      <c r="H2905"/>
      <c r="I2905"/>
      <c r="J2905"/>
      <c r="K2905"/>
      <c r="L2905"/>
      <c r="M2905"/>
      <c r="S2905" s="54"/>
    </row>
    <row r="2906" spans="1:19" s="15" customFormat="1" x14ac:dyDescent="0.3">
      <c r="A2906" s="17"/>
      <c r="B2906"/>
      <c r="C2906"/>
      <c r="D2906"/>
      <c r="E2906"/>
      <c r="F2906"/>
      <c r="G2906"/>
      <c r="H2906"/>
      <c r="I2906"/>
      <c r="J2906"/>
      <c r="K2906"/>
      <c r="L2906"/>
      <c r="M2906"/>
      <c r="S2906" s="54"/>
    </row>
    <row r="2907" spans="1:19" s="15" customFormat="1" x14ac:dyDescent="0.3">
      <c r="A2907" s="17"/>
      <c r="B2907"/>
      <c r="C2907"/>
      <c r="D2907"/>
      <c r="E2907"/>
      <c r="F2907"/>
      <c r="G2907"/>
      <c r="H2907"/>
      <c r="I2907"/>
      <c r="J2907"/>
      <c r="K2907"/>
      <c r="L2907"/>
      <c r="M2907"/>
      <c r="S2907" s="54"/>
    </row>
    <row r="2908" spans="1:19" s="15" customFormat="1" x14ac:dyDescent="0.3">
      <c r="A2908" s="17"/>
      <c r="B2908"/>
      <c r="C2908"/>
      <c r="D2908"/>
      <c r="E2908"/>
      <c r="F2908"/>
      <c r="G2908"/>
      <c r="H2908"/>
      <c r="I2908"/>
      <c r="J2908"/>
      <c r="K2908"/>
      <c r="L2908"/>
      <c r="M2908"/>
      <c r="S2908" s="54"/>
    </row>
    <row r="2909" spans="1:19" s="15" customFormat="1" x14ac:dyDescent="0.3">
      <c r="A2909" s="17"/>
      <c r="B2909"/>
      <c r="C2909"/>
      <c r="D2909"/>
      <c r="E2909"/>
      <c r="F2909"/>
      <c r="G2909"/>
      <c r="H2909"/>
      <c r="I2909"/>
      <c r="J2909"/>
      <c r="K2909"/>
      <c r="L2909"/>
      <c r="M2909"/>
      <c r="S2909" s="54"/>
    </row>
    <row r="2910" spans="1:19" s="15" customFormat="1" x14ac:dyDescent="0.3">
      <c r="A2910" s="17"/>
      <c r="B2910"/>
      <c r="C2910"/>
      <c r="D2910"/>
      <c r="E2910"/>
      <c r="F2910"/>
      <c r="G2910"/>
      <c r="H2910"/>
      <c r="I2910"/>
      <c r="J2910"/>
      <c r="K2910"/>
      <c r="L2910"/>
      <c r="M2910"/>
      <c r="S2910" s="54"/>
    </row>
    <row r="2911" spans="1:19" s="15" customFormat="1" x14ac:dyDescent="0.3">
      <c r="A2911" s="17"/>
      <c r="B2911"/>
      <c r="C2911"/>
      <c r="D2911"/>
      <c r="E2911"/>
      <c r="F2911"/>
      <c r="G2911"/>
      <c r="H2911"/>
      <c r="I2911"/>
      <c r="J2911"/>
      <c r="K2911"/>
      <c r="L2911"/>
      <c r="M2911"/>
      <c r="S2911" s="54"/>
    </row>
    <row r="2912" spans="1:19" s="15" customFormat="1" x14ac:dyDescent="0.3">
      <c r="A2912" s="17"/>
      <c r="B2912"/>
      <c r="C2912"/>
      <c r="D2912"/>
      <c r="E2912"/>
      <c r="F2912"/>
      <c r="G2912"/>
      <c r="H2912"/>
      <c r="I2912"/>
      <c r="J2912"/>
      <c r="K2912"/>
      <c r="L2912"/>
      <c r="M2912"/>
      <c r="S2912" s="54"/>
    </row>
    <row r="2913" spans="1:19" s="15" customFormat="1" x14ac:dyDescent="0.3">
      <c r="A2913" s="17"/>
      <c r="B2913"/>
      <c r="C2913"/>
      <c r="D2913"/>
      <c r="E2913"/>
      <c r="F2913"/>
      <c r="G2913"/>
      <c r="H2913"/>
      <c r="I2913"/>
      <c r="J2913"/>
      <c r="K2913"/>
      <c r="L2913"/>
      <c r="M2913"/>
      <c r="S2913" s="54"/>
    </row>
    <row r="2914" spans="1:19" s="15" customFormat="1" x14ac:dyDescent="0.3">
      <c r="A2914" s="17"/>
      <c r="B2914"/>
      <c r="C2914"/>
      <c r="D2914"/>
      <c r="E2914"/>
      <c r="F2914"/>
      <c r="G2914"/>
      <c r="H2914"/>
      <c r="I2914"/>
      <c r="J2914"/>
      <c r="K2914"/>
      <c r="L2914"/>
      <c r="M2914"/>
      <c r="S2914" s="54"/>
    </row>
    <row r="2915" spans="1:19" s="15" customFormat="1" x14ac:dyDescent="0.3">
      <c r="A2915" s="17"/>
      <c r="B2915"/>
      <c r="C2915"/>
      <c r="D2915"/>
      <c r="E2915"/>
      <c r="F2915"/>
      <c r="G2915"/>
      <c r="H2915"/>
      <c r="I2915"/>
      <c r="J2915"/>
      <c r="K2915"/>
      <c r="L2915"/>
      <c r="M2915"/>
      <c r="S2915" s="54"/>
    </row>
    <row r="2916" spans="1:19" s="15" customFormat="1" x14ac:dyDescent="0.3">
      <c r="A2916" s="17"/>
      <c r="B2916"/>
      <c r="C2916"/>
      <c r="D2916"/>
      <c r="E2916"/>
      <c r="F2916"/>
      <c r="G2916"/>
      <c r="H2916"/>
      <c r="I2916"/>
      <c r="J2916"/>
      <c r="K2916"/>
      <c r="L2916"/>
      <c r="M2916"/>
      <c r="S2916" s="54"/>
    </row>
    <row r="2917" spans="1:19" s="15" customFormat="1" x14ac:dyDescent="0.3">
      <c r="A2917" s="17"/>
      <c r="B2917"/>
      <c r="C2917"/>
      <c r="D2917"/>
      <c r="E2917"/>
      <c r="F2917"/>
      <c r="G2917"/>
      <c r="H2917"/>
      <c r="I2917"/>
      <c r="J2917"/>
      <c r="K2917"/>
      <c r="L2917"/>
      <c r="M2917"/>
      <c r="S2917" s="54"/>
    </row>
    <row r="2918" spans="1:19" s="15" customFormat="1" x14ac:dyDescent="0.3">
      <c r="A2918" s="17"/>
      <c r="B2918"/>
      <c r="C2918"/>
      <c r="D2918"/>
      <c r="E2918"/>
      <c r="F2918"/>
      <c r="G2918"/>
      <c r="H2918"/>
      <c r="I2918"/>
      <c r="J2918"/>
      <c r="K2918"/>
      <c r="L2918"/>
      <c r="M2918"/>
      <c r="S2918" s="54"/>
    </row>
    <row r="2919" spans="1:19" s="15" customFormat="1" x14ac:dyDescent="0.3">
      <c r="A2919" s="17"/>
      <c r="B2919"/>
      <c r="C2919"/>
      <c r="D2919"/>
      <c r="E2919"/>
      <c r="F2919"/>
      <c r="G2919"/>
      <c r="H2919"/>
      <c r="I2919"/>
      <c r="J2919"/>
      <c r="K2919"/>
      <c r="L2919"/>
      <c r="M2919"/>
      <c r="S2919" s="54"/>
    </row>
    <row r="2920" spans="1:19" s="15" customFormat="1" x14ac:dyDescent="0.3">
      <c r="A2920" s="17"/>
      <c r="B2920"/>
      <c r="C2920"/>
      <c r="D2920"/>
      <c r="E2920"/>
      <c r="F2920"/>
      <c r="G2920"/>
      <c r="H2920"/>
      <c r="I2920"/>
      <c r="J2920"/>
      <c r="K2920"/>
      <c r="L2920"/>
      <c r="M2920"/>
      <c r="S2920" s="54"/>
    </row>
    <row r="2921" spans="1:19" s="15" customFormat="1" x14ac:dyDescent="0.3">
      <c r="A2921" s="17"/>
      <c r="B2921"/>
      <c r="C2921"/>
      <c r="D2921"/>
      <c r="E2921"/>
      <c r="F2921"/>
      <c r="G2921"/>
      <c r="H2921"/>
      <c r="I2921"/>
      <c r="J2921"/>
      <c r="K2921"/>
      <c r="L2921"/>
      <c r="M2921"/>
      <c r="S2921" s="54"/>
    </row>
    <row r="2922" spans="1:19" s="15" customFormat="1" x14ac:dyDescent="0.3">
      <c r="A2922" s="17"/>
      <c r="B2922"/>
      <c r="C2922"/>
      <c r="D2922"/>
      <c r="E2922"/>
      <c r="F2922"/>
      <c r="G2922"/>
      <c r="H2922"/>
      <c r="I2922"/>
      <c r="J2922"/>
      <c r="K2922"/>
      <c r="L2922"/>
      <c r="M2922"/>
      <c r="S2922" s="54"/>
    </row>
    <row r="2923" spans="1:19" s="15" customFormat="1" x14ac:dyDescent="0.3">
      <c r="A2923" s="17"/>
      <c r="B2923"/>
      <c r="C2923"/>
      <c r="D2923"/>
      <c r="E2923"/>
      <c r="F2923"/>
      <c r="G2923"/>
      <c r="H2923"/>
      <c r="I2923"/>
      <c r="J2923"/>
      <c r="K2923"/>
      <c r="L2923"/>
      <c r="M2923"/>
      <c r="S2923" s="54"/>
    </row>
    <row r="2924" spans="1:19" s="15" customFormat="1" x14ac:dyDescent="0.3">
      <c r="A2924" s="17"/>
      <c r="B2924"/>
      <c r="C2924"/>
      <c r="D2924"/>
      <c r="E2924"/>
      <c r="F2924"/>
      <c r="G2924"/>
      <c r="H2924"/>
      <c r="I2924"/>
      <c r="J2924"/>
      <c r="K2924"/>
      <c r="L2924"/>
      <c r="M2924"/>
      <c r="S2924" s="54"/>
    </row>
    <row r="2925" spans="1:19" s="15" customFormat="1" x14ac:dyDescent="0.3">
      <c r="A2925" s="17"/>
      <c r="B2925"/>
      <c r="C2925"/>
      <c r="D2925"/>
      <c r="E2925"/>
      <c r="F2925"/>
      <c r="G2925"/>
      <c r="H2925"/>
      <c r="I2925"/>
      <c r="J2925"/>
      <c r="K2925"/>
      <c r="L2925"/>
      <c r="M2925"/>
      <c r="S2925" s="54"/>
    </row>
    <row r="2926" spans="1:19" s="15" customFormat="1" x14ac:dyDescent="0.3">
      <c r="A2926" s="17"/>
      <c r="B2926"/>
      <c r="C2926"/>
      <c r="D2926"/>
      <c r="E2926"/>
      <c r="F2926"/>
      <c r="G2926"/>
      <c r="H2926"/>
      <c r="I2926"/>
      <c r="J2926"/>
      <c r="K2926"/>
      <c r="L2926"/>
      <c r="M2926"/>
      <c r="S2926" s="54"/>
    </row>
    <row r="2927" spans="1:19" s="15" customFormat="1" x14ac:dyDescent="0.3">
      <c r="A2927" s="17"/>
      <c r="B2927"/>
      <c r="C2927"/>
      <c r="D2927"/>
      <c r="E2927"/>
      <c r="F2927"/>
      <c r="G2927"/>
      <c r="H2927"/>
      <c r="I2927"/>
      <c r="J2927"/>
      <c r="K2927"/>
      <c r="L2927"/>
      <c r="M2927"/>
      <c r="S2927" s="54"/>
    </row>
    <row r="2928" spans="1:19" s="15" customFormat="1" x14ac:dyDescent="0.3">
      <c r="A2928" s="17"/>
      <c r="B2928"/>
      <c r="C2928"/>
      <c r="D2928"/>
      <c r="E2928"/>
      <c r="F2928"/>
      <c r="G2928"/>
      <c r="H2928"/>
      <c r="I2928"/>
      <c r="J2928"/>
      <c r="K2928"/>
      <c r="L2928"/>
      <c r="M2928"/>
      <c r="S2928" s="54"/>
    </row>
    <row r="2929" spans="1:19" s="15" customFormat="1" x14ac:dyDescent="0.3">
      <c r="A2929" s="17"/>
      <c r="B2929"/>
      <c r="C2929"/>
      <c r="D2929"/>
      <c r="E2929"/>
      <c r="F2929"/>
      <c r="G2929"/>
      <c r="H2929"/>
      <c r="I2929"/>
      <c r="J2929"/>
      <c r="K2929"/>
      <c r="L2929"/>
      <c r="M2929"/>
      <c r="S2929" s="54"/>
    </row>
    <row r="2930" spans="1:19" s="15" customFormat="1" x14ac:dyDescent="0.3">
      <c r="A2930" s="17"/>
      <c r="B2930"/>
      <c r="C2930"/>
      <c r="D2930"/>
      <c r="E2930"/>
      <c r="F2930"/>
      <c r="G2930"/>
      <c r="H2930"/>
      <c r="I2930"/>
      <c r="J2930"/>
      <c r="K2930"/>
      <c r="L2930"/>
      <c r="M2930"/>
      <c r="S2930" s="54"/>
    </row>
    <row r="2931" spans="1:19" s="15" customFormat="1" x14ac:dyDescent="0.3">
      <c r="A2931" s="17"/>
      <c r="B2931"/>
      <c r="C2931"/>
      <c r="D2931"/>
      <c r="E2931"/>
      <c r="F2931"/>
      <c r="G2931"/>
      <c r="H2931"/>
      <c r="I2931"/>
      <c r="J2931"/>
      <c r="K2931"/>
      <c r="L2931"/>
      <c r="M2931"/>
      <c r="S2931" s="54"/>
    </row>
    <row r="2932" spans="1:19" s="15" customFormat="1" x14ac:dyDescent="0.3">
      <c r="A2932" s="17"/>
      <c r="B2932"/>
      <c r="C2932"/>
      <c r="D2932"/>
      <c r="E2932"/>
      <c r="F2932"/>
      <c r="G2932"/>
      <c r="H2932"/>
      <c r="I2932"/>
      <c r="J2932"/>
      <c r="K2932"/>
      <c r="L2932"/>
      <c r="M2932"/>
      <c r="S2932" s="54"/>
    </row>
    <row r="2933" spans="1:19" s="15" customFormat="1" x14ac:dyDescent="0.3">
      <c r="A2933" s="17"/>
      <c r="B2933"/>
      <c r="C2933"/>
      <c r="D2933"/>
      <c r="E2933"/>
      <c r="F2933"/>
      <c r="G2933"/>
      <c r="H2933"/>
      <c r="I2933"/>
      <c r="J2933"/>
      <c r="K2933"/>
      <c r="L2933"/>
      <c r="M2933"/>
      <c r="S2933" s="54"/>
    </row>
    <row r="2934" spans="1:19" s="15" customFormat="1" x14ac:dyDescent="0.3">
      <c r="A2934" s="17"/>
      <c r="B2934"/>
      <c r="C2934"/>
      <c r="D2934"/>
      <c r="E2934"/>
      <c r="F2934"/>
      <c r="G2934"/>
      <c r="H2934"/>
      <c r="I2934"/>
      <c r="J2934"/>
      <c r="K2934"/>
      <c r="L2934"/>
      <c r="M2934"/>
      <c r="S2934" s="54"/>
    </row>
    <row r="2935" spans="1:19" s="15" customFormat="1" x14ac:dyDescent="0.3">
      <c r="A2935" s="17"/>
      <c r="B2935"/>
      <c r="C2935"/>
      <c r="D2935"/>
      <c r="E2935"/>
      <c r="F2935"/>
      <c r="G2935"/>
      <c r="H2935"/>
      <c r="I2935"/>
      <c r="J2935"/>
      <c r="K2935"/>
      <c r="L2935"/>
      <c r="M2935"/>
      <c r="S2935" s="54"/>
    </row>
    <row r="2936" spans="1:19" s="15" customFormat="1" x14ac:dyDescent="0.3">
      <c r="A2936" s="17"/>
      <c r="B2936"/>
      <c r="C2936"/>
      <c r="D2936"/>
      <c r="E2936"/>
      <c r="F2936"/>
      <c r="G2936"/>
      <c r="H2936"/>
      <c r="I2936"/>
      <c r="J2936"/>
      <c r="K2936"/>
      <c r="L2936"/>
      <c r="M2936"/>
      <c r="S2936" s="54"/>
    </row>
    <row r="2937" spans="1:19" s="15" customFormat="1" x14ac:dyDescent="0.3">
      <c r="A2937" s="17"/>
      <c r="B2937"/>
      <c r="C2937"/>
      <c r="D2937"/>
      <c r="E2937"/>
      <c r="F2937"/>
      <c r="G2937"/>
      <c r="H2937"/>
      <c r="I2937"/>
      <c r="J2937"/>
      <c r="K2937"/>
      <c r="L2937"/>
      <c r="M2937"/>
      <c r="S2937" s="54"/>
    </row>
    <row r="2938" spans="1:19" s="15" customFormat="1" x14ac:dyDescent="0.3">
      <c r="A2938" s="17"/>
      <c r="B2938"/>
      <c r="C2938"/>
      <c r="D2938"/>
      <c r="E2938"/>
      <c r="F2938"/>
      <c r="G2938"/>
      <c r="H2938"/>
      <c r="I2938"/>
      <c r="J2938"/>
      <c r="K2938"/>
      <c r="L2938"/>
      <c r="M2938"/>
      <c r="S2938" s="54"/>
    </row>
    <row r="2939" spans="1:19" s="15" customFormat="1" x14ac:dyDescent="0.3">
      <c r="A2939" s="17"/>
      <c r="B2939"/>
      <c r="C2939"/>
      <c r="D2939"/>
      <c r="E2939"/>
      <c r="F2939"/>
      <c r="G2939"/>
      <c r="H2939"/>
      <c r="I2939"/>
      <c r="J2939"/>
      <c r="K2939"/>
      <c r="L2939"/>
      <c r="M2939"/>
      <c r="S2939" s="54"/>
    </row>
    <row r="2940" spans="1:19" s="15" customFormat="1" x14ac:dyDescent="0.3">
      <c r="A2940" s="17"/>
      <c r="B2940"/>
      <c r="C2940"/>
      <c r="D2940"/>
      <c r="E2940"/>
      <c r="F2940"/>
      <c r="G2940"/>
      <c r="H2940"/>
      <c r="I2940"/>
      <c r="J2940"/>
      <c r="K2940"/>
      <c r="L2940"/>
      <c r="M2940"/>
      <c r="S2940" s="54"/>
    </row>
    <row r="2941" spans="1:19" s="15" customFormat="1" x14ac:dyDescent="0.3">
      <c r="A2941" s="17"/>
      <c r="B2941"/>
      <c r="C2941"/>
      <c r="D2941"/>
      <c r="E2941"/>
      <c r="F2941"/>
      <c r="G2941"/>
      <c r="H2941"/>
      <c r="I2941"/>
      <c r="J2941"/>
      <c r="K2941"/>
      <c r="L2941"/>
      <c r="M2941"/>
      <c r="S2941" s="54"/>
    </row>
    <row r="2942" spans="1:19" s="15" customFormat="1" x14ac:dyDescent="0.3">
      <c r="A2942" s="17"/>
      <c r="B2942"/>
      <c r="C2942"/>
      <c r="D2942"/>
      <c r="E2942"/>
      <c r="F2942"/>
      <c r="G2942"/>
      <c r="H2942"/>
      <c r="I2942"/>
      <c r="J2942"/>
      <c r="K2942"/>
      <c r="L2942"/>
      <c r="M2942"/>
      <c r="S2942" s="54"/>
    </row>
    <row r="2943" spans="1:19" s="15" customFormat="1" x14ac:dyDescent="0.3">
      <c r="A2943" s="17"/>
      <c r="B2943"/>
      <c r="C2943"/>
      <c r="D2943"/>
      <c r="E2943"/>
      <c r="F2943"/>
      <c r="G2943"/>
      <c r="H2943"/>
      <c r="I2943"/>
      <c r="J2943"/>
      <c r="K2943"/>
      <c r="L2943"/>
      <c r="M2943"/>
      <c r="S2943" s="54"/>
    </row>
    <row r="2944" spans="1:19" s="15" customFormat="1" x14ac:dyDescent="0.3">
      <c r="A2944" s="17"/>
      <c r="B2944"/>
      <c r="C2944"/>
      <c r="D2944"/>
      <c r="E2944"/>
      <c r="F2944"/>
      <c r="G2944"/>
      <c r="H2944"/>
      <c r="I2944"/>
      <c r="J2944"/>
      <c r="K2944"/>
      <c r="L2944"/>
      <c r="M2944"/>
      <c r="S2944" s="54"/>
    </row>
    <row r="2945" spans="1:19" s="15" customFormat="1" x14ac:dyDescent="0.3">
      <c r="A2945" s="17"/>
      <c r="B2945"/>
      <c r="C2945"/>
      <c r="D2945"/>
      <c r="E2945"/>
      <c r="F2945"/>
      <c r="G2945"/>
      <c r="H2945"/>
      <c r="I2945"/>
      <c r="J2945"/>
      <c r="K2945"/>
      <c r="L2945"/>
      <c r="M2945"/>
      <c r="S2945" s="54"/>
    </row>
    <row r="2946" spans="1:19" s="15" customFormat="1" x14ac:dyDescent="0.3">
      <c r="A2946" s="17"/>
      <c r="B2946"/>
      <c r="C2946"/>
      <c r="D2946"/>
      <c r="E2946"/>
      <c r="F2946"/>
      <c r="G2946"/>
      <c r="H2946"/>
      <c r="I2946"/>
      <c r="J2946"/>
      <c r="K2946"/>
      <c r="L2946"/>
      <c r="M2946"/>
      <c r="S2946" s="54"/>
    </row>
    <row r="2947" spans="1:19" s="15" customFormat="1" x14ac:dyDescent="0.3">
      <c r="A2947" s="17"/>
      <c r="B2947"/>
      <c r="C2947"/>
      <c r="D2947"/>
      <c r="E2947"/>
      <c r="F2947"/>
      <c r="G2947"/>
      <c r="H2947"/>
      <c r="I2947"/>
      <c r="J2947"/>
      <c r="K2947"/>
      <c r="L2947"/>
      <c r="M2947"/>
      <c r="S2947" s="54"/>
    </row>
    <row r="2948" spans="1:19" s="15" customFormat="1" x14ac:dyDescent="0.3">
      <c r="A2948" s="17"/>
      <c r="B2948"/>
      <c r="C2948"/>
      <c r="D2948"/>
      <c r="E2948"/>
      <c r="F2948"/>
      <c r="G2948"/>
      <c r="H2948"/>
      <c r="I2948"/>
      <c r="J2948"/>
      <c r="K2948"/>
      <c r="L2948"/>
      <c r="M2948"/>
      <c r="S2948" s="54"/>
    </row>
    <row r="2949" spans="1:19" s="15" customFormat="1" x14ac:dyDescent="0.3">
      <c r="A2949" s="17"/>
      <c r="B2949"/>
      <c r="C2949"/>
      <c r="D2949"/>
      <c r="E2949"/>
      <c r="F2949"/>
      <c r="G2949"/>
      <c r="H2949"/>
      <c r="I2949"/>
      <c r="J2949"/>
      <c r="K2949"/>
      <c r="L2949"/>
      <c r="M2949"/>
      <c r="S2949" s="54"/>
    </row>
    <row r="2950" spans="1:19" s="15" customFormat="1" x14ac:dyDescent="0.3">
      <c r="A2950" s="17"/>
      <c r="B2950"/>
      <c r="C2950"/>
      <c r="D2950"/>
      <c r="E2950"/>
      <c r="F2950"/>
      <c r="G2950"/>
      <c r="H2950"/>
      <c r="I2950"/>
      <c r="J2950"/>
      <c r="K2950"/>
      <c r="L2950"/>
      <c r="M2950"/>
      <c r="S2950" s="54"/>
    </row>
    <row r="2951" spans="1:19" s="15" customFormat="1" x14ac:dyDescent="0.3">
      <c r="A2951" s="17"/>
      <c r="B2951"/>
      <c r="C2951"/>
      <c r="D2951"/>
      <c r="E2951"/>
      <c r="F2951"/>
      <c r="G2951"/>
      <c r="H2951"/>
      <c r="I2951"/>
      <c r="J2951"/>
      <c r="K2951"/>
      <c r="L2951"/>
      <c r="M2951"/>
      <c r="S2951" s="54"/>
    </row>
    <row r="2952" spans="1:19" s="15" customFormat="1" x14ac:dyDescent="0.3">
      <c r="A2952" s="17"/>
      <c r="B2952"/>
      <c r="C2952"/>
      <c r="D2952"/>
      <c r="E2952"/>
      <c r="F2952"/>
      <c r="G2952"/>
      <c r="H2952"/>
      <c r="I2952"/>
      <c r="J2952"/>
      <c r="K2952"/>
      <c r="L2952"/>
      <c r="M2952"/>
      <c r="S2952" s="54"/>
    </row>
    <row r="2953" spans="1:19" s="15" customFormat="1" x14ac:dyDescent="0.3">
      <c r="A2953" s="17"/>
      <c r="B2953"/>
      <c r="C2953"/>
      <c r="D2953"/>
      <c r="E2953"/>
      <c r="F2953"/>
      <c r="G2953"/>
      <c r="H2953"/>
      <c r="I2953"/>
      <c r="J2953"/>
      <c r="K2953"/>
      <c r="L2953"/>
      <c r="M2953"/>
      <c r="S2953" s="54"/>
    </row>
    <row r="2954" spans="1:19" s="15" customFormat="1" x14ac:dyDescent="0.3">
      <c r="A2954" s="17"/>
      <c r="B2954"/>
      <c r="C2954"/>
      <c r="D2954"/>
      <c r="E2954"/>
      <c r="F2954"/>
      <c r="G2954"/>
      <c r="H2954"/>
      <c r="I2954"/>
      <c r="J2954"/>
      <c r="K2954"/>
      <c r="L2954"/>
      <c r="M2954"/>
      <c r="S2954" s="54"/>
    </row>
    <row r="2955" spans="1:19" s="15" customFormat="1" x14ac:dyDescent="0.3">
      <c r="A2955" s="17"/>
      <c r="B2955"/>
      <c r="C2955"/>
      <c r="D2955"/>
      <c r="E2955"/>
      <c r="F2955"/>
      <c r="G2955"/>
      <c r="H2955"/>
      <c r="I2955"/>
      <c r="J2955"/>
      <c r="K2955"/>
      <c r="L2955"/>
      <c r="M2955"/>
      <c r="S2955" s="54"/>
    </row>
    <row r="2956" spans="1:19" s="15" customFormat="1" x14ac:dyDescent="0.3">
      <c r="A2956" s="17"/>
      <c r="B2956"/>
      <c r="C2956"/>
      <c r="D2956"/>
      <c r="E2956"/>
      <c r="F2956"/>
      <c r="G2956"/>
      <c r="H2956"/>
      <c r="I2956"/>
      <c r="J2956"/>
      <c r="K2956"/>
      <c r="L2956"/>
      <c r="M2956"/>
      <c r="S2956" s="54"/>
    </row>
    <row r="2957" spans="1:19" s="15" customFormat="1" x14ac:dyDescent="0.3">
      <c r="A2957" s="17"/>
      <c r="B2957"/>
      <c r="C2957"/>
      <c r="D2957"/>
      <c r="E2957"/>
      <c r="F2957"/>
      <c r="G2957"/>
      <c r="H2957"/>
      <c r="I2957"/>
      <c r="J2957"/>
      <c r="K2957"/>
      <c r="L2957"/>
      <c r="M2957"/>
      <c r="S2957" s="54"/>
    </row>
    <row r="2958" spans="1:19" s="15" customFormat="1" x14ac:dyDescent="0.3">
      <c r="A2958" s="17"/>
      <c r="B2958"/>
      <c r="C2958"/>
      <c r="D2958"/>
      <c r="E2958"/>
      <c r="F2958"/>
      <c r="G2958"/>
      <c r="H2958"/>
      <c r="I2958"/>
      <c r="J2958"/>
      <c r="K2958"/>
      <c r="L2958"/>
      <c r="M2958"/>
      <c r="S2958" s="54"/>
    </row>
    <row r="2959" spans="1:19" s="15" customFormat="1" x14ac:dyDescent="0.3">
      <c r="A2959" s="17"/>
      <c r="B2959"/>
      <c r="C2959"/>
      <c r="D2959"/>
      <c r="E2959"/>
      <c r="F2959"/>
      <c r="G2959"/>
      <c r="H2959"/>
      <c r="I2959"/>
      <c r="J2959"/>
      <c r="K2959"/>
      <c r="L2959"/>
      <c r="M2959"/>
      <c r="S2959" s="54"/>
    </row>
    <row r="2960" spans="1:19" s="15" customFormat="1" x14ac:dyDescent="0.3">
      <c r="A2960" s="17"/>
      <c r="B2960"/>
      <c r="C2960"/>
      <c r="D2960"/>
      <c r="E2960"/>
      <c r="F2960"/>
      <c r="G2960"/>
      <c r="H2960"/>
      <c r="I2960"/>
      <c r="J2960"/>
      <c r="K2960"/>
      <c r="L2960"/>
      <c r="M2960"/>
      <c r="S2960" s="54"/>
    </row>
    <row r="2961" spans="1:19" s="15" customFormat="1" x14ac:dyDescent="0.3">
      <c r="A2961" s="17"/>
      <c r="B2961"/>
      <c r="C2961"/>
      <c r="D2961"/>
      <c r="E2961"/>
      <c r="F2961"/>
      <c r="G2961"/>
      <c r="H2961"/>
      <c r="I2961"/>
      <c r="J2961"/>
      <c r="K2961"/>
      <c r="L2961"/>
      <c r="M2961"/>
      <c r="S2961" s="54"/>
    </row>
    <row r="2962" spans="1:19" s="15" customFormat="1" x14ac:dyDescent="0.3">
      <c r="A2962" s="17"/>
      <c r="B2962"/>
      <c r="C2962"/>
      <c r="D2962"/>
      <c r="E2962"/>
      <c r="F2962"/>
      <c r="G2962"/>
      <c r="H2962"/>
      <c r="I2962"/>
      <c r="J2962"/>
      <c r="K2962"/>
      <c r="L2962"/>
      <c r="M2962"/>
      <c r="S2962" s="54"/>
    </row>
    <row r="2963" spans="1:19" s="15" customFormat="1" x14ac:dyDescent="0.3">
      <c r="A2963" s="17"/>
      <c r="B2963"/>
      <c r="C2963"/>
      <c r="D2963"/>
      <c r="E2963"/>
      <c r="F2963"/>
      <c r="G2963"/>
      <c r="H2963"/>
      <c r="I2963"/>
      <c r="J2963"/>
      <c r="K2963"/>
      <c r="L2963"/>
      <c r="M2963"/>
      <c r="S2963" s="54"/>
    </row>
    <row r="2964" spans="1:19" s="15" customFormat="1" x14ac:dyDescent="0.3">
      <c r="A2964" s="17"/>
      <c r="B2964"/>
      <c r="C2964"/>
      <c r="D2964"/>
      <c r="E2964"/>
      <c r="F2964"/>
      <c r="G2964"/>
      <c r="H2964"/>
      <c r="I2964"/>
      <c r="J2964"/>
      <c r="K2964"/>
      <c r="L2964"/>
      <c r="M2964"/>
      <c r="S2964" s="54"/>
    </row>
    <row r="2965" spans="1:19" s="15" customFormat="1" x14ac:dyDescent="0.3">
      <c r="A2965" s="17"/>
      <c r="B2965"/>
      <c r="C2965"/>
      <c r="D2965"/>
      <c r="E2965"/>
      <c r="F2965"/>
      <c r="G2965"/>
      <c r="H2965"/>
      <c r="I2965"/>
      <c r="J2965"/>
      <c r="K2965"/>
      <c r="L2965"/>
      <c r="M2965"/>
      <c r="S2965" s="54"/>
    </row>
    <row r="2966" spans="1:19" s="15" customFormat="1" x14ac:dyDescent="0.3">
      <c r="A2966" s="17"/>
      <c r="B2966"/>
      <c r="C2966"/>
      <c r="D2966"/>
      <c r="E2966"/>
      <c r="F2966"/>
      <c r="G2966"/>
      <c r="H2966"/>
      <c r="I2966"/>
      <c r="J2966"/>
      <c r="K2966"/>
      <c r="L2966"/>
      <c r="M2966"/>
      <c r="S2966" s="54"/>
    </row>
    <row r="2967" spans="1:19" s="15" customFormat="1" x14ac:dyDescent="0.3">
      <c r="A2967" s="17"/>
      <c r="B2967"/>
      <c r="C2967"/>
      <c r="D2967"/>
      <c r="E2967"/>
      <c r="F2967"/>
      <c r="G2967"/>
      <c r="H2967"/>
      <c r="I2967"/>
      <c r="J2967"/>
      <c r="K2967"/>
      <c r="L2967"/>
      <c r="M2967"/>
      <c r="S2967" s="54"/>
    </row>
    <row r="2968" spans="1:19" s="15" customFormat="1" x14ac:dyDescent="0.3">
      <c r="A2968" s="17"/>
      <c r="B2968"/>
      <c r="C2968"/>
      <c r="D2968"/>
      <c r="E2968"/>
      <c r="F2968"/>
      <c r="G2968"/>
      <c r="H2968"/>
      <c r="I2968"/>
      <c r="J2968"/>
      <c r="K2968"/>
      <c r="L2968"/>
      <c r="M2968"/>
      <c r="S2968" s="54"/>
    </row>
    <row r="2969" spans="1:19" s="15" customFormat="1" x14ac:dyDescent="0.3">
      <c r="A2969" s="17"/>
      <c r="B2969"/>
      <c r="C2969"/>
      <c r="D2969"/>
      <c r="E2969"/>
      <c r="F2969"/>
      <c r="G2969"/>
      <c r="H2969"/>
      <c r="I2969"/>
      <c r="J2969"/>
      <c r="K2969"/>
      <c r="L2969"/>
      <c r="M2969"/>
      <c r="S2969" s="54"/>
    </row>
    <row r="2970" spans="1:19" s="15" customFormat="1" x14ac:dyDescent="0.3">
      <c r="A2970" s="17"/>
      <c r="B2970"/>
      <c r="C2970"/>
      <c r="D2970"/>
      <c r="E2970"/>
      <c r="F2970"/>
      <c r="G2970"/>
      <c r="H2970"/>
      <c r="I2970"/>
      <c r="J2970"/>
      <c r="K2970"/>
      <c r="L2970"/>
      <c r="M2970"/>
      <c r="S2970" s="54"/>
    </row>
    <row r="2971" spans="1:19" s="15" customFormat="1" x14ac:dyDescent="0.3">
      <c r="A2971" s="17"/>
      <c r="B2971"/>
      <c r="C2971"/>
      <c r="D2971"/>
      <c r="E2971"/>
      <c r="F2971"/>
      <c r="G2971"/>
      <c r="H2971"/>
      <c r="I2971"/>
      <c r="J2971"/>
      <c r="K2971"/>
      <c r="L2971"/>
      <c r="M2971"/>
      <c r="S2971" s="54"/>
    </row>
    <row r="2972" spans="1:19" s="15" customFormat="1" x14ac:dyDescent="0.3">
      <c r="A2972" s="17"/>
      <c r="B2972"/>
      <c r="C2972"/>
      <c r="D2972"/>
      <c r="E2972"/>
      <c r="F2972"/>
      <c r="G2972"/>
      <c r="H2972"/>
      <c r="I2972"/>
      <c r="J2972"/>
      <c r="K2972"/>
      <c r="L2972"/>
      <c r="M2972"/>
      <c r="S2972" s="54"/>
    </row>
    <row r="2973" spans="1:19" s="15" customFormat="1" x14ac:dyDescent="0.3">
      <c r="A2973" s="17"/>
      <c r="B2973"/>
      <c r="C2973"/>
      <c r="D2973"/>
      <c r="E2973"/>
      <c r="F2973"/>
      <c r="G2973"/>
      <c r="H2973"/>
      <c r="I2973"/>
      <c r="J2973"/>
      <c r="K2973"/>
      <c r="L2973"/>
      <c r="M2973"/>
      <c r="S2973" s="54"/>
    </row>
    <row r="2974" spans="1:19" s="15" customFormat="1" x14ac:dyDescent="0.3">
      <c r="A2974" s="17"/>
      <c r="B2974"/>
      <c r="C2974"/>
      <c r="D2974"/>
      <c r="E2974"/>
      <c r="F2974"/>
      <c r="G2974"/>
      <c r="H2974"/>
      <c r="I2974"/>
      <c r="J2974"/>
      <c r="K2974"/>
      <c r="L2974"/>
      <c r="M2974"/>
      <c r="S2974" s="54"/>
    </row>
    <row r="2975" spans="1:19" s="15" customFormat="1" x14ac:dyDescent="0.3">
      <c r="A2975" s="17"/>
      <c r="B2975"/>
      <c r="C2975"/>
      <c r="D2975"/>
      <c r="E2975"/>
      <c r="F2975"/>
      <c r="G2975"/>
      <c r="H2975"/>
      <c r="I2975"/>
      <c r="J2975"/>
      <c r="K2975"/>
      <c r="L2975"/>
      <c r="M2975"/>
      <c r="S2975" s="54"/>
    </row>
    <row r="2976" spans="1:19" s="15" customFormat="1" x14ac:dyDescent="0.3">
      <c r="A2976" s="17"/>
      <c r="B2976"/>
      <c r="C2976"/>
      <c r="D2976"/>
      <c r="E2976"/>
      <c r="F2976"/>
      <c r="G2976"/>
      <c r="H2976"/>
      <c r="I2976"/>
      <c r="J2976"/>
      <c r="K2976"/>
      <c r="L2976"/>
      <c r="M2976"/>
      <c r="S2976" s="54"/>
    </row>
    <row r="2977" spans="1:19" s="15" customFormat="1" x14ac:dyDescent="0.3">
      <c r="A2977" s="17"/>
      <c r="B2977"/>
      <c r="C2977"/>
      <c r="D2977"/>
      <c r="E2977"/>
      <c r="F2977"/>
      <c r="G2977"/>
      <c r="H2977"/>
      <c r="I2977"/>
      <c r="J2977"/>
      <c r="K2977"/>
      <c r="L2977"/>
      <c r="M2977"/>
      <c r="S2977" s="54"/>
    </row>
    <row r="2978" spans="1:19" s="15" customFormat="1" x14ac:dyDescent="0.3">
      <c r="A2978" s="17"/>
      <c r="B2978"/>
      <c r="C2978"/>
      <c r="D2978"/>
      <c r="E2978"/>
      <c r="F2978"/>
      <c r="G2978"/>
      <c r="H2978"/>
      <c r="I2978"/>
      <c r="J2978"/>
      <c r="K2978"/>
      <c r="L2978"/>
      <c r="M2978"/>
      <c r="S2978" s="54"/>
    </row>
    <row r="2979" spans="1:19" s="15" customFormat="1" x14ac:dyDescent="0.3">
      <c r="A2979" s="17"/>
      <c r="B2979"/>
      <c r="C2979"/>
      <c r="D2979"/>
      <c r="E2979"/>
      <c r="F2979"/>
      <c r="G2979"/>
      <c r="H2979"/>
      <c r="I2979"/>
      <c r="J2979"/>
      <c r="K2979"/>
      <c r="L2979"/>
      <c r="M2979"/>
      <c r="S2979" s="54"/>
    </row>
    <row r="2980" spans="1:19" s="15" customFormat="1" x14ac:dyDescent="0.3">
      <c r="A2980" s="17"/>
      <c r="B2980"/>
      <c r="C2980"/>
      <c r="D2980"/>
      <c r="E2980"/>
      <c r="F2980"/>
      <c r="G2980"/>
      <c r="H2980"/>
      <c r="I2980"/>
      <c r="J2980"/>
      <c r="K2980"/>
      <c r="L2980"/>
      <c r="M2980"/>
      <c r="S2980" s="54"/>
    </row>
    <row r="2981" spans="1:19" s="15" customFormat="1" x14ac:dyDescent="0.3">
      <c r="A2981" s="17"/>
      <c r="B2981"/>
      <c r="C2981"/>
      <c r="D2981"/>
      <c r="E2981"/>
      <c r="F2981"/>
      <c r="G2981"/>
      <c r="H2981"/>
      <c r="I2981"/>
      <c r="J2981"/>
      <c r="K2981"/>
      <c r="L2981"/>
      <c r="M2981"/>
      <c r="S2981" s="54"/>
    </row>
    <row r="2982" spans="1:19" s="15" customFormat="1" x14ac:dyDescent="0.3">
      <c r="A2982" s="17"/>
      <c r="B2982"/>
      <c r="C2982"/>
      <c r="D2982"/>
      <c r="E2982"/>
      <c r="F2982"/>
      <c r="G2982"/>
      <c r="H2982"/>
      <c r="I2982"/>
      <c r="J2982"/>
      <c r="K2982"/>
      <c r="L2982"/>
      <c r="M2982"/>
      <c r="S2982" s="54"/>
    </row>
    <row r="2983" spans="1:19" s="15" customFormat="1" x14ac:dyDescent="0.3">
      <c r="A2983" s="17"/>
      <c r="B2983"/>
      <c r="C2983"/>
      <c r="D2983"/>
      <c r="E2983"/>
      <c r="F2983"/>
      <c r="G2983"/>
      <c r="H2983"/>
      <c r="I2983"/>
      <c r="J2983"/>
      <c r="K2983"/>
      <c r="L2983"/>
      <c r="M2983"/>
      <c r="S2983" s="54"/>
    </row>
    <row r="2984" spans="1:19" s="15" customFormat="1" x14ac:dyDescent="0.3">
      <c r="A2984" s="17"/>
      <c r="B2984"/>
      <c r="C2984"/>
      <c r="D2984"/>
      <c r="E2984"/>
      <c r="F2984"/>
      <c r="G2984"/>
      <c r="H2984"/>
      <c r="I2984"/>
      <c r="J2984"/>
      <c r="K2984"/>
      <c r="L2984"/>
      <c r="M2984"/>
      <c r="S2984" s="54"/>
    </row>
    <row r="2985" spans="1:19" s="15" customFormat="1" x14ac:dyDescent="0.3">
      <c r="A2985" s="17"/>
      <c r="B2985"/>
      <c r="C2985"/>
      <c r="D2985"/>
      <c r="E2985"/>
      <c r="F2985"/>
      <c r="G2985"/>
      <c r="H2985"/>
      <c r="I2985"/>
      <c r="J2985"/>
      <c r="K2985"/>
      <c r="L2985"/>
      <c r="M2985"/>
      <c r="S2985" s="54"/>
    </row>
    <row r="2986" spans="1:19" s="15" customFormat="1" x14ac:dyDescent="0.3">
      <c r="A2986" s="17"/>
      <c r="B2986"/>
      <c r="C2986"/>
      <c r="D2986"/>
      <c r="E2986"/>
      <c r="F2986"/>
      <c r="G2986"/>
      <c r="H2986"/>
      <c r="I2986"/>
      <c r="J2986"/>
      <c r="K2986"/>
      <c r="L2986"/>
      <c r="M2986"/>
      <c r="S2986" s="54"/>
    </row>
    <row r="2987" spans="1:19" s="15" customFormat="1" x14ac:dyDescent="0.3">
      <c r="A2987" s="17"/>
      <c r="B2987"/>
      <c r="C2987"/>
      <c r="D2987"/>
      <c r="E2987"/>
      <c r="F2987"/>
      <c r="G2987"/>
      <c r="H2987"/>
      <c r="I2987"/>
      <c r="J2987"/>
      <c r="K2987"/>
      <c r="L2987"/>
      <c r="M2987"/>
      <c r="S2987" s="54"/>
    </row>
    <row r="2988" spans="1:19" s="15" customFormat="1" x14ac:dyDescent="0.3">
      <c r="A2988" s="17"/>
      <c r="B2988"/>
      <c r="C2988"/>
      <c r="D2988"/>
      <c r="E2988"/>
      <c r="F2988"/>
      <c r="G2988"/>
      <c r="H2988"/>
      <c r="I2988"/>
      <c r="J2988"/>
      <c r="K2988"/>
      <c r="L2988"/>
      <c r="M2988"/>
      <c r="S2988" s="54"/>
    </row>
    <row r="2989" spans="1:19" s="15" customFormat="1" x14ac:dyDescent="0.3">
      <c r="A2989" s="17"/>
      <c r="B2989"/>
      <c r="C2989"/>
      <c r="D2989"/>
      <c r="E2989"/>
      <c r="F2989"/>
      <c r="G2989"/>
      <c r="H2989"/>
      <c r="I2989"/>
      <c r="J2989"/>
      <c r="K2989"/>
      <c r="L2989"/>
      <c r="M2989"/>
      <c r="S2989" s="54"/>
    </row>
    <row r="2990" spans="1:19" s="15" customFormat="1" x14ac:dyDescent="0.3">
      <c r="A2990" s="17"/>
      <c r="B2990"/>
      <c r="C2990"/>
      <c r="D2990"/>
      <c r="E2990"/>
      <c r="F2990"/>
      <c r="G2990"/>
      <c r="H2990"/>
      <c r="I2990"/>
      <c r="J2990"/>
      <c r="K2990"/>
      <c r="L2990"/>
      <c r="M2990"/>
      <c r="S2990" s="54"/>
    </row>
    <row r="2991" spans="1:19" s="15" customFormat="1" x14ac:dyDescent="0.3">
      <c r="A2991" s="17"/>
      <c r="B2991"/>
      <c r="C2991"/>
      <c r="D2991"/>
      <c r="E2991"/>
      <c r="F2991"/>
      <c r="G2991"/>
      <c r="H2991"/>
      <c r="I2991"/>
      <c r="J2991"/>
      <c r="K2991"/>
      <c r="L2991"/>
      <c r="M2991"/>
      <c r="S2991" s="54"/>
    </row>
    <row r="2992" spans="1:19" s="15" customFormat="1" x14ac:dyDescent="0.3">
      <c r="A2992" s="17"/>
      <c r="B2992"/>
      <c r="C2992"/>
      <c r="D2992"/>
      <c r="E2992"/>
      <c r="F2992"/>
      <c r="G2992"/>
      <c r="H2992"/>
      <c r="I2992"/>
      <c r="J2992"/>
      <c r="K2992"/>
      <c r="L2992"/>
      <c r="M2992"/>
      <c r="S2992" s="54"/>
    </row>
    <row r="2993" spans="1:19" s="15" customFormat="1" x14ac:dyDescent="0.3">
      <c r="A2993" s="17"/>
      <c r="B2993"/>
      <c r="C2993"/>
      <c r="D2993"/>
      <c r="E2993"/>
      <c r="F2993"/>
      <c r="G2993"/>
      <c r="H2993"/>
      <c r="I2993"/>
      <c r="J2993"/>
      <c r="K2993"/>
      <c r="L2993"/>
      <c r="M2993"/>
      <c r="S2993" s="54"/>
    </row>
    <row r="2994" spans="1:19" s="15" customFormat="1" x14ac:dyDescent="0.3">
      <c r="A2994" s="17"/>
      <c r="B2994"/>
      <c r="C2994"/>
      <c r="D2994"/>
      <c r="E2994"/>
      <c r="F2994"/>
      <c r="G2994"/>
      <c r="H2994"/>
      <c r="I2994"/>
      <c r="J2994"/>
      <c r="K2994"/>
      <c r="L2994"/>
      <c r="M2994"/>
      <c r="S2994" s="54"/>
    </row>
    <row r="2995" spans="1:19" s="15" customFormat="1" x14ac:dyDescent="0.3">
      <c r="A2995" s="17"/>
      <c r="B2995"/>
      <c r="C2995"/>
      <c r="D2995"/>
      <c r="E2995"/>
      <c r="F2995"/>
      <c r="G2995"/>
      <c r="H2995"/>
      <c r="I2995"/>
      <c r="J2995"/>
      <c r="K2995"/>
      <c r="L2995"/>
      <c r="M2995"/>
      <c r="S2995" s="54"/>
    </row>
    <row r="2996" spans="1:19" s="15" customFormat="1" x14ac:dyDescent="0.3">
      <c r="A2996" s="17"/>
      <c r="B2996"/>
      <c r="C2996"/>
      <c r="D2996"/>
      <c r="E2996"/>
      <c r="F2996"/>
      <c r="G2996"/>
      <c r="H2996"/>
      <c r="I2996"/>
      <c r="J2996"/>
      <c r="K2996"/>
      <c r="L2996"/>
      <c r="M2996"/>
      <c r="S2996" s="54"/>
    </row>
    <row r="2997" spans="1:19" s="15" customFormat="1" x14ac:dyDescent="0.3">
      <c r="A2997" s="17"/>
      <c r="B2997"/>
      <c r="C2997"/>
      <c r="D2997"/>
      <c r="E2997"/>
      <c r="F2997"/>
      <c r="G2997"/>
      <c r="H2997"/>
      <c r="I2997"/>
      <c r="J2997"/>
      <c r="K2997"/>
      <c r="L2997"/>
      <c r="M2997"/>
      <c r="S2997" s="54"/>
    </row>
    <row r="2998" spans="1:19" s="15" customFormat="1" x14ac:dyDescent="0.3">
      <c r="A2998" s="17"/>
      <c r="B2998"/>
      <c r="C2998"/>
      <c r="D2998"/>
      <c r="E2998"/>
      <c r="F2998"/>
      <c r="G2998"/>
      <c r="H2998"/>
      <c r="I2998"/>
      <c r="J2998"/>
      <c r="K2998"/>
      <c r="L2998"/>
      <c r="M2998"/>
      <c r="S2998" s="54"/>
    </row>
    <row r="2999" spans="1:19" s="15" customFormat="1" x14ac:dyDescent="0.3">
      <c r="A2999" s="17"/>
      <c r="B2999"/>
      <c r="C2999"/>
      <c r="D2999"/>
      <c r="E2999"/>
      <c r="F2999"/>
      <c r="G2999"/>
      <c r="H2999"/>
      <c r="I2999"/>
      <c r="J2999"/>
      <c r="K2999"/>
      <c r="L2999"/>
      <c r="M2999"/>
      <c r="S2999" s="54"/>
    </row>
    <row r="3000" spans="1:19" s="15" customFormat="1" x14ac:dyDescent="0.3">
      <c r="A3000" s="17"/>
      <c r="B3000"/>
      <c r="C3000"/>
      <c r="D3000"/>
      <c r="E3000"/>
      <c r="F3000"/>
      <c r="G3000"/>
      <c r="H3000"/>
      <c r="I3000"/>
      <c r="J3000"/>
      <c r="K3000"/>
      <c r="L3000"/>
      <c r="M3000"/>
      <c r="S3000" s="54"/>
    </row>
    <row r="3001" spans="1:19" s="15" customFormat="1" x14ac:dyDescent="0.3">
      <c r="A3001" s="17"/>
      <c r="B3001"/>
      <c r="C3001"/>
      <c r="D3001"/>
      <c r="E3001"/>
      <c r="F3001"/>
      <c r="G3001"/>
      <c r="H3001"/>
      <c r="I3001"/>
      <c r="J3001"/>
      <c r="K3001"/>
      <c r="L3001"/>
      <c r="M3001"/>
      <c r="S3001" s="54"/>
    </row>
    <row r="3002" spans="1:19" s="15" customFormat="1" x14ac:dyDescent="0.3">
      <c r="A3002" s="17"/>
      <c r="B3002"/>
      <c r="C3002"/>
      <c r="D3002"/>
      <c r="E3002"/>
      <c r="F3002"/>
      <c r="G3002"/>
      <c r="H3002"/>
      <c r="I3002"/>
      <c r="J3002"/>
      <c r="K3002"/>
      <c r="L3002"/>
      <c r="M3002"/>
      <c r="S3002" s="54"/>
    </row>
    <row r="3003" spans="1:19" s="15" customFormat="1" x14ac:dyDescent="0.3">
      <c r="A3003" s="17"/>
      <c r="B3003"/>
      <c r="C3003"/>
      <c r="D3003"/>
      <c r="E3003"/>
      <c r="F3003"/>
      <c r="G3003"/>
      <c r="H3003"/>
      <c r="I3003"/>
      <c r="J3003"/>
      <c r="K3003"/>
      <c r="L3003"/>
      <c r="M3003"/>
      <c r="S3003" s="54"/>
    </row>
    <row r="3004" spans="1:19" s="15" customFormat="1" x14ac:dyDescent="0.3">
      <c r="A3004" s="17"/>
      <c r="B3004"/>
      <c r="C3004"/>
      <c r="D3004"/>
      <c r="E3004"/>
      <c r="F3004"/>
      <c r="G3004"/>
      <c r="H3004"/>
      <c r="I3004"/>
      <c r="J3004"/>
      <c r="K3004"/>
      <c r="L3004"/>
      <c r="M3004"/>
      <c r="S3004" s="54"/>
    </row>
    <row r="3005" spans="1:19" s="15" customFormat="1" x14ac:dyDescent="0.3">
      <c r="A3005" s="17"/>
      <c r="B3005"/>
      <c r="C3005"/>
      <c r="D3005"/>
      <c r="E3005"/>
      <c r="F3005"/>
      <c r="G3005"/>
      <c r="H3005"/>
      <c r="I3005"/>
      <c r="J3005"/>
      <c r="K3005"/>
      <c r="L3005"/>
      <c r="M3005"/>
      <c r="S3005" s="54"/>
    </row>
    <row r="3006" spans="1:19" s="15" customFormat="1" x14ac:dyDescent="0.3">
      <c r="A3006" s="17"/>
      <c r="B3006"/>
      <c r="C3006"/>
      <c r="D3006"/>
      <c r="E3006"/>
      <c r="F3006"/>
      <c r="G3006"/>
      <c r="H3006"/>
      <c r="I3006"/>
      <c r="J3006"/>
      <c r="K3006"/>
      <c r="L3006"/>
      <c r="M3006"/>
      <c r="S3006" s="54"/>
    </row>
    <row r="3007" spans="1:19" s="15" customFormat="1" x14ac:dyDescent="0.3">
      <c r="A3007" s="17"/>
      <c r="B3007"/>
      <c r="C3007"/>
      <c r="D3007"/>
      <c r="E3007"/>
      <c r="F3007"/>
      <c r="G3007"/>
      <c r="H3007"/>
      <c r="I3007"/>
      <c r="J3007"/>
      <c r="K3007"/>
      <c r="L3007"/>
      <c r="M3007"/>
      <c r="S3007" s="54"/>
    </row>
    <row r="3008" spans="1:19" s="15" customFormat="1" x14ac:dyDescent="0.3">
      <c r="A3008" s="17"/>
      <c r="B3008"/>
      <c r="C3008"/>
      <c r="D3008"/>
      <c r="E3008"/>
      <c r="F3008"/>
      <c r="G3008"/>
      <c r="H3008"/>
      <c r="I3008"/>
      <c r="J3008"/>
      <c r="K3008"/>
      <c r="L3008"/>
      <c r="M3008"/>
      <c r="S3008" s="54"/>
    </row>
    <row r="3009" spans="1:19" s="15" customFormat="1" x14ac:dyDescent="0.3">
      <c r="A3009" s="17"/>
      <c r="B3009"/>
      <c r="C3009"/>
      <c r="D3009"/>
      <c r="E3009"/>
      <c r="F3009"/>
      <c r="G3009"/>
      <c r="H3009"/>
      <c r="I3009"/>
      <c r="J3009"/>
      <c r="K3009"/>
      <c r="L3009"/>
      <c r="M3009"/>
      <c r="S3009" s="54"/>
    </row>
    <row r="3010" spans="1:19" s="15" customFormat="1" x14ac:dyDescent="0.3">
      <c r="A3010" s="17"/>
      <c r="B3010"/>
      <c r="C3010"/>
      <c r="D3010"/>
      <c r="E3010"/>
      <c r="F3010"/>
      <c r="G3010"/>
      <c r="H3010"/>
      <c r="I3010"/>
      <c r="J3010"/>
      <c r="K3010"/>
      <c r="L3010"/>
      <c r="M3010"/>
      <c r="S3010" s="54"/>
    </row>
    <row r="3011" spans="1:19" s="15" customFormat="1" x14ac:dyDescent="0.3">
      <c r="A3011" s="17"/>
      <c r="B3011"/>
      <c r="C3011"/>
      <c r="D3011"/>
      <c r="E3011"/>
      <c r="F3011"/>
      <c r="G3011"/>
      <c r="H3011"/>
      <c r="I3011"/>
      <c r="J3011"/>
      <c r="K3011"/>
      <c r="L3011"/>
      <c r="M3011"/>
      <c r="S3011" s="54"/>
    </row>
    <row r="3012" spans="1:19" s="15" customFormat="1" x14ac:dyDescent="0.3">
      <c r="A3012" s="17"/>
      <c r="B3012"/>
      <c r="C3012"/>
      <c r="D3012"/>
      <c r="E3012"/>
      <c r="F3012"/>
      <c r="G3012"/>
      <c r="H3012"/>
      <c r="I3012"/>
      <c r="J3012"/>
      <c r="K3012"/>
      <c r="L3012"/>
      <c r="M3012"/>
      <c r="S3012" s="54"/>
    </row>
    <row r="3013" spans="1:19" s="15" customFormat="1" x14ac:dyDescent="0.3">
      <c r="A3013" s="17"/>
      <c r="B3013"/>
      <c r="C3013"/>
      <c r="D3013"/>
      <c r="E3013"/>
      <c r="F3013"/>
      <c r="G3013"/>
      <c r="H3013"/>
      <c r="I3013"/>
      <c r="J3013"/>
      <c r="K3013"/>
      <c r="L3013"/>
      <c r="M3013"/>
      <c r="S3013" s="54"/>
    </row>
    <row r="3014" spans="1:19" s="15" customFormat="1" x14ac:dyDescent="0.3">
      <c r="A3014" s="17"/>
      <c r="B3014"/>
      <c r="C3014"/>
      <c r="D3014"/>
      <c r="E3014"/>
      <c r="F3014"/>
      <c r="G3014"/>
      <c r="H3014"/>
      <c r="I3014"/>
      <c r="J3014"/>
      <c r="K3014"/>
      <c r="L3014"/>
      <c r="M3014"/>
      <c r="S3014" s="54"/>
    </row>
    <row r="3015" spans="1:19" s="15" customFormat="1" x14ac:dyDescent="0.3">
      <c r="A3015" s="17"/>
      <c r="B3015"/>
      <c r="C3015"/>
      <c r="D3015"/>
      <c r="E3015"/>
      <c r="F3015"/>
      <c r="G3015"/>
      <c r="H3015"/>
      <c r="I3015"/>
      <c r="J3015"/>
      <c r="K3015"/>
      <c r="L3015"/>
      <c r="M3015"/>
      <c r="S3015" s="54"/>
    </row>
    <row r="3016" spans="1:19" s="15" customFormat="1" x14ac:dyDescent="0.3">
      <c r="A3016" s="17"/>
      <c r="B3016"/>
      <c r="C3016"/>
      <c r="D3016"/>
      <c r="E3016"/>
      <c r="F3016"/>
      <c r="G3016"/>
      <c r="H3016"/>
      <c r="I3016"/>
      <c r="J3016"/>
      <c r="K3016"/>
      <c r="L3016"/>
      <c r="M3016"/>
      <c r="S3016" s="54"/>
    </row>
    <row r="3017" spans="1:19" s="15" customFormat="1" x14ac:dyDescent="0.3">
      <c r="A3017" s="17"/>
      <c r="B3017"/>
      <c r="C3017"/>
      <c r="D3017"/>
      <c r="E3017"/>
      <c r="F3017"/>
      <c r="G3017"/>
      <c r="H3017"/>
      <c r="I3017"/>
      <c r="J3017"/>
      <c r="K3017"/>
      <c r="L3017"/>
      <c r="M3017"/>
      <c r="S3017" s="54"/>
    </row>
    <row r="3018" spans="1:19" s="15" customFormat="1" x14ac:dyDescent="0.3">
      <c r="A3018" s="17"/>
      <c r="B3018"/>
      <c r="C3018"/>
      <c r="D3018"/>
      <c r="E3018"/>
      <c r="F3018"/>
      <c r="G3018"/>
      <c r="H3018"/>
      <c r="I3018"/>
      <c r="J3018"/>
      <c r="K3018"/>
      <c r="L3018"/>
      <c r="M3018"/>
      <c r="S3018" s="54"/>
    </row>
    <row r="3019" spans="1:19" s="15" customFormat="1" x14ac:dyDescent="0.3">
      <c r="A3019" s="17"/>
      <c r="B3019"/>
      <c r="C3019"/>
      <c r="D3019"/>
      <c r="E3019"/>
      <c r="F3019"/>
      <c r="G3019"/>
      <c r="H3019"/>
      <c r="I3019"/>
      <c r="J3019"/>
      <c r="K3019"/>
      <c r="L3019"/>
      <c r="M3019"/>
      <c r="S3019" s="54"/>
    </row>
    <row r="3020" spans="1:19" s="15" customFormat="1" x14ac:dyDescent="0.3">
      <c r="A3020" s="17"/>
      <c r="B3020"/>
      <c r="C3020"/>
      <c r="D3020"/>
      <c r="E3020"/>
      <c r="F3020"/>
      <c r="G3020"/>
      <c r="H3020"/>
      <c r="I3020"/>
      <c r="J3020"/>
      <c r="K3020"/>
      <c r="L3020"/>
      <c r="M3020"/>
      <c r="S3020" s="54"/>
    </row>
    <row r="3021" spans="1:19" s="15" customFormat="1" x14ac:dyDescent="0.3">
      <c r="A3021" s="17"/>
      <c r="B3021"/>
      <c r="C3021"/>
      <c r="D3021"/>
      <c r="E3021"/>
      <c r="F3021"/>
      <c r="G3021"/>
      <c r="H3021"/>
      <c r="I3021"/>
      <c r="J3021"/>
      <c r="K3021"/>
      <c r="L3021"/>
      <c r="M3021"/>
      <c r="S3021" s="54"/>
    </row>
    <row r="3022" spans="1:19" s="15" customFormat="1" x14ac:dyDescent="0.3">
      <c r="A3022" s="17"/>
      <c r="B3022"/>
      <c r="C3022"/>
      <c r="D3022"/>
      <c r="E3022"/>
      <c r="F3022"/>
      <c r="G3022"/>
      <c r="H3022"/>
      <c r="I3022"/>
      <c r="J3022"/>
      <c r="K3022"/>
      <c r="L3022"/>
      <c r="M3022"/>
      <c r="S3022" s="54"/>
    </row>
    <row r="3023" spans="1:19" s="15" customFormat="1" x14ac:dyDescent="0.3">
      <c r="A3023" s="17"/>
      <c r="B3023"/>
      <c r="C3023"/>
      <c r="D3023"/>
      <c r="E3023"/>
      <c r="F3023"/>
      <c r="G3023"/>
      <c r="H3023"/>
      <c r="I3023"/>
      <c r="J3023"/>
      <c r="K3023"/>
      <c r="L3023"/>
      <c r="M3023"/>
      <c r="S3023" s="54"/>
    </row>
    <row r="3024" spans="1:19" s="15" customFormat="1" x14ac:dyDescent="0.3">
      <c r="A3024" s="17"/>
      <c r="B3024"/>
      <c r="C3024"/>
      <c r="D3024"/>
      <c r="E3024"/>
      <c r="F3024"/>
      <c r="G3024"/>
      <c r="H3024"/>
      <c r="I3024"/>
      <c r="J3024"/>
      <c r="K3024"/>
      <c r="L3024"/>
      <c r="M3024"/>
      <c r="S3024" s="54"/>
    </row>
    <row r="3025" spans="1:19" s="15" customFormat="1" x14ac:dyDescent="0.3">
      <c r="A3025" s="17"/>
      <c r="B3025"/>
      <c r="C3025"/>
      <c r="D3025"/>
      <c r="E3025"/>
      <c r="F3025"/>
      <c r="G3025"/>
      <c r="H3025"/>
      <c r="I3025"/>
      <c r="J3025"/>
      <c r="K3025"/>
      <c r="L3025"/>
      <c r="M3025"/>
      <c r="S3025" s="54"/>
    </row>
    <row r="3026" spans="1:19" s="15" customFormat="1" x14ac:dyDescent="0.3">
      <c r="A3026" s="17"/>
      <c r="B3026"/>
      <c r="C3026"/>
      <c r="D3026"/>
      <c r="E3026"/>
      <c r="F3026"/>
      <c r="G3026"/>
      <c r="H3026"/>
      <c r="I3026"/>
      <c r="J3026"/>
      <c r="K3026"/>
      <c r="L3026"/>
      <c r="M3026"/>
      <c r="S3026" s="54"/>
    </row>
    <row r="3027" spans="1:19" s="15" customFormat="1" x14ac:dyDescent="0.3">
      <c r="A3027" s="17"/>
      <c r="B3027"/>
      <c r="C3027"/>
      <c r="D3027"/>
      <c r="E3027"/>
      <c r="F3027"/>
      <c r="G3027"/>
      <c r="H3027"/>
      <c r="I3027"/>
      <c r="J3027"/>
      <c r="K3027"/>
      <c r="L3027"/>
      <c r="M3027"/>
      <c r="S3027" s="54"/>
    </row>
    <row r="3028" spans="1:19" s="15" customFormat="1" x14ac:dyDescent="0.3">
      <c r="A3028" s="17"/>
      <c r="B3028"/>
      <c r="C3028"/>
      <c r="D3028"/>
      <c r="E3028"/>
      <c r="F3028"/>
      <c r="G3028"/>
      <c r="H3028"/>
      <c r="I3028"/>
      <c r="J3028"/>
      <c r="K3028"/>
      <c r="L3028"/>
      <c r="M3028"/>
      <c r="S3028" s="54"/>
    </row>
    <row r="3029" spans="1:19" s="15" customFormat="1" x14ac:dyDescent="0.3">
      <c r="A3029" s="17"/>
      <c r="B3029"/>
      <c r="C3029"/>
      <c r="D3029"/>
      <c r="E3029"/>
      <c r="F3029"/>
      <c r="G3029"/>
      <c r="H3029"/>
      <c r="I3029"/>
      <c r="J3029"/>
      <c r="K3029"/>
      <c r="L3029"/>
      <c r="M3029"/>
      <c r="S3029" s="54"/>
    </row>
    <row r="3030" spans="1:19" s="15" customFormat="1" x14ac:dyDescent="0.3">
      <c r="A3030" s="17"/>
      <c r="B3030"/>
      <c r="C3030"/>
      <c r="D3030"/>
      <c r="E3030"/>
      <c r="F3030"/>
      <c r="G3030"/>
      <c r="H3030"/>
      <c r="I3030"/>
      <c r="J3030"/>
      <c r="K3030"/>
      <c r="L3030"/>
      <c r="M3030"/>
      <c r="S3030" s="54"/>
    </row>
  </sheetData>
  <mergeCells count="1">
    <mergeCell ref="H28:L28"/>
  </mergeCells>
  <pageMargins left="0.511811024" right="0.511811024" top="0.78740157499999996" bottom="0.78740157499999996" header="0.31496062000000002" footer="0.3149606200000000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E0E99D-3BAE-4FB5-99D7-057CDED8173C}">
  <sheetPr>
    <tabColor theme="9" tint="0.59999389629810485"/>
  </sheetPr>
  <dimension ref="A1:Y3014"/>
  <sheetViews>
    <sheetView showGridLines="0" zoomScale="85" zoomScaleNormal="85" workbookViewId="0">
      <selection activeCell="B2" sqref="B2"/>
    </sheetView>
  </sheetViews>
  <sheetFormatPr defaultColWidth="8.85546875" defaultRowHeight="18.75" x14ac:dyDescent="0.3"/>
  <cols>
    <col min="1" max="1" width="25.28515625" style="17" customWidth="1"/>
    <col min="2" max="2" width="86.140625" customWidth="1"/>
    <col min="3" max="3" width="9.7109375" customWidth="1"/>
    <col min="4" max="4" width="8.85546875" customWidth="1"/>
    <col min="5" max="5" width="10" bestFit="1" customWidth="1"/>
    <col min="6" max="6" width="22.42578125" bestFit="1" customWidth="1"/>
    <col min="7" max="12" width="14.28515625" customWidth="1"/>
    <col min="14" max="14" width="12.5703125" style="15" bestFit="1" customWidth="1"/>
    <col min="15" max="15" width="8.85546875" style="15"/>
    <col min="16" max="16" width="12.5703125" style="15" bestFit="1" customWidth="1"/>
    <col min="17" max="17" width="8.85546875" style="15"/>
    <col min="18" max="18" width="10.5703125" style="15" bestFit="1" customWidth="1"/>
    <col min="19" max="19" width="27.5703125" style="15" bestFit="1" customWidth="1"/>
    <col min="20" max="22" width="8.85546875" style="15"/>
  </cols>
  <sheetData>
    <row r="1" spans="1:25" x14ac:dyDescent="0.3">
      <c r="A1" s="16" t="s">
        <v>834</v>
      </c>
      <c r="N1" s="14"/>
      <c r="O1" s="14"/>
      <c r="P1" s="14"/>
      <c r="Q1" s="14"/>
      <c r="R1" s="14"/>
      <c r="S1" s="14"/>
      <c r="T1" s="14"/>
      <c r="U1" s="14"/>
      <c r="V1" s="14"/>
    </row>
    <row r="2" spans="1:25" x14ac:dyDescent="0.3">
      <c r="A2" s="17" t="s">
        <v>835</v>
      </c>
      <c r="N2" s="14"/>
      <c r="O2" s="14"/>
      <c r="P2" s="14"/>
      <c r="Q2" s="14"/>
      <c r="R2" s="14"/>
      <c r="S2" s="14"/>
      <c r="T2" s="14"/>
      <c r="U2" s="14"/>
      <c r="V2" s="14"/>
    </row>
    <row r="3" spans="1:25" ht="15" x14ac:dyDescent="0.25">
      <c r="A3" s="120"/>
      <c r="N3" s="14"/>
      <c r="O3" s="14"/>
      <c r="P3" s="14"/>
      <c r="Q3" s="14"/>
      <c r="R3" s="14"/>
      <c r="S3" s="14"/>
      <c r="T3" s="14"/>
      <c r="U3" s="14"/>
      <c r="V3" s="14"/>
      <c r="W3" s="14"/>
      <c r="X3" s="14"/>
      <c r="Y3" s="14"/>
    </row>
    <row r="4" spans="1:25" x14ac:dyDescent="0.3">
      <c r="A4" s="17" t="s">
        <v>832</v>
      </c>
      <c r="N4" s="14"/>
      <c r="O4" s="14"/>
      <c r="P4" s="14"/>
      <c r="Q4" s="14"/>
      <c r="R4" s="14"/>
      <c r="S4" s="14"/>
      <c r="T4" s="14"/>
      <c r="U4" s="14"/>
      <c r="V4" s="14"/>
      <c r="W4" s="14"/>
      <c r="X4" s="14"/>
      <c r="Y4" s="14"/>
    </row>
    <row r="5" spans="1:25" x14ac:dyDescent="0.3">
      <c r="P5" s="27"/>
    </row>
    <row r="6" spans="1:25" ht="15.75" x14ac:dyDescent="0.25">
      <c r="A6" s="2" t="s">
        <v>15</v>
      </c>
      <c r="B6" s="2" t="s">
        <v>16</v>
      </c>
      <c r="C6" s="2"/>
      <c r="P6" s="27"/>
    </row>
    <row r="7" spans="1:25" ht="15.75" x14ac:dyDescent="0.25">
      <c r="A7" s="23" t="s">
        <v>2</v>
      </c>
      <c r="B7" s="26" t="s">
        <v>837</v>
      </c>
      <c r="C7" s="26"/>
      <c r="P7" s="27"/>
    </row>
    <row r="8" spans="1:25" ht="15.75" x14ac:dyDescent="0.25">
      <c r="A8" s="23" t="s">
        <v>833</v>
      </c>
      <c r="B8" s="26" t="s">
        <v>838</v>
      </c>
      <c r="C8" s="26"/>
      <c r="P8" s="27"/>
    </row>
    <row r="9" spans="1:25" ht="47.25" x14ac:dyDescent="0.25">
      <c r="A9" s="23" t="s">
        <v>836</v>
      </c>
      <c r="B9" s="26" t="s">
        <v>839</v>
      </c>
      <c r="C9" s="26"/>
      <c r="P9" s="27"/>
      <c r="R9" s="61"/>
      <c r="S9" s="61"/>
    </row>
    <row r="10" spans="1:25" ht="15.75" x14ac:dyDescent="0.25">
      <c r="A10" s="23"/>
      <c r="B10" s="26"/>
      <c r="C10" s="26"/>
      <c r="P10" s="27"/>
      <c r="R10" s="61"/>
      <c r="S10" s="61"/>
    </row>
    <row r="11" spans="1:25" ht="15.75" x14ac:dyDescent="0.25">
      <c r="A11" s="23"/>
      <c r="B11" s="26"/>
      <c r="C11" s="26"/>
      <c r="D11" s="1" t="s">
        <v>17</v>
      </c>
      <c r="P11" s="27"/>
      <c r="R11" s="61"/>
      <c r="S11" s="61"/>
    </row>
    <row r="12" spans="1:25" x14ac:dyDescent="0.3">
      <c r="P12" s="27"/>
      <c r="S12" s="54"/>
    </row>
    <row r="13" spans="1:25" x14ac:dyDescent="0.3">
      <c r="F13" s="124" t="s">
        <v>836</v>
      </c>
      <c r="G13" s="12" t="b">
        <v>1</v>
      </c>
      <c r="Q13" s="63"/>
      <c r="S13" s="54"/>
    </row>
    <row r="14" spans="1:25" x14ac:dyDescent="0.3">
      <c r="Q14" s="63"/>
      <c r="S14" s="54"/>
    </row>
    <row r="15" spans="1:25" x14ac:dyDescent="0.3">
      <c r="H15" s="124" t="s">
        <v>2</v>
      </c>
      <c r="I15" s="143" t="s">
        <v>833</v>
      </c>
      <c r="J15" s="144"/>
      <c r="K15" s="144"/>
      <c r="L15" s="145"/>
      <c r="Q15" s="63"/>
      <c r="S15" s="54"/>
    </row>
    <row r="16" spans="1:25" ht="30.75" x14ac:dyDescent="0.3">
      <c r="F16" s="13" t="s">
        <v>678</v>
      </c>
      <c r="G16" s="125" t="s">
        <v>679</v>
      </c>
      <c r="H16" s="125" t="s">
        <v>680</v>
      </c>
      <c r="I16" s="125" t="s">
        <v>681</v>
      </c>
      <c r="J16" s="125" t="s">
        <v>682</v>
      </c>
      <c r="K16" s="125" t="s">
        <v>683</v>
      </c>
      <c r="L16" s="125" t="s">
        <v>684</v>
      </c>
      <c r="N16" s="15" t="s">
        <v>253</v>
      </c>
      <c r="O16" s="63"/>
      <c r="P16" s="63" t="s">
        <v>821</v>
      </c>
      <c r="Q16" s="63"/>
      <c r="S16" s="54"/>
    </row>
    <row r="17" spans="1:22" s="21" customFormat="1" x14ac:dyDescent="0.3">
      <c r="A17" s="17"/>
      <c r="B17"/>
      <c r="C17"/>
      <c r="D17"/>
      <c r="E17"/>
      <c r="F17" s="13" t="s">
        <v>685</v>
      </c>
      <c r="G17" s="127">
        <v>-1.130692303500922</v>
      </c>
      <c r="H17" s="93">
        <v>8.3317629624381695</v>
      </c>
      <c r="I17" s="93">
        <v>45.991100581056671</v>
      </c>
      <c r="J17" s="93">
        <v>0.80732873436107266</v>
      </c>
      <c r="K17" s="93">
        <v>1.95176821052894</v>
      </c>
      <c r="L17" s="93">
        <v>16.946099283836638</v>
      </c>
      <c r="M17"/>
      <c r="N17" s="59" cm="1">
        <f t="array" ref="N17:N21">_xlfn.LAMBDA(_xlpm.y,_xlpm.X,_xlop.returnAllFactors,
_xlfn.LET(
_xlpm.returnAllFactors,IF(_xlfn.ISOMITTED(_xlpm.returnAllFactors), FALSE, _xlpm.returnAllFactors),
IF(_xlpm.returnAllFactors,
_xlfn.LET(
_xlpm.X, _xlfn.HSTACK(_xlpm.y,_xlpm.X),
_xlfn.MAP( _xlfn.SEQUENCE(COLUMNS(_xlpm.X),1),  _xlfn.LAMBDA(_xlpm.iVar, 1/(1 - OLS_R2(INDEX(_xlpm.X,,_xlpm.iVar), ADDCONST(SLICE(_xlpm.X,,,_xlpm.iVar,_xlpm.iVar,,TRUE) ) )) ))
),
1/(1 - OLS_R2(_xlpm.y,ADDCONST(_xlpm.X)))
)))(H17:H147,I17:L147,$G$13)</f>
        <v>1.1808508969429405</v>
      </c>
      <c r="O17" s="63"/>
      <c r="P17" s="59" cm="1">
        <f t="array" ref="P17:P21">VARINFLATIONFACTOR(H17:H147,I17:L147,$G$13)</f>
        <v>1.1808508969429405</v>
      </c>
      <c r="Q17" s="15"/>
      <c r="R17" s="15"/>
      <c r="S17" s="54"/>
      <c r="T17" s="15"/>
      <c r="U17" s="15"/>
      <c r="V17" s="15"/>
    </row>
    <row r="18" spans="1:22" s="21" customFormat="1" x14ac:dyDescent="0.3">
      <c r="A18" s="17"/>
      <c r="B18"/>
      <c r="C18"/>
      <c r="D18"/>
      <c r="E18"/>
      <c r="F18" s="13" t="s">
        <v>686</v>
      </c>
      <c r="G18" s="127">
        <v>7.3833616362299495</v>
      </c>
      <c r="H18" s="93">
        <v>8.3477065795975189</v>
      </c>
      <c r="I18" s="93">
        <v>17.447586027454765</v>
      </c>
      <c r="J18" s="93">
        <v>1.8582675938650235</v>
      </c>
      <c r="K18" s="93">
        <v>1.44344660770702</v>
      </c>
      <c r="L18" s="93">
        <v>12.472089489974685</v>
      </c>
      <c r="M18"/>
      <c r="N18" s="59">
        <v>1.056596245033852</v>
      </c>
      <c r="O18" s="63"/>
      <c r="P18" s="59">
        <v>1.056596245033852</v>
      </c>
      <c r="Q18" s="15"/>
      <c r="R18" s="15"/>
      <c r="S18" s="54"/>
      <c r="T18" s="15"/>
      <c r="U18" s="15"/>
      <c r="V18" s="15"/>
    </row>
    <row r="19" spans="1:22" s="21" customFormat="1" x14ac:dyDescent="0.3">
      <c r="A19" s="17"/>
      <c r="B19"/>
      <c r="C19"/>
      <c r="D19"/>
      <c r="E19"/>
      <c r="F19" s="13" t="s">
        <v>687</v>
      </c>
      <c r="G19" s="127">
        <v>0.62389234244066927</v>
      </c>
      <c r="H19" s="93">
        <v>10.957014675840254</v>
      </c>
      <c r="I19" s="93">
        <v>23.196888379048282</v>
      </c>
      <c r="J19" s="93">
        <v>2.8998909370170098</v>
      </c>
      <c r="K19" s="93">
        <v>1.61076787290379</v>
      </c>
      <c r="L19" s="93">
        <v>19.008490894565419</v>
      </c>
      <c r="M19"/>
      <c r="N19" s="59">
        <v>1.0104831288718428</v>
      </c>
      <c r="O19" s="63"/>
      <c r="P19" s="59">
        <v>1.0104831288718428</v>
      </c>
      <c r="Q19" s="15"/>
      <c r="R19" s="15"/>
      <c r="S19" s="54"/>
      <c r="T19" s="15"/>
      <c r="U19" s="15"/>
      <c r="V19" s="15"/>
    </row>
    <row r="20" spans="1:22" s="21" customFormat="1" x14ac:dyDescent="0.3">
      <c r="A20" s="17"/>
      <c r="B20"/>
      <c r="C20"/>
      <c r="D20"/>
      <c r="E20"/>
      <c r="F20" s="13" t="s">
        <v>688</v>
      </c>
      <c r="G20" s="127">
        <v>1.0012034526005777</v>
      </c>
      <c r="H20" s="93">
        <v>10.848915352334949</v>
      </c>
      <c r="I20" s="93">
        <v>25.471244087409055</v>
      </c>
      <c r="J20" s="93">
        <v>-1.8199783496316957</v>
      </c>
      <c r="K20" s="93">
        <v>1.5308955342270201</v>
      </c>
      <c r="L20" s="93">
        <v>19.448198590214162</v>
      </c>
      <c r="M20"/>
      <c r="N20" s="59">
        <v>1.2624085220516434</v>
      </c>
      <c r="O20" s="15"/>
      <c r="P20" s="59">
        <v>1.2624085220516434</v>
      </c>
      <c r="Q20" s="15"/>
      <c r="R20" s="15"/>
      <c r="S20" s="54"/>
      <c r="T20" s="15"/>
      <c r="U20" s="15"/>
      <c r="V20" s="15"/>
    </row>
    <row r="21" spans="1:22" s="21" customFormat="1" x14ac:dyDescent="0.3">
      <c r="A21" s="17"/>
      <c r="B21"/>
      <c r="C21"/>
      <c r="D21"/>
      <c r="E21"/>
      <c r="F21" s="13" t="s">
        <v>689</v>
      </c>
      <c r="G21" s="127">
        <v>1.3666844080116363</v>
      </c>
      <c r="H21" s="93">
        <v>8.4637590196766475</v>
      </c>
      <c r="I21" s="93">
        <v>20.140424333688376</v>
      </c>
      <c r="J21" s="93">
        <v>3.1300554596540202</v>
      </c>
      <c r="K21" s="93">
        <v>2.6105718279921599</v>
      </c>
      <c r="L21" s="93">
        <v>10.827242565590529</v>
      </c>
      <c r="M21"/>
      <c r="N21" s="59">
        <v>1.1612247205880348</v>
      </c>
      <c r="O21" s="15"/>
      <c r="P21" s="59">
        <v>1.1612247205880348</v>
      </c>
      <c r="Q21" s="15"/>
      <c r="R21" s="15"/>
      <c r="S21" s="54"/>
      <c r="T21" s="15"/>
      <c r="U21" s="15"/>
      <c r="V21" s="15"/>
    </row>
    <row r="22" spans="1:22" s="21" customFormat="1" x14ac:dyDescent="0.3">
      <c r="A22" s="17"/>
      <c r="B22"/>
      <c r="C22"/>
      <c r="D22"/>
      <c r="E22"/>
      <c r="F22" s="13" t="s">
        <v>690</v>
      </c>
      <c r="G22" s="127">
        <v>0.21942188438870858</v>
      </c>
      <c r="H22" s="93">
        <v>10.427254180265212</v>
      </c>
      <c r="I22" s="93">
        <v>25.922025510354374</v>
      </c>
      <c r="J22" s="93">
        <v>1.9485981949491118</v>
      </c>
      <c r="K22" s="93">
        <v>2.4912352736805499</v>
      </c>
      <c r="L22" s="93">
        <v>14.197867263675729</v>
      </c>
      <c r="M22"/>
      <c r="N22" s="27"/>
      <c r="O22" s="15"/>
      <c r="P22" s="27"/>
      <c r="Q22" s="15"/>
      <c r="R22" s="15"/>
      <c r="S22" s="54"/>
      <c r="T22" s="15"/>
      <c r="U22" s="15"/>
      <c r="V22" s="15"/>
    </row>
    <row r="23" spans="1:22" s="21" customFormat="1" x14ac:dyDescent="0.3">
      <c r="A23" s="17"/>
      <c r="B23"/>
      <c r="C23"/>
      <c r="D23"/>
      <c r="E23"/>
      <c r="F23" s="13" t="s">
        <v>691</v>
      </c>
      <c r="G23" s="127">
        <v>7.0315838361049998</v>
      </c>
      <c r="H23" s="93">
        <v>7.4374127026386816</v>
      </c>
      <c r="I23" s="93">
        <v>31.570304551936758</v>
      </c>
      <c r="J23" s="93">
        <v>0.63061026484687088</v>
      </c>
      <c r="K23" s="93">
        <v>5.5919963993063302</v>
      </c>
      <c r="L23" s="93">
        <v>6.2710871649623092</v>
      </c>
      <c r="M23"/>
      <c r="N23" s="27"/>
      <c r="O23" s="15"/>
      <c r="P23" s="27"/>
      <c r="Q23" s="15"/>
      <c r="R23" s="15"/>
      <c r="S23" s="54"/>
      <c r="T23" s="15"/>
      <c r="U23" s="15"/>
      <c r="V23" s="15"/>
    </row>
    <row r="24" spans="1:22" s="21" customFormat="1" x14ac:dyDescent="0.3">
      <c r="A24" s="17"/>
      <c r="B24"/>
      <c r="C24"/>
      <c r="D24"/>
      <c r="E24"/>
      <c r="F24" s="13" t="s">
        <v>692</v>
      </c>
      <c r="G24" s="127">
        <v>-0.22979319230935857</v>
      </c>
      <c r="H24" s="93">
        <v>9.7838699675287035</v>
      </c>
      <c r="I24" s="93">
        <v>15.691415818775198</v>
      </c>
      <c r="J24" s="93">
        <v>4.1345747744288728</v>
      </c>
      <c r="K24" s="93">
        <v>4.1002896451846302</v>
      </c>
      <c r="L24" s="93">
        <v>11.326017469763871</v>
      </c>
      <c r="M24"/>
      <c r="N24" s="63"/>
      <c r="O24" s="15"/>
      <c r="P24" s="27"/>
      <c r="Q24" s="15"/>
      <c r="R24" s="15"/>
      <c r="S24" s="54"/>
      <c r="T24" s="15"/>
      <c r="U24" s="15"/>
      <c r="V24" s="15"/>
    </row>
    <row r="25" spans="1:22" s="21" customFormat="1" x14ac:dyDescent="0.3">
      <c r="A25" s="17"/>
      <c r="B25"/>
      <c r="C25"/>
      <c r="D25"/>
      <c r="E25"/>
      <c r="F25" s="13" t="s">
        <v>693</v>
      </c>
      <c r="G25" s="127">
        <v>1.400047930957669</v>
      </c>
      <c r="H25" s="93">
        <v>8.7530674023375052</v>
      </c>
      <c r="I25" s="93">
        <v>28.979012775129075</v>
      </c>
      <c r="J25" s="93">
        <v>2.0185332511820615</v>
      </c>
      <c r="K25" s="93">
        <v>5.5981559503985299</v>
      </c>
      <c r="L25" s="93">
        <v>15.851406234250865</v>
      </c>
      <c r="M25"/>
      <c r="N25" s="27"/>
      <c r="O25" s="15"/>
      <c r="P25" s="27"/>
      <c r="Q25" s="15"/>
      <c r="R25" s="15"/>
      <c r="S25" s="54"/>
      <c r="T25" s="15"/>
      <c r="U25" s="15"/>
      <c r="V25" s="15"/>
    </row>
    <row r="26" spans="1:22" s="21" customFormat="1" x14ac:dyDescent="0.3">
      <c r="A26" s="17"/>
      <c r="B26"/>
      <c r="C26"/>
      <c r="D26"/>
      <c r="E26"/>
      <c r="F26" s="13" t="s">
        <v>694</v>
      </c>
      <c r="G26" s="127">
        <v>1.2388150243184839</v>
      </c>
      <c r="H26" s="93">
        <v>10.7702324085133</v>
      </c>
      <c r="I26" s="93">
        <v>24.952305034425422</v>
      </c>
      <c r="J26" s="93">
        <v>-5.4334669000579696</v>
      </c>
      <c r="K26" s="93">
        <v>1.43681956996435</v>
      </c>
      <c r="L26" s="93">
        <v>23.034447682323915</v>
      </c>
      <c r="M26"/>
      <c r="N26" s="27"/>
      <c r="O26" s="15"/>
      <c r="P26" s="27"/>
      <c r="Q26" s="15"/>
      <c r="R26" s="15"/>
      <c r="S26" s="54"/>
      <c r="T26" s="15"/>
      <c r="U26" s="15"/>
      <c r="V26" s="15"/>
    </row>
    <row r="27" spans="1:22" s="21" customFormat="1" x14ac:dyDescent="0.3">
      <c r="A27" s="17"/>
      <c r="B27"/>
      <c r="C27"/>
      <c r="D27"/>
      <c r="E27"/>
      <c r="F27" s="13" t="s">
        <v>695</v>
      </c>
      <c r="G27" s="127">
        <v>4.0032068565521399</v>
      </c>
      <c r="H27" s="93">
        <v>7.1235353578888523</v>
      </c>
      <c r="I27" s="93">
        <v>25.629800579221261</v>
      </c>
      <c r="J27" s="93">
        <v>1.516310768816759</v>
      </c>
      <c r="K27" s="93">
        <v>-0.91568157286491503</v>
      </c>
      <c r="L27" s="93">
        <v>10.342063239947461</v>
      </c>
      <c r="M27"/>
      <c r="N27" s="27"/>
      <c r="O27" s="15"/>
      <c r="P27" s="27"/>
      <c r="Q27" s="15"/>
      <c r="R27" s="15"/>
      <c r="S27" s="54"/>
      <c r="T27" s="15"/>
      <c r="U27" s="15"/>
      <c r="V27" s="15"/>
    </row>
    <row r="28" spans="1:22" s="21" customFormat="1" x14ac:dyDescent="0.3">
      <c r="A28" s="17"/>
      <c r="B28"/>
      <c r="C28"/>
      <c r="D28"/>
      <c r="E28"/>
      <c r="F28" s="13" t="s">
        <v>696</v>
      </c>
      <c r="G28" s="127">
        <v>4.2623995958524432</v>
      </c>
      <c r="H28" s="93">
        <v>8.0844039675358701</v>
      </c>
      <c r="I28" s="93">
        <v>37.954922924779304</v>
      </c>
      <c r="J28" s="93">
        <v>0.51500322915473185</v>
      </c>
      <c r="K28" s="93">
        <v>2.7258210430730401</v>
      </c>
      <c r="L28" s="93">
        <v>18.2953222325532</v>
      </c>
      <c r="M28"/>
      <c r="N28" s="27"/>
      <c r="O28" s="15"/>
      <c r="P28" s="27"/>
      <c r="Q28" s="15"/>
      <c r="R28" s="15"/>
      <c r="S28" s="54"/>
      <c r="T28" s="15"/>
      <c r="U28" s="15"/>
      <c r="V28" s="15"/>
    </row>
    <row r="29" spans="1:22" s="21" customFormat="1" x14ac:dyDescent="0.3">
      <c r="A29" s="17"/>
      <c r="B29"/>
      <c r="C29"/>
      <c r="D29"/>
      <c r="E29"/>
      <c r="F29" s="13" t="s">
        <v>697</v>
      </c>
      <c r="G29" s="127">
        <v>0.79655136012202377</v>
      </c>
      <c r="H29" s="93">
        <v>8.1743056641758969</v>
      </c>
      <c r="I29" s="93">
        <v>19.875010901565037</v>
      </c>
      <c r="J29" s="93">
        <v>-0.58052618176611648</v>
      </c>
      <c r="K29" s="93">
        <v>1.8395450496903201</v>
      </c>
      <c r="L29" s="93">
        <v>18.143092003336612</v>
      </c>
      <c r="M29"/>
      <c r="N29" s="27"/>
      <c r="O29" s="15"/>
      <c r="P29" s="27"/>
      <c r="Q29" s="15"/>
      <c r="R29" s="15"/>
      <c r="S29" s="54"/>
      <c r="T29" s="15"/>
      <c r="U29" s="15"/>
      <c r="V29" s="15"/>
    </row>
    <row r="30" spans="1:22" s="21" customFormat="1" x14ac:dyDescent="0.3">
      <c r="A30" s="17"/>
      <c r="B30"/>
      <c r="C30"/>
      <c r="D30"/>
      <c r="E30"/>
      <c r="F30" s="13" t="s">
        <v>698</v>
      </c>
      <c r="G30" s="127">
        <v>3.3913712288242266</v>
      </c>
      <c r="H30" s="93">
        <v>8.7114737242214328</v>
      </c>
      <c r="I30" s="93">
        <v>21.610629329706153</v>
      </c>
      <c r="J30" s="93">
        <v>1.9351663380671342</v>
      </c>
      <c r="K30" s="93">
        <v>0.56278215406130305</v>
      </c>
      <c r="L30" s="93">
        <v>19.478840404244668</v>
      </c>
      <c r="M30"/>
      <c r="N30" s="27"/>
      <c r="O30" s="15"/>
      <c r="P30" s="27"/>
      <c r="Q30" s="15"/>
      <c r="R30" s="15"/>
      <c r="S30" s="54"/>
      <c r="T30" s="15"/>
      <c r="U30" s="15"/>
      <c r="V30" s="15"/>
    </row>
    <row r="31" spans="1:22" s="21" customFormat="1" x14ac:dyDescent="0.3">
      <c r="A31" s="17"/>
      <c r="B31"/>
      <c r="C31"/>
      <c r="D31"/>
      <c r="E31"/>
      <c r="F31" s="13" t="s">
        <v>699</v>
      </c>
      <c r="G31" s="127">
        <v>0.75049841276894824</v>
      </c>
      <c r="H31" s="93">
        <v>9.0215501470408288</v>
      </c>
      <c r="I31" s="93">
        <v>34.858062190929274</v>
      </c>
      <c r="J31" s="93">
        <v>1.4226890659568103</v>
      </c>
      <c r="K31" s="93">
        <v>2.7728644286333002</v>
      </c>
      <c r="L31" s="93">
        <v>18.428650147943198</v>
      </c>
      <c r="M31"/>
      <c r="N31" s="27"/>
      <c r="O31" s="15"/>
      <c r="P31" s="27"/>
      <c r="Q31" s="15"/>
      <c r="R31" s="15"/>
      <c r="S31" s="54"/>
      <c r="T31" s="15"/>
      <c r="U31" s="15"/>
      <c r="V31" s="15"/>
    </row>
    <row r="32" spans="1:22" s="21" customFormat="1" x14ac:dyDescent="0.3">
      <c r="A32" s="17"/>
      <c r="B32"/>
      <c r="C32"/>
      <c r="D32"/>
      <c r="E32"/>
      <c r="F32" s="13" t="s">
        <v>700</v>
      </c>
      <c r="G32" s="127">
        <v>0.3793442364183619</v>
      </c>
      <c r="H32" s="93">
        <v>9.1051169856529199</v>
      </c>
      <c r="I32" s="93">
        <v>15.112968477164261</v>
      </c>
      <c r="J32" s="93">
        <v>3.7599591814640414</v>
      </c>
      <c r="K32" s="93">
        <v>3.73297621216894</v>
      </c>
      <c r="L32" s="93">
        <v>20.28256559035372</v>
      </c>
      <c r="M32"/>
      <c r="N32" s="27"/>
      <c r="O32" s="15"/>
      <c r="P32" s="27"/>
      <c r="Q32" s="15"/>
      <c r="R32" s="15"/>
      <c r="S32" s="54"/>
      <c r="T32" s="15"/>
      <c r="U32" s="15"/>
      <c r="V32" s="15"/>
    </row>
    <row r="33" spans="1:22" s="21" customFormat="1" x14ac:dyDescent="0.3">
      <c r="A33" s="17"/>
      <c r="B33"/>
      <c r="C33"/>
      <c r="D33"/>
      <c r="E33"/>
      <c r="F33" s="13" t="s">
        <v>701</v>
      </c>
      <c r="G33" s="127">
        <v>2.8327800545587394</v>
      </c>
      <c r="H33" s="93">
        <v>10.361808478717753</v>
      </c>
      <c r="I33" s="93">
        <v>38.677753499120882</v>
      </c>
      <c r="J33" s="93">
        <v>2.7711414839079391</v>
      </c>
      <c r="K33" s="93">
        <v>-0.39052206916549198</v>
      </c>
      <c r="L33" s="93">
        <v>25.040396219495513</v>
      </c>
      <c r="M33"/>
      <c r="N33" s="27"/>
      <c r="O33" s="15"/>
      <c r="P33" s="27"/>
      <c r="Q33" s="15"/>
      <c r="R33" s="15"/>
      <c r="S33" s="54"/>
      <c r="T33" s="15"/>
      <c r="U33" s="15"/>
      <c r="V33" s="15"/>
    </row>
    <row r="34" spans="1:22" s="21" customFormat="1" x14ac:dyDescent="0.3">
      <c r="A34" s="17"/>
      <c r="B34"/>
      <c r="C34"/>
      <c r="D34"/>
      <c r="E34"/>
      <c r="F34" s="13" t="s">
        <v>702</v>
      </c>
      <c r="G34" s="127">
        <v>4.4267934434363525</v>
      </c>
      <c r="H34" s="93">
        <v>9.1514106711990966</v>
      </c>
      <c r="I34" s="93">
        <v>21.107107865135706</v>
      </c>
      <c r="J34" s="93">
        <v>2.3977952322011151</v>
      </c>
      <c r="K34" s="93">
        <v>3.1037294479677402</v>
      </c>
      <c r="L34" s="93">
        <v>16.790175520623514</v>
      </c>
      <c r="M34"/>
      <c r="N34" s="27"/>
      <c r="O34" s="15"/>
      <c r="P34" s="27"/>
      <c r="Q34" s="15"/>
      <c r="R34" s="15"/>
      <c r="S34" s="54"/>
      <c r="T34" s="15"/>
      <c r="U34" s="15"/>
      <c r="V34" s="15"/>
    </row>
    <row r="35" spans="1:22" s="21" customFormat="1" x14ac:dyDescent="0.3">
      <c r="A35" s="17"/>
      <c r="B35"/>
      <c r="C35"/>
      <c r="D35"/>
      <c r="E35"/>
      <c r="F35" s="13" t="s">
        <v>703</v>
      </c>
      <c r="G35" s="127">
        <v>2.735458618203495</v>
      </c>
      <c r="H35" s="93">
        <v>6.7008502278650433</v>
      </c>
      <c r="I35" s="93">
        <v>22.952682676962148</v>
      </c>
      <c r="J35" s="93">
        <v>1.0191491600171751</v>
      </c>
      <c r="K35" s="93">
        <v>-3.2333893398332099</v>
      </c>
      <c r="L35" s="93">
        <v>19.018606443363776</v>
      </c>
      <c r="M35"/>
      <c r="N35" s="27"/>
      <c r="O35" s="15"/>
      <c r="P35" s="27"/>
      <c r="Q35" s="15"/>
      <c r="R35" s="15"/>
      <c r="S35" s="54"/>
      <c r="T35" s="15"/>
      <c r="U35" s="15"/>
      <c r="V35" s="15"/>
    </row>
    <row r="36" spans="1:22" s="21" customFormat="1" x14ac:dyDescent="0.3">
      <c r="A36" s="17"/>
      <c r="B36"/>
      <c r="C36"/>
      <c r="D36"/>
      <c r="E36"/>
      <c r="F36" s="13" t="s">
        <v>704</v>
      </c>
      <c r="G36" s="127">
        <v>-1.2948027490113532</v>
      </c>
      <c r="H36" s="93">
        <v>5.6048900489781666</v>
      </c>
      <c r="I36" s="93">
        <v>12.262999829979131</v>
      </c>
      <c r="J36" s="93">
        <v>3.4689386876232624E-2</v>
      </c>
      <c r="K36" s="93">
        <v>-0.68677217079722896</v>
      </c>
      <c r="L36" s="93">
        <v>27.638668275850385</v>
      </c>
      <c r="M36"/>
      <c r="N36" s="27"/>
      <c r="O36" s="15"/>
      <c r="P36" s="27"/>
      <c r="Q36" s="15"/>
      <c r="R36" s="15"/>
      <c r="S36" s="54"/>
      <c r="T36" s="15"/>
      <c r="U36" s="15"/>
      <c r="V36" s="15"/>
    </row>
    <row r="37" spans="1:22" s="21" customFormat="1" x14ac:dyDescent="0.3">
      <c r="A37" s="17"/>
      <c r="B37"/>
      <c r="C37"/>
      <c r="D37"/>
      <c r="E37"/>
      <c r="F37" s="13" t="s">
        <v>705</v>
      </c>
      <c r="G37" s="127">
        <v>4.4825965826443763</v>
      </c>
      <c r="H37" s="93">
        <v>8.1934907693883847</v>
      </c>
      <c r="I37" s="93">
        <v>35.295866192374689</v>
      </c>
      <c r="J37" s="93">
        <v>5.3133236183368817</v>
      </c>
      <c r="K37" s="93">
        <v>1.10750930553813</v>
      </c>
      <c r="L37" s="93">
        <v>17.613312569900241</v>
      </c>
      <c r="M37"/>
      <c r="N37" s="27"/>
      <c r="O37" s="15"/>
      <c r="P37" s="27"/>
      <c r="Q37" s="15"/>
      <c r="R37" s="15"/>
      <c r="S37" s="54"/>
      <c r="T37" s="15"/>
      <c r="U37" s="15"/>
      <c r="V37" s="15"/>
    </row>
    <row r="38" spans="1:22" s="21" customFormat="1" x14ac:dyDescent="0.3">
      <c r="A38" s="17"/>
      <c r="B38"/>
      <c r="C38"/>
      <c r="D38"/>
      <c r="E38"/>
      <c r="F38" s="13" t="s">
        <v>706</v>
      </c>
      <c r="G38" s="127">
        <v>1.0746495852159512</v>
      </c>
      <c r="H38" s="93">
        <v>7.3359557697403082</v>
      </c>
      <c r="I38" s="93">
        <v>22.594231470815942</v>
      </c>
      <c r="J38" s="93">
        <v>2.6271436623722102</v>
      </c>
      <c r="K38" s="93">
        <v>2.4528021406273299</v>
      </c>
      <c r="L38" s="93">
        <v>10.860842680223767</v>
      </c>
      <c r="M38"/>
      <c r="N38" s="27"/>
      <c r="O38" s="15"/>
      <c r="P38" s="27"/>
      <c r="Q38" s="15"/>
      <c r="R38" s="15"/>
      <c r="S38" s="54"/>
      <c r="T38" s="15"/>
      <c r="U38" s="15"/>
      <c r="V38" s="15"/>
    </row>
    <row r="39" spans="1:22" s="21" customFormat="1" x14ac:dyDescent="0.3">
      <c r="A39" s="17"/>
      <c r="B39"/>
      <c r="C39"/>
      <c r="D39"/>
      <c r="E39"/>
      <c r="F39" s="13" t="s">
        <v>707</v>
      </c>
      <c r="G39" s="127">
        <v>0.21866543865272092</v>
      </c>
      <c r="H39" s="93">
        <v>10.743181678479573</v>
      </c>
      <c r="I39" s="93">
        <v>22.703893174899019</v>
      </c>
      <c r="J39" s="93">
        <v>2.596582043209533</v>
      </c>
      <c r="K39" s="93">
        <v>1.94926902411596</v>
      </c>
      <c r="L39" s="93">
        <v>21.166485378132002</v>
      </c>
      <c r="M39"/>
      <c r="N39" s="27"/>
      <c r="O39" s="15"/>
      <c r="P39" s="27"/>
      <c r="Q39" s="15"/>
      <c r="R39" s="15"/>
      <c r="S39" s="54"/>
      <c r="T39" s="15"/>
      <c r="U39" s="15"/>
      <c r="V39" s="15"/>
    </row>
    <row r="40" spans="1:22" s="21" customFormat="1" x14ac:dyDescent="0.3">
      <c r="A40" s="17"/>
      <c r="B40"/>
      <c r="C40"/>
      <c r="D40"/>
      <c r="E40"/>
      <c r="F40" s="13" t="s">
        <v>708</v>
      </c>
      <c r="G40" s="127">
        <v>0.20985760281516264</v>
      </c>
      <c r="H40" s="93">
        <v>6.587756441326535</v>
      </c>
      <c r="I40" s="93">
        <v>21.413432974705671</v>
      </c>
      <c r="J40" s="93">
        <v>5.0078779279517827</v>
      </c>
      <c r="K40" s="93">
        <v>-0.97193917541935304</v>
      </c>
      <c r="L40" s="93">
        <v>3.5875125782785329</v>
      </c>
      <c r="M40"/>
      <c r="N40" s="27"/>
      <c r="O40" s="15"/>
      <c r="P40" s="27"/>
      <c r="Q40" s="15"/>
      <c r="R40" s="15"/>
      <c r="S40" s="54"/>
      <c r="T40" s="15"/>
      <c r="U40" s="15"/>
      <c r="V40" s="15"/>
    </row>
    <row r="41" spans="1:22" s="21" customFormat="1" x14ac:dyDescent="0.3">
      <c r="A41" s="17"/>
      <c r="B41"/>
      <c r="C41"/>
      <c r="D41"/>
      <c r="E41"/>
      <c r="F41" s="13" t="s">
        <v>709</v>
      </c>
      <c r="G41" s="127">
        <v>-0.13396853448601576</v>
      </c>
      <c r="H41" s="93">
        <v>9.6756325597481911</v>
      </c>
      <c r="I41" s="93">
        <v>22.774725737974602</v>
      </c>
      <c r="J41" s="93">
        <v>4.2251513596971737</v>
      </c>
      <c r="K41" s="93">
        <v>2.5575447570332299</v>
      </c>
      <c r="L41" s="93">
        <v>14.591043283441319</v>
      </c>
      <c r="M41"/>
      <c r="N41" s="27"/>
      <c r="O41" s="15"/>
      <c r="P41" s="27"/>
      <c r="Q41" s="15"/>
      <c r="R41" s="15"/>
      <c r="S41" s="54"/>
      <c r="T41" s="15"/>
      <c r="U41" s="15"/>
      <c r="V41" s="15"/>
    </row>
    <row r="42" spans="1:22" s="21" customFormat="1" x14ac:dyDescent="0.3">
      <c r="A42" s="17"/>
      <c r="B42"/>
      <c r="C42"/>
      <c r="D42"/>
      <c r="E42"/>
      <c r="F42" s="13" t="s">
        <v>710</v>
      </c>
      <c r="G42" s="127">
        <v>5.5718408282506573</v>
      </c>
      <c r="H42" s="93">
        <v>9.2080053616861353</v>
      </c>
      <c r="I42" s="93">
        <v>43.251105743824318</v>
      </c>
      <c r="J42" s="93">
        <v>1.0911486480388148</v>
      </c>
      <c r="K42" s="93">
        <v>2.8992357992594102</v>
      </c>
      <c r="L42" s="93">
        <v>16.770510950474964</v>
      </c>
      <c r="M42"/>
      <c r="N42" s="27"/>
      <c r="O42" s="15"/>
      <c r="P42" s="27"/>
      <c r="Q42" s="15"/>
      <c r="R42" s="15"/>
      <c r="S42" s="54"/>
      <c r="T42" s="15"/>
      <c r="U42" s="15"/>
      <c r="V42" s="15"/>
    </row>
    <row r="43" spans="1:22" s="21" customFormat="1" x14ac:dyDescent="0.3">
      <c r="A43" s="17"/>
      <c r="B43"/>
      <c r="C43"/>
      <c r="D43"/>
      <c r="E43"/>
      <c r="F43" s="13" t="s">
        <v>711</v>
      </c>
      <c r="G43" s="127">
        <v>1.8686560396996725</v>
      </c>
      <c r="H43" s="93">
        <v>8.812383744212763</v>
      </c>
      <c r="I43" s="93">
        <v>22.286444544874794</v>
      </c>
      <c r="J43" s="93">
        <v>4.4230577158766389</v>
      </c>
      <c r="K43" s="93">
        <v>3.5254927361895199</v>
      </c>
      <c r="L43" s="93">
        <v>15.43288641397281</v>
      </c>
      <c r="M43"/>
      <c r="N43" s="27"/>
      <c r="O43" s="15"/>
      <c r="P43" s="27"/>
      <c r="Q43" s="15"/>
      <c r="R43" s="15"/>
      <c r="S43" s="54"/>
      <c r="T43" s="15"/>
      <c r="U43" s="15"/>
      <c r="V43" s="15"/>
    </row>
    <row r="44" spans="1:22" s="21" customFormat="1" x14ac:dyDescent="0.3">
      <c r="A44" s="17"/>
      <c r="B44"/>
      <c r="C44"/>
      <c r="D44"/>
      <c r="E44"/>
      <c r="F44" s="13" t="s">
        <v>712</v>
      </c>
      <c r="G44" s="127">
        <v>-5.9847891394518911</v>
      </c>
      <c r="H44" s="93">
        <v>7.8546534689074505</v>
      </c>
      <c r="I44" s="93">
        <v>25.276865713172686</v>
      </c>
      <c r="J44" s="93">
        <v>27.439287741005362</v>
      </c>
      <c r="K44" s="93">
        <v>2.2060730578152201</v>
      </c>
      <c r="L44" s="93">
        <v>12.229395069285992</v>
      </c>
      <c r="M44"/>
      <c r="N44" s="27"/>
      <c r="O44" s="15"/>
      <c r="P44" s="27"/>
      <c r="Q44" s="15"/>
      <c r="R44" s="15"/>
      <c r="S44" s="54"/>
      <c r="T44" s="15"/>
      <c r="U44" s="15"/>
      <c r="V44" s="15"/>
    </row>
    <row r="45" spans="1:22" s="21" customFormat="1" x14ac:dyDescent="0.3">
      <c r="A45" s="17"/>
      <c r="B45"/>
      <c r="C45"/>
      <c r="D45"/>
      <c r="E45"/>
      <c r="F45" s="13" t="s">
        <v>713</v>
      </c>
      <c r="G45" s="127">
        <v>1.110597648228179</v>
      </c>
      <c r="H45" s="93">
        <v>9.4019630737534623</v>
      </c>
      <c r="I45" s="93">
        <v>17.664283705833604</v>
      </c>
      <c r="J45" s="93">
        <v>4.0534370106133908</v>
      </c>
      <c r="K45" s="93">
        <v>2.0962025659294898</v>
      </c>
      <c r="L45" s="93">
        <v>17.39080537780335</v>
      </c>
      <c r="M45"/>
      <c r="N45" s="27"/>
      <c r="O45" s="15"/>
      <c r="P45" s="27"/>
      <c r="Q45" s="15"/>
      <c r="R45" s="15"/>
      <c r="S45" s="54"/>
      <c r="T45" s="15"/>
      <c r="U45" s="15"/>
      <c r="V45" s="15"/>
    </row>
    <row r="46" spans="1:22" s="21" customFormat="1" x14ac:dyDescent="0.3">
      <c r="A46" s="17"/>
      <c r="B46"/>
      <c r="C46"/>
      <c r="D46"/>
      <c r="E46"/>
      <c r="F46" s="13" t="s">
        <v>714</v>
      </c>
      <c r="G46" s="127">
        <v>3.5577351623977904</v>
      </c>
      <c r="H46" s="93">
        <v>7.7467548096095085</v>
      </c>
      <c r="I46" s="93">
        <v>20.05864445829199</v>
      </c>
      <c r="J46" s="93">
        <v>1.7231203698408821</v>
      </c>
      <c r="K46" s="93">
        <v>-1.1068634399420201</v>
      </c>
      <c r="L46" s="93">
        <v>10.113219592982636</v>
      </c>
      <c r="M46"/>
      <c r="N46" s="27"/>
      <c r="O46" s="15"/>
      <c r="P46" s="27"/>
      <c r="Q46" s="15"/>
      <c r="R46" s="15"/>
      <c r="S46" s="54"/>
      <c r="T46" s="15"/>
      <c r="U46" s="15"/>
      <c r="V46" s="15"/>
    </row>
    <row r="47" spans="1:22" s="21" customFormat="1" x14ac:dyDescent="0.3">
      <c r="A47" s="17"/>
      <c r="B47"/>
      <c r="C47"/>
      <c r="D47"/>
      <c r="E47"/>
      <c r="F47" s="13" t="s">
        <v>715</v>
      </c>
      <c r="G47" s="127">
        <v>3.3733596818280347</v>
      </c>
      <c r="H47" s="93">
        <v>9.6167440407765401</v>
      </c>
      <c r="I47" s="93">
        <v>22.667272622711206</v>
      </c>
      <c r="J47" s="93">
        <v>1.9259298823146431</v>
      </c>
      <c r="K47" s="93">
        <v>0.77182034649808295</v>
      </c>
      <c r="L47" s="93">
        <v>19.729682971460527</v>
      </c>
      <c r="M47"/>
      <c r="N47" s="27"/>
      <c r="O47" s="15"/>
      <c r="P47" s="27"/>
      <c r="Q47" s="15"/>
      <c r="R47" s="15"/>
      <c r="S47" s="54"/>
      <c r="T47" s="15"/>
      <c r="U47" s="15"/>
      <c r="V47" s="15"/>
    </row>
    <row r="48" spans="1:22" s="21" customFormat="1" x14ac:dyDescent="0.3">
      <c r="A48" s="17"/>
      <c r="B48"/>
      <c r="C48"/>
      <c r="D48"/>
      <c r="E48"/>
      <c r="F48" s="13" t="s">
        <v>716</v>
      </c>
      <c r="G48" s="127">
        <v>1.860235753047192</v>
      </c>
      <c r="H48" s="93">
        <v>10.264293686635927</v>
      </c>
      <c r="I48" s="93">
        <v>19.898627372045368</v>
      </c>
      <c r="J48" s="93">
        <v>103.9337645312846</v>
      </c>
      <c r="K48" s="93">
        <v>0.25037099675845598</v>
      </c>
      <c r="L48" s="93">
        <v>16.561310230716863</v>
      </c>
      <c r="M48"/>
      <c r="N48" s="27"/>
      <c r="O48" s="15"/>
      <c r="P48" s="27"/>
      <c r="Q48" s="15"/>
      <c r="R48" s="15"/>
      <c r="S48" s="54"/>
      <c r="T48" s="15"/>
      <c r="U48" s="15"/>
      <c r="V48" s="15"/>
    </row>
    <row r="49" spans="1:22" s="21" customFormat="1" x14ac:dyDescent="0.3">
      <c r="A49" s="17"/>
      <c r="B49"/>
      <c r="C49"/>
      <c r="D49"/>
      <c r="E49"/>
      <c r="F49" s="13" t="s">
        <v>717</v>
      </c>
      <c r="G49" s="127">
        <v>1.9537617690710931</v>
      </c>
      <c r="H49" s="93">
        <v>10.061168150321755</v>
      </c>
      <c r="I49" s="93">
        <v>26.918792318498824</v>
      </c>
      <c r="J49" s="93">
        <v>3.7230091499565554</v>
      </c>
      <c r="K49" s="93">
        <v>2.8478759591804699</v>
      </c>
      <c r="L49" s="93">
        <v>19.737737507192971</v>
      </c>
      <c r="M49"/>
      <c r="N49" s="27"/>
      <c r="O49" s="15"/>
      <c r="P49" s="27"/>
      <c r="Q49" s="15"/>
      <c r="R49" s="15"/>
      <c r="S49" s="54"/>
      <c r="T49" s="15"/>
      <c r="U49" s="15"/>
      <c r="V49" s="15"/>
    </row>
    <row r="50" spans="1:22" s="21" customFormat="1" x14ac:dyDescent="0.3">
      <c r="A50" s="17"/>
      <c r="B50"/>
      <c r="C50"/>
      <c r="D50"/>
      <c r="E50"/>
      <c r="F50" s="13" t="s">
        <v>718</v>
      </c>
      <c r="G50" s="127">
        <v>2.4090782448895993</v>
      </c>
      <c r="H50" s="93">
        <v>11.028393394440657</v>
      </c>
      <c r="I50" s="93">
        <v>22.709977210586029</v>
      </c>
      <c r="J50" s="93">
        <v>-2.1420098784646324</v>
      </c>
      <c r="K50" s="93">
        <v>0.758131572511619</v>
      </c>
      <c r="L50" s="93">
        <v>23.847191165915699</v>
      </c>
      <c r="M50"/>
      <c r="N50" s="27"/>
      <c r="O50" s="15"/>
      <c r="P50" s="27"/>
      <c r="Q50" s="15"/>
      <c r="R50" s="15"/>
      <c r="S50" s="54"/>
      <c r="T50" s="15"/>
      <c r="U50" s="15"/>
      <c r="V50" s="15"/>
    </row>
    <row r="51" spans="1:22" s="21" customFormat="1" x14ac:dyDescent="0.3">
      <c r="A51" s="17"/>
      <c r="B51"/>
      <c r="C51"/>
      <c r="D51"/>
      <c r="E51"/>
      <c r="F51" s="13" t="s">
        <v>719</v>
      </c>
      <c r="G51" s="127">
        <v>3.9585705787357597</v>
      </c>
      <c r="H51" s="93">
        <v>8.9935056829196114</v>
      </c>
      <c r="I51" s="93">
        <v>26.003487021991184</v>
      </c>
      <c r="J51" s="93">
        <v>3.1756900432540922</v>
      </c>
      <c r="K51" s="93">
        <v>1.8106037704296101</v>
      </c>
      <c r="L51" s="93">
        <v>11.068797270630528</v>
      </c>
      <c r="M51"/>
      <c r="N51" s="27"/>
      <c r="O51" s="15"/>
      <c r="P51" s="27"/>
      <c r="Q51" s="15"/>
      <c r="R51" s="15"/>
      <c r="S51" s="54"/>
      <c r="T51" s="15"/>
      <c r="U51" s="15"/>
      <c r="V51" s="15"/>
    </row>
    <row r="52" spans="1:22" s="21" customFormat="1" x14ac:dyDescent="0.3">
      <c r="A52" s="17"/>
      <c r="B52"/>
      <c r="C52"/>
      <c r="D52"/>
      <c r="E52"/>
      <c r="F52" s="13" t="s">
        <v>720</v>
      </c>
      <c r="G52" s="127">
        <v>-1.6123686733861859</v>
      </c>
      <c r="H52" s="93">
        <v>8.7476595293522212</v>
      </c>
      <c r="I52" s="93">
        <v>24.954870433389136</v>
      </c>
      <c r="J52" s="93">
        <v>0.88294168376304649</v>
      </c>
      <c r="K52" s="93">
        <v>0.26601251546613602</v>
      </c>
      <c r="L52" s="93">
        <v>14.50466286032669</v>
      </c>
      <c r="M52"/>
      <c r="N52" s="27"/>
      <c r="O52" s="15"/>
      <c r="P52" s="27"/>
      <c r="Q52" s="15"/>
      <c r="R52" s="15"/>
      <c r="S52" s="54"/>
      <c r="T52" s="15"/>
      <c r="U52" s="15"/>
      <c r="V52" s="15"/>
    </row>
    <row r="53" spans="1:22" s="21" customFormat="1" x14ac:dyDescent="0.3">
      <c r="A53" s="17"/>
      <c r="B53"/>
      <c r="C53"/>
      <c r="D53"/>
      <c r="E53"/>
      <c r="F53" s="13" t="s">
        <v>721</v>
      </c>
      <c r="G53" s="127">
        <v>1.8618646731901549</v>
      </c>
      <c r="H53" s="93">
        <v>8.3108230390160855</v>
      </c>
      <c r="I53" s="93">
        <v>19.105461198461736</v>
      </c>
      <c r="J53" s="93">
        <v>2.6820250014123674</v>
      </c>
      <c r="K53" s="93">
        <v>7.5324135002432693E-2</v>
      </c>
      <c r="L53" s="93">
        <v>15.95828534887783</v>
      </c>
      <c r="M53"/>
      <c r="N53" s="27"/>
      <c r="O53" s="15"/>
      <c r="P53" s="27"/>
      <c r="Q53" s="15"/>
      <c r="R53" s="15"/>
      <c r="S53" s="54"/>
      <c r="T53" s="15"/>
      <c r="U53" s="15"/>
      <c r="V53" s="15"/>
    </row>
    <row r="54" spans="1:22" s="21" customFormat="1" x14ac:dyDescent="0.3">
      <c r="A54" s="17"/>
      <c r="B54"/>
      <c r="C54"/>
      <c r="D54"/>
      <c r="E54"/>
      <c r="F54" s="13" t="s">
        <v>722</v>
      </c>
      <c r="G54" s="127">
        <v>-8.8499754290392474</v>
      </c>
      <c r="H54" s="93">
        <v>9.2246569796103373</v>
      </c>
      <c r="I54" s="93">
        <v>13.207157836685852</v>
      </c>
      <c r="J54" s="93">
        <v>4.1017171079317025</v>
      </c>
      <c r="K54" s="93">
        <v>1.2386986020510899</v>
      </c>
      <c r="L54" s="93">
        <v>26.049015193686799</v>
      </c>
      <c r="M54"/>
      <c r="N54" s="27"/>
      <c r="O54" s="15"/>
      <c r="P54" s="27"/>
      <c r="Q54" s="15"/>
      <c r="R54" s="15"/>
      <c r="S54" s="54"/>
      <c r="T54" s="15"/>
      <c r="U54" s="15"/>
      <c r="V54" s="15"/>
    </row>
    <row r="55" spans="1:22" s="21" customFormat="1" x14ac:dyDescent="0.3">
      <c r="A55" s="17"/>
      <c r="B55"/>
      <c r="C55"/>
      <c r="D55"/>
      <c r="E55"/>
      <c r="F55" s="13" t="s">
        <v>723</v>
      </c>
      <c r="G55" s="127">
        <v>4.6313358051261986</v>
      </c>
      <c r="H55" s="93">
        <v>10.0506441468504</v>
      </c>
      <c r="I55" s="93">
        <v>27.692024160025969</v>
      </c>
      <c r="J55" s="93">
        <v>9.4138254591246611</v>
      </c>
      <c r="K55" s="93">
        <v>2.2772593124351799</v>
      </c>
      <c r="L55" s="93">
        <v>19.856552913845416</v>
      </c>
      <c r="M55"/>
      <c r="N55" s="27"/>
      <c r="O55" s="15"/>
      <c r="P55" s="27"/>
      <c r="Q55" s="15"/>
      <c r="R55" s="15"/>
      <c r="S55" s="54"/>
      <c r="T55" s="15"/>
      <c r="U55" s="15"/>
      <c r="V55" s="15"/>
    </row>
    <row r="56" spans="1:22" s="21" customFormat="1" x14ac:dyDescent="0.3">
      <c r="A56" s="17"/>
      <c r="B56"/>
      <c r="C56"/>
      <c r="D56"/>
      <c r="E56"/>
      <c r="F56" s="13" t="s">
        <v>724</v>
      </c>
      <c r="G56" s="127">
        <v>1.1807209710516702</v>
      </c>
      <c r="H56" s="93">
        <v>8.3202526121703411</v>
      </c>
      <c r="I56" s="93">
        <v>13.471658084169015</v>
      </c>
      <c r="J56" s="93">
        <v>2.861860595918376</v>
      </c>
      <c r="K56" s="93">
        <v>2.5980162031107499</v>
      </c>
      <c r="L56" s="93">
        <v>20.719239875341117</v>
      </c>
      <c r="M56"/>
      <c r="N56" s="27"/>
      <c r="O56" s="15"/>
      <c r="P56" s="27"/>
      <c r="Q56" s="15"/>
      <c r="R56" s="15"/>
      <c r="S56" s="54"/>
      <c r="T56" s="15"/>
      <c r="U56" s="15"/>
      <c r="V56" s="15"/>
    </row>
    <row r="57" spans="1:22" s="21" customFormat="1" x14ac:dyDescent="0.3">
      <c r="A57" s="17"/>
      <c r="B57"/>
      <c r="C57"/>
      <c r="D57"/>
      <c r="E57"/>
      <c r="F57" s="13" t="s">
        <v>725</v>
      </c>
      <c r="G57" s="127">
        <v>5.604510971172644</v>
      </c>
      <c r="H57" s="93">
        <v>6.6483675382931082</v>
      </c>
      <c r="I57" s="93">
        <v>35.263983921217537</v>
      </c>
      <c r="J57" s="93">
        <v>2.6234595518816342</v>
      </c>
      <c r="K57" s="93">
        <v>15.840322039584001</v>
      </c>
      <c r="L57" s="93">
        <v>9.1930468482590921</v>
      </c>
      <c r="M57"/>
      <c r="N57" s="27"/>
      <c r="O57" s="15"/>
      <c r="P57" s="27"/>
      <c r="Q57" s="15"/>
      <c r="R57" s="15"/>
      <c r="S57" s="54"/>
      <c r="T57" s="15"/>
      <c r="U57" s="15"/>
      <c r="V57" s="15"/>
    </row>
    <row r="58" spans="1:22" s="21" customFormat="1" x14ac:dyDescent="0.3">
      <c r="A58" s="17"/>
      <c r="B58"/>
      <c r="C58"/>
      <c r="D58"/>
      <c r="E58"/>
      <c r="F58" s="13" t="s">
        <v>726</v>
      </c>
      <c r="G58" s="127">
        <v>1.0577896122744903</v>
      </c>
      <c r="H58" s="93">
        <v>10.82039564002009</v>
      </c>
      <c r="I58" s="93">
        <v>24.177322536124645</v>
      </c>
      <c r="J58" s="93">
        <v>5.8553431564109601</v>
      </c>
      <c r="K58" s="93">
        <v>1.0240939296342899</v>
      </c>
      <c r="L58" s="93">
        <v>22.99630855185487</v>
      </c>
      <c r="M58"/>
      <c r="N58" s="27"/>
      <c r="O58" s="15"/>
      <c r="P58" s="27"/>
      <c r="Q58" s="15"/>
      <c r="R58" s="15"/>
      <c r="S58" s="54"/>
      <c r="T58" s="15"/>
      <c r="U58" s="15"/>
      <c r="V58" s="15"/>
    </row>
    <row r="59" spans="1:22" s="21" customFormat="1" x14ac:dyDescent="0.3">
      <c r="A59" s="17"/>
      <c r="B59"/>
      <c r="C59"/>
      <c r="D59"/>
      <c r="E59"/>
      <c r="F59" s="13" t="s">
        <v>727</v>
      </c>
      <c r="G59" s="127">
        <v>1.3663440124695541</v>
      </c>
      <c r="H59" s="93">
        <v>10.636602540636188</v>
      </c>
      <c r="I59" s="93">
        <v>24.156823492357695</v>
      </c>
      <c r="J59" s="93">
        <v>1.8795201761351319</v>
      </c>
      <c r="K59" s="93">
        <v>1.1082549228829199</v>
      </c>
      <c r="L59" s="93">
        <v>23.095648775532752</v>
      </c>
      <c r="M59"/>
      <c r="N59" s="27"/>
      <c r="O59" s="15"/>
      <c r="P59" s="27"/>
      <c r="Q59" s="15"/>
      <c r="R59" s="15"/>
      <c r="S59" s="54"/>
      <c r="T59" s="15"/>
      <c r="U59" s="15"/>
      <c r="V59" s="15"/>
    </row>
    <row r="60" spans="1:22" s="21" customFormat="1" x14ac:dyDescent="0.3">
      <c r="A60" s="17"/>
      <c r="B60"/>
      <c r="C60"/>
      <c r="D60"/>
      <c r="E60"/>
      <c r="F60" s="13" t="s">
        <v>728</v>
      </c>
      <c r="G60" s="127">
        <v>1.3946677500438227</v>
      </c>
      <c r="H60" s="93">
        <v>8.9817605478191869</v>
      </c>
      <c r="I60" s="93">
        <v>22.226999320112238</v>
      </c>
      <c r="J60" s="93">
        <v>9.204073990931315</v>
      </c>
      <c r="K60" s="93">
        <v>2.4645675615118701</v>
      </c>
      <c r="L60" s="93">
        <v>10.993396734232661</v>
      </c>
      <c r="M60"/>
      <c r="N60" s="27"/>
      <c r="O60" s="15"/>
      <c r="P60" s="27"/>
      <c r="Q60" s="15"/>
      <c r="R60" s="15"/>
      <c r="S60" s="54"/>
      <c r="T60" s="15"/>
      <c r="U60" s="15"/>
      <c r="V60" s="15"/>
    </row>
    <row r="61" spans="1:22" s="21" customFormat="1" x14ac:dyDescent="0.3">
      <c r="A61" s="17"/>
      <c r="B61"/>
      <c r="C61"/>
      <c r="D61"/>
      <c r="E61"/>
      <c r="F61" s="13" t="s">
        <v>729</v>
      </c>
      <c r="G61" s="127">
        <v>3.0027796014175863</v>
      </c>
      <c r="H61" s="93">
        <v>6.5967602439445532</v>
      </c>
      <c r="I61" s="93">
        <v>22.523989705525302</v>
      </c>
      <c r="J61" s="93">
        <v>1.7669643260675951</v>
      </c>
      <c r="K61" s="93">
        <v>7.1156762563118896</v>
      </c>
      <c r="L61" s="93">
        <v>8.1866152335998787</v>
      </c>
      <c r="M61"/>
      <c r="N61" s="27"/>
      <c r="O61" s="15"/>
      <c r="P61" s="27"/>
      <c r="Q61" s="15"/>
      <c r="R61" s="15"/>
      <c r="S61" s="54"/>
      <c r="T61" s="15"/>
      <c r="U61" s="15"/>
      <c r="V61" s="15"/>
    </row>
    <row r="62" spans="1:22" s="21" customFormat="1" x14ac:dyDescent="0.3">
      <c r="A62" s="17"/>
      <c r="B62"/>
      <c r="C62"/>
      <c r="D62"/>
      <c r="E62"/>
      <c r="F62" s="13" t="s">
        <v>730</v>
      </c>
      <c r="G62" s="127">
        <v>5.1563718785625525</v>
      </c>
      <c r="H62" s="93">
        <v>8.4601545362627899</v>
      </c>
      <c r="I62" s="93">
        <v>27.215792350881411</v>
      </c>
      <c r="J62" s="93">
        <v>7.67353213360908</v>
      </c>
      <c r="K62" s="93">
        <v>4.8528982169673096</v>
      </c>
      <c r="L62" s="93">
        <v>12.996050972341887</v>
      </c>
      <c r="M62"/>
      <c r="N62" s="27"/>
      <c r="O62" s="15"/>
      <c r="P62" s="27"/>
      <c r="Q62" s="15"/>
      <c r="R62" s="15"/>
      <c r="S62" s="54"/>
      <c r="T62" s="15"/>
      <c r="U62" s="15"/>
      <c r="V62" s="15"/>
    </row>
    <row r="63" spans="1:22" s="21" customFormat="1" x14ac:dyDescent="0.3">
      <c r="A63" s="17"/>
      <c r="B63"/>
      <c r="C63"/>
      <c r="D63"/>
      <c r="E63"/>
      <c r="F63" s="13" t="s">
        <v>731</v>
      </c>
      <c r="G63" s="127">
        <v>0.28085653927914223</v>
      </c>
      <c r="H63" s="93">
        <v>10.775000720066906</v>
      </c>
      <c r="I63" s="93">
        <v>21.388846204027196</v>
      </c>
      <c r="J63" s="93">
        <v>1.8702125264933103</v>
      </c>
      <c r="K63" s="93">
        <v>1.4456670146976001</v>
      </c>
      <c r="L63" s="93">
        <v>20.426958147895796</v>
      </c>
      <c r="M63"/>
      <c r="N63" s="27"/>
      <c r="O63" s="15"/>
      <c r="P63" s="27"/>
      <c r="Q63" s="15"/>
      <c r="R63" s="15"/>
      <c r="S63" s="54"/>
      <c r="T63" s="15"/>
      <c r="U63" s="15"/>
      <c r="V63" s="15"/>
    </row>
    <row r="64" spans="1:22" s="21" customFormat="1" x14ac:dyDescent="0.3">
      <c r="A64" s="17"/>
      <c r="B64"/>
      <c r="C64"/>
      <c r="D64"/>
      <c r="E64"/>
      <c r="F64" s="13" t="s">
        <v>732</v>
      </c>
      <c r="G64" s="127">
        <v>4.2004366723861182</v>
      </c>
      <c r="H64" s="93">
        <v>7.6972630712791208</v>
      </c>
      <c r="I64" s="93">
        <v>26.437141799739639</v>
      </c>
      <c r="J64" s="93">
        <v>5.7922080738837751</v>
      </c>
      <c r="K64" s="93">
        <v>7.1759228470885699</v>
      </c>
      <c r="L64" s="93">
        <v>8.8807433915440956</v>
      </c>
      <c r="M64"/>
      <c r="N64" s="27"/>
      <c r="O64" s="15"/>
      <c r="P64" s="27"/>
      <c r="Q64" s="15"/>
      <c r="R64" s="15"/>
      <c r="S64" s="54"/>
      <c r="T64" s="15"/>
      <c r="U64" s="15"/>
      <c r="V64" s="15"/>
    </row>
    <row r="65" spans="1:22" s="21" customFormat="1" x14ac:dyDescent="0.3">
      <c r="A65" s="17"/>
      <c r="B65"/>
      <c r="C65"/>
      <c r="D65"/>
      <c r="E65"/>
      <c r="F65" s="13" t="s">
        <v>733</v>
      </c>
      <c r="G65" s="127">
        <v>2.0282917025959506</v>
      </c>
      <c r="H65" s="93">
        <v>9.9195727390850479</v>
      </c>
      <c r="I65" s="93">
        <v>12.542605020197515</v>
      </c>
      <c r="J65" s="93">
        <v>2.3824494672110417</v>
      </c>
      <c r="K65" s="93">
        <v>0.252978044454509</v>
      </c>
      <c r="L65" s="93">
        <v>19.491021727180645</v>
      </c>
      <c r="M65"/>
      <c r="N65" s="27"/>
      <c r="O65" s="15"/>
      <c r="P65" s="27"/>
      <c r="Q65" s="15"/>
      <c r="R65" s="15"/>
      <c r="S65" s="54"/>
      <c r="T65" s="15"/>
      <c r="U65" s="15"/>
      <c r="V65" s="15"/>
    </row>
    <row r="66" spans="1:22" s="21" customFormat="1" x14ac:dyDescent="0.3">
      <c r="A66" s="17"/>
      <c r="B66"/>
      <c r="C66"/>
      <c r="D66"/>
      <c r="E66"/>
      <c r="F66" s="13" t="s">
        <v>734</v>
      </c>
      <c r="G66" s="127">
        <v>2.2370973066006883</v>
      </c>
      <c r="H66" s="93">
        <v>8.4057905411772857</v>
      </c>
      <c r="I66" s="93">
        <v>14.515404014933239</v>
      </c>
      <c r="J66" s="93">
        <v>1.260272952231329</v>
      </c>
      <c r="K66" s="93">
        <v>3.6999839800860101</v>
      </c>
      <c r="L66" s="93">
        <v>11.074606114727887</v>
      </c>
      <c r="M66"/>
      <c r="N66" s="27"/>
      <c r="O66" s="15"/>
      <c r="P66" s="27"/>
      <c r="Q66" s="15"/>
      <c r="R66" s="15"/>
      <c r="S66" s="54"/>
      <c r="T66" s="15"/>
      <c r="U66" s="15"/>
      <c r="V66" s="15"/>
    </row>
    <row r="67" spans="1:22" s="21" customFormat="1" x14ac:dyDescent="0.3">
      <c r="A67" s="17"/>
      <c r="B67"/>
      <c r="C67"/>
      <c r="D67"/>
      <c r="E67"/>
      <c r="F67" s="13" t="s">
        <v>735</v>
      </c>
      <c r="G67" s="127">
        <v>2.6487142130909831</v>
      </c>
      <c r="H67" s="93">
        <v>6.7783292913532156</v>
      </c>
      <c r="I67" s="93">
        <v>19.590010333013566</v>
      </c>
      <c r="J67" s="93">
        <v>0.36107350085696677</v>
      </c>
      <c r="K67" s="93">
        <v>9.4707793731353505</v>
      </c>
      <c r="L67" s="93">
        <v>14.810907893375743</v>
      </c>
      <c r="M67"/>
      <c r="N67" s="27"/>
      <c r="O67" s="15"/>
      <c r="P67" s="27"/>
      <c r="Q67" s="15"/>
      <c r="R67" s="15"/>
      <c r="S67" s="54"/>
      <c r="T67" s="15"/>
      <c r="U67" s="15"/>
      <c r="V67" s="15"/>
    </row>
    <row r="68" spans="1:22" s="21" customFormat="1" x14ac:dyDescent="0.3">
      <c r="A68" s="17"/>
      <c r="B68"/>
      <c r="C68"/>
      <c r="D68"/>
      <c r="E68"/>
      <c r="F68" s="13" t="s">
        <v>736</v>
      </c>
      <c r="G68" s="127">
        <v>-2.9032134491156967</v>
      </c>
      <c r="H68" s="93">
        <v>7.269165223946751</v>
      </c>
      <c r="I68" s="93">
        <v>16.471440734311241</v>
      </c>
      <c r="J68" s="93">
        <v>0.52329853216116073</v>
      </c>
      <c r="K68" s="93">
        <v>18.703782567250599</v>
      </c>
      <c r="L68" s="93">
        <v>7.5345208342285837</v>
      </c>
      <c r="M68"/>
      <c r="N68" s="27"/>
      <c r="O68" s="15"/>
      <c r="P68" s="27"/>
      <c r="Q68" s="15"/>
      <c r="R68" s="15"/>
      <c r="S68" s="54"/>
      <c r="T68" s="15"/>
      <c r="U68" s="15"/>
      <c r="V68" s="15"/>
    </row>
    <row r="69" spans="1:22" s="21" customFormat="1" x14ac:dyDescent="0.3">
      <c r="A69" s="17"/>
      <c r="B69"/>
      <c r="C69"/>
      <c r="D69"/>
      <c r="E69"/>
      <c r="F69" s="13" t="s">
        <v>737</v>
      </c>
      <c r="G69" s="127">
        <v>0.98233029464758204</v>
      </c>
      <c r="H69" s="93">
        <v>7.8263540460509571</v>
      </c>
      <c r="I69" s="93">
        <v>22.291454116369309</v>
      </c>
      <c r="J69" s="93">
        <v>3.8058587238858141</v>
      </c>
      <c r="K69" s="93">
        <v>4.3658715981927196</v>
      </c>
      <c r="L69" s="93">
        <v>13.486063339514399</v>
      </c>
      <c r="M69"/>
      <c r="N69" s="27"/>
      <c r="O69" s="15"/>
      <c r="P69" s="27"/>
      <c r="Q69" s="15"/>
      <c r="R69" s="15"/>
      <c r="S69" s="54"/>
      <c r="T69" s="15"/>
      <c r="U69" s="15"/>
      <c r="V69" s="15"/>
    </row>
    <row r="70" spans="1:22" s="21" customFormat="1" x14ac:dyDescent="0.3">
      <c r="A70" s="17"/>
      <c r="B70"/>
      <c r="C70"/>
      <c r="D70"/>
      <c r="E70"/>
      <c r="F70" s="13" t="s">
        <v>738</v>
      </c>
      <c r="G70" s="127">
        <v>-1.9913599933686328</v>
      </c>
      <c r="H70" s="93">
        <v>10.790213542556909</v>
      </c>
      <c r="I70" s="93">
        <v>18.869280195025333</v>
      </c>
      <c r="J70" s="93">
        <v>15.941351547140004</v>
      </c>
      <c r="K70" s="93">
        <v>2.8649279875437998</v>
      </c>
      <c r="L70" s="93">
        <v>10.780132736430005</v>
      </c>
      <c r="M70"/>
      <c r="N70" s="27"/>
      <c r="O70" s="15"/>
      <c r="P70" s="27"/>
      <c r="Q70" s="15"/>
      <c r="R70" s="15"/>
      <c r="S70" s="54"/>
      <c r="T70" s="15"/>
      <c r="U70" s="15"/>
      <c r="V70" s="15"/>
    </row>
    <row r="71" spans="1:22" s="21" customFormat="1" x14ac:dyDescent="0.3">
      <c r="A71" s="17"/>
      <c r="B71"/>
      <c r="C71"/>
      <c r="D71"/>
      <c r="E71"/>
      <c r="F71" s="13" t="s">
        <v>739</v>
      </c>
      <c r="G71" s="127">
        <v>4.638293797871043</v>
      </c>
      <c r="H71" s="93">
        <v>9.7056575955953974</v>
      </c>
      <c r="I71" s="93">
        <v>28.155086451311355</v>
      </c>
      <c r="J71" s="93">
        <v>19.606140631230033</v>
      </c>
      <c r="K71" s="93">
        <v>3.3385863538201002</v>
      </c>
      <c r="L71" s="93">
        <v>19.645183078168767</v>
      </c>
      <c r="M71"/>
      <c r="N71" s="27"/>
      <c r="O71" s="15"/>
      <c r="P71" s="27"/>
      <c r="Q71" s="15"/>
      <c r="R71" s="15"/>
      <c r="S71" s="54"/>
      <c r="T71" s="15"/>
      <c r="U71" s="15"/>
      <c r="V71" s="15"/>
    </row>
    <row r="72" spans="1:22" s="21" customFormat="1" x14ac:dyDescent="0.3">
      <c r="A72" s="17"/>
      <c r="B72"/>
      <c r="C72"/>
      <c r="D72"/>
      <c r="E72"/>
      <c r="F72" s="13" t="s">
        <v>740</v>
      </c>
      <c r="G72" s="127">
        <v>-0.50494274188341137</v>
      </c>
      <c r="H72" s="93">
        <v>11.197785919003669</v>
      </c>
      <c r="I72" s="93">
        <v>20.128410214183948</v>
      </c>
      <c r="J72" s="93">
        <v>-1.988217449723767</v>
      </c>
      <c r="K72" s="93">
        <v>3.0139717915605599</v>
      </c>
      <c r="L72" s="93">
        <v>24.343315778617491</v>
      </c>
      <c r="M72"/>
      <c r="N72" s="27"/>
      <c r="O72" s="15"/>
      <c r="P72" s="27"/>
      <c r="Q72" s="15"/>
      <c r="R72" s="15"/>
      <c r="S72" s="54"/>
      <c r="T72" s="15"/>
      <c r="U72" s="15"/>
      <c r="V72" s="15"/>
    </row>
    <row r="73" spans="1:22" s="21" customFormat="1" x14ac:dyDescent="0.3">
      <c r="A73" s="17"/>
      <c r="B73"/>
      <c r="C73"/>
      <c r="D73"/>
      <c r="E73"/>
      <c r="F73" s="13" t="s">
        <v>741</v>
      </c>
      <c r="G73" s="127">
        <v>3.1285322635574033</v>
      </c>
      <c r="H73" s="93">
        <v>7.6038296733304112</v>
      </c>
      <c r="I73" s="93">
        <v>29.667717698908596</v>
      </c>
      <c r="J73" s="93">
        <v>1.7640952432671251</v>
      </c>
      <c r="K73" s="93">
        <v>7.6596947427925297</v>
      </c>
      <c r="L73" s="93">
        <v>12.028500051287493</v>
      </c>
      <c r="M73"/>
      <c r="N73" s="27"/>
      <c r="O73" s="15"/>
      <c r="P73" s="27"/>
      <c r="Q73" s="15"/>
      <c r="R73" s="15"/>
      <c r="S73" s="54"/>
      <c r="T73" s="15"/>
      <c r="U73" s="15"/>
      <c r="V73" s="15"/>
    </row>
    <row r="74" spans="1:22" s="21" customFormat="1" x14ac:dyDescent="0.3">
      <c r="A74" s="17"/>
      <c r="B74"/>
      <c r="C74"/>
      <c r="D74"/>
      <c r="E74"/>
      <c r="F74" s="13" t="s">
        <v>742</v>
      </c>
      <c r="G74" s="127">
        <v>3.8751656867344053</v>
      </c>
      <c r="H74" s="93">
        <v>8.2671527462113463</v>
      </c>
      <c r="I74" s="93">
        <v>33.765520734179837</v>
      </c>
      <c r="J74" s="93">
        <v>2.2331806317416687</v>
      </c>
      <c r="K74" s="93">
        <v>3.0305866496949099</v>
      </c>
      <c r="L74" s="93">
        <v>8.7525988071916441</v>
      </c>
      <c r="M74"/>
      <c r="N74" s="27"/>
      <c r="O74" s="15"/>
      <c r="P74" s="27"/>
      <c r="Q74" s="15"/>
      <c r="R74" s="15"/>
      <c r="S74" s="54"/>
      <c r="T74" s="15"/>
      <c r="U74" s="15"/>
      <c r="V74" s="15"/>
    </row>
    <row r="75" spans="1:22" s="21" customFormat="1" x14ac:dyDescent="0.3">
      <c r="A75" s="17"/>
      <c r="B75"/>
      <c r="C75"/>
      <c r="D75"/>
      <c r="E75"/>
      <c r="F75" s="13" t="s">
        <v>743</v>
      </c>
      <c r="G75" s="127">
        <v>3.9663852513336337</v>
      </c>
      <c r="H75" s="93">
        <v>11.272397017411611</v>
      </c>
      <c r="I75" s="93">
        <v>43.821051910351997</v>
      </c>
      <c r="J75" s="93">
        <v>-11.997268092181598</v>
      </c>
      <c r="K75" s="93">
        <v>0.93904448105434102</v>
      </c>
      <c r="L75" s="93">
        <v>11.951395982429693</v>
      </c>
      <c r="M75"/>
      <c r="N75" s="27"/>
      <c r="O75" s="15"/>
      <c r="P75" s="27"/>
      <c r="Q75" s="15"/>
      <c r="R75" s="15"/>
      <c r="S75" s="54"/>
      <c r="T75" s="15"/>
      <c r="U75" s="15"/>
      <c r="V75" s="15"/>
    </row>
    <row r="76" spans="1:22" s="21" customFormat="1" x14ac:dyDescent="0.3">
      <c r="A76" s="17"/>
      <c r="B76"/>
      <c r="C76"/>
      <c r="D76"/>
      <c r="E76"/>
      <c r="F76" s="13" t="s">
        <v>744</v>
      </c>
      <c r="G76" s="127">
        <v>1.523015056830971</v>
      </c>
      <c r="H76" s="93">
        <v>10.638729328042485</v>
      </c>
      <c r="I76" s="93">
        <v>21.356907968792456</v>
      </c>
      <c r="J76" s="93">
        <v>4.8263000948915149</v>
      </c>
      <c r="K76" s="93">
        <v>0.841596533622194</v>
      </c>
      <c r="L76" s="93">
        <v>22.588809180514012</v>
      </c>
      <c r="M76"/>
      <c r="N76" s="27"/>
      <c r="O76" s="15"/>
      <c r="P76" s="27"/>
      <c r="Q76" s="15"/>
      <c r="R76" s="15"/>
      <c r="S76" s="54"/>
      <c r="T76" s="15"/>
      <c r="U76" s="15"/>
      <c r="V76" s="15"/>
    </row>
    <row r="77" spans="1:22" s="21" customFormat="1" x14ac:dyDescent="0.3">
      <c r="A77" s="17"/>
      <c r="B77"/>
      <c r="C77"/>
      <c r="D77"/>
      <c r="E77"/>
      <c r="F77" s="13" t="s">
        <v>745</v>
      </c>
      <c r="G77" s="127">
        <v>0.5496768875704845</v>
      </c>
      <c r="H77" s="93">
        <v>10.452064258858876</v>
      </c>
      <c r="I77" s="93">
        <v>18.083684453724466</v>
      </c>
      <c r="J77" s="93">
        <v>1.5568177479044294</v>
      </c>
      <c r="K77" s="93">
        <v>0.61124694376529098</v>
      </c>
      <c r="L77" s="93">
        <v>18.720523068344296</v>
      </c>
      <c r="M77"/>
      <c r="N77" s="27"/>
      <c r="O77" s="15"/>
      <c r="P77" s="27"/>
      <c r="Q77" s="15"/>
      <c r="R77" s="15"/>
      <c r="S77" s="54"/>
      <c r="T77" s="15"/>
      <c r="U77" s="15"/>
      <c r="V77" s="15"/>
    </row>
    <row r="78" spans="1:22" s="21" customFormat="1" x14ac:dyDescent="0.3">
      <c r="A78" s="17"/>
      <c r="B78"/>
      <c r="C78"/>
      <c r="D78"/>
      <c r="E78"/>
      <c r="F78" s="13" t="s">
        <v>746</v>
      </c>
      <c r="G78" s="127">
        <v>0.24149631022029894</v>
      </c>
      <c r="H78" s="93">
        <v>8.5856434626927722</v>
      </c>
      <c r="I78" s="93">
        <v>23.336567781471302</v>
      </c>
      <c r="J78" s="93">
        <v>4.043095647482585</v>
      </c>
      <c r="K78" s="93">
        <v>3.9096462287039802</v>
      </c>
      <c r="L78" s="93">
        <v>13.472982481988771</v>
      </c>
      <c r="M78"/>
      <c r="N78" s="27"/>
      <c r="O78" s="15"/>
      <c r="P78" s="27"/>
      <c r="Q78" s="15"/>
      <c r="R78" s="15"/>
      <c r="S78" s="54"/>
      <c r="T78" s="15"/>
      <c r="U78" s="15"/>
      <c r="V78" s="15"/>
    </row>
    <row r="79" spans="1:22" s="21" customFormat="1" x14ac:dyDescent="0.3">
      <c r="A79" s="17"/>
      <c r="B79"/>
      <c r="C79"/>
      <c r="D79"/>
      <c r="E79"/>
      <c r="F79" s="13" t="s">
        <v>747</v>
      </c>
      <c r="G79" s="127">
        <v>0.48510130372987703</v>
      </c>
      <c r="H79" s="93">
        <v>8.3691988827556596</v>
      </c>
      <c r="I79" s="93">
        <v>18.56567109691612</v>
      </c>
      <c r="J79" s="93">
        <v>1.8549196445825367</v>
      </c>
      <c r="K79" s="93">
        <v>0.76151404726551297</v>
      </c>
      <c r="L79" s="93">
        <v>15.031359472364898</v>
      </c>
      <c r="M79"/>
      <c r="N79" s="27"/>
      <c r="O79" s="15"/>
      <c r="P79" s="27"/>
      <c r="Q79" s="15"/>
      <c r="R79" s="15"/>
      <c r="S79" s="54"/>
      <c r="T79" s="15"/>
      <c r="U79" s="15"/>
      <c r="V79" s="15"/>
    </row>
    <row r="80" spans="1:22" s="21" customFormat="1" x14ac:dyDescent="0.3">
      <c r="A80" s="17"/>
      <c r="B80"/>
      <c r="C80"/>
      <c r="D80"/>
      <c r="E80"/>
      <c r="F80" s="13" t="s">
        <v>748</v>
      </c>
      <c r="G80" s="127">
        <v>1.837150505227541</v>
      </c>
      <c r="H80" s="93">
        <v>10.416997895518708</v>
      </c>
      <c r="I80" s="93">
        <v>31.348040236161843</v>
      </c>
      <c r="J80" s="93">
        <v>0.64160735803356672</v>
      </c>
      <c r="K80" s="93">
        <v>0.38294613224405999</v>
      </c>
      <c r="L80" s="93">
        <v>17.159387879324449</v>
      </c>
      <c r="M80"/>
      <c r="N80" s="27"/>
      <c r="O80" s="15"/>
      <c r="P80" s="27"/>
      <c r="Q80" s="15"/>
      <c r="R80" s="15"/>
      <c r="S80" s="54"/>
      <c r="T80" s="15"/>
      <c r="U80" s="15"/>
      <c r="V80" s="15"/>
    </row>
    <row r="81" spans="1:22" s="21" customFormat="1" x14ac:dyDescent="0.3">
      <c r="A81" s="17"/>
      <c r="B81"/>
      <c r="C81"/>
      <c r="D81"/>
      <c r="E81"/>
      <c r="F81" s="13" t="s">
        <v>749</v>
      </c>
      <c r="G81" s="127">
        <v>4.3363717137604283</v>
      </c>
      <c r="H81" s="93">
        <v>8.3938755918487082</v>
      </c>
      <c r="I81" s="93">
        <v>30.150477089701681</v>
      </c>
      <c r="J81" s="93">
        <v>3.5967290183024456</v>
      </c>
      <c r="K81" s="93">
        <v>2.6759920263989199</v>
      </c>
      <c r="L81" s="93">
        <v>14.152774122868985</v>
      </c>
      <c r="M81"/>
      <c r="N81" s="27"/>
      <c r="O81" s="15"/>
      <c r="P81" s="27"/>
      <c r="Q81" s="15"/>
      <c r="R81" s="15"/>
      <c r="S81" s="54"/>
      <c r="T81" s="15"/>
      <c r="U81" s="15"/>
      <c r="V81" s="15"/>
    </row>
    <row r="82" spans="1:22" s="21" customFormat="1" x14ac:dyDescent="0.3">
      <c r="A82" s="17"/>
      <c r="B82"/>
      <c r="C82"/>
      <c r="D82"/>
      <c r="E82"/>
      <c r="F82" s="13" t="s">
        <v>750</v>
      </c>
      <c r="G82" s="127">
        <v>2.3366844744131043</v>
      </c>
      <c r="H82" s="93">
        <v>7.1763616864411865</v>
      </c>
      <c r="I82" s="93">
        <v>32.928803082625926</v>
      </c>
      <c r="J82" s="93">
        <v>3.2983045120343455</v>
      </c>
      <c r="K82" s="93">
        <v>1.13362257718798</v>
      </c>
      <c r="L82" s="93">
        <v>16.808639514719623</v>
      </c>
      <c r="M82"/>
      <c r="N82" s="27"/>
      <c r="O82" s="15"/>
      <c r="P82" s="27"/>
      <c r="Q82" s="15"/>
      <c r="R82" s="15"/>
      <c r="S82" s="54"/>
      <c r="T82" s="15"/>
      <c r="U82" s="15"/>
      <c r="V82" s="15"/>
    </row>
    <row r="83" spans="1:22" s="21" customFormat="1" x14ac:dyDescent="0.3">
      <c r="A83" s="17"/>
      <c r="B83"/>
      <c r="C83"/>
      <c r="D83"/>
      <c r="E83"/>
      <c r="F83" s="13" t="s">
        <v>751</v>
      </c>
      <c r="G83" s="127">
        <v>2.8215723090064984</v>
      </c>
      <c r="H83" s="93">
        <v>9.7902225439948367</v>
      </c>
      <c r="I83" s="93">
        <v>22.38464595605673</v>
      </c>
      <c r="J83" s="93">
        <v>3.1060281639430714</v>
      </c>
      <c r="K83" s="93">
        <v>2.8114092007562199</v>
      </c>
      <c r="L83" s="93">
        <v>19.063271593844178</v>
      </c>
      <c r="M83"/>
      <c r="N83" s="27"/>
      <c r="O83" s="15"/>
      <c r="P83" s="27"/>
      <c r="Q83" s="15"/>
      <c r="R83" s="15"/>
      <c r="S83" s="54"/>
      <c r="T83" s="15"/>
      <c r="U83" s="15"/>
      <c r="V83" s="15"/>
    </row>
    <row r="84" spans="1:22" s="21" customFormat="1" x14ac:dyDescent="0.3">
      <c r="A84" s="17"/>
      <c r="B84"/>
      <c r="C84"/>
      <c r="D84"/>
      <c r="E84"/>
      <c r="F84" s="13" t="s">
        <v>752</v>
      </c>
      <c r="G84" s="127">
        <v>-6.7923784878392297</v>
      </c>
      <c r="H84" s="93">
        <v>8.9902924331574017</v>
      </c>
      <c r="I84" s="93">
        <v>18.47307086588366</v>
      </c>
      <c r="J84" s="93">
        <v>4.2762107827412832</v>
      </c>
      <c r="K84" s="93">
        <v>3.0053894939038002</v>
      </c>
      <c r="L84" s="93">
        <v>15.885884027476948</v>
      </c>
      <c r="M84"/>
      <c r="N84" s="27"/>
      <c r="O84" s="15"/>
      <c r="P84" s="27"/>
      <c r="Q84" s="15"/>
      <c r="R84" s="15"/>
      <c r="S84" s="54"/>
      <c r="T84" s="15"/>
      <c r="U84" s="15"/>
      <c r="V84" s="15"/>
    </row>
    <row r="85" spans="1:22" s="21" customFormat="1" x14ac:dyDescent="0.3">
      <c r="A85" s="17"/>
      <c r="B85"/>
      <c r="C85"/>
      <c r="D85"/>
      <c r="E85"/>
      <c r="F85" s="13" t="s">
        <v>753</v>
      </c>
      <c r="G85" s="127">
        <v>-1.605522388932485</v>
      </c>
      <c r="H85" s="93">
        <v>7.108149015098955</v>
      </c>
      <c r="I85" s="93">
        <v>33.264157755736875</v>
      </c>
      <c r="J85" s="93">
        <v>4.9518366085418197</v>
      </c>
      <c r="K85" s="93">
        <v>5.1870835919799303</v>
      </c>
      <c r="L85" s="93">
        <v>39.606167698004391</v>
      </c>
      <c r="M85"/>
      <c r="N85" s="27"/>
      <c r="O85" s="15"/>
      <c r="P85" s="27"/>
      <c r="Q85" s="15"/>
      <c r="R85" s="15"/>
      <c r="S85" s="54"/>
      <c r="T85" s="15"/>
      <c r="U85" s="15"/>
      <c r="V85" s="15"/>
    </row>
    <row r="86" spans="1:22" s="21" customFormat="1" x14ac:dyDescent="0.3">
      <c r="A86" s="17"/>
      <c r="B86"/>
      <c r="C86"/>
      <c r="D86"/>
      <c r="E86"/>
      <c r="F86" s="13" t="s">
        <v>754</v>
      </c>
      <c r="G86" s="127">
        <v>4.8891885431561377</v>
      </c>
      <c r="H86" s="93">
        <v>9.8614239812349993</v>
      </c>
      <c r="I86" s="93">
        <v>17.464305965669872</v>
      </c>
      <c r="J86" s="93">
        <v>2.8813035205769921</v>
      </c>
      <c r="K86" s="93">
        <v>2.3345093798802399</v>
      </c>
      <c r="L86" s="93">
        <v>16.780732240282621</v>
      </c>
      <c r="M86"/>
      <c r="N86" s="27"/>
      <c r="O86" s="15"/>
      <c r="P86" s="27"/>
      <c r="Q86" s="15"/>
      <c r="R86" s="15"/>
      <c r="S86" s="54"/>
      <c r="T86" s="15"/>
      <c r="U86" s="15"/>
      <c r="V86" s="15"/>
    </row>
    <row r="87" spans="1:22" s="21" customFormat="1" x14ac:dyDescent="0.3">
      <c r="A87" s="17"/>
      <c r="B87"/>
      <c r="C87"/>
      <c r="D87"/>
      <c r="E87"/>
      <c r="F87" s="13" t="s">
        <v>755</v>
      </c>
      <c r="G87" s="127">
        <v>0.32561634733323785</v>
      </c>
      <c r="H87" s="93">
        <v>11.66696980543</v>
      </c>
      <c r="I87" s="93">
        <v>17.426776632707529</v>
      </c>
      <c r="J87" s="93">
        <v>-16.061942320789569</v>
      </c>
      <c r="K87" s="93">
        <v>1.7433207565384301</v>
      </c>
      <c r="L87" s="93">
        <v>17.095220983779669</v>
      </c>
      <c r="M87"/>
      <c r="N87" s="27"/>
      <c r="O87" s="15"/>
      <c r="P87" s="27"/>
      <c r="Q87" s="15"/>
      <c r="R87" s="15"/>
      <c r="S87" s="54"/>
      <c r="T87" s="15"/>
      <c r="U87" s="15"/>
      <c r="V87" s="15"/>
    </row>
    <row r="88" spans="1:22" s="21" customFormat="1" x14ac:dyDescent="0.3">
      <c r="A88" s="17"/>
      <c r="B88"/>
      <c r="C88"/>
      <c r="D88"/>
      <c r="E88"/>
      <c r="F88" s="13" t="s">
        <v>756</v>
      </c>
      <c r="G88" s="127">
        <v>2.1025696792488162</v>
      </c>
      <c r="H88" s="93">
        <v>6.2681513793599581</v>
      </c>
      <c r="I88" s="93">
        <v>21.949703969058717</v>
      </c>
      <c r="J88" s="93">
        <v>3.3604237758712054</v>
      </c>
      <c r="K88" s="93">
        <v>5.6105144149236601</v>
      </c>
      <c r="L88" s="93">
        <v>14.251091450538341</v>
      </c>
      <c r="M88"/>
      <c r="N88" s="27"/>
      <c r="O88" s="15"/>
      <c r="P88" s="27"/>
      <c r="Q88" s="15"/>
      <c r="R88" s="15"/>
      <c r="S88" s="54"/>
      <c r="T88" s="15"/>
      <c r="U88" s="15"/>
      <c r="V88" s="15"/>
    </row>
    <row r="89" spans="1:22" s="21" customFormat="1" x14ac:dyDescent="0.3">
      <c r="A89" s="17"/>
      <c r="B89"/>
      <c r="C89"/>
      <c r="D89"/>
      <c r="E89"/>
      <c r="F89" s="13" t="s">
        <v>757</v>
      </c>
      <c r="G89" s="127">
        <v>1.6495623307085054</v>
      </c>
      <c r="H89" s="93">
        <v>5.9434789016793896</v>
      </c>
      <c r="I89" s="93">
        <v>12.307976926805487</v>
      </c>
      <c r="J89" s="93">
        <v>1.2837685891300461</v>
      </c>
      <c r="K89" s="93">
        <v>9.3708360560567208</v>
      </c>
      <c r="L89" s="93">
        <v>13.906709118136462</v>
      </c>
      <c r="M89"/>
      <c r="N89" s="27"/>
      <c r="O89" s="15"/>
      <c r="P89" s="27"/>
      <c r="Q89" s="15"/>
      <c r="R89" s="15"/>
      <c r="S89" s="54"/>
      <c r="T89" s="15"/>
      <c r="U89" s="15"/>
      <c r="V89" s="15"/>
    </row>
    <row r="90" spans="1:22" s="21" customFormat="1" x14ac:dyDescent="0.3">
      <c r="A90" s="17"/>
      <c r="B90"/>
      <c r="C90"/>
      <c r="D90"/>
      <c r="E90"/>
      <c r="F90" s="13" t="s">
        <v>758</v>
      </c>
      <c r="G90" s="127">
        <v>2.9277981951006211</v>
      </c>
      <c r="H90" s="93">
        <v>9.3393890449105772</v>
      </c>
      <c r="I90" s="93">
        <v>21.042507745445878</v>
      </c>
      <c r="J90" s="93">
        <v>2.4956175230341771</v>
      </c>
      <c r="K90" s="93">
        <v>0.66289186576437598</v>
      </c>
      <c r="L90" s="93">
        <v>11.694845535961184</v>
      </c>
      <c r="M90"/>
      <c r="N90" s="27"/>
      <c r="O90" s="15"/>
      <c r="P90" s="27"/>
      <c r="Q90" s="15"/>
      <c r="R90" s="15"/>
      <c r="S90" s="54"/>
      <c r="T90" s="15"/>
      <c r="U90" s="15"/>
      <c r="V90" s="15"/>
    </row>
    <row r="91" spans="1:22" s="21" customFormat="1" x14ac:dyDescent="0.3">
      <c r="A91" s="17"/>
      <c r="B91"/>
      <c r="C91"/>
      <c r="D91"/>
      <c r="E91"/>
      <c r="F91" s="13" t="s">
        <v>759</v>
      </c>
      <c r="G91" s="127">
        <v>1.6588904999184706</v>
      </c>
      <c r="H91" s="93">
        <v>6.796602673575892</v>
      </c>
      <c r="I91" s="93">
        <v>21.585792770593773</v>
      </c>
      <c r="J91" s="93">
        <v>2.857845696392336</v>
      </c>
      <c r="K91" s="93">
        <v>-1.6582669484636801</v>
      </c>
      <c r="L91" s="93">
        <v>15.743760228862531</v>
      </c>
      <c r="M91"/>
      <c r="N91" s="27"/>
      <c r="O91" s="15"/>
      <c r="P91" s="27"/>
      <c r="Q91" s="15"/>
      <c r="R91" s="15"/>
      <c r="S91" s="54"/>
      <c r="T91" s="15"/>
      <c r="U91" s="15"/>
      <c r="V91" s="15"/>
    </row>
    <row r="92" spans="1:22" s="21" customFormat="1" x14ac:dyDescent="0.3">
      <c r="A92" s="17"/>
      <c r="B92"/>
      <c r="C92"/>
      <c r="D92"/>
      <c r="E92"/>
      <c r="F92" s="13" t="s">
        <v>760</v>
      </c>
      <c r="G92" s="127">
        <v>1.1578432690636049</v>
      </c>
      <c r="H92" s="93">
        <v>10.32342153007947</v>
      </c>
      <c r="I92" s="93">
        <v>22.343224430710233</v>
      </c>
      <c r="J92" s="93">
        <v>27.452882374804339</v>
      </c>
      <c r="K92" s="93">
        <v>1.64206001768947</v>
      </c>
      <c r="L92" s="93">
        <v>17.174716605979327</v>
      </c>
      <c r="M92"/>
      <c r="N92" s="27"/>
      <c r="O92" s="15"/>
      <c r="P92" s="27"/>
      <c r="Q92" s="15"/>
      <c r="R92" s="15"/>
      <c r="S92" s="54"/>
      <c r="T92" s="15"/>
      <c r="U92" s="15"/>
      <c r="V92" s="15"/>
    </row>
    <row r="93" spans="1:22" s="21" customFormat="1" x14ac:dyDescent="0.3">
      <c r="A93" s="17"/>
      <c r="B93"/>
      <c r="C93"/>
      <c r="D93"/>
      <c r="E93"/>
      <c r="F93" s="13" t="s">
        <v>761</v>
      </c>
      <c r="G93" s="127">
        <v>3.0670048642490428</v>
      </c>
      <c r="H93" s="93">
        <v>7.3783065511226313</v>
      </c>
      <c r="I93" s="93">
        <v>43.626284635673755</v>
      </c>
      <c r="J93" s="93">
        <v>-11.624799307984905</v>
      </c>
      <c r="K93" s="93">
        <v>2.3000926211793802</v>
      </c>
      <c r="L93" s="93">
        <v>12.84587537356694</v>
      </c>
      <c r="M93"/>
      <c r="N93" s="27"/>
      <c r="O93" s="15"/>
      <c r="P93" s="27"/>
      <c r="Q93" s="15"/>
      <c r="R93" s="15"/>
      <c r="S93" s="54"/>
      <c r="T93" s="15"/>
      <c r="U93" s="15"/>
      <c r="V93" s="15"/>
    </row>
    <row r="94" spans="1:22" s="21" customFormat="1" x14ac:dyDescent="0.3">
      <c r="A94" s="17"/>
      <c r="B94"/>
      <c r="C94"/>
      <c r="D94"/>
      <c r="E94"/>
      <c r="F94" s="13" t="s">
        <v>762</v>
      </c>
      <c r="G94" s="127">
        <v>2.9815562603672845</v>
      </c>
      <c r="H94" s="93">
        <v>9.3244137637104494</v>
      </c>
      <c r="I94" s="93">
        <v>19.834773762057363</v>
      </c>
      <c r="J94" s="93">
        <v>3.3619613696565671</v>
      </c>
      <c r="K94" s="93">
        <v>0.40565519030951103</v>
      </c>
      <c r="L94" s="93">
        <v>15.321051395914894</v>
      </c>
      <c r="M94"/>
      <c r="N94" s="27"/>
      <c r="O94" s="15"/>
      <c r="P94" s="27"/>
      <c r="Q94" s="15"/>
      <c r="R94" s="15"/>
      <c r="S94" s="54"/>
      <c r="T94" s="15"/>
      <c r="U94" s="15"/>
      <c r="V94" s="15"/>
    </row>
    <row r="95" spans="1:22" s="21" customFormat="1" x14ac:dyDescent="0.3">
      <c r="A95" s="17"/>
      <c r="B95"/>
      <c r="C95"/>
      <c r="D95"/>
      <c r="E95"/>
      <c r="F95" s="13" t="s">
        <v>763</v>
      </c>
      <c r="G95" s="127">
        <v>-1.1393644482392915</v>
      </c>
      <c r="H95" s="93">
        <v>9.1784898654616178</v>
      </c>
      <c r="I95" s="93">
        <v>21.087739537678075</v>
      </c>
      <c r="J95" s="93">
        <v>2.3133934138024013</v>
      </c>
      <c r="K95" s="93">
        <v>3.6359614212704998</v>
      </c>
      <c r="L95" s="93">
        <v>11.358333012457402</v>
      </c>
      <c r="M95"/>
      <c r="N95" s="27"/>
      <c r="O95" s="15"/>
      <c r="P95" s="27"/>
      <c r="Q95" s="15"/>
      <c r="R95" s="15"/>
      <c r="S95" s="54"/>
      <c r="T95" s="15"/>
      <c r="U95" s="15"/>
      <c r="V95" s="15"/>
    </row>
    <row r="96" spans="1:22" s="21" customFormat="1" x14ac:dyDescent="0.3">
      <c r="A96" s="17"/>
      <c r="B96"/>
      <c r="C96"/>
      <c r="D96"/>
      <c r="E96"/>
      <c r="F96" s="13" t="s">
        <v>764</v>
      </c>
      <c r="G96" s="127">
        <v>5.4673252345609029</v>
      </c>
      <c r="H96" s="93">
        <v>8.350841853907264</v>
      </c>
      <c r="I96" s="93">
        <v>25.952172453874599</v>
      </c>
      <c r="J96" s="93">
        <v>4.1910102153208841</v>
      </c>
      <c r="K96" s="93">
        <v>4.8377835142872101</v>
      </c>
      <c r="L96" s="93">
        <v>14.15363028289843</v>
      </c>
      <c r="M96"/>
      <c r="N96" s="27"/>
      <c r="O96" s="15"/>
      <c r="P96" s="27"/>
      <c r="Q96" s="15"/>
      <c r="R96" s="15"/>
      <c r="S96" s="54"/>
      <c r="T96" s="15"/>
      <c r="U96" s="15"/>
      <c r="V96" s="15"/>
    </row>
    <row r="97" spans="1:22" s="21" customFormat="1" x14ac:dyDescent="0.3">
      <c r="A97" s="17"/>
      <c r="B97"/>
      <c r="C97"/>
      <c r="D97"/>
      <c r="E97"/>
      <c r="F97" s="13" t="s">
        <v>765</v>
      </c>
      <c r="G97" s="127">
        <v>3.3670897968129907</v>
      </c>
      <c r="H97" s="93">
        <v>8.3272395115001832</v>
      </c>
      <c r="I97" s="93">
        <v>39.538590914865516</v>
      </c>
      <c r="J97" s="93">
        <v>17.456541335970243</v>
      </c>
      <c r="K97" s="93">
        <v>7.30481597480148</v>
      </c>
      <c r="L97" s="93">
        <v>12.113672735494188</v>
      </c>
      <c r="M97"/>
      <c r="N97" s="27"/>
      <c r="O97" s="15"/>
      <c r="P97" s="27"/>
      <c r="Q97" s="15"/>
      <c r="R97" s="15"/>
      <c r="S97" s="54"/>
      <c r="T97" s="15"/>
      <c r="U97" s="15"/>
      <c r="V97" s="15"/>
    </row>
    <row r="98" spans="1:22" s="21" customFormat="1" x14ac:dyDescent="0.3">
      <c r="A98" s="17"/>
      <c r="B98"/>
      <c r="C98"/>
      <c r="D98"/>
      <c r="E98"/>
      <c r="F98" s="13" t="s">
        <v>766</v>
      </c>
      <c r="G98" s="127">
        <v>4.0779928727057353</v>
      </c>
      <c r="H98" s="93">
        <v>9.0877270483374808</v>
      </c>
      <c r="I98" s="93">
        <v>31.9404948325184</v>
      </c>
      <c r="J98" s="93">
        <v>7.545323084412364</v>
      </c>
      <c r="K98" s="93">
        <v>0.361563704540798</v>
      </c>
      <c r="L98" s="93">
        <v>17.797905218126324</v>
      </c>
      <c r="M98"/>
      <c r="N98" s="27"/>
      <c r="O98" s="15"/>
      <c r="P98" s="27"/>
      <c r="Q98" s="15"/>
      <c r="R98" s="15"/>
      <c r="S98" s="54"/>
      <c r="T98" s="15"/>
      <c r="U98" s="15"/>
      <c r="V98" s="15"/>
    </row>
    <row r="99" spans="1:22" s="21" customFormat="1" x14ac:dyDescent="0.3">
      <c r="A99" s="17"/>
      <c r="B99"/>
      <c r="C99"/>
      <c r="D99"/>
      <c r="E99"/>
      <c r="F99" s="13" t="s">
        <v>767</v>
      </c>
      <c r="G99" s="127">
        <v>1.0363955728459331</v>
      </c>
      <c r="H99" s="93">
        <v>8.0778198319199195</v>
      </c>
      <c r="I99" s="93">
        <v>32.191683244003926</v>
      </c>
      <c r="J99" s="93">
        <v>1.3364718030674474</v>
      </c>
      <c r="K99" s="93">
        <v>0.19606552057642501</v>
      </c>
      <c r="L99" s="93">
        <v>19.368729205938308</v>
      </c>
      <c r="M99"/>
      <c r="N99" s="27"/>
      <c r="O99" s="15"/>
      <c r="P99" s="27"/>
      <c r="Q99" s="15"/>
      <c r="R99" s="15"/>
      <c r="S99" s="54"/>
      <c r="T99" s="15"/>
      <c r="U99" s="15"/>
      <c r="V99" s="15"/>
    </row>
    <row r="100" spans="1:22" s="21" customFormat="1" x14ac:dyDescent="0.3">
      <c r="A100" s="17"/>
      <c r="B100"/>
      <c r="C100"/>
      <c r="D100"/>
      <c r="E100"/>
      <c r="F100" s="13" t="s">
        <v>768</v>
      </c>
      <c r="G100" s="127">
        <v>-0.64712113483126643</v>
      </c>
      <c r="H100" s="93">
        <v>6.2212236218667076</v>
      </c>
      <c r="I100" s="93">
        <v>46.121184359667829</v>
      </c>
      <c r="J100" s="93">
        <v>14.261358413943709</v>
      </c>
      <c r="K100" s="93">
        <v>2.7811063118294199</v>
      </c>
      <c r="L100" s="93">
        <v>21.671534283266087</v>
      </c>
      <c r="M100"/>
      <c r="N100" s="27"/>
      <c r="O100" s="15"/>
      <c r="P100" s="27"/>
      <c r="Q100" s="15"/>
      <c r="R100" s="15"/>
      <c r="S100" s="54"/>
      <c r="T100" s="15"/>
      <c r="U100" s="15"/>
      <c r="V100" s="15"/>
    </row>
    <row r="101" spans="1:22" s="21" customFormat="1" x14ac:dyDescent="0.3">
      <c r="A101" s="17"/>
      <c r="B101"/>
      <c r="C101"/>
      <c r="D101"/>
      <c r="E101"/>
      <c r="F101" s="13" t="s">
        <v>769</v>
      </c>
      <c r="G101" s="127">
        <v>-2.9681168453756044</v>
      </c>
      <c r="H101" s="93">
        <v>8.6116719211771198</v>
      </c>
      <c r="I101" s="93">
        <v>12.745083221663716</v>
      </c>
      <c r="J101" s="93">
        <v>-1.427063909003399</v>
      </c>
      <c r="K101" s="93">
        <v>3.7223941442268802</v>
      </c>
      <c r="L101" s="93">
        <v>25.912794210150476</v>
      </c>
      <c r="M101"/>
      <c r="N101" s="27"/>
      <c r="O101" s="15"/>
      <c r="P101" s="27"/>
      <c r="Q101" s="15"/>
      <c r="R101" s="15"/>
      <c r="S101" s="54"/>
      <c r="T101" s="15"/>
      <c r="U101" s="15"/>
      <c r="V101" s="15"/>
    </row>
    <row r="102" spans="1:22" s="21" customFormat="1" x14ac:dyDescent="0.3">
      <c r="A102" s="17"/>
      <c r="B102"/>
      <c r="C102"/>
      <c r="D102"/>
      <c r="E102"/>
      <c r="F102" s="13" t="s">
        <v>770</v>
      </c>
      <c r="G102" s="127">
        <v>5.0433722155644318</v>
      </c>
      <c r="H102" s="93">
        <v>6.9456786577202392</v>
      </c>
      <c r="I102" s="93">
        <v>56.562259987049146</v>
      </c>
      <c r="J102" s="93">
        <v>0.60556918458699793</v>
      </c>
      <c r="K102" s="93">
        <v>5.5686854778492503</v>
      </c>
      <c r="L102" s="93">
        <v>11.564498829816513</v>
      </c>
      <c r="M102"/>
      <c r="N102" s="27"/>
      <c r="O102" s="15"/>
      <c r="P102" s="27"/>
      <c r="Q102" s="15"/>
      <c r="R102" s="15"/>
      <c r="S102" s="54"/>
      <c r="T102" s="15"/>
      <c r="U102" s="15"/>
      <c r="V102" s="15"/>
    </row>
    <row r="103" spans="1:22" s="21" customFormat="1" x14ac:dyDescent="0.3">
      <c r="A103" s="17"/>
      <c r="B103"/>
      <c r="C103"/>
      <c r="D103"/>
      <c r="E103"/>
      <c r="F103" s="13" t="s">
        <v>771</v>
      </c>
      <c r="G103" s="127">
        <v>1.0836095970728366</v>
      </c>
      <c r="H103" s="93">
        <v>10.878887074361646</v>
      </c>
      <c r="I103" s="93">
        <v>21.282522490055502</v>
      </c>
      <c r="J103" s="93">
        <v>3.9346348932788442</v>
      </c>
      <c r="K103" s="93">
        <v>2.63369910249593</v>
      </c>
      <c r="L103" s="93">
        <v>24.50635423519001</v>
      </c>
      <c r="M103"/>
      <c r="N103" s="27"/>
      <c r="O103" s="15"/>
      <c r="P103" s="27"/>
      <c r="Q103" s="15"/>
      <c r="R103" s="15"/>
      <c r="S103" s="54"/>
      <c r="T103" s="15"/>
      <c r="U103" s="15"/>
      <c r="V103" s="15"/>
    </row>
    <row r="104" spans="1:22" s="21" customFormat="1" x14ac:dyDescent="0.3">
      <c r="A104" s="17"/>
      <c r="B104"/>
      <c r="C104"/>
      <c r="D104"/>
      <c r="E104"/>
      <c r="F104" s="13" t="s">
        <v>772</v>
      </c>
      <c r="G104" s="127">
        <v>-5.0536891381014613</v>
      </c>
      <c r="H104" s="93">
        <v>7.6111259857293572</v>
      </c>
      <c r="I104" s="93">
        <v>17.134941188385248</v>
      </c>
      <c r="J104" s="93">
        <v>4.017278196540266</v>
      </c>
      <c r="K104" s="93">
        <v>5.3762899084412998</v>
      </c>
      <c r="L104" s="93">
        <v>15.644998722010831</v>
      </c>
      <c r="M104"/>
      <c r="N104" s="27"/>
      <c r="O104" s="15"/>
      <c r="P104" s="27"/>
      <c r="Q104" s="15"/>
      <c r="R104" s="15"/>
      <c r="S104" s="54"/>
      <c r="T104" s="15"/>
      <c r="U104" s="15"/>
      <c r="V104" s="15"/>
    </row>
    <row r="105" spans="1:22" s="21" customFormat="1" x14ac:dyDescent="0.3">
      <c r="A105" s="17"/>
      <c r="B105"/>
      <c r="C105"/>
      <c r="D105"/>
      <c r="E105"/>
      <c r="F105" s="13" t="s">
        <v>773</v>
      </c>
      <c r="G105" s="127">
        <v>1.9604439071519835</v>
      </c>
      <c r="H105" s="93">
        <v>6.3498854858653129</v>
      </c>
      <c r="I105" s="93">
        <v>30.244143468804978</v>
      </c>
      <c r="J105" s="93">
        <v>5.5542509022381763</v>
      </c>
      <c r="K105" s="93">
        <v>-2.4897926507085102</v>
      </c>
      <c r="L105" s="93">
        <v>17.237046802151088</v>
      </c>
      <c r="M105"/>
      <c r="N105" s="27"/>
      <c r="O105" s="15"/>
      <c r="P105" s="27"/>
      <c r="Q105" s="15"/>
      <c r="R105" s="15"/>
      <c r="S105" s="54"/>
      <c r="T105" s="15"/>
      <c r="U105" s="15"/>
      <c r="V105" s="15"/>
    </row>
    <row r="106" spans="1:22" s="21" customFormat="1" x14ac:dyDescent="0.3">
      <c r="A106" s="17"/>
      <c r="B106"/>
      <c r="C106"/>
      <c r="D106"/>
      <c r="E106"/>
      <c r="F106" s="13" t="s">
        <v>774</v>
      </c>
      <c r="G106" s="127">
        <v>-0.37972244679122014</v>
      </c>
      <c r="H106" s="93">
        <v>7.6146958810330663</v>
      </c>
      <c r="I106" s="93">
        <v>26.206547693028437</v>
      </c>
      <c r="J106" s="93">
        <v>0.73620510704256881</v>
      </c>
      <c r="K106" s="93">
        <v>11.396794968716801</v>
      </c>
      <c r="L106" s="93">
        <v>5.8880838853203281</v>
      </c>
      <c r="M106"/>
      <c r="N106" s="27"/>
      <c r="O106" s="15"/>
      <c r="P106" s="27"/>
      <c r="Q106" s="15"/>
      <c r="R106" s="15"/>
      <c r="S106" s="54"/>
      <c r="T106" s="15"/>
      <c r="U106" s="15"/>
      <c r="V106" s="15"/>
    </row>
    <row r="107" spans="1:22" x14ac:dyDescent="0.3">
      <c r="F107" s="13" t="s">
        <v>775</v>
      </c>
      <c r="G107" s="127">
        <v>3.1751839609034818</v>
      </c>
      <c r="H107" s="93">
        <v>8.7142346182261488</v>
      </c>
      <c r="I107" s="93">
        <v>34.542564192668323</v>
      </c>
      <c r="J107" s="93">
        <v>4.3795254341103718</v>
      </c>
      <c r="K107" s="93">
        <v>0.76643957345968805</v>
      </c>
      <c r="L107" s="93">
        <v>14.035817770434333</v>
      </c>
      <c r="S107" s="54"/>
    </row>
    <row r="108" spans="1:22" x14ac:dyDescent="0.3">
      <c r="F108" s="13" t="s">
        <v>776</v>
      </c>
      <c r="G108" s="127">
        <v>0.47416515657732816</v>
      </c>
      <c r="H108" s="93">
        <v>11.311231047138333</v>
      </c>
      <c r="I108" s="93">
        <v>28.993565037077108</v>
      </c>
      <c r="J108" s="93">
        <v>3.1573469874829745</v>
      </c>
      <c r="K108" s="93">
        <v>2.1677300330540499</v>
      </c>
      <c r="L108" s="93">
        <v>24.418937498591294</v>
      </c>
      <c r="S108" s="54"/>
    </row>
    <row r="109" spans="1:22" x14ac:dyDescent="0.3">
      <c r="F109" s="13" t="s">
        <v>777</v>
      </c>
      <c r="G109" s="127">
        <v>-4.5244211003259096</v>
      </c>
      <c r="H109" s="93">
        <v>9.7123986111977647</v>
      </c>
      <c r="I109" s="93">
        <v>20.502171057907869</v>
      </c>
      <c r="J109" s="93">
        <v>4.4801492089095856</v>
      </c>
      <c r="K109" s="93">
        <v>0.13379505745318199</v>
      </c>
      <c r="L109" s="93">
        <v>24.570107971540452</v>
      </c>
      <c r="S109" s="54"/>
    </row>
    <row r="110" spans="1:22" x14ac:dyDescent="0.3">
      <c r="F110" s="13" t="s">
        <v>778</v>
      </c>
      <c r="G110" s="127">
        <v>-1.039798675233726</v>
      </c>
      <c r="H110" s="93">
        <v>7.3013540375195793</v>
      </c>
      <c r="I110" s="93">
        <v>15.610770058497888</v>
      </c>
      <c r="J110" s="93">
        <v>0.79720537886686393</v>
      </c>
      <c r="K110" s="93">
        <v>10.5783618004555</v>
      </c>
      <c r="L110" s="93">
        <v>11.736839291578521</v>
      </c>
      <c r="S110" s="54"/>
    </row>
    <row r="111" spans="1:22" s="15" customFormat="1" x14ac:dyDescent="0.3">
      <c r="A111" s="17"/>
      <c r="B111"/>
      <c r="C111"/>
      <c r="D111"/>
      <c r="E111"/>
      <c r="F111" s="13" t="s">
        <v>779</v>
      </c>
      <c r="G111" s="127">
        <v>1.3189183391726544</v>
      </c>
      <c r="H111" s="93">
        <v>9.6545500336687038</v>
      </c>
      <c r="I111" s="93">
        <v>40.414948623369781</v>
      </c>
      <c r="J111" s="93">
        <v>8.8192448081609811</v>
      </c>
      <c r="K111" s="93">
        <v>-0.355083821021212</v>
      </c>
      <c r="L111" s="93">
        <v>11.91168369241087</v>
      </c>
      <c r="M111"/>
      <c r="S111" s="54"/>
    </row>
    <row r="112" spans="1:22" s="15" customFormat="1" x14ac:dyDescent="0.3">
      <c r="A112" s="17"/>
      <c r="B112"/>
      <c r="C112"/>
      <c r="D112"/>
      <c r="E112"/>
      <c r="F112" s="13" t="s">
        <v>780</v>
      </c>
      <c r="G112" s="127">
        <v>-1.2867359851773301</v>
      </c>
      <c r="H112" s="93">
        <v>8.6665912726118979</v>
      </c>
      <c r="I112" s="93">
        <v>22.408820599261077</v>
      </c>
      <c r="J112" s="93">
        <v>1.5630716425918214</v>
      </c>
      <c r="K112" s="93">
        <v>2.7570972756279</v>
      </c>
      <c r="L112" s="93">
        <v>11.774344484340626</v>
      </c>
      <c r="M112"/>
      <c r="S112" s="54"/>
    </row>
    <row r="113" spans="1:19" s="15" customFormat="1" x14ac:dyDescent="0.3">
      <c r="A113" s="17"/>
      <c r="B113"/>
      <c r="C113"/>
      <c r="D113"/>
      <c r="E113"/>
      <c r="F113" s="13" t="s">
        <v>781</v>
      </c>
      <c r="G113" s="127">
        <v>0.51249373517565289</v>
      </c>
      <c r="H113" s="93">
        <v>8.8452351136745904</v>
      </c>
      <c r="I113" s="93">
        <v>20.853433017198107</v>
      </c>
      <c r="J113" s="93">
        <v>3.9197658584069859</v>
      </c>
      <c r="K113" s="93">
        <v>2.13715342569978</v>
      </c>
      <c r="L113" s="93">
        <v>13.304889969090958</v>
      </c>
      <c r="M113"/>
      <c r="S113" s="54"/>
    </row>
    <row r="114" spans="1:19" s="15" customFormat="1" x14ac:dyDescent="0.3">
      <c r="A114" s="17"/>
      <c r="B114"/>
      <c r="C114"/>
      <c r="D114"/>
      <c r="E114"/>
      <c r="F114" s="13" t="s">
        <v>782</v>
      </c>
      <c r="G114" s="127">
        <v>4.6040070815897423</v>
      </c>
      <c r="H114" s="93">
        <v>8.0870538602196529</v>
      </c>
      <c r="I114" s="93">
        <v>26.189694083608522</v>
      </c>
      <c r="J114" s="93">
        <v>2.0396578931775307</v>
      </c>
      <c r="K114" s="93">
        <v>2.4802785871650901</v>
      </c>
      <c r="L114" s="93">
        <v>12.52636698280698</v>
      </c>
      <c r="M114"/>
      <c r="S114" s="54"/>
    </row>
    <row r="115" spans="1:19" s="15" customFormat="1" x14ac:dyDescent="0.3">
      <c r="A115" s="17"/>
      <c r="B115"/>
      <c r="C115"/>
      <c r="D115"/>
      <c r="E115"/>
      <c r="F115" s="13" t="s">
        <v>783</v>
      </c>
      <c r="G115" s="127">
        <v>4.5515908674294252</v>
      </c>
      <c r="H115" s="93">
        <v>9.6465598275328492</v>
      </c>
      <c r="I115" s="93">
        <v>19.749945142319618</v>
      </c>
      <c r="J115" s="93">
        <v>2.4165145047203835</v>
      </c>
      <c r="K115" s="93">
        <v>2.2274788093829998</v>
      </c>
      <c r="L115" s="93">
        <v>18.001930290968634</v>
      </c>
      <c r="M115"/>
      <c r="S115" s="54"/>
    </row>
    <row r="116" spans="1:19" s="15" customFormat="1" x14ac:dyDescent="0.3">
      <c r="A116" s="17"/>
      <c r="B116"/>
      <c r="C116"/>
      <c r="D116"/>
      <c r="E116"/>
      <c r="F116" s="13" t="s">
        <v>784</v>
      </c>
      <c r="G116" s="127">
        <v>2.3793838431460017</v>
      </c>
      <c r="H116" s="93">
        <v>10.067414058153489</v>
      </c>
      <c r="I116" s="93">
        <v>18.998705618167921</v>
      </c>
      <c r="J116" s="93">
        <v>3.4637723693829088</v>
      </c>
      <c r="K116" s="93">
        <v>0.33817841004612498</v>
      </c>
      <c r="L116" s="93">
        <v>16.881193274217733</v>
      </c>
      <c r="M116"/>
      <c r="S116" s="54"/>
    </row>
    <row r="117" spans="1:19" s="15" customFormat="1" x14ac:dyDescent="0.3">
      <c r="A117" s="17"/>
      <c r="B117"/>
      <c r="C117"/>
      <c r="D117"/>
      <c r="E117"/>
      <c r="F117" s="13" t="s">
        <v>785</v>
      </c>
      <c r="G117" s="127">
        <v>-1.018243324854069</v>
      </c>
      <c r="H117" s="93">
        <v>11.096016124244549</v>
      </c>
      <c r="I117" s="93">
        <v>42.580300617338793</v>
      </c>
      <c r="J117" s="93">
        <v>-1.5995658189634256</v>
      </c>
      <c r="K117" s="93">
        <v>-0.66664112486110205</v>
      </c>
      <c r="L117" s="93">
        <v>18.519631508075669</v>
      </c>
      <c r="M117"/>
      <c r="S117" s="54"/>
    </row>
    <row r="118" spans="1:19" s="15" customFormat="1" x14ac:dyDescent="0.3">
      <c r="A118" s="17"/>
      <c r="B118"/>
      <c r="C118"/>
      <c r="D118"/>
      <c r="E118"/>
      <c r="F118" s="13" t="s">
        <v>786</v>
      </c>
      <c r="G118" s="127">
        <v>4.7767992135503903</v>
      </c>
      <c r="H118" s="93">
        <v>9.4254428270154804</v>
      </c>
      <c r="I118" s="93">
        <v>22.930342161639068</v>
      </c>
      <c r="J118" s="93">
        <v>2.9452643370863196</v>
      </c>
      <c r="K118" s="93">
        <v>3.8278543259942799</v>
      </c>
      <c r="L118" s="93">
        <v>17.333189784669457</v>
      </c>
      <c r="M118"/>
      <c r="S118" s="54"/>
    </row>
    <row r="119" spans="1:19" s="15" customFormat="1" x14ac:dyDescent="0.3">
      <c r="A119" s="17"/>
      <c r="B119"/>
      <c r="C119"/>
      <c r="D119"/>
      <c r="E119"/>
      <c r="F119" s="13" t="s">
        <v>787</v>
      </c>
      <c r="G119" s="127">
        <v>1.4107312820710121</v>
      </c>
      <c r="H119" s="93">
        <v>9.3388051282427185</v>
      </c>
      <c r="I119" s="93">
        <v>23.106316352873932</v>
      </c>
      <c r="J119" s="93">
        <v>1.8810053857692368</v>
      </c>
      <c r="K119" s="93">
        <v>4.4703666076017496</v>
      </c>
      <c r="L119" s="93">
        <v>18.302965757078169</v>
      </c>
      <c r="M119"/>
      <c r="S119" s="54"/>
    </row>
    <row r="120" spans="1:19" s="15" customFormat="1" x14ac:dyDescent="0.3">
      <c r="A120" s="17"/>
      <c r="B120"/>
      <c r="C120"/>
      <c r="D120"/>
      <c r="E120"/>
      <c r="F120" s="13" t="s">
        <v>788</v>
      </c>
      <c r="G120" s="127">
        <v>6.6120391270248149</v>
      </c>
      <c r="H120" s="93">
        <v>6.6634994029767212</v>
      </c>
      <c r="I120" s="93">
        <v>27.054702444915741</v>
      </c>
      <c r="J120" s="93">
        <v>3.7130225361804539</v>
      </c>
      <c r="K120" s="93">
        <v>3.3478765503763999</v>
      </c>
      <c r="L120" s="93">
        <v>15.80100775573348</v>
      </c>
      <c r="M120"/>
      <c r="S120" s="54"/>
    </row>
    <row r="121" spans="1:19" s="15" customFormat="1" x14ac:dyDescent="0.3">
      <c r="A121" s="17"/>
      <c r="B121"/>
      <c r="C121"/>
      <c r="D121"/>
      <c r="E121"/>
      <c r="F121" s="13" t="s">
        <v>789</v>
      </c>
      <c r="G121" s="127">
        <v>-1.3332563775994117</v>
      </c>
      <c r="H121" s="93">
        <v>10.057879494317602</v>
      </c>
      <c r="I121" s="93">
        <v>28.77596270864386</v>
      </c>
      <c r="J121" s="93">
        <v>0.57538013588878967</v>
      </c>
      <c r="K121" s="93">
        <v>-2.0933333333333302</v>
      </c>
      <c r="L121" s="93">
        <v>23.848684712406012</v>
      </c>
      <c r="M121"/>
      <c r="S121" s="54"/>
    </row>
    <row r="122" spans="1:19" s="15" customFormat="1" x14ac:dyDescent="0.3">
      <c r="A122" s="17"/>
      <c r="B122"/>
      <c r="C122"/>
      <c r="D122"/>
      <c r="E122"/>
      <c r="F122" s="13" t="s">
        <v>790</v>
      </c>
      <c r="G122" s="127">
        <v>2.4159365405914031</v>
      </c>
      <c r="H122" s="93">
        <v>7.2900138574394582</v>
      </c>
      <c r="I122" s="93">
        <v>32.781232939759164</v>
      </c>
      <c r="J122" s="93">
        <v>4.1705600500108257</v>
      </c>
      <c r="K122" s="93">
        <v>1.7585651759565899</v>
      </c>
      <c r="L122" s="93">
        <v>13.632496773777541</v>
      </c>
      <c r="M122"/>
      <c r="S122" s="54"/>
    </row>
    <row r="123" spans="1:19" s="15" customFormat="1" x14ac:dyDescent="0.3">
      <c r="A123" s="17"/>
      <c r="B123"/>
      <c r="C123"/>
      <c r="D123"/>
      <c r="E123"/>
      <c r="F123" s="13" t="s">
        <v>791</v>
      </c>
      <c r="G123" s="127">
        <v>4.8133487794971472</v>
      </c>
      <c r="H123" s="93">
        <v>8.8890879837068137</v>
      </c>
      <c r="I123" s="93">
        <v>25.104050595112348</v>
      </c>
      <c r="J123" s="93">
        <v>8.2927787831704425</v>
      </c>
      <c r="K123" s="93">
        <v>1.8492298451108999</v>
      </c>
      <c r="L123" s="93">
        <v>16.645616317653928</v>
      </c>
      <c r="M123"/>
      <c r="S123" s="54"/>
    </row>
    <row r="124" spans="1:19" s="15" customFormat="1" x14ac:dyDescent="0.3">
      <c r="A124" s="17"/>
      <c r="B124"/>
      <c r="C124"/>
      <c r="D124"/>
      <c r="E124"/>
      <c r="F124" s="13" t="s">
        <v>792</v>
      </c>
      <c r="G124" s="127">
        <v>4.3815569297974974</v>
      </c>
      <c r="H124" s="93">
        <v>9.7044770004289802</v>
      </c>
      <c r="I124" s="93">
        <v>31.140055969994485</v>
      </c>
      <c r="J124" s="93">
        <v>13.396771922303008</v>
      </c>
      <c r="K124" s="93">
        <v>1.80611159983627</v>
      </c>
      <c r="L124" s="93">
        <v>21.424978588433959</v>
      </c>
      <c r="M124"/>
      <c r="S124" s="54"/>
    </row>
    <row r="125" spans="1:19" s="15" customFormat="1" x14ac:dyDescent="0.3">
      <c r="A125" s="17"/>
      <c r="B125"/>
      <c r="C125"/>
      <c r="D125"/>
      <c r="E125"/>
      <c r="F125" s="13" t="s">
        <v>793</v>
      </c>
      <c r="G125" s="127">
        <v>3.3057518046324361</v>
      </c>
      <c r="H125" s="93">
        <v>6.2803793299455251</v>
      </c>
      <c r="I125" s="93">
        <v>13.002797262902321</v>
      </c>
      <c r="J125" s="93">
        <v>8.3083418603436883</v>
      </c>
      <c r="K125" s="93">
        <v>14.803058568175899</v>
      </c>
      <c r="L125" s="93">
        <v>8.3740735702438709</v>
      </c>
      <c r="M125"/>
      <c r="S125" s="54"/>
    </row>
    <row r="126" spans="1:19" s="15" customFormat="1" x14ac:dyDescent="0.3">
      <c r="A126" s="17"/>
      <c r="B126"/>
      <c r="C126"/>
      <c r="D126"/>
      <c r="E126"/>
      <c r="F126" s="13" t="s">
        <v>794</v>
      </c>
      <c r="G126" s="127">
        <v>-0.41279466794151176</v>
      </c>
      <c r="H126" s="93">
        <v>11.100266232033125</v>
      </c>
      <c r="I126" s="93">
        <v>24.859107464876114</v>
      </c>
      <c r="J126" s="93">
        <v>28.346207688294463</v>
      </c>
      <c r="K126" s="93">
        <v>0.56526056878035802</v>
      </c>
      <c r="L126" s="93">
        <v>10.252898283322599</v>
      </c>
      <c r="M126"/>
      <c r="S126" s="54"/>
    </row>
    <row r="127" spans="1:19" s="15" customFormat="1" x14ac:dyDescent="0.3">
      <c r="A127" s="17"/>
      <c r="B127"/>
      <c r="C127"/>
      <c r="D127"/>
      <c r="E127"/>
      <c r="F127" s="13" t="s">
        <v>795</v>
      </c>
      <c r="G127" s="127">
        <v>2.1800397903293742</v>
      </c>
      <c r="H127" s="93">
        <v>9.8733554839991626</v>
      </c>
      <c r="I127" s="93">
        <v>23.55923752213241</v>
      </c>
      <c r="J127" s="93">
        <v>2.2008887429179511</v>
      </c>
      <c r="K127" s="93">
        <v>2.6645613342544299</v>
      </c>
      <c r="L127" s="93">
        <v>19.674370826573949</v>
      </c>
      <c r="M127"/>
      <c r="S127" s="54"/>
    </row>
    <row r="128" spans="1:19" s="15" customFormat="1" x14ac:dyDescent="0.3">
      <c r="A128" s="17"/>
      <c r="B128"/>
      <c r="C128"/>
      <c r="D128"/>
      <c r="E128"/>
      <c r="F128" s="13" t="s">
        <v>796</v>
      </c>
      <c r="G128" s="127">
        <v>2.4899049057257088</v>
      </c>
      <c r="H128" s="93">
        <v>10.170300115031356</v>
      </c>
      <c r="I128" s="93">
        <v>20.719715726496833</v>
      </c>
      <c r="J128" s="93">
        <v>3.1563997700713053</v>
      </c>
      <c r="K128" s="93">
        <v>1.6305226075433801</v>
      </c>
      <c r="L128" s="93">
        <v>18.402491325576122</v>
      </c>
      <c r="M128"/>
      <c r="S128" s="54"/>
    </row>
    <row r="129" spans="1:19" s="15" customFormat="1" x14ac:dyDescent="0.3">
      <c r="A129" s="17"/>
      <c r="B129"/>
      <c r="C129"/>
      <c r="D129"/>
      <c r="E129"/>
      <c r="F129" s="13" t="s">
        <v>797</v>
      </c>
      <c r="G129" s="127">
        <v>-1.1791433326092857</v>
      </c>
      <c r="H129" s="93">
        <v>8.7599869185256143</v>
      </c>
      <c r="I129" s="93">
        <v>17.589013570440777</v>
      </c>
      <c r="J129" s="93">
        <v>1.3159038504245759</v>
      </c>
      <c r="K129" s="93">
        <v>4.1243507248623903</v>
      </c>
      <c r="L129" s="93">
        <v>21.2957368984524</v>
      </c>
      <c r="M129"/>
      <c r="S129" s="54"/>
    </row>
    <row r="130" spans="1:19" s="15" customFormat="1" x14ac:dyDescent="0.3">
      <c r="A130" s="17"/>
      <c r="B130"/>
      <c r="C130"/>
      <c r="D130"/>
      <c r="E130"/>
      <c r="F130" s="13" t="s">
        <v>798</v>
      </c>
      <c r="G130" s="127">
        <v>1.3458621708921896</v>
      </c>
      <c r="H130" s="93">
        <v>10.321847858716747</v>
      </c>
      <c r="I130" s="93">
        <v>20.772559151394791</v>
      </c>
      <c r="J130" s="93">
        <v>1.0630380479022146</v>
      </c>
      <c r="K130" s="93">
        <v>0.69953624171701501</v>
      </c>
      <c r="L130" s="93">
        <v>18.873898191797373</v>
      </c>
      <c r="M130"/>
      <c r="S130" s="54"/>
    </row>
    <row r="131" spans="1:19" s="15" customFormat="1" x14ac:dyDescent="0.3">
      <c r="A131" s="17"/>
      <c r="B131"/>
      <c r="C131"/>
      <c r="D131"/>
      <c r="E131"/>
      <c r="F131" s="13" t="s">
        <v>799</v>
      </c>
      <c r="G131" s="127">
        <v>1.6595281877087302</v>
      </c>
      <c r="H131" s="93">
        <v>8.3139912588893043</v>
      </c>
      <c r="I131" s="93">
        <v>27.388461993908962</v>
      </c>
      <c r="J131" s="93">
        <v>0.90250879648914184</v>
      </c>
      <c r="K131" s="93">
        <v>3.5283935823180901</v>
      </c>
      <c r="L131" s="93">
        <v>9.4364367423839326</v>
      </c>
      <c r="M131"/>
      <c r="S131" s="54"/>
    </row>
    <row r="132" spans="1:19" s="15" customFormat="1" x14ac:dyDescent="0.3">
      <c r="A132" s="17"/>
      <c r="B132"/>
      <c r="C132"/>
      <c r="D132"/>
      <c r="E132"/>
      <c r="F132" s="13" t="s">
        <v>800</v>
      </c>
      <c r="G132" s="127">
        <v>-4.8581834870656877</v>
      </c>
      <c r="H132" s="93">
        <v>6.4359376091898435</v>
      </c>
      <c r="I132" s="93">
        <v>8.2513496552837875</v>
      </c>
      <c r="J132" s="93">
        <v>2.704888590845409</v>
      </c>
      <c r="K132" s="93">
        <v>50.994051500297097</v>
      </c>
      <c r="L132" s="93">
        <v>3.637864266027055</v>
      </c>
      <c r="M132"/>
      <c r="S132" s="54"/>
    </row>
    <row r="133" spans="1:19" s="15" customFormat="1" x14ac:dyDescent="0.3">
      <c r="A133" s="17"/>
      <c r="B133"/>
      <c r="C133"/>
      <c r="D133"/>
      <c r="E133"/>
      <c r="F133" s="13" t="s">
        <v>801</v>
      </c>
      <c r="G133" s="127">
        <v>0.17566964826308151</v>
      </c>
      <c r="H133" s="93">
        <v>10.907588782428745</v>
      </c>
      <c r="I133" s="93">
        <v>25.234815390881021</v>
      </c>
      <c r="J133" s="93">
        <v>3.1713714599729244</v>
      </c>
      <c r="K133" s="93">
        <v>1.7841509740383199</v>
      </c>
      <c r="L133" s="93">
        <v>25.853501643503606</v>
      </c>
      <c r="M133"/>
      <c r="S133" s="54"/>
    </row>
    <row r="134" spans="1:19" s="15" customFormat="1" x14ac:dyDescent="0.3">
      <c r="A134" s="17"/>
      <c r="B134"/>
      <c r="C134"/>
      <c r="D134"/>
      <c r="E134"/>
      <c r="F134" s="13" t="s">
        <v>802</v>
      </c>
      <c r="G134" s="127">
        <v>0.21669051227578962</v>
      </c>
      <c r="H134" s="93">
        <v>11.324402014068157</v>
      </c>
      <c r="I134" s="93">
        <v>22.337326216382188</v>
      </c>
      <c r="J134" s="93">
        <v>5.3071032094536283</v>
      </c>
      <c r="K134" s="93">
        <v>0.36291600452038397</v>
      </c>
      <c r="L134" s="93">
        <v>11.904032184810411</v>
      </c>
      <c r="M134"/>
      <c r="S134" s="54"/>
    </row>
    <row r="135" spans="1:19" s="15" customFormat="1" x14ac:dyDescent="0.3">
      <c r="A135" s="17"/>
      <c r="B135"/>
      <c r="C135"/>
      <c r="D135"/>
      <c r="E135"/>
      <c r="F135" s="13" t="s">
        <v>803</v>
      </c>
      <c r="G135" s="127">
        <v>2.0650042492150931</v>
      </c>
      <c r="H135" s="93">
        <v>8.8950096563807541</v>
      </c>
      <c r="I135" s="93">
        <v>23.950048030056607</v>
      </c>
      <c r="J135" s="93">
        <v>0.88614570125185654</v>
      </c>
      <c r="K135" s="93">
        <v>0.70672860131430504</v>
      </c>
      <c r="L135" s="93">
        <v>16.134140709963106</v>
      </c>
      <c r="M135"/>
      <c r="S135" s="54"/>
    </row>
    <row r="136" spans="1:19" s="15" customFormat="1" x14ac:dyDescent="0.3">
      <c r="A136" s="17"/>
      <c r="B136"/>
      <c r="C136"/>
      <c r="D136"/>
      <c r="E136"/>
      <c r="F136" s="13" t="s">
        <v>804</v>
      </c>
      <c r="G136" s="127">
        <v>16.414734600971244</v>
      </c>
      <c r="H136" s="93">
        <v>7.1149549524268343</v>
      </c>
      <c r="I136" s="93">
        <v>25.621746379164062</v>
      </c>
      <c r="J136" s="93">
        <v>3.6958919047482883</v>
      </c>
      <c r="K136" s="93">
        <v>0.95881273970320102</v>
      </c>
      <c r="L136" s="93">
        <v>47.41543156536698</v>
      </c>
      <c r="M136"/>
      <c r="S136" s="54"/>
    </row>
    <row r="137" spans="1:19" s="15" customFormat="1" x14ac:dyDescent="0.3">
      <c r="A137" s="17"/>
      <c r="B137"/>
      <c r="C137"/>
      <c r="D137"/>
      <c r="E137"/>
      <c r="F137" s="13" t="s">
        <v>805</v>
      </c>
      <c r="G137" s="127">
        <v>2.8197272907545425</v>
      </c>
      <c r="H137" s="93">
        <v>6.522052739394355</v>
      </c>
      <c r="I137" s="93">
        <v>26.346767031075185</v>
      </c>
      <c r="J137" s="93">
        <v>2.4281659278971484</v>
      </c>
      <c r="K137" s="93">
        <v>0.68589759089553903</v>
      </c>
      <c r="L137" s="93">
        <v>15.988586211623874</v>
      </c>
      <c r="M137"/>
      <c r="S137" s="54"/>
    </row>
    <row r="138" spans="1:19" s="15" customFormat="1" x14ac:dyDescent="0.3">
      <c r="A138" s="17"/>
      <c r="B138"/>
      <c r="C138"/>
      <c r="D138"/>
      <c r="E138"/>
      <c r="F138" s="13" t="s">
        <v>806</v>
      </c>
      <c r="G138" s="127">
        <v>-7.5971717089089452E-2</v>
      </c>
      <c r="H138" s="93">
        <v>8.1428746794286369</v>
      </c>
      <c r="I138" s="93">
        <v>17.909174755149547</v>
      </c>
      <c r="J138" s="93">
        <v>2.0882542002003412</v>
      </c>
      <c r="K138" s="93">
        <v>6.7200753286380399</v>
      </c>
      <c r="L138" s="93">
        <v>20.519653915411304</v>
      </c>
      <c r="M138"/>
      <c r="S138" s="54"/>
    </row>
    <row r="139" spans="1:19" s="15" customFormat="1" x14ac:dyDescent="0.3">
      <c r="A139" s="17"/>
      <c r="B139"/>
      <c r="C139"/>
      <c r="D139"/>
      <c r="E139"/>
      <c r="F139" s="13" t="s">
        <v>807</v>
      </c>
      <c r="G139" s="127">
        <v>-0.42599032079370147</v>
      </c>
      <c r="H139" s="93">
        <v>9.1543617664137749</v>
      </c>
      <c r="I139" s="93">
        <v>24.799368613790243</v>
      </c>
      <c r="J139" s="93">
        <v>1.21692798675783</v>
      </c>
      <c r="K139" s="93">
        <v>15.1768215720023</v>
      </c>
      <c r="L139" s="93">
        <v>15.527292808817981</v>
      </c>
      <c r="M139"/>
      <c r="S139" s="54"/>
    </row>
    <row r="140" spans="1:19" s="15" customFormat="1" x14ac:dyDescent="0.3">
      <c r="A140" s="17"/>
      <c r="B140"/>
      <c r="C140"/>
      <c r="D140"/>
      <c r="E140"/>
      <c r="F140" s="13" t="s">
        <v>808</v>
      </c>
      <c r="G140" s="127">
        <v>3.0724017280639373</v>
      </c>
      <c r="H140" s="93">
        <v>6.6469779439063723</v>
      </c>
      <c r="I140" s="93">
        <v>25.960183039348273</v>
      </c>
      <c r="J140" s="93">
        <v>3.6002307260262247</v>
      </c>
      <c r="K140" s="93">
        <v>2.8690942502055399</v>
      </c>
      <c r="L140" s="93">
        <v>8.8202238177469727</v>
      </c>
      <c r="M140"/>
      <c r="S140" s="54"/>
    </row>
    <row r="141" spans="1:19" s="15" customFormat="1" x14ac:dyDescent="0.3">
      <c r="A141" s="17"/>
      <c r="B141"/>
      <c r="C141"/>
      <c r="D141"/>
      <c r="E141"/>
      <c r="F141" s="13" t="s">
        <v>809</v>
      </c>
      <c r="G141" s="127">
        <v>3.8279019566488444</v>
      </c>
      <c r="H141" s="93">
        <v>8.0381302186656036</v>
      </c>
      <c r="I141" s="93">
        <v>12.595444431137604</v>
      </c>
      <c r="J141" s="93">
        <v>3.7930546545482722</v>
      </c>
      <c r="K141" s="93">
        <v>7.8867174561112998</v>
      </c>
      <c r="L141" s="93">
        <v>19.915920337425693</v>
      </c>
      <c r="M141"/>
      <c r="S141" s="54"/>
    </row>
    <row r="142" spans="1:19" s="15" customFormat="1" x14ac:dyDescent="0.3">
      <c r="A142" s="17"/>
      <c r="B142"/>
      <c r="C142"/>
      <c r="D142"/>
      <c r="E142"/>
      <c r="F142" s="13" t="s">
        <v>810</v>
      </c>
      <c r="G142" s="127">
        <v>0.2252750188528978</v>
      </c>
      <c r="H142" s="93">
        <v>10.688287239697086</v>
      </c>
      <c r="I142" s="93">
        <v>23.832820026704908</v>
      </c>
      <c r="J142" s="93">
        <v>3.2738262078447384</v>
      </c>
      <c r="K142" s="93">
        <v>-1.93108114782171</v>
      </c>
      <c r="L142" s="93">
        <v>13.278418951235258</v>
      </c>
      <c r="M142"/>
      <c r="S142" s="54"/>
    </row>
    <row r="143" spans="1:19" s="15" customFormat="1" x14ac:dyDescent="0.3">
      <c r="A143" s="17"/>
      <c r="B143"/>
      <c r="C143"/>
      <c r="D143"/>
      <c r="E143"/>
      <c r="F143" s="13" t="s">
        <v>811</v>
      </c>
      <c r="G143" s="127">
        <v>0.89478865343706104</v>
      </c>
      <c r="H143" s="93">
        <v>10.669960187759107</v>
      </c>
      <c r="I143" s="93">
        <v>17.318406768297606</v>
      </c>
      <c r="J143" s="93">
        <v>7.9059381437199872E-2</v>
      </c>
      <c r="K143" s="93">
        <v>1.73810460086511</v>
      </c>
      <c r="L143" s="93">
        <v>18.838223809143535</v>
      </c>
      <c r="M143"/>
      <c r="S143" s="54"/>
    </row>
    <row r="144" spans="1:19" s="15" customFormat="1" x14ac:dyDescent="0.3">
      <c r="A144" s="17"/>
      <c r="B144"/>
      <c r="C144"/>
      <c r="D144"/>
      <c r="E144"/>
      <c r="F144" s="13" t="s">
        <v>812</v>
      </c>
      <c r="G144" s="127">
        <v>1.6781254000449479</v>
      </c>
      <c r="H144" s="93">
        <v>11.050833992459903</v>
      </c>
      <c r="I144" s="93">
        <v>21.014288749626399</v>
      </c>
      <c r="J144" s="93">
        <v>1.6405883090114384</v>
      </c>
      <c r="K144" s="93">
        <v>1.81221007526015</v>
      </c>
      <c r="L144" s="93">
        <v>13.973892684190425</v>
      </c>
      <c r="M144"/>
      <c r="S144" s="54"/>
    </row>
    <row r="145" spans="1:19" s="15" customFormat="1" x14ac:dyDescent="0.3">
      <c r="A145" s="17"/>
      <c r="B145"/>
      <c r="C145"/>
      <c r="D145"/>
      <c r="E145"/>
      <c r="F145" s="13" t="s">
        <v>813</v>
      </c>
      <c r="G145" s="127">
        <v>-0.13788920412437733</v>
      </c>
      <c r="H145" s="93">
        <v>9.757187565003548</v>
      </c>
      <c r="I145" s="93">
        <v>16.161091696115193</v>
      </c>
      <c r="J145" s="93">
        <v>2.1218865963703837</v>
      </c>
      <c r="K145" s="93">
        <v>7.8819887087962197</v>
      </c>
      <c r="L145" s="93">
        <v>15.00295762303374</v>
      </c>
      <c r="M145"/>
      <c r="S145" s="54"/>
    </row>
    <row r="146" spans="1:19" s="15" customFormat="1" x14ac:dyDescent="0.3">
      <c r="A146" s="17"/>
      <c r="B146"/>
      <c r="C146"/>
      <c r="D146"/>
      <c r="E146"/>
      <c r="F146" s="13" t="s">
        <v>814</v>
      </c>
      <c r="G146" s="127">
        <v>5.9948660101926521</v>
      </c>
      <c r="H146" s="93">
        <v>7.8503361563054517</v>
      </c>
      <c r="I146" s="93">
        <v>26.843839381132245</v>
      </c>
      <c r="J146" s="93">
        <v>6.1545217569701132</v>
      </c>
      <c r="K146" s="93">
        <v>2.7958236745224401</v>
      </c>
      <c r="L146" s="93">
        <v>6.4606347025217028</v>
      </c>
      <c r="M146"/>
      <c r="S146" s="54"/>
    </row>
    <row r="147" spans="1:19" s="15" customFormat="1" x14ac:dyDescent="0.3">
      <c r="A147" s="17"/>
      <c r="B147"/>
      <c r="C147"/>
      <c r="D147"/>
      <c r="E147"/>
      <c r="F147" s="13" t="s">
        <v>815</v>
      </c>
      <c r="G147" s="127">
        <v>-1.4502641310958779</v>
      </c>
      <c r="H147" s="93">
        <v>7.324088224825152</v>
      </c>
      <c r="I147" s="93">
        <v>39.26190468265829</v>
      </c>
      <c r="J147" s="93">
        <v>2.3508074828533605</v>
      </c>
      <c r="K147" s="93">
        <v>9.1503164431629909</v>
      </c>
      <c r="L147" s="93">
        <v>17.684199315025179</v>
      </c>
      <c r="M147"/>
      <c r="S147" s="54"/>
    </row>
    <row r="148" spans="1:19" s="15" customFormat="1" x14ac:dyDescent="0.3">
      <c r="A148" s="17"/>
      <c r="B148"/>
      <c r="C148"/>
      <c r="D148"/>
      <c r="E148"/>
      <c r="F148"/>
      <c r="G148"/>
      <c r="H148"/>
      <c r="I148"/>
      <c r="J148"/>
      <c r="K148"/>
      <c r="L148"/>
      <c r="M148"/>
      <c r="S148" s="54"/>
    </row>
    <row r="149" spans="1:19" s="15" customFormat="1" x14ac:dyDescent="0.3">
      <c r="A149" s="17"/>
      <c r="B149"/>
      <c r="C149"/>
      <c r="D149"/>
      <c r="E149"/>
      <c r="F149"/>
      <c r="G149"/>
      <c r="H149"/>
      <c r="I149"/>
      <c r="J149"/>
      <c r="K149"/>
      <c r="L149"/>
      <c r="M149"/>
      <c r="S149" s="54"/>
    </row>
    <row r="150" spans="1:19" s="15" customFormat="1" x14ac:dyDescent="0.3">
      <c r="A150" s="17"/>
      <c r="B150"/>
      <c r="C150"/>
      <c r="D150"/>
      <c r="E150"/>
      <c r="F150"/>
      <c r="G150"/>
      <c r="H150"/>
      <c r="I150"/>
      <c r="J150"/>
      <c r="K150"/>
      <c r="L150"/>
      <c r="M150"/>
      <c r="S150" s="54"/>
    </row>
    <row r="151" spans="1:19" s="15" customFormat="1" x14ac:dyDescent="0.3">
      <c r="A151" s="17"/>
      <c r="B151"/>
      <c r="C151"/>
      <c r="D151"/>
      <c r="E151"/>
      <c r="F151"/>
      <c r="G151"/>
      <c r="H151"/>
      <c r="I151"/>
      <c r="J151"/>
      <c r="K151"/>
      <c r="L151"/>
      <c r="M151"/>
      <c r="S151" s="54"/>
    </row>
    <row r="152" spans="1:19" s="15" customFormat="1" x14ac:dyDescent="0.3">
      <c r="A152" s="17"/>
      <c r="B152"/>
      <c r="C152"/>
      <c r="D152"/>
      <c r="E152"/>
      <c r="F152"/>
      <c r="G152"/>
      <c r="H152"/>
      <c r="I152"/>
      <c r="J152"/>
      <c r="K152"/>
      <c r="L152"/>
      <c r="M152"/>
      <c r="S152" s="54"/>
    </row>
    <row r="153" spans="1:19" s="15" customFormat="1" x14ac:dyDescent="0.3">
      <c r="A153" s="17"/>
      <c r="B153"/>
      <c r="C153"/>
      <c r="D153"/>
      <c r="E153"/>
      <c r="F153"/>
      <c r="G153"/>
      <c r="H153"/>
      <c r="I153"/>
      <c r="J153"/>
      <c r="K153"/>
      <c r="L153"/>
      <c r="M153"/>
      <c r="S153" s="54"/>
    </row>
    <row r="154" spans="1:19" s="15" customFormat="1" x14ac:dyDescent="0.3">
      <c r="A154" s="17"/>
      <c r="B154"/>
      <c r="C154"/>
      <c r="D154"/>
      <c r="E154"/>
      <c r="F154"/>
      <c r="G154"/>
      <c r="H154"/>
      <c r="I154"/>
      <c r="J154"/>
      <c r="K154"/>
      <c r="L154"/>
      <c r="M154"/>
      <c r="S154" s="54"/>
    </row>
    <row r="155" spans="1:19" s="15" customFormat="1" x14ac:dyDescent="0.3">
      <c r="A155" s="17"/>
      <c r="B155"/>
      <c r="C155"/>
      <c r="D155"/>
      <c r="E155"/>
      <c r="F155"/>
      <c r="G155"/>
      <c r="H155"/>
      <c r="I155"/>
      <c r="J155"/>
      <c r="K155"/>
      <c r="L155"/>
      <c r="M155"/>
      <c r="S155" s="54"/>
    </row>
    <row r="156" spans="1:19" s="15" customFormat="1" x14ac:dyDescent="0.3">
      <c r="A156" s="17"/>
      <c r="B156"/>
      <c r="C156"/>
      <c r="D156"/>
      <c r="E156"/>
      <c r="F156"/>
      <c r="G156"/>
      <c r="H156"/>
      <c r="I156"/>
      <c r="J156"/>
      <c r="K156"/>
      <c r="L156"/>
      <c r="M156"/>
      <c r="S156" s="54"/>
    </row>
    <row r="157" spans="1:19" s="15" customFormat="1" x14ac:dyDescent="0.3">
      <c r="A157" s="17"/>
      <c r="B157"/>
      <c r="C157"/>
      <c r="D157"/>
      <c r="E157"/>
      <c r="F157"/>
      <c r="G157"/>
      <c r="H157"/>
      <c r="I157"/>
      <c r="J157"/>
      <c r="K157"/>
      <c r="L157"/>
      <c r="M157"/>
      <c r="S157" s="54"/>
    </row>
    <row r="158" spans="1:19" s="15" customFormat="1" x14ac:dyDescent="0.3">
      <c r="A158" s="17"/>
      <c r="B158"/>
      <c r="C158"/>
      <c r="D158"/>
      <c r="E158"/>
      <c r="F158"/>
      <c r="G158"/>
      <c r="H158"/>
      <c r="I158"/>
      <c r="J158"/>
      <c r="K158"/>
      <c r="L158"/>
      <c r="M158"/>
      <c r="S158" s="54"/>
    </row>
    <row r="159" spans="1:19" s="15" customFormat="1" x14ac:dyDescent="0.3">
      <c r="A159" s="17"/>
      <c r="B159"/>
      <c r="C159"/>
      <c r="D159"/>
      <c r="E159"/>
      <c r="F159"/>
      <c r="G159"/>
      <c r="H159"/>
      <c r="I159"/>
      <c r="J159"/>
      <c r="K159"/>
      <c r="L159"/>
      <c r="M159"/>
      <c r="S159" s="54"/>
    </row>
    <row r="160" spans="1:19" s="15" customFormat="1" x14ac:dyDescent="0.3">
      <c r="A160" s="17"/>
      <c r="B160"/>
      <c r="C160"/>
      <c r="D160"/>
      <c r="E160"/>
      <c r="F160"/>
      <c r="G160"/>
      <c r="H160"/>
      <c r="I160"/>
      <c r="J160"/>
      <c r="K160"/>
      <c r="L160"/>
      <c r="M160"/>
      <c r="S160" s="54"/>
    </row>
    <row r="161" spans="1:19" s="15" customFormat="1" x14ac:dyDescent="0.3">
      <c r="A161" s="17"/>
      <c r="B161"/>
      <c r="C161"/>
      <c r="D161"/>
      <c r="E161"/>
      <c r="F161"/>
      <c r="G161"/>
      <c r="H161"/>
      <c r="I161"/>
      <c r="J161"/>
      <c r="K161"/>
      <c r="L161"/>
      <c r="M161"/>
      <c r="S161" s="54"/>
    </row>
    <row r="162" spans="1:19" s="15" customFormat="1" x14ac:dyDescent="0.3">
      <c r="A162" s="17"/>
      <c r="B162"/>
      <c r="C162"/>
      <c r="D162"/>
      <c r="E162"/>
      <c r="F162"/>
      <c r="G162"/>
      <c r="H162"/>
      <c r="I162"/>
      <c r="J162"/>
      <c r="K162"/>
      <c r="L162"/>
      <c r="M162"/>
      <c r="S162" s="54"/>
    </row>
    <row r="163" spans="1:19" s="15" customFormat="1" x14ac:dyDescent="0.3">
      <c r="A163" s="17"/>
      <c r="B163"/>
      <c r="C163"/>
      <c r="D163"/>
      <c r="E163"/>
      <c r="F163"/>
      <c r="G163"/>
      <c r="H163"/>
      <c r="I163"/>
      <c r="J163"/>
      <c r="K163"/>
      <c r="L163"/>
      <c r="M163"/>
      <c r="S163" s="54"/>
    </row>
    <row r="164" spans="1:19" s="15" customFormat="1" x14ac:dyDescent="0.3">
      <c r="A164" s="17"/>
      <c r="B164"/>
      <c r="C164"/>
      <c r="D164"/>
      <c r="E164"/>
      <c r="F164"/>
      <c r="G164"/>
      <c r="H164"/>
      <c r="I164"/>
      <c r="J164"/>
      <c r="K164"/>
      <c r="L164"/>
      <c r="M164"/>
      <c r="S164" s="54"/>
    </row>
    <row r="165" spans="1:19" s="15" customFormat="1" x14ac:dyDescent="0.3">
      <c r="A165" s="17"/>
      <c r="B165"/>
      <c r="C165"/>
      <c r="D165"/>
      <c r="E165"/>
      <c r="F165"/>
      <c r="G165"/>
      <c r="H165"/>
      <c r="I165"/>
      <c r="J165"/>
      <c r="K165"/>
      <c r="L165"/>
      <c r="M165"/>
      <c r="S165" s="54"/>
    </row>
    <row r="166" spans="1:19" s="15" customFormat="1" x14ac:dyDescent="0.3">
      <c r="A166" s="17"/>
      <c r="B166"/>
      <c r="C166"/>
      <c r="D166"/>
      <c r="E166"/>
      <c r="F166"/>
      <c r="G166"/>
      <c r="H166"/>
      <c r="I166"/>
      <c r="J166"/>
      <c r="K166"/>
      <c r="L166"/>
      <c r="M166"/>
      <c r="S166" s="54"/>
    </row>
    <row r="167" spans="1:19" s="15" customFormat="1" x14ac:dyDescent="0.3">
      <c r="A167" s="17"/>
      <c r="B167"/>
      <c r="C167"/>
      <c r="D167"/>
      <c r="E167"/>
      <c r="F167"/>
      <c r="G167"/>
      <c r="H167"/>
      <c r="I167"/>
      <c r="J167"/>
      <c r="K167"/>
      <c r="L167"/>
      <c r="M167"/>
      <c r="S167" s="54"/>
    </row>
    <row r="168" spans="1:19" s="15" customFormat="1" x14ac:dyDescent="0.3">
      <c r="A168" s="17"/>
      <c r="B168"/>
      <c r="C168"/>
      <c r="D168"/>
      <c r="E168"/>
      <c r="F168"/>
      <c r="G168"/>
      <c r="H168"/>
      <c r="I168"/>
      <c r="J168"/>
      <c r="K168"/>
      <c r="L168"/>
      <c r="M168"/>
      <c r="S168" s="54"/>
    </row>
    <row r="169" spans="1:19" s="15" customFormat="1" x14ac:dyDescent="0.3">
      <c r="A169" s="17"/>
      <c r="B169"/>
      <c r="C169"/>
      <c r="D169"/>
      <c r="E169"/>
      <c r="F169"/>
      <c r="G169"/>
      <c r="H169"/>
      <c r="I169"/>
      <c r="J169"/>
      <c r="K169"/>
      <c r="L169"/>
      <c r="M169"/>
      <c r="S169" s="54"/>
    </row>
    <row r="170" spans="1:19" s="15" customFormat="1" x14ac:dyDescent="0.3">
      <c r="A170" s="17"/>
      <c r="B170"/>
      <c r="C170"/>
      <c r="D170"/>
      <c r="E170"/>
      <c r="F170"/>
      <c r="G170"/>
      <c r="H170"/>
      <c r="I170"/>
      <c r="J170"/>
      <c r="K170"/>
      <c r="L170"/>
      <c r="M170"/>
      <c r="S170" s="54"/>
    </row>
    <row r="171" spans="1:19" s="15" customFormat="1" x14ac:dyDescent="0.3">
      <c r="A171" s="17"/>
      <c r="B171"/>
      <c r="C171"/>
      <c r="D171"/>
      <c r="E171"/>
      <c r="F171"/>
      <c r="G171"/>
      <c r="H171"/>
      <c r="I171"/>
      <c r="J171"/>
      <c r="K171"/>
      <c r="L171"/>
      <c r="M171"/>
      <c r="S171" s="54"/>
    </row>
    <row r="172" spans="1:19" s="15" customFormat="1" x14ac:dyDescent="0.3">
      <c r="A172" s="17"/>
      <c r="B172"/>
      <c r="C172"/>
      <c r="D172"/>
      <c r="E172"/>
      <c r="F172"/>
      <c r="G172"/>
      <c r="H172"/>
      <c r="I172"/>
      <c r="J172"/>
      <c r="K172"/>
      <c r="L172"/>
      <c r="M172"/>
      <c r="S172" s="54"/>
    </row>
    <row r="173" spans="1:19" s="15" customFormat="1" x14ac:dyDescent="0.3">
      <c r="A173" s="17"/>
      <c r="B173"/>
      <c r="C173"/>
      <c r="D173"/>
      <c r="E173"/>
      <c r="F173"/>
      <c r="G173"/>
      <c r="H173"/>
      <c r="I173"/>
      <c r="J173"/>
      <c r="K173"/>
      <c r="L173"/>
      <c r="M173"/>
      <c r="S173" s="54"/>
    </row>
    <row r="174" spans="1:19" s="15" customFormat="1" x14ac:dyDescent="0.3">
      <c r="A174" s="17"/>
      <c r="B174"/>
      <c r="C174"/>
      <c r="D174"/>
      <c r="E174"/>
      <c r="F174"/>
      <c r="G174"/>
      <c r="H174"/>
      <c r="I174"/>
      <c r="J174"/>
      <c r="K174"/>
      <c r="L174"/>
      <c r="M174"/>
      <c r="S174" s="54"/>
    </row>
    <row r="175" spans="1:19" s="15" customFormat="1" x14ac:dyDescent="0.3">
      <c r="A175" s="17"/>
      <c r="B175"/>
      <c r="C175"/>
      <c r="D175"/>
      <c r="E175"/>
      <c r="F175"/>
      <c r="G175"/>
      <c r="H175"/>
      <c r="I175"/>
      <c r="J175"/>
      <c r="K175"/>
      <c r="L175"/>
      <c r="M175"/>
      <c r="S175" s="54"/>
    </row>
    <row r="176" spans="1:19" s="15" customFormat="1" x14ac:dyDescent="0.3">
      <c r="A176" s="17"/>
      <c r="B176"/>
      <c r="C176"/>
      <c r="D176"/>
      <c r="E176"/>
      <c r="F176"/>
      <c r="G176"/>
      <c r="H176"/>
      <c r="I176"/>
      <c r="J176"/>
      <c r="K176"/>
      <c r="L176"/>
      <c r="M176"/>
      <c r="S176" s="54"/>
    </row>
    <row r="177" spans="1:19" s="15" customFormat="1" x14ac:dyDescent="0.3">
      <c r="A177" s="17"/>
      <c r="B177"/>
      <c r="C177"/>
      <c r="D177"/>
      <c r="E177"/>
      <c r="F177"/>
      <c r="G177"/>
      <c r="H177"/>
      <c r="I177"/>
      <c r="J177"/>
      <c r="K177"/>
      <c r="L177"/>
      <c r="M177"/>
      <c r="S177" s="54"/>
    </row>
    <row r="178" spans="1:19" s="15" customFormat="1" x14ac:dyDescent="0.3">
      <c r="A178" s="17"/>
      <c r="B178"/>
      <c r="C178"/>
      <c r="D178"/>
      <c r="E178"/>
      <c r="F178"/>
      <c r="G178"/>
      <c r="H178"/>
      <c r="I178"/>
      <c r="J178"/>
      <c r="K178"/>
      <c r="L178"/>
      <c r="M178"/>
      <c r="S178" s="54"/>
    </row>
    <row r="179" spans="1:19" s="15" customFormat="1" x14ac:dyDescent="0.3">
      <c r="A179" s="17"/>
      <c r="B179"/>
      <c r="C179"/>
      <c r="D179"/>
      <c r="E179"/>
      <c r="F179"/>
      <c r="G179"/>
      <c r="H179"/>
      <c r="I179"/>
      <c r="J179"/>
      <c r="K179"/>
      <c r="L179"/>
      <c r="M179"/>
      <c r="S179" s="54"/>
    </row>
    <row r="180" spans="1:19" s="15" customFormat="1" x14ac:dyDescent="0.3">
      <c r="A180" s="17"/>
      <c r="B180"/>
      <c r="C180"/>
      <c r="D180"/>
      <c r="E180"/>
      <c r="F180"/>
      <c r="G180"/>
      <c r="H180"/>
      <c r="I180"/>
      <c r="J180"/>
      <c r="K180"/>
      <c r="L180"/>
      <c r="M180"/>
      <c r="S180" s="54"/>
    </row>
    <row r="181" spans="1:19" s="15" customFormat="1" x14ac:dyDescent="0.3">
      <c r="A181" s="17"/>
      <c r="B181"/>
      <c r="C181"/>
      <c r="D181"/>
      <c r="E181"/>
      <c r="F181"/>
      <c r="G181"/>
      <c r="H181"/>
      <c r="I181"/>
      <c r="J181"/>
      <c r="K181"/>
      <c r="L181"/>
      <c r="M181"/>
      <c r="S181" s="54"/>
    </row>
    <row r="182" spans="1:19" s="15" customFormat="1" x14ac:dyDescent="0.3">
      <c r="A182" s="17"/>
      <c r="B182"/>
      <c r="C182"/>
      <c r="D182"/>
      <c r="E182"/>
      <c r="F182"/>
      <c r="G182"/>
      <c r="H182"/>
      <c r="I182"/>
      <c r="J182"/>
      <c r="K182"/>
      <c r="L182"/>
      <c r="M182"/>
      <c r="S182" s="54"/>
    </row>
    <row r="183" spans="1:19" s="15" customFormat="1" x14ac:dyDescent="0.3">
      <c r="A183" s="17"/>
      <c r="B183"/>
      <c r="C183"/>
      <c r="D183"/>
      <c r="E183"/>
      <c r="F183"/>
      <c r="G183"/>
      <c r="H183"/>
      <c r="I183"/>
      <c r="J183"/>
      <c r="K183"/>
      <c r="L183"/>
      <c r="M183"/>
      <c r="S183" s="54"/>
    </row>
    <row r="184" spans="1:19" s="15" customFormat="1" x14ac:dyDescent="0.3">
      <c r="A184" s="17"/>
      <c r="B184"/>
      <c r="C184"/>
      <c r="D184"/>
      <c r="E184"/>
      <c r="F184"/>
      <c r="G184"/>
      <c r="H184"/>
      <c r="I184"/>
      <c r="J184"/>
      <c r="K184"/>
      <c r="L184"/>
      <c r="M184"/>
      <c r="S184" s="54"/>
    </row>
    <row r="185" spans="1:19" s="15" customFormat="1" x14ac:dyDescent="0.3">
      <c r="A185" s="17"/>
      <c r="B185"/>
      <c r="C185"/>
      <c r="D185"/>
      <c r="E185"/>
      <c r="F185"/>
      <c r="G185"/>
      <c r="H185"/>
      <c r="I185"/>
      <c r="J185"/>
      <c r="K185"/>
      <c r="L185"/>
      <c r="M185"/>
      <c r="S185" s="54"/>
    </row>
    <row r="186" spans="1:19" s="15" customFormat="1" x14ac:dyDescent="0.3">
      <c r="A186" s="17"/>
      <c r="B186"/>
      <c r="C186"/>
      <c r="D186"/>
      <c r="E186"/>
      <c r="F186"/>
      <c r="G186"/>
      <c r="H186"/>
      <c r="I186"/>
      <c r="J186"/>
      <c r="K186"/>
      <c r="L186"/>
      <c r="M186"/>
      <c r="S186" s="54"/>
    </row>
    <row r="187" spans="1:19" s="15" customFormat="1" x14ac:dyDescent="0.3">
      <c r="A187" s="17"/>
      <c r="B187"/>
      <c r="C187"/>
      <c r="D187"/>
      <c r="E187"/>
      <c r="F187"/>
      <c r="G187"/>
      <c r="H187"/>
      <c r="I187"/>
      <c r="J187"/>
      <c r="K187"/>
      <c r="L187"/>
      <c r="M187"/>
      <c r="S187" s="54"/>
    </row>
    <row r="188" spans="1:19" s="15" customFormat="1" x14ac:dyDescent="0.3">
      <c r="A188" s="17"/>
      <c r="B188"/>
      <c r="C188"/>
      <c r="D188"/>
      <c r="E188"/>
      <c r="F188"/>
      <c r="G188"/>
      <c r="H188"/>
      <c r="I188"/>
      <c r="J188"/>
      <c r="K188"/>
      <c r="L188"/>
      <c r="M188"/>
      <c r="S188" s="54"/>
    </row>
    <row r="189" spans="1:19" s="15" customFormat="1" x14ac:dyDescent="0.3">
      <c r="A189" s="17"/>
      <c r="B189"/>
      <c r="C189"/>
      <c r="D189"/>
      <c r="E189"/>
      <c r="F189"/>
      <c r="G189"/>
      <c r="H189"/>
      <c r="I189"/>
      <c r="J189"/>
      <c r="K189"/>
      <c r="L189"/>
      <c r="M189"/>
      <c r="S189" s="54"/>
    </row>
    <row r="190" spans="1:19" s="15" customFormat="1" x14ac:dyDescent="0.3">
      <c r="A190" s="17"/>
      <c r="B190"/>
      <c r="C190"/>
      <c r="D190"/>
      <c r="E190"/>
      <c r="F190"/>
      <c r="G190"/>
      <c r="H190"/>
      <c r="I190"/>
      <c r="J190"/>
      <c r="K190"/>
      <c r="L190"/>
      <c r="M190"/>
      <c r="S190" s="54"/>
    </row>
    <row r="191" spans="1:19" s="15" customFormat="1" x14ac:dyDescent="0.3">
      <c r="A191" s="17"/>
      <c r="B191"/>
      <c r="C191"/>
      <c r="D191"/>
      <c r="E191"/>
      <c r="F191"/>
      <c r="G191"/>
      <c r="H191"/>
      <c r="I191"/>
      <c r="J191"/>
      <c r="K191"/>
      <c r="L191"/>
      <c r="M191"/>
      <c r="S191" s="54"/>
    </row>
    <row r="192" spans="1:19" s="15" customFormat="1" x14ac:dyDescent="0.3">
      <c r="A192" s="17"/>
      <c r="B192"/>
      <c r="C192"/>
      <c r="D192"/>
      <c r="E192"/>
      <c r="F192"/>
      <c r="G192"/>
      <c r="H192"/>
      <c r="I192"/>
      <c r="J192"/>
      <c r="K192"/>
      <c r="L192"/>
      <c r="M192"/>
      <c r="S192" s="54"/>
    </row>
    <row r="193" spans="1:19" s="15" customFormat="1" x14ac:dyDescent="0.3">
      <c r="A193" s="17"/>
      <c r="B193"/>
      <c r="C193"/>
      <c r="D193"/>
      <c r="E193"/>
      <c r="F193"/>
      <c r="G193"/>
      <c r="H193"/>
      <c r="I193"/>
      <c r="J193"/>
      <c r="K193"/>
      <c r="L193"/>
      <c r="M193"/>
      <c r="S193" s="54"/>
    </row>
    <row r="194" spans="1:19" s="15" customFormat="1" x14ac:dyDescent="0.3">
      <c r="A194" s="17"/>
      <c r="B194"/>
      <c r="C194"/>
      <c r="D194"/>
      <c r="E194"/>
      <c r="F194"/>
      <c r="G194"/>
      <c r="H194"/>
      <c r="I194"/>
      <c r="J194"/>
      <c r="K194"/>
      <c r="L194"/>
      <c r="M194"/>
      <c r="S194" s="54"/>
    </row>
    <row r="195" spans="1:19" s="15" customFormat="1" x14ac:dyDescent="0.3">
      <c r="A195" s="17"/>
      <c r="B195"/>
      <c r="C195"/>
      <c r="D195"/>
      <c r="E195"/>
      <c r="F195"/>
      <c r="G195"/>
      <c r="H195"/>
      <c r="I195"/>
      <c r="J195"/>
      <c r="K195"/>
      <c r="L195"/>
      <c r="M195"/>
      <c r="S195" s="54"/>
    </row>
    <row r="196" spans="1:19" s="15" customFormat="1" x14ac:dyDescent="0.3">
      <c r="A196" s="17"/>
      <c r="B196"/>
      <c r="C196"/>
      <c r="D196"/>
      <c r="E196"/>
      <c r="F196"/>
      <c r="G196"/>
      <c r="H196"/>
      <c r="I196"/>
      <c r="J196"/>
      <c r="K196"/>
      <c r="L196"/>
      <c r="M196"/>
      <c r="S196" s="54"/>
    </row>
    <row r="197" spans="1:19" s="15" customFormat="1" x14ac:dyDescent="0.3">
      <c r="A197" s="17"/>
      <c r="B197"/>
      <c r="C197"/>
      <c r="D197"/>
      <c r="E197"/>
      <c r="F197"/>
      <c r="G197"/>
      <c r="H197"/>
      <c r="I197"/>
      <c r="J197"/>
      <c r="K197"/>
      <c r="L197"/>
      <c r="M197"/>
      <c r="S197" s="54"/>
    </row>
    <row r="198" spans="1:19" s="15" customFormat="1" x14ac:dyDescent="0.3">
      <c r="A198" s="17"/>
      <c r="B198"/>
      <c r="C198"/>
      <c r="D198"/>
      <c r="E198"/>
      <c r="F198"/>
      <c r="G198"/>
      <c r="H198"/>
      <c r="I198"/>
      <c r="J198"/>
      <c r="K198"/>
      <c r="L198"/>
      <c r="M198"/>
      <c r="S198" s="54"/>
    </row>
    <row r="199" spans="1:19" s="15" customFormat="1" x14ac:dyDescent="0.3">
      <c r="A199" s="17"/>
      <c r="B199"/>
      <c r="C199"/>
      <c r="D199"/>
      <c r="E199"/>
      <c r="F199"/>
      <c r="G199"/>
      <c r="H199"/>
      <c r="I199"/>
      <c r="J199"/>
      <c r="K199"/>
      <c r="L199"/>
      <c r="M199"/>
      <c r="S199" s="54"/>
    </row>
    <row r="200" spans="1:19" s="15" customFormat="1" x14ac:dyDescent="0.3">
      <c r="A200" s="17"/>
      <c r="B200"/>
      <c r="C200"/>
      <c r="D200"/>
      <c r="E200"/>
      <c r="F200"/>
      <c r="G200"/>
      <c r="H200"/>
      <c r="I200"/>
      <c r="J200"/>
      <c r="K200"/>
      <c r="L200"/>
      <c r="M200"/>
      <c r="S200" s="54"/>
    </row>
    <row r="201" spans="1:19" s="15" customFormat="1" x14ac:dyDescent="0.3">
      <c r="A201" s="17"/>
      <c r="B201"/>
      <c r="C201"/>
      <c r="D201"/>
      <c r="E201"/>
      <c r="F201"/>
      <c r="G201"/>
      <c r="H201"/>
      <c r="I201"/>
      <c r="J201"/>
      <c r="K201"/>
      <c r="L201"/>
      <c r="M201"/>
      <c r="S201" s="54"/>
    </row>
    <row r="202" spans="1:19" s="15" customFormat="1" x14ac:dyDescent="0.3">
      <c r="A202" s="17"/>
      <c r="B202"/>
      <c r="C202"/>
      <c r="D202"/>
      <c r="E202"/>
      <c r="F202"/>
      <c r="G202"/>
      <c r="H202"/>
      <c r="I202"/>
      <c r="J202"/>
      <c r="K202"/>
      <c r="L202"/>
      <c r="M202"/>
      <c r="S202" s="54"/>
    </row>
    <row r="203" spans="1:19" s="15" customFormat="1" x14ac:dyDescent="0.3">
      <c r="A203" s="17"/>
      <c r="B203"/>
      <c r="C203"/>
      <c r="D203"/>
      <c r="E203"/>
      <c r="F203"/>
      <c r="G203"/>
      <c r="H203"/>
      <c r="I203"/>
      <c r="J203"/>
      <c r="K203"/>
      <c r="L203"/>
      <c r="M203"/>
      <c r="S203" s="54"/>
    </row>
    <row r="204" spans="1:19" s="15" customFormat="1" x14ac:dyDescent="0.3">
      <c r="A204" s="17"/>
      <c r="B204"/>
      <c r="C204"/>
      <c r="D204"/>
      <c r="E204"/>
      <c r="F204"/>
      <c r="G204"/>
      <c r="H204"/>
      <c r="I204"/>
      <c r="J204"/>
      <c r="K204"/>
      <c r="L204"/>
      <c r="M204"/>
      <c r="S204" s="54"/>
    </row>
    <row r="205" spans="1:19" s="15" customFormat="1" x14ac:dyDescent="0.3">
      <c r="A205" s="17"/>
      <c r="B205"/>
      <c r="C205"/>
      <c r="D205"/>
      <c r="E205"/>
      <c r="F205"/>
      <c r="G205"/>
      <c r="H205"/>
      <c r="I205"/>
      <c r="J205"/>
      <c r="K205"/>
      <c r="L205"/>
      <c r="M205"/>
      <c r="S205" s="54"/>
    </row>
    <row r="206" spans="1:19" s="15" customFormat="1" x14ac:dyDescent="0.3">
      <c r="A206" s="17"/>
      <c r="B206"/>
      <c r="C206"/>
      <c r="D206"/>
      <c r="E206"/>
      <c r="F206"/>
      <c r="G206"/>
      <c r="H206"/>
      <c r="I206"/>
      <c r="J206"/>
      <c r="K206"/>
      <c r="L206"/>
      <c r="M206"/>
      <c r="S206" s="54"/>
    </row>
    <row r="207" spans="1:19" s="15" customFormat="1" x14ac:dyDescent="0.3">
      <c r="A207" s="17"/>
      <c r="B207"/>
      <c r="C207"/>
      <c r="D207"/>
      <c r="E207"/>
      <c r="F207"/>
      <c r="G207"/>
      <c r="H207"/>
      <c r="I207"/>
      <c r="J207"/>
      <c r="K207"/>
      <c r="L207"/>
      <c r="M207"/>
      <c r="S207" s="54"/>
    </row>
    <row r="208" spans="1:19" s="15" customFormat="1" x14ac:dyDescent="0.3">
      <c r="A208" s="17"/>
      <c r="B208"/>
      <c r="C208"/>
      <c r="D208"/>
      <c r="E208"/>
      <c r="F208"/>
      <c r="G208"/>
      <c r="H208"/>
      <c r="I208"/>
      <c r="J208"/>
      <c r="K208"/>
      <c r="L208"/>
      <c r="M208"/>
      <c r="S208" s="54"/>
    </row>
    <row r="209" spans="1:19" s="15" customFormat="1" x14ac:dyDescent="0.3">
      <c r="A209" s="17"/>
      <c r="B209"/>
      <c r="C209"/>
      <c r="D209"/>
      <c r="E209"/>
      <c r="F209"/>
      <c r="G209"/>
      <c r="H209"/>
      <c r="I209"/>
      <c r="J209"/>
      <c r="K209"/>
      <c r="L209"/>
      <c r="M209"/>
      <c r="S209" s="54"/>
    </row>
    <row r="210" spans="1:19" s="15" customFormat="1" x14ac:dyDescent="0.3">
      <c r="A210" s="17"/>
      <c r="B210"/>
      <c r="C210"/>
      <c r="D210"/>
      <c r="E210"/>
      <c r="F210"/>
      <c r="G210"/>
      <c r="H210"/>
      <c r="I210"/>
      <c r="J210"/>
      <c r="K210"/>
      <c r="L210"/>
      <c r="M210"/>
      <c r="S210" s="54"/>
    </row>
    <row r="211" spans="1:19" s="15" customFormat="1" x14ac:dyDescent="0.3">
      <c r="A211" s="17"/>
      <c r="B211"/>
      <c r="C211"/>
      <c r="D211"/>
      <c r="E211"/>
      <c r="F211"/>
      <c r="G211"/>
      <c r="H211"/>
      <c r="I211"/>
      <c r="J211"/>
      <c r="K211"/>
      <c r="L211"/>
      <c r="M211"/>
      <c r="S211" s="54"/>
    </row>
    <row r="212" spans="1:19" s="15" customFormat="1" x14ac:dyDescent="0.3">
      <c r="A212" s="17"/>
      <c r="B212"/>
      <c r="C212"/>
      <c r="D212"/>
      <c r="E212"/>
      <c r="F212"/>
      <c r="G212"/>
      <c r="H212"/>
      <c r="I212"/>
      <c r="J212"/>
      <c r="K212"/>
      <c r="L212"/>
      <c r="M212"/>
      <c r="S212" s="54"/>
    </row>
    <row r="213" spans="1:19" s="15" customFormat="1" x14ac:dyDescent="0.3">
      <c r="A213" s="17"/>
      <c r="B213"/>
      <c r="C213"/>
      <c r="D213"/>
      <c r="E213"/>
      <c r="F213"/>
      <c r="G213"/>
      <c r="H213"/>
      <c r="I213"/>
      <c r="J213"/>
      <c r="K213"/>
      <c r="L213"/>
      <c r="M213"/>
      <c r="S213" s="54"/>
    </row>
    <row r="214" spans="1:19" s="15" customFormat="1" x14ac:dyDescent="0.3">
      <c r="A214" s="17"/>
      <c r="B214"/>
      <c r="C214"/>
      <c r="D214"/>
      <c r="E214"/>
      <c r="F214"/>
      <c r="G214"/>
      <c r="H214"/>
      <c r="I214"/>
      <c r="J214"/>
      <c r="K214"/>
      <c r="L214"/>
      <c r="M214"/>
      <c r="S214" s="54"/>
    </row>
    <row r="215" spans="1:19" s="15" customFormat="1" x14ac:dyDescent="0.3">
      <c r="A215" s="17"/>
      <c r="B215"/>
      <c r="C215"/>
      <c r="D215"/>
      <c r="E215"/>
      <c r="F215"/>
      <c r="G215"/>
      <c r="H215"/>
      <c r="I215"/>
      <c r="J215"/>
      <c r="K215"/>
      <c r="L215"/>
      <c r="M215"/>
      <c r="S215" s="54"/>
    </row>
    <row r="216" spans="1:19" s="15" customFormat="1" x14ac:dyDescent="0.3">
      <c r="A216" s="17"/>
      <c r="B216"/>
      <c r="C216"/>
      <c r="D216"/>
      <c r="E216"/>
      <c r="F216"/>
      <c r="G216"/>
      <c r="H216"/>
      <c r="I216"/>
      <c r="J216"/>
      <c r="K216"/>
      <c r="L216"/>
      <c r="M216"/>
      <c r="S216" s="54"/>
    </row>
    <row r="217" spans="1:19" s="15" customFormat="1" x14ac:dyDescent="0.3">
      <c r="A217" s="17"/>
      <c r="B217"/>
      <c r="C217"/>
      <c r="D217"/>
      <c r="E217"/>
      <c r="F217"/>
      <c r="G217"/>
      <c r="H217"/>
      <c r="I217"/>
      <c r="J217"/>
      <c r="K217"/>
      <c r="L217"/>
      <c r="M217"/>
      <c r="S217" s="54"/>
    </row>
    <row r="218" spans="1:19" s="15" customFormat="1" x14ac:dyDescent="0.3">
      <c r="A218" s="17"/>
      <c r="B218"/>
      <c r="C218"/>
      <c r="D218"/>
      <c r="E218"/>
      <c r="F218"/>
      <c r="G218"/>
      <c r="H218"/>
      <c r="I218"/>
      <c r="J218"/>
      <c r="K218"/>
      <c r="L218"/>
      <c r="M218"/>
      <c r="S218" s="54"/>
    </row>
    <row r="219" spans="1:19" s="15" customFormat="1" x14ac:dyDescent="0.3">
      <c r="A219" s="17"/>
      <c r="B219"/>
      <c r="C219"/>
      <c r="D219"/>
      <c r="E219"/>
      <c r="F219"/>
      <c r="G219"/>
      <c r="H219"/>
      <c r="I219"/>
      <c r="J219"/>
      <c r="K219"/>
      <c r="L219"/>
      <c r="M219"/>
      <c r="S219" s="54"/>
    </row>
    <row r="220" spans="1:19" s="15" customFormat="1" x14ac:dyDescent="0.3">
      <c r="A220" s="17"/>
      <c r="B220"/>
      <c r="C220"/>
      <c r="D220"/>
      <c r="E220"/>
      <c r="F220"/>
      <c r="G220"/>
      <c r="H220"/>
      <c r="I220"/>
      <c r="J220"/>
      <c r="K220"/>
      <c r="L220"/>
      <c r="M220"/>
      <c r="S220" s="54"/>
    </row>
    <row r="221" spans="1:19" s="15" customFormat="1" x14ac:dyDescent="0.3">
      <c r="A221" s="17"/>
      <c r="B221"/>
      <c r="C221"/>
      <c r="D221"/>
      <c r="E221"/>
      <c r="F221"/>
      <c r="G221"/>
      <c r="H221"/>
      <c r="I221"/>
      <c r="J221"/>
      <c r="K221"/>
      <c r="L221"/>
      <c r="M221"/>
      <c r="S221" s="54"/>
    </row>
    <row r="222" spans="1:19" s="15" customFormat="1" x14ac:dyDescent="0.3">
      <c r="A222" s="17"/>
      <c r="B222"/>
      <c r="C222"/>
      <c r="D222"/>
      <c r="E222"/>
      <c r="F222"/>
      <c r="G222"/>
      <c r="H222"/>
      <c r="I222"/>
      <c r="J222"/>
      <c r="K222"/>
      <c r="L222"/>
      <c r="M222"/>
      <c r="S222" s="54"/>
    </row>
    <row r="223" spans="1:19" s="15" customFormat="1" x14ac:dyDescent="0.3">
      <c r="A223" s="17"/>
      <c r="B223"/>
      <c r="C223"/>
      <c r="D223"/>
      <c r="E223"/>
      <c r="F223"/>
      <c r="G223"/>
      <c r="H223"/>
      <c r="I223"/>
      <c r="J223"/>
      <c r="K223"/>
      <c r="L223"/>
      <c r="M223"/>
      <c r="S223" s="54"/>
    </row>
    <row r="224" spans="1:19" s="15" customFormat="1" x14ac:dyDescent="0.3">
      <c r="A224" s="17"/>
      <c r="B224"/>
      <c r="C224"/>
      <c r="D224"/>
      <c r="E224"/>
      <c r="F224"/>
      <c r="G224"/>
      <c r="H224"/>
      <c r="I224"/>
      <c r="J224"/>
      <c r="K224"/>
      <c r="L224"/>
      <c r="M224"/>
      <c r="S224" s="54"/>
    </row>
    <row r="225" spans="1:19" s="15" customFormat="1" x14ac:dyDescent="0.3">
      <c r="A225" s="17"/>
      <c r="B225"/>
      <c r="C225"/>
      <c r="D225"/>
      <c r="E225"/>
      <c r="F225"/>
      <c r="G225"/>
      <c r="H225"/>
      <c r="I225"/>
      <c r="J225"/>
      <c r="K225"/>
      <c r="L225"/>
      <c r="M225"/>
      <c r="S225" s="54"/>
    </row>
    <row r="226" spans="1:19" s="15" customFormat="1" x14ac:dyDescent="0.3">
      <c r="A226" s="17"/>
      <c r="B226"/>
      <c r="C226"/>
      <c r="D226"/>
      <c r="E226"/>
      <c r="F226"/>
      <c r="G226"/>
      <c r="H226"/>
      <c r="I226"/>
      <c r="J226"/>
      <c r="K226"/>
      <c r="L226"/>
      <c r="M226"/>
      <c r="S226" s="54"/>
    </row>
    <row r="227" spans="1:19" s="15" customFormat="1" x14ac:dyDescent="0.3">
      <c r="A227" s="17"/>
      <c r="B227"/>
      <c r="C227"/>
      <c r="D227"/>
      <c r="E227"/>
      <c r="F227"/>
      <c r="G227"/>
      <c r="H227"/>
      <c r="I227"/>
      <c r="J227"/>
      <c r="K227"/>
      <c r="L227"/>
      <c r="M227"/>
      <c r="S227" s="54"/>
    </row>
    <row r="228" spans="1:19" s="15" customFormat="1" x14ac:dyDescent="0.3">
      <c r="A228" s="17"/>
      <c r="B228"/>
      <c r="C228"/>
      <c r="D228"/>
      <c r="E228"/>
      <c r="F228"/>
      <c r="G228"/>
      <c r="H228"/>
      <c r="I228"/>
      <c r="J228"/>
      <c r="K228"/>
      <c r="L228"/>
      <c r="M228"/>
      <c r="S228" s="54"/>
    </row>
    <row r="229" spans="1:19" s="15" customFormat="1" x14ac:dyDescent="0.3">
      <c r="A229" s="17"/>
      <c r="B229"/>
      <c r="C229"/>
      <c r="D229"/>
      <c r="E229"/>
      <c r="F229"/>
      <c r="G229"/>
      <c r="H229"/>
      <c r="I229"/>
      <c r="J229"/>
      <c r="K229"/>
      <c r="L229"/>
      <c r="M229"/>
      <c r="S229" s="54"/>
    </row>
    <row r="230" spans="1:19" s="15" customFormat="1" x14ac:dyDescent="0.3">
      <c r="A230" s="17"/>
      <c r="B230"/>
      <c r="C230"/>
      <c r="D230"/>
      <c r="E230"/>
      <c r="F230"/>
      <c r="G230"/>
      <c r="H230"/>
      <c r="I230"/>
      <c r="J230"/>
      <c r="K230"/>
      <c r="L230"/>
      <c r="M230"/>
      <c r="S230" s="54"/>
    </row>
    <row r="231" spans="1:19" s="15" customFormat="1" x14ac:dyDescent="0.3">
      <c r="A231" s="17"/>
      <c r="B231"/>
      <c r="C231"/>
      <c r="D231"/>
      <c r="E231"/>
      <c r="F231"/>
      <c r="G231"/>
      <c r="H231"/>
      <c r="I231"/>
      <c r="J231"/>
      <c r="K231"/>
      <c r="L231"/>
      <c r="M231"/>
      <c r="S231" s="54"/>
    </row>
    <row r="232" spans="1:19" s="15" customFormat="1" x14ac:dyDescent="0.3">
      <c r="A232" s="17"/>
      <c r="B232"/>
      <c r="C232"/>
      <c r="D232"/>
      <c r="E232"/>
      <c r="F232"/>
      <c r="G232"/>
      <c r="H232"/>
      <c r="I232"/>
      <c r="J232"/>
      <c r="K232"/>
      <c r="L232"/>
      <c r="M232"/>
      <c r="S232" s="54"/>
    </row>
    <row r="233" spans="1:19" s="15" customFormat="1" x14ac:dyDescent="0.3">
      <c r="A233" s="17"/>
      <c r="B233"/>
      <c r="C233"/>
      <c r="D233"/>
      <c r="E233"/>
      <c r="F233"/>
      <c r="G233"/>
      <c r="H233"/>
      <c r="I233"/>
      <c r="J233"/>
      <c r="K233"/>
      <c r="L233"/>
      <c r="M233"/>
      <c r="S233" s="54"/>
    </row>
    <row r="234" spans="1:19" s="15" customFormat="1" x14ac:dyDescent="0.3">
      <c r="A234" s="17"/>
      <c r="B234"/>
      <c r="C234"/>
      <c r="D234"/>
      <c r="E234"/>
      <c r="F234"/>
      <c r="G234"/>
      <c r="H234"/>
      <c r="I234"/>
      <c r="J234"/>
      <c r="K234"/>
      <c r="L234"/>
      <c r="M234"/>
      <c r="S234" s="54"/>
    </row>
    <row r="235" spans="1:19" s="15" customFormat="1" x14ac:dyDescent="0.3">
      <c r="A235" s="17"/>
      <c r="B235"/>
      <c r="C235"/>
      <c r="D235"/>
      <c r="E235"/>
      <c r="F235"/>
      <c r="G235"/>
      <c r="H235"/>
      <c r="I235"/>
      <c r="J235"/>
      <c r="K235"/>
      <c r="L235"/>
      <c r="M235"/>
      <c r="S235" s="54"/>
    </row>
    <row r="236" spans="1:19" s="15" customFormat="1" x14ac:dyDescent="0.3">
      <c r="A236" s="17"/>
      <c r="B236"/>
      <c r="C236"/>
      <c r="D236"/>
      <c r="E236"/>
      <c r="F236"/>
      <c r="G236"/>
      <c r="H236"/>
      <c r="I236"/>
      <c r="J236"/>
      <c r="K236"/>
      <c r="L236"/>
      <c r="M236"/>
      <c r="S236" s="54"/>
    </row>
    <row r="237" spans="1:19" s="15" customFormat="1" x14ac:dyDescent="0.3">
      <c r="A237" s="17"/>
      <c r="B237"/>
      <c r="C237"/>
      <c r="D237"/>
      <c r="E237"/>
      <c r="F237"/>
      <c r="G237"/>
      <c r="H237"/>
      <c r="I237"/>
      <c r="J237"/>
      <c r="K237"/>
      <c r="L237"/>
      <c r="M237"/>
      <c r="S237" s="54"/>
    </row>
    <row r="238" spans="1:19" s="15" customFormat="1" x14ac:dyDescent="0.3">
      <c r="A238" s="17"/>
      <c r="B238"/>
      <c r="C238"/>
      <c r="D238"/>
      <c r="E238"/>
      <c r="F238"/>
      <c r="G238"/>
      <c r="H238"/>
      <c r="I238"/>
      <c r="J238"/>
      <c r="K238"/>
      <c r="L238"/>
      <c r="M238"/>
      <c r="S238" s="54"/>
    </row>
    <row r="239" spans="1:19" s="15" customFormat="1" x14ac:dyDescent="0.3">
      <c r="A239" s="17"/>
      <c r="B239"/>
      <c r="C239"/>
      <c r="D239"/>
      <c r="E239"/>
      <c r="F239"/>
      <c r="G239"/>
      <c r="H239"/>
      <c r="I239"/>
      <c r="J239"/>
      <c r="K239"/>
      <c r="L239"/>
      <c r="M239"/>
      <c r="S239" s="54"/>
    </row>
    <row r="240" spans="1:19" s="15" customFormat="1" x14ac:dyDescent="0.3">
      <c r="A240" s="17"/>
      <c r="B240"/>
      <c r="C240"/>
      <c r="D240"/>
      <c r="E240"/>
      <c r="F240"/>
      <c r="G240"/>
      <c r="H240"/>
      <c r="I240"/>
      <c r="J240"/>
      <c r="K240"/>
      <c r="L240"/>
      <c r="M240"/>
      <c r="S240" s="54"/>
    </row>
    <row r="241" spans="1:19" s="15" customFormat="1" x14ac:dyDescent="0.3">
      <c r="A241" s="17"/>
      <c r="B241"/>
      <c r="C241"/>
      <c r="D241"/>
      <c r="E241"/>
      <c r="F241"/>
      <c r="G241"/>
      <c r="H241"/>
      <c r="I241"/>
      <c r="J241"/>
      <c r="K241"/>
      <c r="L241"/>
      <c r="M241"/>
      <c r="S241" s="54"/>
    </row>
    <row r="242" spans="1:19" s="15" customFormat="1" x14ac:dyDescent="0.3">
      <c r="A242" s="17"/>
      <c r="B242"/>
      <c r="C242"/>
      <c r="D242"/>
      <c r="E242"/>
      <c r="F242"/>
      <c r="G242"/>
      <c r="H242"/>
      <c r="I242"/>
      <c r="J242"/>
      <c r="K242"/>
      <c r="L242"/>
      <c r="M242"/>
      <c r="S242" s="54"/>
    </row>
    <row r="243" spans="1:19" s="15" customFormat="1" x14ac:dyDescent="0.3">
      <c r="A243" s="17"/>
      <c r="B243"/>
      <c r="C243"/>
      <c r="D243"/>
      <c r="E243"/>
      <c r="F243"/>
      <c r="G243"/>
      <c r="H243"/>
      <c r="I243"/>
      <c r="J243"/>
      <c r="K243"/>
      <c r="L243"/>
      <c r="M243"/>
      <c r="S243" s="54"/>
    </row>
    <row r="244" spans="1:19" s="15" customFormat="1" x14ac:dyDescent="0.3">
      <c r="A244" s="17"/>
      <c r="B244"/>
      <c r="C244"/>
      <c r="D244"/>
      <c r="E244"/>
      <c r="F244"/>
      <c r="G244"/>
      <c r="H244"/>
      <c r="I244"/>
      <c r="J244"/>
      <c r="K244"/>
      <c r="L244"/>
      <c r="M244"/>
      <c r="S244" s="54"/>
    </row>
    <row r="245" spans="1:19" s="15" customFormat="1" x14ac:dyDescent="0.3">
      <c r="A245" s="17"/>
      <c r="B245"/>
      <c r="C245"/>
      <c r="D245"/>
      <c r="E245"/>
      <c r="F245"/>
      <c r="G245"/>
      <c r="H245"/>
      <c r="I245"/>
      <c r="J245"/>
      <c r="K245"/>
      <c r="L245"/>
      <c r="M245"/>
      <c r="S245" s="54"/>
    </row>
    <row r="246" spans="1:19" s="15" customFormat="1" x14ac:dyDescent="0.3">
      <c r="A246" s="17"/>
      <c r="B246"/>
      <c r="C246"/>
      <c r="D246"/>
      <c r="E246"/>
      <c r="F246"/>
      <c r="G246"/>
      <c r="H246"/>
      <c r="I246"/>
      <c r="J246"/>
      <c r="K246"/>
      <c r="L246"/>
      <c r="M246"/>
      <c r="S246" s="54"/>
    </row>
    <row r="247" spans="1:19" s="15" customFormat="1" x14ac:dyDescent="0.3">
      <c r="A247" s="17"/>
      <c r="B247"/>
      <c r="C247"/>
      <c r="D247"/>
      <c r="E247"/>
      <c r="F247"/>
      <c r="G247"/>
      <c r="H247"/>
      <c r="I247"/>
      <c r="J247"/>
      <c r="K247"/>
      <c r="L247"/>
      <c r="M247"/>
      <c r="S247" s="54"/>
    </row>
    <row r="248" spans="1:19" s="15" customFormat="1" x14ac:dyDescent="0.3">
      <c r="A248" s="17"/>
      <c r="B248"/>
      <c r="C248"/>
      <c r="D248"/>
      <c r="E248"/>
      <c r="F248"/>
      <c r="G248"/>
      <c r="H248"/>
      <c r="I248"/>
      <c r="J248"/>
      <c r="K248"/>
      <c r="L248"/>
      <c r="M248"/>
      <c r="S248" s="54"/>
    </row>
    <row r="249" spans="1:19" s="15" customFormat="1" x14ac:dyDescent="0.3">
      <c r="A249" s="17"/>
      <c r="B249"/>
      <c r="C249"/>
      <c r="D249"/>
      <c r="E249"/>
      <c r="F249"/>
      <c r="G249"/>
      <c r="H249"/>
      <c r="I249"/>
      <c r="J249"/>
      <c r="K249"/>
      <c r="L249"/>
      <c r="M249"/>
      <c r="S249" s="54"/>
    </row>
    <row r="250" spans="1:19" s="15" customFormat="1" x14ac:dyDescent="0.3">
      <c r="A250" s="17"/>
      <c r="B250"/>
      <c r="C250"/>
      <c r="D250"/>
      <c r="E250"/>
      <c r="F250"/>
      <c r="G250"/>
      <c r="H250"/>
      <c r="I250"/>
      <c r="J250"/>
      <c r="K250"/>
      <c r="L250"/>
      <c r="M250"/>
      <c r="S250" s="54"/>
    </row>
    <row r="251" spans="1:19" s="15" customFormat="1" x14ac:dyDescent="0.3">
      <c r="A251" s="17"/>
      <c r="B251"/>
      <c r="C251"/>
      <c r="D251"/>
      <c r="E251"/>
      <c r="F251"/>
      <c r="G251"/>
      <c r="H251"/>
      <c r="I251"/>
      <c r="J251"/>
      <c r="K251"/>
      <c r="L251"/>
      <c r="M251"/>
      <c r="S251" s="54"/>
    </row>
    <row r="252" spans="1:19" s="15" customFormat="1" x14ac:dyDescent="0.3">
      <c r="A252" s="17"/>
      <c r="B252"/>
      <c r="C252"/>
      <c r="D252"/>
      <c r="E252"/>
      <c r="F252"/>
      <c r="G252"/>
      <c r="H252"/>
      <c r="I252"/>
      <c r="J252"/>
      <c r="K252"/>
      <c r="L252"/>
      <c r="M252"/>
      <c r="S252" s="54"/>
    </row>
    <row r="253" spans="1:19" s="15" customFormat="1" x14ac:dyDescent="0.3">
      <c r="A253" s="17"/>
      <c r="B253"/>
      <c r="C253"/>
      <c r="D253"/>
      <c r="E253"/>
      <c r="F253"/>
      <c r="G253"/>
      <c r="H253"/>
      <c r="I253"/>
      <c r="J253"/>
      <c r="K253"/>
      <c r="L253"/>
      <c r="M253"/>
      <c r="S253" s="54"/>
    </row>
    <row r="254" spans="1:19" s="15" customFormat="1" x14ac:dyDescent="0.3">
      <c r="A254" s="17"/>
      <c r="B254"/>
      <c r="C254"/>
      <c r="D254"/>
      <c r="E254"/>
      <c r="F254"/>
      <c r="G254"/>
      <c r="H254"/>
      <c r="I254"/>
      <c r="J254"/>
      <c r="K254"/>
      <c r="L254"/>
      <c r="M254"/>
      <c r="S254" s="54"/>
    </row>
    <row r="255" spans="1:19" s="15" customFormat="1" x14ac:dyDescent="0.3">
      <c r="A255" s="17"/>
      <c r="B255"/>
      <c r="C255"/>
      <c r="D255"/>
      <c r="E255"/>
      <c r="F255"/>
      <c r="G255"/>
      <c r="H255"/>
      <c r="I255"/>
      <c r="J255"/>
      <c r="K255"/>
      <c r="L255"/>
      <c r="M255"/>
      <c r="S255" s="54"/>
    </row>
    <row r="256" spans="1:19" s="15" customFormat="1" x14ac:dyDescent="0.3">
      <c r="A256" s="17"/>
      <c r="B256"/>
      <c r="C256"/>
      <c r="D256"/>
      <c r="E256"/>
      <c r="F256"/>
      <c r="G256"/>
      <c r="H256"/>
      <c r="I256"/>
      <c r="J256"/>
      <c r="K256"/>
      <c r="L256"/>
      <c r="M256"/>
      <c r="S256" s="54"/>
    </row>
    <row r="257" spans="1:19" s="15" customFormat="1" x14ac:dyDescent="0.3">
      <c r="A257" s="17"/>
      <c r="B257"/>
      <c r="C257"/>
      <c r="D257"/>
      <c r="E257"/>
      <c r="F257"/>
      <c r="G257"/>
      <c r="H257"/>
      <c r="I257"/>
      <c r="J257"/>
      <c r="K257"/>
      <c r="L257"/>
      <c r="M257"/>
      <c r="S257" s="54"/>
    </row>
    <row r="258" spans="1:19" s="15" customFormat="1" x14ac:dyDescent="0.3">
      <c r="A258" s="17"/>
      <c r="B258"/>
      <c r="C258"/>
      <c r="D258"/>
      <c r="E258"/>
      <c r="F258"/>
      <c r="G258"/>
      <c r="H258"/>
      <c r="I258"/>
      <c r="J258"/>
      <c r="K258"/>
      <c r="L258"/>
      <c r="M258"/>
      <c r="S258" s="54"/>
    </row>
    <row r="259" spans="1:19" s="15" customFormat="1" x14ac:dyDescent="0.3">
      <c r="A259" s="17"/>
      <c r="B259"/>
      <c r="C259"/>
      <c r="D259"/>
      <c r="E259"/>
      <c r="F259"/>
      <c r="G259"/>
      <c r="H259"/>
      <c r="I259"/>
      <c r="J259"/>
      <c r="K259"/>
      <c r="L259"/>
      <c r="M259"/>
      <c r="S259" s="54"/>
    </row>
    <row r="260" spans="1:19" s="15" customFormat="1" x14ac:dyDescent="0.3">
      <c r="A260" s="17"/>
      <c r="B260"/>
      <c r="C260"/>
      <c r="D260"/>
      <c r="E260"/>
      <c r="F260"/>
      <c r="G260"/>
      <c r="H260"/>
      <c r="I260"/>
      <c r="J260"/>
      <c r="K260"/>
      <c r="L260"/>
      <c r="M260"/>
      <c r="S260" s="54"/>
    </row>
    <row r="261" spans="1:19" s="15" customFormat="1" x14ac:dyDescent="0.3">
      <c r="A261" s="17"/>
      <c r="B261"/>
      <c r="C261"/>
      <c r="D261"/>
      <c r="E261"/>
      <c r="F261"/>
      <c r="G261"/>
      <c r="H261"/>
      <c r="I261"/>
      <c r="J261"/>
      <c r="K261"/>
      <c r="L261"/>
      <c r="M261"/>
      <c r="S261" s="54"/>
    </row>
    <row r="262" spans="1:19" s="15" customFormat="1" x14ac:dyDescent="0.3">
      <c r="A262" s="17"/>
      <c r="B262"/>
      <c r="C262"/>
      <c r="D262"/>
      <c r="E262"/>
      <c r="F262"/>
      <c r="G262"/>
      <c r="H262"/>
      <c r="I262"/>
      <c r="J262"/>
      <c r="K262"/>
      <c r="L262"/>
      <c r="M262"/>
      <c r="S262" s="54"/>
    </row>
    <row r="263" spans="1:19" s="15" customFormat="1" x14ac:dyDescent="0.3">
      <c r="A263" s="17"/>
      <c r="B263"/>
      <c r="C263"/>
      <c r="D263"/>
      <c r="E263"/>
      <c r="F263"/>
      <c r="G263"/>
      <c r="H263"/>
      <c r="I263"/>
      <c r="J263"/>
      <c r="K263"/>
      <c r="L263"/>
      <c r="M263"/>
      <c r="S263" s="54"/>
    </row>
    <row r="264" spans="1:19" s="15" customFormat="1" x14ac:dyDescent="0.3">
      <c r="A264" s="17"/>
      <c r="B264"/>
      <c r="C264"/>
      <c r="D264"/>
      <c r="E264"/>
      <c r="F264"/>
      <c r="G264"/>
      <c r="H264"/>
      <c r="I264"/>
      <c r="J264"/>
      <c r="K264"/>
      <c r="L264"/>
      <c r="M264"/>
      <c r="S264" s="54"/>
    </row>
    <row r="265" spans="1:19" s="15" customFormat="1" x14ac:dyDescent="0.3">
      <c r="A265" s="17"/>
      <c r="B265"/>
      <c r="C265"/>
      <c r="D265"/>
      <c r="E265"/>
      <c r="F265"/>
      <c r="G265"/>
      <c r="H265"/>
      <c r="I265"/>
      <c r="J265"/>
      <c r="K265"/>
      <c r="L265"/>
      <c r="M265"/>
      <c r="S265" s="54"/>
    </row>
    <row r="266" spans="1:19" s="15" customFormat="1" x14ac:dyDescent="0.3">
      <c r="A266" s="17"/>
      <c r="B266"/>
      <c r="C266"/>
      <c r="D266"/>
      <c r="E266"/>
      <c r="F266"/>
      <c r="G266"/>
      <c r="H266"/>
      <c r="I266"/>
      <c r="J266"/>
      <c r="K266"/>
      <c r="L266"/>
      <c r="M266"/>
      <c r="S266" s="54"/>
    </row>
    <row r="267" spans="1:19" s="15" customFormat="1" x14ac:dyDescent="0.3">
      <c r="A267" s="17"/>
      <c r="B267"/>
      <c r="C267"/>
      <c r="D267"/>
      <c r="E267"/>
      <c r="F267"/>
      <c r="G267"/>
      <c r="H267"/>
      <c r="I267"/>
      <c r="J267"/>
      <c r="K267"/>
      <c r="L267"/>
      <c r="M267"/>
      <c r="S267" s="54"/>
    </row>
    <row r="268" spans="1:19" s="15" customFormat="1" x14ac:dyDescent="0.3">
      <c r="A268" s="17"/>
      <c r="B268"/>
      <c r="C268"/>
      <c r="D268"/>
      <c r="E268"/>
      <c r="F268"/>
      <c r="G268"/>
      <c r="H268"/>
      <c r="I268"/>
      <c r="J268"/>
      <c r="K268"/>
      <c r="L268"/>
      <c r="M268"/>
      <c r="S268" s="54"/>
    </row>
    <row r="269" spans="1:19" s="15" customFormat="1" x14ac:dyDescent="0.3">
      <c r="A269" s="17"/>
      <c r="B269"/>
      <c r="C269"/>
      <c r="D269"/>
      <c r="E269"/>
      <c r="F269"/>
      <c r="G269"/>
      <c r="H269"/>
      <c r="I269"/>
      <c r="J269"/>
      <c r="K269"/>
      <c r="L269"/>
      <c r="M269"/>
      <c r="S269" s="54"/>
    </row>
    <row r="270" spans="1:19" s="15" customFormat="1" x14ac:dyDescent="0.3">
      <c r="A270" s="17"/>
      <c r="B270"/>
      <c r="C270"/>
      <c r="D270"/>
      <c r="E270"/>
      <c r="F270"/>
      <c r="G270"/>
      <c r="H270"/>
      <c r="I270"/>
      <c r="J270"/>
      <c r="K270"/>
      <c r="L270"/>
      <c r="M270"/>
      <c r="S270" s="54"/>
    </row>
    <row r="271" spans="1:19" s="15" customFormat="1" x14ac:dyDescent="0.3">
      <c r="A271" s="17"/>
      <c r="B271"/>
      <c r="C271"/>
      <c r="D271"/>
      <c r="E271"/>
      <c r="F271"/>
      <c r="G271"/>
      <c r="H271"/>
      <c r="I271"/>
      <c r="J271"/>
      <c r="K271"/>
      <c r="L271"/>
      <c r="M271"/>
      <c r="S271" s="54"/>
    </row>
    <row r="272" spans="1:19" s="15" customFormat="1" x14ac:dyDescent="0.3">
      <c r="A272" s="17"/>
      <c r="B272"/>
      <c r="C272"/>
      <c r="D272"/>
      <c r="E272"/>
      <c r="F272"/>
      <c r="G272"/>
      <c r="H272"/>
      <c r="I272"/>
      <c r="J272"/>
      <c r="K272"/>
      <c r="L272"/>
      <c r="M272"/>
      <c r="S272" s="54"/>
    </row>
    <row r="273" spans="1:19" s="15" customFormat="1" x14ac:dyDescent="0.3">
      <c r="A273" s="17"/>
      <c r="B273"/>
      <c r="C273"/>
      <c r="D273"/>
      <c r="E273"/>
      <c r="F273"/>
      <c r="G273"/>
      <c r="H273"/>
      <c r="I273"/>
      <c r="J273"/>
      <c r="K273"/>
      <c r="L273"/>
      <c r="M273"/>
      <c r="S273" s="54"/>
    </row>
    <row r="274" spans="1:19" s="15" customFormat="1" x14ac:dyDescent="0.3">
      <c r="A274" s="17"/>
      <c r="B274"/>
      <c r="C274"/>
      <c r="D274"/>
      <c r="E274"/>
      <c r="F274"/>
      <c r="G274"/>
      <c r="H274"/>
      <c r="I274"/>
      <c r="J274"/>
      <c r="K274"/>
      <c r="L274"/>
      <c r="M274"/>
      <c r="S274" s="54"/>
    </row>
    <row r="275" spans="1:19" s="15" customFormat="1" x14ac:dyDescent="0.3">
      <c r="A275" s="17"/>
      <c r="B275"/>
      <c r="C275"/>
      <c r="D275"/>
      <c r="E275"/>
      <c r="F275"/>
      <c r="G275"/>
      <c r="H275"/>
      <c r="I275"/>
      <c r="J275"/>
      <c r="K275"/>
      <c r="L275"/>
      <c r="M275"/>
      <c r="S275" s="54"/>
    </row>
    <row r="276" spans="1:19" s="15" customFormat="1" x14ac:dyDescent="0.3">
      <c r="A276" s="17"/>
      <c r="B276"/>
      <c r="C276"/>
      <c r="D276"/>
      <c r="E276"/>
      <c r="F276"/>
      <c r="G276"/>
      <c r="H276"/>
      <c r="I276"/>
      <c r="J276"/>
      <c r="K276"/>
      <c r="L276"/>
      <c r="M276"/>
      <c r="S276" s="54"/>
    </row>
    <row r="277" spans="1:19" s="15" customFormat="1" x14ac:dyDescent="0.3">
      <c r="A277" s="17"/>
      <c r="B277"/>
      <c r="C277"/>
      <c r="D277"/>
      <c r="E277"/>
      <c r="F277"/>
      <c r="G277"/>
      <c r="H277"/>
      <c r="I277"/>
      <c r="J277"/>
      <c r="K277"/>
      <c r="L277"/>
      <c r="M277"/>
      <c r="S277" s="54"/>
    </row>
    <row r="278" spans="1:19" s="15" customFormat="1" x14ac:dyDescent="0.3">
      <c r="A278" s="17"/>
      <c r="B278"/>
      <c r="C278"/>
      <c r="D278"/>
      <c r="E278"/>
      <c r="F278"/>
      <c r="G278"/>
      <c r="H278"/>
      <c r="I278"/>
      <c r="J278"/>
      <c r="K278"/>
      <c r="L278"/>
      <c r="M278"/>
      <c r="S278" s="54"/>
    </row>
    <row r="279" spans="1:19" s="15" customFormat="1" x14ac:dyDescent="0.3">
      <c r="A279" s="17"/>
      <c r="B279"/>
      <c r="C279"/>
      <c r="D279"/>
      <c r="E279"/>
      <c r="F279"/>
      <c r="G279"/>
      <c r="H279"/>
      <c r="I279"/>
      <c r="J279"/>
      <c r="K279"/>
      <c r="L279"/>
      <c r="M279"/>
      <c r="S279" s="54"/>
    </row>
    <row r="280" spans="1:19" s="15" customFormat="1" x14ac:dyDescent="0.3">
      <c r="A280" s="17"/>
      <c r="B280"/>
      <c r="C280"/>
      <c r="D280"/>
      <c r="E280"/>
      <c r="F280"/>
      <c r="G280"/>
      <c r="H280"/>
      <c r="I280"/>
      <c r="J280"/>
      <c r="K280"/>
      <c r="L280"/>
      <c r="M280"/>
      <c r="S280" s="54"/>
    </row>
    <row r="281" spans="1:19" s="15" customFormat="1" x14ac:dyDescent="0.3">
      <c r="A281" s="17"/>
      <c r="B281"/>
      <c r="C281"/>
      <c r="D281"/>
      <c r="E281"/>
      <c r="F281"/>
      <c r="G281"/>
      <c r="H281"/>
      <c r="I281"/>
      <c r="J281"/>
      <c r="K281"/>
      <c r="L281"/>
      <c r="M281"/>
      <c r="S281" s="54"/>
    </row>
    <row r="282" spans="1:19" s="15" customFormat="1" x14ac:dyDescent="0.3">
      <c r="A282" s="17"/>
      <c r="B282"/>
      <c r="C282"/>
      <c r="D282"/>
      <c r="E282"/>
      <c r="F282"/>
      <c r="G282"/>
      <c r="H282"/>
      <c r="I282"/>
      <c r="J282"/>
      <c r="K282"/>
      <c r="L282"/>
      <c r="M282"/>
      <c r="S282" s="54"/>
    </row>
    <row r="283" spans="1:19" s="15" customFormat="1" x14ac:dyDescent="0.3">
      <c r="A283" s="17"/>
      <c r="B283"/>
      <c r="C283"/>
      <c r="D283"/>
      <c r="E283"/>
      <c r="F283"/>
      <c r="G283"/>
      <c r="H283"/>
      <c r="I283"/>
      <c r="J283"/>
      <c r="K283"/>
      <c r="L283"/>
      <c r="M283"/>
      <c r="S283" s="54"/>
    </row>
    <row r="284" spans="1:19" s="15" customFormat="1" x14ac:dyDescent="0.3">
      <c r="A284" s="17"/>
      <c r="B284"/>
      <c r="C284"/>
      <c r="D284"/>
      <c r="E284"/>
      <c r="F284"/>
      <c r="G284"/>
      <c r="H284"/>
      <c r="I284"/>
      <c r="J284"/>
      <c r="K284"/>
      <c r="L284"/>
      <c r="M284"/>
      <c r="S284" s="54"/>
    </row>
    <row r="285" spans="1:19" s="15" customFormat="1" x14ac:dyDescent="0.3">
      <c r="A285" s="17"/>
      <c r="B285"/>
      <c r="C285"/>
      <c r="D285"/>
      <c r="E285"/>
      <c r="F285"/>
      <c r="G285"/>
      <c r="H285"/>
      <c r="I285"/>
      <c r="J285"/>
      <c r="K285"/>
      <c r="L285"/>
      <c r="M285"/>
      <c r="S285" s="54"/>
    </row>
    <row r="286" spans="1:19" s="15" customFormat="1" x14ac:dyDescent="0.3">
      <c r="A286" s="17"/>
      <c r="B286"/>
      <c r="C286"/>
      <c r="D286"/>
      <c r="E286"/>
      <c r="F286"/>
      <c r="G286"/>
      <c r="H286"/>
      <c r="I286"/>
      <c r="J286"/>
      <c r="K286"/>
      <c r="L286"/>
      <c r="M286"/>
      <c r="S286" s="54"/>
    </row>
    <row r="287" spans="1:19" s="15" customFormat="1" x14ac:dyDescent="0.3">
      <c r="A287" s="17"/>
      <c r="B287"/>
      <c r="C287"/>
      <c r="D287"/>
      <c r="E287"/>
      <c r="F287"/>
      <c r="G287"/>
      <c r="H287"/>
      <c r="I287"/>
      <c r="J287"/>
      <c r="K287"/>
      <c r="L287"/>
      <c r="M287"/>
      <c r="S287" s="54"/>
    </row>
    <row r="288" spans="1:19" s="15" customFormat="1" x14ac:dyDescent="0.3">
      <c r="A288" s="17"/>
      <c r="B288"/>
      <c r="C288"/>
      <c r="D288"/>
      <c r="E288"/>
      <c r="F288"/>
      <c r="G288"/>
      <c r="H288"/>
      <c r="I288"/>
      <c r="J288"/>
      <c r="K288"/>
      <c r="L288"/>
      <c r="M288"/>
      <c r="S288" s="54"/>
    </row>
    <row r="289" spans="1:19" s="15" customFormat="1" x14ac:dyDescent="0.3">
      <c r="A289" s="17"/>
      <c r="B289"/>
      <c r="C289"/>
      <c r="D289"/>
      <c r="E289"/>
      <c r="F289"/>
      <c r="G289"/>
      <c r="H289"/>
      <c r="I289"/>
      <c r="J289"/>
      <c r="K289"/>
      <c r="L289"/>
      <c r="M289"/>
      <c r="S289" s="54"/>
    </row>
    <row r="290" spans="1:19" s="15" customFormat="1" x14ac:dyDescent="0.3">
      <c r="A290" s="17"/>
      <c r="B290"/>
      <c r="C290"/>
      <c r="D290"/>
      <c r="E290"/>
      <c r="F290"/>
      <c r="G290"/>
      <c r="H290"/>
      <c r="I290"/>
      <c r="J290"/>
      <c r="K290"/>
      <c r="L290"/>
      <c r="M290"/>
      <c r="S290" s="54"/>
    </row>
    <row r="291" spans="1:19" s="15" customFormat="1" x14ac:dyDescent="0.3">
      <c r="A291" s="17"/>
      <c r="B291"/>
      <c r="C291"/>
      <c r="D291"/>
      <c r="E291"/>
      <c r="F291"/>
      <c r="G291"/>
      <c r="H291"/>
      <c r="I291"/>
      <c r="J291"/>
      <c r="K291"/>
      <c r="L291"/>
      <c r="M291"/>
      <c r="S291" s="54"/>
    </row>
    <row r="292" spans="1:19" s="15" customFormat="1" x14ac:dyDescent="0.3">
      <c r="A292" s="17"/>
      <c r="B292"/>
      <c r="C292"/>
      <c r="D292"/>
      <c r="E292"/>
      <c r="F292"/>
      <c r="G292"/>
      <c r="H292"/>
      <c r="I292"/>
      <c r="J292"/>
      <c r="K292"/>
      <c r="L292"/>
      <c r="M292"/>
      <c r="S292" s="54"/>
    </row>
    <row r="293" spans="1:19" s="15" customFormat="1" x14ac:dyDescent="0.3">
      <c r="A293" s="17"/>
      <c r="B293"/>
      <c r="C293"/>
      <c r="D293"/>
      <c r="E293"/>
      <c r="F293"/>
      <c r="G293"/>
      <c r="H293"/>
      <c r="I293"/>
      <c r="J293"/>
      <c r="K293"/>
      <c r="L293"/>
      <c r="M293"/>
      <c r="S293" s="54"/>
    </row>
    <row r="294" spans="1:19" s="15" customFormat="1" x14ac:dyDescent="0.3">
      <c r="A294" s="17"/>
      <c r="B294"/>
      <c r="C294"/>
      <c r="D294"/>
      <c r="E294"/>
      <c r="F294"/>
      <c r="G294"/>
      <c r="H294"/>
      <c r="I294"/>
      <c r="J294"/>
      <c r="K294"/>
      <c r="L294"/>
      <c r="M294"/>
      <c r="S294" s="54"/>
    </row>
    <row r="295" spans="1:19" s="15" customFormat="1" x14ac:dyDescent="0.3">
      <c r="A295" s="17"/>
      <c r="B295"/>
      <c r="C295"/>
      <c r="D295"/>
      <c r="E295"/>
      <c r="F295"/>
      <c r="G295"/>
      <c r="H295"/>
      <c r="I295"/>
      <c r="J295"/>
      <c r="K295"/>
      <c r="L295"/>
      <c r="M295"/>
      <c r="S295" s="54"/>
    </row>
    <row r="296" spans="1:19" s="15" customFormat="1" x14ac:dyDescent="0.3">
      <c r="A296" s="17"/>
      <c r="B296"/>
      <c r="C296"/>
      <c r="D296"/>
      <c r="E296"/>
      <c r="F296"/>
      <c r="G296"/>
      <c r="H296"/>
      <c r="I296"/>
      <c r="J296"/>
      <c r="K296"/>
      <c r="L296"/>
      <c r="M296"/>
      <c r="S296" s="54"/>
    </row>
    <row r="297" spans="1:19" s="15" customFormat="1" x14ac:dyDescent="0.3">
      <c r="A297" s="17"/>
      <c r="B297"/>
      <c r="C297"/>
      <c r="D297"/>
      <c r="E297"/>
      <c r="F297"/>
      <c r="G297"/>
      <c r="H297"/>
      <c r="I297"/>
      <c r="J297"/>
      <c r="K297"/>
      <c r="L297"/>
      <c r="M297"/>
      <c r="S297" s="54"/>
    </row>
    <row r="298" spans="1:19" s="15" customFormat="1" x14ac:dyDescent="0.3">
      <c r="A298" s="17"/>
      <c r="B298"/>
      <c r="C298"/>
      <c r="D298"/>
      <c r="E298"/>
      <c r="F298"/>
      <c r="G298"/>
      <c r="H298"/>
      <c r="I298"/>
      <c r="J298"/>
      <c r="K298"/>
      <c r="L298"/>
      <c r="M298"/>
      <c r="S298" s="54"/>
    </row>
    <row r="299" spans="1:19" s="15" customFormat="1" x14ac:dyDescent="0.3">
      <c r="A299" s="17"/>
      <c r="B299"/>
      <c r="C299"/>
      <c r="D299"/>
      <c r="E299"/>
      <c r="F299"/>
      <c r="G299"/>
      <c r="H299"/>
      <c r="I299"/>
      <c r="J299"/>
      <c r="K299"/>
      <c r="L299"/>
      <c r="M299"/>
      <c r="S299" s="54"/>
    </row>
    <row r="300" spans="1:19" s="15" customFormat="1" x14ac:dyDescent="0.3">
      <c r="A300" s="17"/>
      <c r="B300"/>
      <c r="C300"/>
      <c r="D300"/>
      <c r="E300"/>
      <c r="F300"/>
      <c r="G300"/>
      <c r="H300"/>
      <c r="I300"/>
      <c r="J300"/>
      <c r="K300"/>
      <c r="L300"/>
      <c r="M300"/>
      <c r="S300" s="54"/>
    </row>
    <row r="301" spans="1:19" s="15" customFormat="1" x14ac:dyDescent="0.3">
      <c r="A301" s="17"/>
      <c r="B301"/>
      <c r="C301"/>
      <c r="D301"/>
      <c r="E301"/>
      <c r="F301"/>
      <c r="G301"/>
      <c r="H301"/>
      <c r="I301"/>
      <c r="J301"/>
      <c r="K301"/>
      <c r="L301"/>
      <c r="M301"/>
      <c r="S301" s="54"/>
    </row>
    <row r="302" spans="1:19" s="15" customFormat="1" x14ac:dyDescent="0.3">
      <c r="A302" s="17"/>
      <c r="B302"/>
      <c r="C302"/>
      <c r="D302"/>
      <c r="E302"/>
      <c r="F302"/>
      <c r="G302"/>
      <c r="H302"/>
      <c r="I302"/>
      <c r="J302"/>
      <c r="K302"/>
      <c r="L302"/>
      <c r="M302"/>
      <c r="S302" s="54"/>
    </row>
    <row r="303" spans="1:19" s="15" customFormat="1" x14ac:dyDescent="0.3">
      <c r="A303" s="17"/>
      <c r="B303"/>
      <c r="C303"/>
      <c r="D303"/>
      <c r="E303"/>
      <c r="F303"/>
      <c r="G303"/>
      <c r="H303"/>
      <c r="I303"/>
      <c r="J303"/>
      <c r="K303"/>
      <c r="L303"/>
      <c r="M303"/>
      <c r="S303" s="54"/>
    </row>
    <row r="304" spans="1:19" s="15" customFormat="1" x14ac:dyDescent="0.3">
      <c r="A304" s="17"/>
      <c r="B304"/>
      <c r="C304"/>
      <c r="D304"/>
      <c r="E304"/>
      <c r="F304"/>
      <c r="G304"/>
      <c r="H304"/>
      <c r="I304"/>
      <c r="J304"/>
      <c r="K304"/>
      <c r="L304"/>
      <c r="M304"/>
      <c r="S304" s="54"/>
    </row>
    <row r="305" spans="1:19" s="15" customFormat="1" x14ac:dyDescent="0.3">
      <c r="A305" s="17"/>
      <c r="B305"/>
      <c r="C305"/>
      <c r="D305"/>
      <c r="E305"/>
      <c r="F305"/>
      <c r="G305"/>
      <c r="H305"/>
      <c r="I305"/>
      <c r="J305"/>
      <c r="K305"/>
      <c r="L305"/>
      <c r="M305"/>
      <c r="S305" s="54"/>
    </row>
    <row r="306" spans="1:19" s="15" customFormat="1" x14ac:dyDescent="0.3">
      <c r="A306" s="17"/>
      <c r="B306"/>
      <c r="C306"/>
      <c r="D306"/>
      <c r="E306"/>
      <c r="F306"/>
      <c r="G306"/>
      <c r="H306"/>
      <c r="I306"/>
      <c r="J306"/>
      <c r="K306"/>
      <c r="L306"/>
      <c r="M306"/>
      <c r="S306" s="54"/>
    </row>
    <row r="307" spans="1:19" s="15" customFormat="1" x14ac:dyDescent="0.3">
      <c r="A307" s="17"/>
      <c r="B307"/>
      <c r="C307"/>
      <c r="D307"/>
      <c r="E307"/>
      <c r="F307"/>
      <c r="G307"/>
      <c r="H307"/>
      <c r="I307"/>
      <c r="J307"/>
      <c r="K307"/>
      <c r="L307"/>
      <c r="M307"/>
      <c r="S307" s="54"/>
    </row>
    <row r="308" spans="1:19" s="15" customFormat="1" x14ac:dyDescent="0.3">
      <c r="A308" s="17"/>
      <c r="B308"/>
      <c r="C308"/>
      <c r="D308"/>
      <c r="E308"/>
      <c r="F308"/>
      <c r="G308"/>
      <c r="H308"/>
      <c r="I308"/>
      <c r="J308"/>
      <c r="K308"/>
      <c r="L308"/>
      <c r="M308"/>
      <c r="S308" s="54"/>
    </row>
    <row r="309" spans="1:19" s="15" customFormat="1" x14ac:dyDescent="0.3">
      <c r="A309" s="17"/>
      <c r="B309"/>
      <c r="C309"/>
      <c r="D309"/>
      <c r="E309"/>
      <c r="F309"/>
      <c r="G309"/>
      <c r="H309"/>
      <c r="I309"/>
      <c r="J309"/>
      <c r="K309"/>
      <c r="L309"/>
      <c r="M309"/>
      <c r="S309" s="54"/>
    </row>
    <row r="310" spans="1:19" s="15" customFormat="1" x14ac:dyDescent="0.3">
      <c r="A310" s="17"/>
      <c r="B310"/>
      <c r="C310"/>
      <c r="D310"/>
      <c r="E310"/>
      <c r="F310"/>
      <c r="G310"/>
      <c r="H310"/>
      <c r="I310"/>
      <c r="J310"/>
      <c r="K310"/>
      <c r="L310"/>
      <c r="M310"/>
      <c r="S310" s="54"/>
    </row>
    <row r="311" spans="1:19" s="15" customFormat="1" x14ac:dyDescent="0.3">
      <c r="A311" s="17"/>
      <c r="B311"/>
      <c r="C311"/>
      <c r="D311"/>
      <c r="E311"/>
      <c r="F311"/>
      <c r="G311"/>
      <c r="H311"/>
      <c r="I311"/>
      <c r="J311"/>
      <c r="K311"/>
      <c r="L311"/>
      <c r="M311"/>
      <c r="S311" s="54"/>
    </row>
    <row r="312" spans="1:19" s="15" customFormat="1" x14ac:dyDescent="0.3">
      <c r="A312" s="17"/>
      <c r="B312"/>
      <c r="C312"/>
      <c r="D312"/>
      <c r="E312"/>
      <c r="F312"/>
      <c r="G312"/>
      <c r="H312"/>
      <c r="I312"/>
      <c r="J312"/>
      <c r="K312"/>
      <c r="L312"/>
      <c r="M312"/>
      <c r="S312" s="54"/>
    </row>
    <row r="313" spans="1:19" s="15" customFormat="1" x14ac:dyDescent="0.3">
      <c r="A313" s="17"/>
      <c r="B313"/>
      <c r="C313"/>
      <c r="D313"/>
      <c r="E313"/>
      <c r="F313"/>
      <c r="G313"/>
      <c r="H313"/>
      <c r="I313"/>
      <c r="J313"/>
      <c r="K313"/>
      <c r="L313"/>
      <c r="M313"/>
      <c r="S313" s="54"/>
    </row>
    <row r="314" spans="1:19" s="15" customFormat="1" x14ac:dyDescent="0.3">
      <c r="A314" s="17"/>
      <c r="B314"/>
      <c r="C314"/>
      <c r="D314"/>
      <c r="E314"/>
      <c r="F314"/>
      <c r="G314"/>
      <c r="H314"/>
      <c r="I314"/>
      <c r="J314"/>
      <c r="K314"/>
      <c r="L314"/>
      <c r="M314"/>
      <c r="S314" s="54"/>
    </row>
    <row r="315" spans="1:19" s="15" customFormat="1" x14ac:dyDescent="0.3">
      <c r="A315" s="17"/>
      <c r="B315"/>
      <c r="C315"/>
      <c r="D315"/>
      <c r="E315"/>
      <c r="F315"/>
      <c r="G315"/>
      <c r="H315"/>
      <c r="I315"/>
      <c r="J315"/>
      <c r="K315"/>
      <c r="L315"/>
      <c r="M315"/>
      <c r="S315" s="54"/>
    </row>
    <row r="316" spans="1:19" s="15" customFormat="1" x14ac:dyDescent="0.3">
      <c r="A316" s="17"/>
      <c r="B316"/>
      <c r="C316"/>
      <c r="D316"/>
      <c r="E316"/>
      <c r="F316"/>
      <c r="G316"/>
      <c r="H316"/>
      <c r="I316"/>
      <c r="J316"/>
      <c r="K316"/>
      <c r="L316"/>
      <c r="M316"/>
      <c r="S316" s="54"/>
    </row>
    <row r="317" spans="1:19" s="15" customFormat="1" x14ac:dyDescent="0.3">
      <c r="A317" s="17"/>
      <c r="B317"/>
      <c r="C317"/>
      <c r="D317"/>
      <c r="E317"/>
      <c r="F317"/>
      <c r="G317"/>
      <c r="H317"/>
      <c r="I317"/>
      <c r="J317"/>
      <c r="K317"/>
      <c r="L317"/>
      <c r="M317"/>
      <c r="S317" s="54"/>
    </row>
    <row r="318" spans="1:19" s="15" customFormat="1" x14ac:dyDescent="0.3">
      <c r="A318" s="17"/>
      <c r="B318"/>
      <c r="C318"/>
      <c r="D318"/>
      <c r="E318"/>
      <c r="F318"/>
      <c r="G318"/>
      <c r="H318"/>
      <c r="I318"/>
      <c r="J318"/>
      <c r="K318"/>
      <c r="L318"/>
      <c r="M318"/>
      <c r="S318" s="54"/>
    </row>
    <row r="319" spans="1:19" s="15" customFormat="1" x14ac:dyDescent="0.3">
      <c r="A319" s="17"/>
      <c r="B319"/>
      <c r="C319"/>
      <c r="D319"/>
      <c r="E319"/>
      <c r="F319"/>
      <c r="G319"/>
      <c r="H319"/>
      <c r="I319"/>
      <c r="J319"/>
      <c r="K319"/>
      <c r="L319"/>
      <c r="M319"/>
      <c r="S319" s="54"/>
    </row>
    <row r="320" spans="1:19" s="15" customFormat="1" x14ac:dyDescent="0.3">
      <c r="A320" s="17"/>
      <c r="B320"/>
      <c r="C320"/>
      <c r="D320"/>
      <c r="E320"/>
      <c r="F320"/>
      <c r="G320"/>
      <c r="H320"/>
      <c r="I320"/>
      <c r="J320"/>
      <c r="K320"/>
      <c r="L320"/>
      <c r="M320"/>
      <c r="S320" s="54"/>
    </row>
    <row r="321" spans="1:19" s="15" customFormat="1" x14ac:dyDescent="0.3">
      <c r="A321" s="17"/>
      <c r="B321"/>
      <c r="C321"/>
      <c r="D321"/>
      <c r="E321"/>
      <c r="F321"/>
      <c r="G321"/>
      <c r="H321"/>
      <c r="I321"/>
      <c r="J321"/>
      <c r="K321"/>
      <c r="L321"/>
      <c r="M321"/>
      <c r="S321" s="54"/>
    </row>
    <row r="322" spans="1:19" s="15" customFormat="1" x14ac:dyDescent="0.3">
      <c r="A322" s="17"/>
      <c r="B322"/>
      <c r="C322"/>
      <c r="D322"/>
      <c r="E322"/>
      <c r="F322"/>
      <c r="G322"/>
      <c r="H322"/>
      <c r="I322"/>
      <c r="J322"/>
      <c r="K322"/>
      <c r="L322"/>
      <c r="M322"/>
      <c r="S322" s="54"/>
    </row>
    <row r="323" spans="1:19" s="15" customFormat="1" x14ac:dyDescent="0.3">
      <c r="A323" s="17"/>
      <c r="B323"/>
      <c r="C323"/>
      <c r="D323"/>
      <c r="E323"/>
      <c r="F323"/>
      <c r="G323"/>
      <c r="H323"/>
      <c r="I323"/>
      <c r="J323"/>
      <c r="K323"/>
      <c r="L323"/>
      <c r="M323"/>
      <c r="S323" s="54"/>
    </row>
    <row r="324" spans="1:19" s="15" customFormat="1" x14ac:dyDescent="0.3">
      <c r="A324" s="17"/>
      <c r="B324"/>
      <c r="C324"/>
      <c r="D324"/>
      <c r="E324"/>
      <c r="F324"/>
      <c r="G324"/>
      <c r="H324"/>
      <c r="I324"/>
      <c r="J324"/>
      <c r="K324"/>
      <c r="L324"/>
      <c r="M324"/>
      <c r="S324" s="54"/>
    </row>
    <row r="325" spans="1:19" s="15" customFormat="1" x14ac:dyDescent="0.3">
      <c r="A325" s="17"/>
      <c r="B325"/>
      <c r="C325"/>
      <c r="D325"/>
      <c r="E325"/>
      <c r="F325"/>
      <c r="G325"/>
      <c r="H325"/>
      <c r="I325"/>
      <c r="J325"/>
      <c r="K325"/>
      <c r="L325"/>
      <c r="M325"/>
      <c r="S325" s="54"/>
    </row>
    <row r="326" spans="1:19" s="15" customFormat="1" x14ac:dyDescent="0.3">
      <c r="A326" s="17"/>
      <c r="B326"/>
      <c r="C326"/>
      <c r="D326"/>
      <c r="E326"/>
      <c r="F326"/>
      <c r="G326"/>
      <c r="H326"/>
      <c r="I326"/>
      <c r="J326"/>
      <c r="K326"/>
      <c r="L326"/>
      <c r="M326"/>
      <c r="S326" s="54"/>
    </row>
    <row r="327" spans="1:19" s="15" customFormat="1" x14ac:dyDescent="0.3">
      <c r="A327" s="17"/>
      <c r="B327"/>
      <c r="C327"/>
      <c r="D327"/>
      <c r="E327"/>
      <c r="F327"/>
      <c r="G327"/>
      <c r="H327"/>
      <c r="I327"/>
      <c r="J327"/>
      <c r="K327"/>
      <c r="L327"/>
      <c r="M327"/>
      <c r="S327" s="54"/>
    </row>
    <row r="328" spans="1:19" s="15" customFormat="1" x14ac:dyDescent="0.3">
      <c r="A328" s="17"/>
      <c r="B328"/>
      <c r="C328"/>
      <c r="D328"/>
      <c r="E328"/>
      <c r="F328"/>
      <c r="G328"/>
      <c r="H328"/>
      <c r="I328"/>
      <c r="J328"/>
      <c r="K328"/>
      <c r="L328"/>
      <c r="M328"/>
      <c r="S328" s="54"/>
    </row>
    <row r="329" spans="1:19" s="15" customFormat="1" x14ac:dyDescent="0.3">
      <c r="A329" s="17"/>
      <c r="B329"/>
      <c r="C329"/>
      <c r="D329"/>
      <c r="E329"/>
      <c r="F329"/>
      <c r="G329"/>
      <c r="H329"/>
      <c r="I329"/>
      <c r="J329"/>
      <c r="K329"/>
      <c r="L329"/>
      <c r="M329"/>
      <c r="S329" s="54"/>
    </row>
    <row r="330" spans="1:19" s="15" customFormat="1" x14ac:dyDescent="0.3">
      <c r="A330" s="17"/>
      <c r="B330"/>
      <c r="C330"/>
      <c r="D330"/>
      <c r="E330"/>
      <c r="F330"/>
      <c r="G330"/>
      <c r="H330"/>
      <c r="I330"/>
      <c r="J330"/>
      <c r="K330"/>
      <c r="L330"/>
      <c r="M330"/>
      <c r="S330" s="54"/>
    </row>
    <row r="331" spans="1:19" s="15" customFormat="1" x14ac:dyDescent="0.3">
      <c r="A331" s="17"/>
      <c r="B331"/>
      <c r="C331"/>
      <c r="D331"/>
      <c r="E331"/>
      <c r="F331"/>
      <c r="G331"/>
      <c r="H331"/>
      <c r="I331"/>
      <c r="J331"/>
      <c r="K331"/>
      <c r="L331"/>
      <c r="M331"/>
      <c r="S331" s="54"/>
    </row>
    <row r="332" spans="1:19" s="15" customFormat="1" x14ac:dyDescent="0.3">
      <c r="A332" s="17"/>
      <c r="B332"/>
      <c r="C332"/>
      <c r="D332"/>
      <c r="E332"/>
      <c r="F332"/>
      <c r="G332"/>
      <c r="H332"/>
      <c r="I332"/>
      <c r="J332"/>
      <c r="K332"/>
      <c r="L332"/>
      <c r="M332"/>
      <c r="S332" s="54"/>
    </row>
    <row r="333" spans="1:19" s="15" customFormat="1" x14ac:dyDescent="0.3">
      <c r="A333" s="17"/>
      <c r="B333"/>
      <c r="C333"/>
      <c r="D333"/>
      <c r="E333"/>
      <c r="F333"/>
      <c r="G333"/>
      <c r="H333"/>
      <c r="I333"/>
      <c r="J333"/>
      <c r="K333"/>
      <c r="L333"/>
      <c r="M333"/>
      <c r="S333" s="54"/>
    </row>
    <row r="334" spans="1:19" s="15" customFormat="1" x14ac:dyDescent="0.3">
      <c r="A334" s="17"/>
      <c r="B334"/>
      <c r="C334"/>
      <c r="D334"/>
      <c r="E334"/>
      <c r="F334"/>
      <c r="G334"/>
      <c r="H334"/>
      <c r="I334"/>
      <c r="J334"/>
      <c r="K334"/>
      <c r="L334"/>
      <c r="M334"/>
      <c r="S334" s="54"/>
    </row>
    <row r="335" spans="1:19" s="15" customFormat="1" x14ac:dyDescent="0.3">
      <c r="A335" s="17"/>
      <c r="B335"/>
      <c r="C335"/>
      <c r="D335"/>
      <c r="E335"/>
      <c r="F335"/>
      <c r="G335"/>
      <c r="H335"/>
      <c r="I335"/>
      <c r="J335"/>
      <c r="K335"/>
      <c r="L335"/>
      <c r="M335"/>
      <c r="S335" s="54"/>
    </row>
    <row r="336" spans="1:19" s="15" customFormat="1" x14ac:dyDescent="0.3">
      <c r="A336" s="17"/>
      <c r="B336"/>
      <c r="C336"/>
      <c r="D336"/>
      <c r="E336"/>
      <c r="F336"/>
      <c r="G336"/>
      <c r="H336"/>
      <c r="I336"/>
      <c r="J336"/>
      <c r="K336"/>
      <c r="L336"/>
      <c r="M336"/>
      <c r="S336" s="54"/>
    </row>
    <row r="337" spans="1:19" s="15" customFormat="1" x14ac:dyDescent="0.3">
      <c r="A337" s="17"/>
      <c r="B337"/>
      <c r="C337"/>
      <c r="D337"/>
      <c r="E337"/>
      <c r="F337"/>
      <c r="G337"/>
      <c r="H337"/>
      <c r="I337"/>
      <c r="J337"/>
      <c r="K337"/>
      <c r="L337"/>
      <c r="M337"/>
      <c r="S337" s="54"/>
    </row>
    <row r="338" spans="1:19" s="15" customFormat="1" x14ac:dyDescent="0.3">
      <c r="A338" s="17"/>
      <c r="B338"/>
      <c r="C338"/>
      <c r="D338"/>
      <c r="E338"/>
      <c r="F338"/>
      <c r="G338"/>
      <c r="H338"/>
      <c r="I338"/>
      <c r="J338"/>
      <c r="K338"/>
      <c r="L338"/>
      <c r="M338"/>
      <c r="S338" s="54"/>
    </row>
    <row r="339" spans="1:19" s="15" customFormat="1" x14ac:dyDescent="0.3">
      <c r="A339" s="17"/>
      <c r="B339"/>
      <c r="C339"/>
      <c r="D339"/>
      <c r="E339"/>
      <c r="F339"/>
      <c r="G339"/>
      <c r="H339"/>
      <c r="I339"/>
      <c r="J339"/>
      <c r="K339"/>
      <c r="L339"/>
      <c r="M339"/>
      <c r="S339" s="54"/>
    </row>
    <row r="340" spans="1:19" s="15" customFormat="1" x14ac:dyDescent="0.3">
      <c r="A340" s="17"/>
      <c r="B340"/>
      <c r="C340"/>
      <c r="D340"/>
      <c r="E340"/>
      <c r="F340"/>
      <c r="G340"/>
      <c r="H340"/>
      <c r="I340"/>
      <c r="J340"/>
      <c r="K340"/>
      <c r="L340"/>
      <c r="M340"/>
      <c r="S340" s="54"/>
    </row>
    <row r="341" spans="1:19" s="15" customFormat="1" x14ac:dyDescent="0.3">
      <c r="A341" s="17"/>
      <c r="B341"/>
      <c r="C341"/>
      <c r="D341"/>
      <c r="E341"/>
      <c r="F341"/>
      <c r="G341"/>
      <c r="H341"/>
      <c r="I341"/>
      <c r="J341"/>
      <c r="K341"/>
      <c r="L341"/>
      <c r="M341"/>
      <c r="S341" s="54"/>
    </row>
    <row r="342" spans="1:19" s="15" customFormat="1" x14ac:dyDescent="0.3">
      <c r="A342" s="17"/>
      <c r="B342"/>
      <c r="C342"/>
      <c r="D342"/>
      <c r="E342"/>
      <c r="F342"/>
      <c r="G342"/>
      <c r="H342"/>
      <c r="I342"/>
      <c r="J342"/>
      <c r="K342"/>
      <c r="L342"/>
      <c r="M342"/>
      <c r="S342" s="54"/>
    </row>
    <row r="343" spans="1:19" s="15" customFormat="1" x14ac:dyDescent="0.3">
      <c r="A343" s="17"/>
      <c r="B343"/>
      <c r="C343"/>
      <c r="D343"/>
      <c r="E343"/>
      <c r="F343"/>
      <c r="G343"/>
      <c r="H343"/>
      <c r="I343"/>
      <c r="J343"/>
      <c r="K343"/>
      <c r="L343"/>
      <c r="M343"/>
      <c r="S343" s="54"/>
    </row>
    <row r="344" spans="1:19" s="15" customFormat="1" x14ac:dyDescent="0.3">
      <c r="A344" s="17"/>
      <c r="B344"/>
      <c r="C344"/>
      <c r="D344"/>
      <c r="E344"/>
      <c r="F344"/>
      <c r="G344"/>
      <c r="H344"/>
      <c r="I344"/>
      <c r="J344"/>
      <c r="K344"/>
      <c r="L344"/>
      <c r="M344"/>
      <c r="S344" s="54"/>
    </row>
    <row r="345" spans="1:19" s="15" customFormat="1" x14ac:dyDescent="0.3">
      <c r="A345" s="17"/>
      <c r="B345"/>
      <c r="C345"/>
      <c r="D345"/>
      <c r="E345"/>
      <c r="F345"/>
      <c r="G345"/>
      <c r="H345"/>
      <c r="I345"/>
      <c r="J345"/>
      <c r="K345"/>
      <c r="L345"/>
      <c r="M345"/>
      <c r="S345" s="54"/>
    </row>
    <row r="346" spans="1:19" s="15" customFormat="1" x14ac:dyDescent="0.3">
      <c r="A346" s="17"/>
      <c r="B346"/>
      <c r="C346"/>
      <c r="D346"/>
      <c r="E346"/>
      <c r="F346"/>
      <c r="G346"/>
      <c r="H346"/>
      <c r="I346"/>
      <c r="J346"/>
      <c r="K346"/>
      <c r="L346"/>
      <c r="M346"/>
      <c r="S346" s="54"/>
    </row>
    <row r="347" spans="1:19" s="15" customFormat="1" x14ac:dyDescent="0.3">
      <c r="A347" s="17"/>
      <c r="B347"/>
      <c r="C347"/>
      <c r="D347"/>
      <c r="E347"/>
      <c r="F347"/>
      <c r="G347"/>
      <c r="H347"/>
      <c r="I347"/>
      <c r="J347"/>
      <c r="K347"/>
      <c r="L347"/>
      <c r="M347"/>
      <c r="S347" s="54"/>
    </row>
    <row r="348" spans="1:19" s="15" customFormat="1" x14ac:dyDescent="0.3">
      <c r="A348" s="17"/>
      <c r="B348"/>
      <c r="C348"/>
      <c r="D348"/>
      <c r="E348"/>
      <c r="F348"/>
      <c r="G348"/>
      <c r="H348"/>
      <c r="I348"/>
      <c r="J348"/>
      <c r="K348"/>
      <c r="L348"/>
      <c r="M348"/>
      <c r="S348" s="54"/>
    </row>
    <row r="349" spans="1:19" s="15" customFormat="1" x14ac:dyDescent="0.3">
      <c r="A349" s="17"/>
      <c r="B349"/>
      <c r="C349"/>
      <c r="D349"/>
      <c r="E349"/>
      <c r="F349"/>
      <c r="G349"/>
      <c r="H349"/>
      <c r="I349"/>
      <c r="J349"/>
      <c r="K349"/>
      <c r="L349"/>
      <c r="M349"/>
      <c r="S349" s="54"/>
    </row>
    <row r="350" spans="1:19" s="15" customFormat="1" x14ac:dyDescent="0.3">
      <c r="A350" s="17"/>
      <c r="B350"/>
      <c r="C350"/>
      <c r="D350"/>
      <c r="E350"/>
      <c r="F350"/>
      <c r="G350"/>
      <c r="H350"/>
      <c r="I350"/>
      <c r="J350"/>
      <c r="K350"/>
      <c r="L350"/>
      <c r="M350"/>
      <c r="S350" s="54"/>
    </row>
    <row r="351" spans="1:19" s="15" customFormat="1" x14ac:dyDescent="0.3">
      <c r="A351" s="17"/>
      <c r="B351"/>
      <c r="C351"/>
      <c r="D351"/>
      <c r="E351"/>
      <c r="F351"/>
      <c r="G351"/>
      <c r="H351"/>
      <c r="I351"/>
      <c r="J351"/>
      <c r="K351"/>
      <c r="L351"/>
      <c r="M351"/>
      <c r="S351" s="54"/>
    </row>
    <row r="352" spans="1:19" s="15" customFormat="1" x14ac:dyDescent="0.3">
      <c r="A352" s="17"/>
      <c r="B352"/>
      <c r="C352"/>
      <c r="D352"/>
      <c r="E352"/>
      <c r="F352"/>
      <c r="G352"/>
      <c r="H352"/>
      <c r="I352"/>
      <c r="J352"/>
      <c r="K352"/>
      <c r="L352"/>
      <c r="M352"/>
      <c r="S352" s="54"/>
    </row>
    <row r="353" spans="1:19" s="15" customFormat="1" x14ac:dyDescent="0.3">
      <c r="A353" s="17"/>
      <c r="B353"/>
      <c r="C353"/>
      <c r="D353"/>
      <c r="E353"/>
      <c r="F353"/>
      <c r="G353"/>
      <c r="H353"/>
      <c r="I353"/>
      <c r="J353"/>
      <c r="K353"/>
      <c r="L353"/>
      <c r="M353"/>
      <c r="S353" s="54"/>
    </row>
    <row r="354" spans="1:19" s="15" customFormat="1" x14ac:dyDescent="0.3">
      <c r="A354" s="17"/>
      <c r="B354"/>
      <c r="C354"/>
      <c r="D354"/>
      <c r="E354"/>
      <c r="F354"/>
      <c r="G354"/>
      <c r="H354"/>
      <c r="I354"/>
      <c r="J354"/>
      <c r="K354"/>
      <c r="L354"/>
      <c r="M354"/>
      <c r="S354" s="54"/>
    </row>
    <row r="355" spans="1:19" s="15" customFormat="1" x14ac:dyDescent="0.3">
      <c r="A355" s="17"/>
      <c r="B355"/>
      <c r="C355"/>
      <c r="D355"/>
      <c r="E355"/>
      <c r="F355"/>
      <c r="G355"/>
      <c r="H355"/>
      <c r="I355"/>
      <c r="J355"/>
      <c r="K355"/>
      <c r="L355"/>
      <c r="M355"/>
      <c r="S355" s="54"/>
    </row>
    <row r="356" spans="1:19" s="15" customFormat="1" x14ac:dyDescent="0.3">
      <c r="A356" s="17"/>
      <c r="B356"/>
      <c r="C356"/>
      <c r="D356"/>
      <c r="E356"/>
      <c r="F356"/>
      <c r="G356"/>
      <c r="H356"/>
      <c r="I356"/>
      <c r="J356"/>
      <c r="K356"/>
      <c r="L356"/>
      <c r="M356"/>
      <c r="S356" s="54"/>
    </row>
    <row r="357" spans="1:19" s="15" customFormat="1" x14ac:dyDescent="0.3">
      <c r="A357" s="17"/>
      <c r="B357"/>
      <c r="C357"/>
      <c r="D357"/>
      <c r="E357"/>
      <c r="F357"/>
      <c r="G357"/>
      <c r="H357"/>
      <c r="I357"/>
      <c r="J357"/>
      <c r="K357"/>
      <c r="L357"/>
      <c r="M357"/>
      <c r="S357" s="54"/>
    </row>
    <row r="358" spans="1:19" s="15" customFormat="1" x14ac:dyDescent="0.3">
      <c r="A358" s="17"/>
      <c r="B358"/>
      <c r="C358"/>
      <c r="D358"/>
      <c r="E358"/>
      <c r="F358"/>
      <c r="G358"/>
      <c r="H358"/>
      <c r="I358"/>
      <c r="J358"/>
      <c r="K358"/>
      <c r="L358"/>
      <c r="M358"/>
      <c r="S358" s="54"/>
    </row>
    <row r="359" spans="1:19" s="15" customFormat="1" x14ac:dyDescent="0.3">
      <c r="A359" s="17"/>
      <c r="B359"/>
      <c r="C359"/>
      <c r="D359"/>
      <c r="E359"/>
      <c r="F359"/>
      <c r="G359"/>
      <c r="H359"/>
      <c r="I359"/>
      <c r="J359"/>
      <c r="K359"/>
      <c r="L359"/>
      <c r="M359"/>
      <c r="S359" s="54"/>
    </row>
    <row r="360" spans="1:19" s="15" customFormat="1" x14ac:dyDescent="0.3">
      <c r="A360" s="17"/>
      <c r="B360"/>
      <c r="C360"/>
      <c r="D360"/>
      <c r="E360"/>
      <c r="F360"/>
      <c r="G360"/>
      <c r="H360"/>
      <c r="I360"/>
      <c r="J360"/>
      <c r="K360"/>
      <c r="L360"/>
      <c r="M360"/>
      <c r="S360" s="54"/>
    </row>
    <row r="361" spans="1:19" s="15" customFormat="1" x14ac:dyDescent="0.3">
      <c r="A361" s="17"/>
      <c r="B361"/>
      <c r="C361"/>
      <c r="D361"/>
      <c r="E361"/>
      <c r="F361"/>
      <c r="G361"/>
      <c r="H361"/>
      <c r="I361"/>
      <c r="J361"/>
      <c r="K361"/>
      <c r="L361"/>
      <c r="M361"/>
      <c r="S361" s="54"/>
    </row>
    <row r="362" spans="1:19" s="15" customFormat="1" x14ac:dyDescent="0.3">
      <c r="A362" s="17"/>
      <c r="B362"/>
      <c r="C362"/>
      <c r="D362"/>
      <c r="E362"/>
      <c r="F362"/>
      <c r="G362"/>
      <c r="H362"/>
      <c r="I362"/>
      <c r="J362"/>
      <c r="K362"/>
      <c r="L362"/>
      <c r="M362"/>
      <c r="S362" s="54"/>
    </row>
    <row r="363" spans="1:19" s="15" customFormat="1" x14ac:dyDescent="0.3">
      <c r="A363" s="17"/>
      <c r="B363"/>
      <c r="C363"/>
      <c r="D363"/>
      <c r="E363"/>
      <c r="F363"/>
      <c r="G363"/>
      <c r="H363"/>
      <c r="I363"/>
      <c r="J363"/>
      <c r="K363"/>
      <c r="L363"/>
      <c r="M363"/>
      <c r="S363" s="54"/>
    </row>
    <row r="364" spans="1:19" s="15" customFormat="1" x14ac:dyDescent="0.3">
      <c r="A364" s="17"/>
      <c r="B364"/>
      <c r="C364"/>
      <c r="D364"/>
      <c r="E364"/>
      <c r="F364"/>
      <c r="G364"/>
      <c r="H364"/>
      <c r="I364"/>
      <c r="J364"/>
      <c r="K364"/>
      <c r="L364"/>
      <c r="M364"/>
      <c r="S364" s="54"/>
    </row>
    <row r="365" spans="1:19" s="15" customFormat="1" x14ac:dyDescent="0.3">
      <c r="A365" s="17"/>
      <c r="B365"/>
      <c r="C365"/>
      <c r="D365"/>
      <c r="E365"/>
      <c r="F365"/>
      <c r="G365"/>
      <c r="H365"/>
      <c r="I365"/>
      <c r="J365"/>
      <c r="K365"/>
      <c r="L365"/>
      <c r="M365"/>
      <c r="S365" s="54"/>
    </row>
    <row r="366" spans="1:19" s="15" customFormat="1" x14ac:dyDescent="0.3">
      <c r="A366" s="17"/>
      <c r="B366"/>
      <c r="C366"/>
      <c r="D366"/>
      <c r="E366"/>
      <c r="F366"/>
      <c r="G366"/>
      <c r="H366"/>
      <c r="I366"/>
      <c r="J366"/>
      <c r="K366"/>
      <c r="L366"/>
      <c r="M366"/>
      <c r="S366" s="54"/>
    </row>
    <row r="367" spans="1:19" s="15" customFormat="1" x14ac:dyDescent="0.3">
      <c r="A367" s="17"/>
      <c r="B367"/>
      <c r="C367"/>
      <c r="D367"/>
      <c r="E367"/>
      <c r="F367"/>
      <c r="G367"/>
      <c r="H367"/>
      <c r="I367"/>
      <c r="J367"/>
      <c r="K367"/>
      <c r="L367"/>
      <c r="M367"/>
      <c r="S367" s="54"/>
    </row>
    <row r="368" spans="1:19" s="15" customFormat="1" x14ac:dyDescent="0.3">
      <c r="A368" s="17"/>
      <c r="B368"/>
      <c r="C368"/>
      <c r="D368"/>
      <c r="E368"/>
      <c r="F368"/>
      <c r="G368"/>
      <c r="H368"/>
      <c r="I368"/>
      <c r="J368"/>
      <c r="K368"/>
      <c r="L368"/>
      <c r="M368"/>
      <c r="S368" s="54"/>
    </row>
    <row r="369" spans="1:19" s="15" customFormat="1" x14ac:dyDescent="0.3">
      <c r="A369" s="17"/>
      <c r="B369"/>
      <c r="C369"/>
      <c r="D369"/>
      <c r="E369"/>
      <c r="F369"/>
      <c r="G369"/>
      <c r="H369"/>
      <c r="I369"/>
      <c r="J369"/>
      <c r="K369"/>
      <c r="L369"/>
      <c r="M369"/>
      <c r="S369" s="54"/>
    </row>
    <row r="370" spans="1:19" s="15" customFormat="1" x14ac:dyDescent="0.3">
      <c r="A370" s="17"/>
      <c r="B370"/>
      <c r="C370"/>
      <c r="D370"/>
      <c r="E370"/>
      <c r="F370"/>
      <c r="G370"/>
      <c r="H370"/>
      <c r="I370"/>
      <c r="J370"/>
      <c r="K370"/>
      <c r="L370"/>
      <c r="M370"/>
      <c r="S370" s="54"/>
    </row>
    <row r="371" spans="1:19" s="15" customFormat="1" x14ac:dyDescent="0.3">
      <c r="A371" s="17"/>
      <c r="B371"/>
      <c r="C371"/>
      <c r="D371"/>
      <c r="E371"/>
      <c r="F371"/>
      <c r="G371"/>
      <c r="H371"/>
      <c r="I371"/>
      <c r="J371"/>
      <c r="K371"/>
      <c r="L371"/>
      <c r="M371"/>
      <c r="S371" s="54"/>
    </row>
    <row r="372" spans="1:19" s="15" customFormat="1" x14ac:dyDescent="0.3">
      <c r="A372" s="17"/>
      <c r="B372"/>
      <c r="C372"/>
      <c r="D372"/>
      <c r="E372"/>
      <c r="F372"/>
      <c r="G372"/>
      <c r="H372"/>
      <c r="I372"/>
      <c r="J372"/>
      <c r="K372"/>
      <c r="L372"/>
      <c r="M372"/>
      <c r="S372" s="54"/>
    </row>
    <row r="373" spans="1:19" s="15" customFormat="1" x14ac:dyDescent="0.3">
      <c r="A373" s="17"/>
      <c r="B373"/>
      <c r="C373"/>
      <c r="D373"/>
      <c r="E373"/>
      <c r="F373"/>
      <c r="G373"/>
      <c r="H373"/>
      <c r="I373"/>
      <c r="J373"/>
      <c r="K373"/>
      <c r="L373"/>
      <c r="M373"/>
      <c r="S373" s="54"/>
    </row>
    <row r="374" spans="1:19" s="15" customFormat="1" x14ac:dyDescent="0.3">
      <c r="A374" s="17"/>
      <c r="B374"/>
      <c r="C374"/>
      <c r="D374"/>
      <c r="E374"/>
      <c r="F374"/>
      <c r="G374"/>
      <c r="H374"/>
      <c r="I374"/>
      <c r="J374"/>
      <c r="K374"/>
      <c r="L374"/>
      <c r="M374"/>
      <c r="S374" s="54"/>
    </row>
    <row r="375" spans="1:19" s="15" customFormat="1" x14ac:dyDescent="0.3">
      <c r="A375" s="17"/>
      <c r="B375"/>
      <c r="C375"/>
      <c r="D375"/>
      <c r="E375"/>
      <c r="F375"/>
      <c r="G375"/>
      <c r="H375"/>
      <c r="I375"/>
      <c r="J375"/>
      <c r="K375"/>
      <c r="L375"/>
      <c r="M375"/>
      <c r="S375" s="54"/>
    </row>
    <row r="376" spans="1:19" s="15" customFormat="1" x14ac:dyDescent="0.3">
      <c r="A376" s="17"/>
      <c r="B376"/>
      <c r="C376"/>
      <c r="D376"/>
      <c r="E376"/>
      <c r="F376"/>
      <c r="G376"/>
      <c r="H376"/>
      <c r="I376"/>
      <c r="J376"/>
      <c r="K376"/>
      <c r="L376"/>
      <c r="M376"/>
      <c r="S376" s="54"/>
    </row>
    <row r="377" spans="1:19" s="15" customFormat="1" x14ac:dyDescent="0.3">
      <c r="A377" s="17"/>
      <c r="B377"/>
      <c r="C377"/>
      <c r="D377"/>
      <c r="E377"/>
      <c r="F377"/>
      <c r="G377"/>
      <c r="H377"/>
      <c r="I377"/>
      <c r="J377"/>
      <c r="K377"/>
      <c r="L377"/>
      <c r="M377"/>
      <c r="S377" s="54"/>
    </row>
    <row r="378" spans="1:19" s="15" customFormat="1" x14ac:dyDescent="0.3">
      <c r="A378" s="17"/>
      <c r="B378"/>
      <c r="C378"/>
      <c r="D378"/>
      <c r="E378"/>
      <c r="F378"/>
      <c r="G378"/>
      <c r="H378"/>
      <c r="I378"/>
      <c r="J378"/>
      <c r="K378"/>
      <c r="L378"/>
      <c r="M378"/>
      <c r="S378" s="54"/>
    </row>
    <row r="379" spans="1:19" s="15" customFormat="1" x14ac:dyDescent="0.3">
      <c r="A379" s="17"/>
      <c r="B379"/>
      <c r="C379"/>
      <c r="D379"/>
      <c r="E379"/>
      <c r="F379"/>
      <c r="G379"/>
      <c r="H379"/>
      <c r="I379"/>
      <c r="J379"/>
      <c r="K379"/>
      <c r="L379"/>
      <c r="M379"/>
      <c r="S379" s="54"/>
    </row>
    <row r="380" spans="1:19" s="15" customFormat="1" x14ac:dyDescent="0.3">
      <c r="A380" s="17"/>
      <c r="B380"/>
      <c r="C380"/>
      <c r="D380"/>
      <c r="E380"/>
      <c r="F380"/>
      <c r="G380"/>
      <c r="H380"/>
      <c r="I380"/>
      <c r="J380"/>
      <c r="K380"/>
      <c r="L380"/>
      <c r="M380"/>
      <c r="S380" s="54"/>
    </row>
    <row r="381" spans="1:19" s="15" customFormat="1" x14ac:dyDescent="0.3">
      <c r="A381" s="17"/>
      <c r="B381"/>
      <c r="C381"/>
      <c r="D381"/>
      <c r="E381"/>
      <c r="F381"/>
      <c r="G381"/>
      <c r="H381"/>
      <c r="I381"/>
      <c r="J381"/>
      <c r="K381"/>
      <c r="L381"/>
      <c r="M381"/>
      <c r="S381" s="54"/>
    </row>
    <row r="382" spans="1:19" s="15" customFormat="1" x14ac:dyDescent="0.3">
      <c r="A382" s="17"/>
      <c r="B382"/>
      <c r="C382"/>
      <c r="D382"/>
      <c r="E382"/>
      <c r="F382"/>
      <c r="G382"/>
      <c r="H382"/>
      <c r="I382"/>
      <c r="J382"/>
      <c r="K382"/>
      <c r="L382"/>
      <c r="M382"/>
      <c r="S382" s="54"/>
    </row>
    <row r="383" spans="1:19" s="15" customFormat="1" x14ac:dyDescent="0.3">
      <c r="A383" s="17"/>
      <c r="B383"/>
      <c r="C383"/>
      <c r="D383"/>
      <c r="E383"/>
      <c r="F383"/>
      <c r="G383"/>
      <c r="H383"/>
      <c r="I383"/>
      <c r="J383"/>
      <c r="K383"/>
      <c r="L383"/>
      <c r="M383"/>
      <c r="S383" s="54"/>
    </row>
    <row r="384" spans="1:19" s="15" customFormat="1" x14ac:dyDescent="0.3">
      <c r="A384" s="17"/>
      <c r="B384"/>
      <c r="C384"/>
      <c r="D384"/>
      <c r="E384"/>
      <c r="F384"/>
      <c r="G384"/>
      <c r="H384"/>
      <c r="I384"/>
      <c r="J384"/>
      <c r="K384"/>
      <c r="L384"/>
      <c r="M384"/>
      <c r="S384" s="54"/>
    </row>
    <row r="385" spans="1:19" s="15" customFormat="1" x14ac:dyDescent="0.3">
      <c r="A385" s="17"/>
      <c r="B385"/>
      <c r="C385"/>
      <c r="D385"/>
      <c r="E385"/>
      <c r="F385"/>
      <c r="G385"/>
      <c r="H385"/>
      <c r="I385"/>
      <c r="J385"/>
      <c r="K385"/>
      <c r="L385"/>
      <c r="M385"/>
      <c r="S385" s="54"/>
    </row>
    <row r="386" spans="1:19" s="15" customFormat="1" x14ac:dyDescent="0.3">
      <c r="A386" s="17"/>
      <c r="B386"/>
      <c r="C386"/>
      <c r="D386"/>
      <c r="E386"/>
      <c r="F386"/>
      <c r="G386"/>
      <c r="H386"/>
      <c r="I386"/>
      <c r="J386"/>
      <c r="K386"/>
      <c r="L386"/>
      <c r="M386"/>
      <c r="S386" s="54"/>
    </row>
    <row r="387" spans="1:19" s="15" customFormat="1" x14ac:dyDescent="0.3">
      <c r="A387" s="17"/>
      <c r="B387"/>
      <c r="C387"/>
      <c r="D387"/>
      <c r="E387"/>
      <c r="F387"/>
      <c r="G387"/>
      <c r="H387"/>
      <c r="I387"/>
      <c r="J387"/>
      <c r="K387"/>
      <c r="L387"/>
      <c r="M387"/>
      <c r="S387" s="54"/>
    </row>
    <row r="388" spans="1:19" s="15" customFormat="1" x14ac:dyDescent="0.3">
      <c r="A388" s="17"/>
      <c r="B388"/>
      <c r="C388"/>
      <c r="D388"/>
      <c r="E388"/>
      <c r="F388"/>
      <c r="G388"/>
      <c r="H388"/>
      <c r="I388"/>
      <c r="J388"/>
      <c r="K388"/>
      <c r="L388"/>
      <c r="M388"/>
      <c r="S388" s="54"/>
    </row>
    <row r="389" spans="1:19" s="15" customFormat="1" x14ac:dyDescent="0.3">
      <c r="A389" s="17"/>
      <c r="B389"/>
      <c r="C389"/>
      <c r="D389"/>
      <c r="E389"/>
      <c r="F389"/>
      <c r="G389"/>
      <c r="H389"/>
      <c r="I389"/>
      <c r="J389"/>
      <c r="K389"/>
      <c r="L389"/>
      <c r="M389"/>
      <c r="S389" s="54"/>
    </row>
    <row r="390" spans="1:19" s="15" customFormat="1" x14ac:dyDescent="0.3">
      <c r="A390" s="17"/>
      <c r="B390"/>
      <c r="C390"/>
      <c r="D390"/>
      <c r="E390"/>
      <c r="F390"/>
      <c r="G390"/>
      <c r="H390"/>
      <c r="I390"/>
      <c r="J390"/>
      <c r="K390"/>
      <c r="L390"/>
      <c r="M390"/>
      <c r="S390" s="54"/>
    </row>
    <row r="391" spans="1:19" s="15" customFormat="1" x14ac:dyDescent="0.3">
      <c r="A391" s="17"/>
      <c r="B391"/>
      <c r="C391"/>
      <c r="D391"/>
      <c r="E391"/>
      <c r="F391"/>
      <c r="G391"/>
      <c r="H391"/>
      <c r="I391"/>
      <c r="J391"/>
      <c r="K391"/>
      <c r="L391"/>
      <c r="M391"/>
      <c r="S391" s="54"/>
    </row>
    <row r="392" spans="1:19" s="15" customFormat="1" x14ac:dyDescent="0.3">
      <c r="A392" s="17"/>
      <c r="B392"/>
      <c r="C392"/>
      <c r="D392"/>
      <c r="E392"/>
      <c r="F392"/>
      <c r="G392"/>
      <c r="H392"/>
      <c r="I392"/>
      <c r="J392"/>
      <c r="K392"/>
      <c r="L392"/>
      <c r="M392"/>
      <c r="S392" s="54"/>
    </row>
    <row r="393" spans="1:19" s="15" customFormat="1" x14ac:dyDescent="0.3">
      <c r="A393" s="17"/>
      <c r="B393"/>
      <c r="C393"/>
      <c r="D393"/>
      <c r="E393"/>
      <c r="F393"/>
      <c r="G393"/>
      <c r="H393"/>
      <c r="I393"/>
      <c r="J393"/>
      <c r="K393"/>
      <c r="L393"/>
      <c r="M393"/>
      <c r="S393" s="54"/>
    </row>
    <row r="394" spans="1:19" s="15" customFormat="1" x14ac:dyDescent="0.3">
      <c r="A394" s="17"/>
      <c r="B394"/>
      <c r="C394"/>
      <c r="D394"/>
      <c r="E394"/>
      <c r="F394"/>
      <c r="G394"/>
      <c r="H394"/>
      <c r="I394"/>
      <c r="J394"/>
      <c r="K394"/>
      <c r="L394"/>
      <c r="M394"/>
      <c r="S394" s="54"/>
    </row>
    <row r="395" spans="1:19" s="15" customFormat="1" x14ac:dyDescent="0.3">
      <c r="A395" s="17"/>
      <c r="B395"/>
      <c r="C395"/>
      <c r="D395"/>
      <c r="E395"/>
      <c r="F395"/>
      <c r="G395"/>
      <c r="H395"/>
      <c r="I395"/>
      <c r="J395"/>
      <c r="K395"/>
      <c r="L395"/>
      <c r="M395"/>
      <c r="S395" s="54"/>
    </row>
    <row r="396" spans="1:19" s="15" customFormat="1" x14ac:dyDescent="0.3">
      <c r="A396" s="17"/>
      <c r="B396"/>
      <c r="C396"/>
      <c r="D396"/>
      <c r="E396"/>
      <c r="F396"/>
      <c r="G396"/>
      <c r="H396"/>
      <c r="I396"/>
      <c r="J396"/>
      <c r="K396"/>
      <c r="L396"/>
      <c r="M396"/>
      <c r="S396" s="54"/>
    </row>
    <row r="397" spans="1:19" s="15" customFormat="1" x14ac:dyDescent="0.3">
      <c r="A397" s="17"/>
      <c r="B397"/>
      <c r="C397"/>
      <c r="D397"/>
      <c r="E397"/>
      <c r="F397"/>
      <c r="G397"/>
      <c r="H397"/>
      <c r="I397"/>
      <c r="J397"/>
      <c r="K397"/>
      <c r="L397"/>
      <c r="M397"/>
      <c r="S397" s="54"/>
    </row>
    <row r="398" spans="1:19" s="15" customFormat="1" x14ac:dyDescent="0.3">
      <c r="A398" s="17"/>
      <c r="B398"/>
      <c r="C398"/>
      <c r="D398"/>
      <c r="E398"/>
      <c r="F398"/>
      <c r="G398"/>
      <c r="H398"/>
      <c r="I398"/>
      <c r="J398"/>
      <c r="K398"/>
      <c r="L398"/>
      <c r="M398"/>
      <c r="S398" s="54"/>
    </row>
    <row r="399" spans="1:19" s="15" customFormat="1" x14ac:dyDescent="0.3">
      <c r="A399" s="17"/>
      <c r="B399"/>
      <c r="C399"/>
      <c r="D399"/>
      <c r="E399"/>
      <c r="F399"/>
      <c r="G399"/>
      <c r="H399"/>
      <c r="I399"/>
      <c r="J399"/>
      <c r="K399"/>
      <c r="L399"/>
      <c r="M399"/>
      <c r="S399" s="54"/>
    </row>
    <row r="400" spans="1:19" s="15" customFormat="1" x14ac:dyDescent="0.3">
      <c r="A400" s="17"/>
      <c r="B400"/>
      <c r="C400"/>
      <c r="D400"/>
      <c r="E400"/>
      <c r="F400"/>
      <c r="G400"/>
      <c r="H400"/>
      <c r="I400"/>
      <c r="J400"/>
      <c r="K400"/>
      <c r="L400"/>
      <c r="M400"/>
      <c r="S400" s="54"/>
    </row>
    <row r="401" spans="1:19" s="15" customFormat="1" x14ac:dyDescent="0.3">
      <c r="A401" s="17"/>
      <c r="B401"/>
      <c r="C401"/>
      <c r="D401"/>
      <c r="E401"/>
      <c r="F401"/>
      <c r="G401"/>
      <c r="H401"/>
      <c r="I401"/>
      <c r="J401"/>
      <c r="K401"/>
      <c r="L401"/>
      <c r="M401"/>
      <c r="S401" s="54"/>
    </row>
    <row r="402" spans="1:19" s="15" customFormat="1" x14ac:dyDescent="0.3">
      <c r="A402" s="17"/>
      <c r="B402"/>
      <c r="C402"/>
      <c r="D402"/>
      <c r="E402"/>
      <c r="F402"/>
      <c r="G402"/>
      <c r="H402"/>
      <c r="I402"/>
      <c r="J402"/>
      <c r="K402"/>
      <c r="L402"/>
      <c r="M402"/>
      <c r="S402" s="54"/>
    </row>
    <row r="403" spans="1:19" s="15" customFormat="1" x14ac:dyDescent="0.3">
      <c r="A403" s="17"/>
      <c r="B403"/>
      <c r="C403"/>
      <c r="D403"/>
      <c r="E403"/>
      <c r="F403"/>
      <c r="G403"/>
      <c r="H403"/>
      <c r="I403"/>
      <c r="J403"/>
      <c r="K403"/>
      <c r="L403"/>
      <c r="M403"/>
      <c r="S403" s="54"/>
    </row>
    <row r="404" spans="1:19" s="15" customFormat="1" x14ac:dyDescent="0.3">
      <c r="A404" s="17"/>
      <c r="B404"/>
      <c r="C404"/>
      <c r="D404"/>
      <c r="E404"/>
      <c r="F404"/>
      <c r="G404"/>
      <c r="H404"/>
      <c r="I404"/>
      <c r="J404"/>
      <c r="K404"/>
      <c r="L404"/>
      <c r="M404"/>
      <c r="S404" s="54"/>
    </row>
    <row r="405" spans="1:19" s="15" customFormat="1" x14ac:dyDescent="0.3">
      <c r="A405" s="17"/>
      <c r="B405"/>
      <c r="C405"/>
      <c r="D405"/>
      <c r="E405"/>
      <c r="F405"/>
      <c r="G405"/>
      <c r="H405"/>
      <c r="I405"/>
      <c r="J405"/>
      <c r="K405"/>
      <c r="L405"/>
      <c r="M405"/>
      <c r="S405" s="54"/>
    </row>
    <row r="406" spans="1:19" s="15" customFormat="1" x14ac:dyDescent="0.3">
      <c r="A406" s="17"/>
      <c r="B406"/>
      <c r="C406"/>
      <c r="D406"/>
      <c r="E406"/>
      <c r="F406"/>
      <c r="G406"/>
      <c r="H406"/>
      <c r="I406"/>
      <c r="J406"/>
      <c r="K406"/>
      <c r="L406"/>
      <c r="M406"/>
      <c r="S406" s="54"/>
    </row>
    <row r="407" spans="1:19" s="15" customFormat="1" x14ac:dyDescent="0.3">
      <c r="A407" s="17"/>
      <c r="B407"/>
      <c r="C407"/>
      <c r="D407"/>
      <c r="E407"/>
      <c r="F407"/>
      <c r="G407"/>
      <c r="H407"/>
      <c r="I407"/>
      <c r="J407"/>
      <c r="K407"/>
      <c r="L407"/>
      <c r="M407"/>
      <c r="S407" s="54"/>
    </row>
    <row r="408" spans="1:19" s="15" customFormat="1" x14ac:dyDescent="0.3">
      <c r="A408" s="17"/>
      <c r="B408"/>
      <c r="C408"/>
      <c r="D408"/>
      <c r="E408"/>
      <c r="F408"/>
      <c r="G408"/>
      <c r="H408"/>
      <c r="I408"/>
      <c r="J408"/>
      <c r="K408"/>
      <c r="L408"/>
      <c r="M408"/>
      <c r="S408" s="54"/>
    </row>
    <row r="409" spans="1:19" s="15" customFormat="1" x14ac:dyDescent="0.3">
      <c r="A409" s="17"/>
      <c r="B409"/>
      <c r="C409"/>
      <c r="D409"/>
      <c r="E409"/>
      <c r="F409"/>
      <c r="G409"/>
      <c r="H409"/>
      <c r="I409"/>
      <c r="J409"/>
      <c r="K409"/>
      <c r="L409"/>
      <c r="M409"/>
      <c r="S409" s="54"/>
    </row>
    <row r="410" spans="1:19" s="15" customFormat="1" x14ac:dyDescent="0.3">
      <c r="A410" s="17"/>
      <c r="B410"/>
      <c r="C410"/>
      <c r="D410"/>
      <c r="E410"/>
      <c r="F410"/>
      <c r="G410"/>
      <c r="H410"/>
      <c r="I410"/>
      <c r="J410"/>
      <c r="K410"/>
      <c r="L410"/>
      <c r="M410"/>
      <c r="S410" s="54"/>
    </row>
    <row r="411" spans="1:19" s="15" customFormat="1" x14ac:dyDescent="0.3">
      <c r="A411" s="17"/>
      <c r="B411"/>
      <c r="C411"/>
      <c r="D411"/>
      <c r="E411"/>
      <c r="F411"/>
      <c r="G411"/>
      <c r="H411"/>
      <c r="I411"/>
      <c r="J411"/>
      <c r="K411"/>
      <c r="L411"/>
      <c r="M411"/>
      <c r="S411" s="54"/>
    </row>
    <row r="412" spans="1:19" s="15" customFormat="1" x14ac:dyDescent="0.3">
      <c r="A412" s="17"/>
      <c r="B412"/>
      <c r="C412"/>
      <c r="D412"/>
      <c r="E412"/>
      <c r="F412"/>
      <c r="G412"/>
      <c r="H412"/>
      <c r="I412"/>
      <c r="J412"/>
      <c r="K412"/>
      <c r="L412"/>
      <c r="M412"/>
      <c r="S412" s="54"/>
    </row>
    <row r="413" spans="1:19" s="15" customFormat="1" x14ac:dyDescent="0.3">
      <c r="A413" s="17"/>
      <c r="B413"/>
      <c r="C413"/>
      <c r="D413"/>
      <c r="E413"/>
      <c r="F413"/>
      <c r="G413"/>
      <c r="H413"/>
      <c r="I413"/>
      <c r="J413"/>
      <c r="K413"/>
      <c r="L413"/>
      <c r="M413"/>
      <c r="S413" s="54"/>
    </row>
    <row r="414" spans="1:19" s="15" customFormat="1" x14ac:dyDescent="0.3">
      <c r="A414" s="17"/>
      <c r="B414"/>
      <c r="C414"/>
      <c r="D414"/>
      <c r="E414"/>
      <c r="F414"/>
      <c r="G414"/>
      <c r="H414"/>
      <c r="I414"/>
      <c r="J414"/>
      <c r="K414"/>
      <c r="L414"/>
      <c r="M414"/>
      <c r="S414" s="54"/>
    </row>
    <row r="415" spans="1:19" s="15" customFormat="1" x14ac:dyDescent="0.3">
      <c r="A415" s="17"/>
      <c r="B415"/>
      <c r="C415"/>
      <c r="D415"/>
      <c r="E415"/>
      <c r="F415"/>
      <c r="G415"/>
      <c r="H415"/>
      <c r="I415"/>
      <c r="J415"/>
      <c r="K415"/>
      <c r="L415"/>
      <c r="M415"/>
      <c r="S415" s="54"/>
    </row>
    <row r="416" spans="1:19" s="15" customFormat="1" x14ac:dyDescent="0.3">
      <c r="A416" s="17"/>
      <c r="B416"/>
      <c r="C416"/>
      <c r="D416"/>
      <c r="E416"/>
      <c r="F416"/>
      <c r="G416"/>
      <c r="H416"/>
      <c r="I416"/>
      <c r="J416"/>
      <c r="K416"/>
      <c r="L416"/>
      <c r="M416"/>
      <c r="S416" s="54"/>
    </row>
    <row r="417" spans="1:19" s="15" customFormat="1" x14ac:dyDescent="0.3">
      <c r="A417" s="17"/>
      <c r="B417"/>
      <c r="C417"/>
      <c r="D417"/>
      <c r="E417"/>
      <c r="F417"/>
      <c r="G417"/>
      <c r="H417"/>
      <c r="I417"/>
      <c r="J417"/>
      <c r="K417"/>
      <c r="L417"/>
      <c r="M417"/>
      <c r="S417" s="54"/>
    </row>
    <row r="418" spans="1:19" s="15" customFormat="1" x14ac:dyDescent="0.3">
      <c r="A418" s="17"/>
      <c r="B418"/>
      <c r="C418"/>
      <c r="D418"/>
      <c r="E418"/>
      <c r="F418"/>
      <c r="G418"/>
      <c r="H418"/>
      <c r="I418"/>
      <c r="J418"/>
      <c r="K418"/>
      <c r="L418"/>
      <c r="M418"/>
      <c r="S418" s="54"/>
    </row>
    <row r="419" spans="1:19" s="15" customFormat="1" x14ac:dyDescent="0.3">
      <c r="A419" s="17"/>
      <c r="B419"/>
      <c r="C419"/>
      <c r="D419"/>
      <c r="E419"/>
      <c r="F419"/>
      <c r="G419"/>
      <c r="H419"/>
      <c r="I419"/>
      <c r="J419"/>
      <c r="K419"/>
      <c r="L419"/>
      <c r="M419"/>
      <c r="S419" s="54"/>
    </row>
    <row r="420" spans="1:19" s="15" customFormat="1" x14ac:dyDescent="0.3">
      <c r="A420" s="17"/>
      <c r="B420"/>
      <c r="C420"/>
      <c r="D420"/>
      <c r="E420"/>
      <c r="F420"/>
      <c r="G420"/>
      <c r="H420"/>
      <c r="I420"/>
      <c r="J420"/>
      <c r="K420"/>
      <c r="L420"/>
      <c r="M420"/>
      <c r="S420" s="54"/>
    </row>
    <row r="421" spans="1:19" s="15" customFormat="1" x14ac:dyDescent="0.3">
      <c r="A421" s="17"/>
      <c r="B421"/>
      <c r="C421"/>
      <c r="D421"/>
      <c r="E421"/>
      <c r="F421"/>
      <c r="G421"/>
      <c r="H421"/>
      <c r="I421"/>
      <c r="J421"/>
      <c r="K421"/>
      <c r="L421"/>
      <c r="M421"/>
      <c r="S421" s="54"/>
    </row>
    <row r="422" spans="1:19" s="15" customFormat="1" x14ac:dyDescent="0.3">
      <c r="A422" s="17"/>
      <c r="B422"/>
      <c r="C422"/>
      <c r="D422"/>
      <c r="E422"/>
      <c r="F422"/>
      <c r="G422"/>
      <c r="H422"/>
      <c r="I422"/>
      <c r="J422"/>
      <c r="K422"/>
      <c r="L422"/>
      <c r="M422"/>
      <c r="S422" s="54"/>
    </row>
    <row r="423" spans="1:19" s="15" customFormat="1" x14ac:dyDescent="0.3">
      <c r="A423" s="17"/>
      <c r="B423"/>
      <c r="C423"/>
      <c r="D423"/>
      <c r="E423"/>
      <c r="F423"/>
      <c r="G423"/>
      <c r="H423"/>
      <c r="I423"/>
      <c r="J423"/>
      <c r="K423"/>
      <c r="L423"/>
      <c r="M423"/>
      <c r="S423" s="54"/>
    </row>
    <row r="424" spans="1:19" s="15" customFormat="1" x14ac:dyDescent="0.3">
      <c r="A424" s="17"/>
      <c r="B424"/>
      <c r="C424"/>
      <c r="D424"/>
      <c r="E424"/>
      <c r="F424"/>
      <c r="G424"/>
      <c r="H424"/>
      <c r="I424"/>
      <c r="J424"/>
      <c r="K424"/>
      <c r="L424"/>
      <c r="M424"/>
      <c r="S424" s="54"/>
    </row>
    <row r="425" spans="1:19" s="15" customFormat="1" x14ac:dyDescent="0.3">
      <c r="A425" s="17"/>
      <c r="B425"/>
      <c r="C425"/>
      <c r="D425"/>
      <c r="E425"/>
      <c r="F425"/>
      <c r="G425"/>
      <c r="H425"/>
      <c r="I425"/>
      <c r="J425"/>
      <c r="K425"/>
      <c r="L425"/>
      <c r="M425"/>
      <c r="S425" s="54"/>
    </row>
    <row r="426" spans="1:19" s="15" customFormat="1" x14ac:dyDescent="0.3">
      <c r="A426" s="17"/>
      <c r="B426"/>
      <c r="C426"/>
      <c r="D426"/>
      <c r="E426"/>
      <c r="F426"/>
      <c r="G426"/>
      <c r="H426"/>
      <c r="I426"/>
      <c r="J426"/>
      <c r="K426"/>
      <c r="L426"/>
      <c r="M426"/>
      <c r="S426" s="54"/>
    </row>
    <row r="427" spans="1:19" s="15" customFormat="1" x14ac:dyDescent="0.3">
      <c r="A427" s="17"/>
      <c r="B427"/>
      <c r="C427"/>
      <c r="D427"/>
      <c r="E427"/>
      <c r="F427"/>
      <c r="G427"/>
      <c r="H427"/>
      <c r="I427"/>
      <c r="J427"/>
      <c r="K427"/>
      <c r="L427"/>
      <c r="M427"/>
      <c r="S427" s="54"/>
    </row>
    <row r="428" spans="1:19" s="15" customFormat="1" x14ac:dyDescent="0.3">
      <c r="A428" s="17"/>
      <c r="B428"/>
      <c r="C428"/>
      <c r="D428"/>
      <c r="E428"/>
      <c r="F428"/>
      <c r="G428"/>
      <c r="H428"/>
      <c r="I428"/>
      <c r="J428"/>
      <c r="K428"/>
      <c r="L428"/>
      <c r="M428"/>
      <c r="S428" s="54"/>
    </row>
    <row r="429" spans="1:19" s="15" customFormat="1" x14ac:dyDescent="0.3">
      <c r="A429" s="17"/>
      <c r="B429"/>
      <c r="C429"/>
      <c r="D429"/>
      <c r="E429"/>
      <c r="F429"/>
      <c r="G429"/>
      <c r="H429"/>
      <c r="I429"/>
      <c r="J429"/>
      <c r="K429"/>
      <c r="L429"/>
      <c r="M429"/>
      <c r="S429" s="54"/>
    </row>
    <row r="430" spans="1:19" s="15" customFormat="1" x14ac:dyDescent="0.3">
      <c r="A430" s="17"/>
      <c r="B430"/>
      <c r="C430"/>
      <c r="D430"/>
      <c r="E430"/>
      <c r="F430"/>
      <c r="G430"/>
      <c r="H430"/>
      <c r="I430"/>
      <c r="J430"/>
      <c r="K430"/>
      <c r="L430"/>
      <c r="M430"/>
      <c r="S430" s="54"/>
    </row>
    <row r="431" spans="1:19" s="15" customFormat="1" x14ac:dyDescent="0.3">
      <c r="A431" s="17"/>
      <c r="B431"/>
      <c r="C431"/>
      <c r="D431"/>
      <c r="E431"/>
      <c r="F431"/>
      <c r="G431"/>
      <c r="H431"/>
      <c r="I431"/>
      <c r="J431"/>
      <c r="K431"/>
      <c r="L431"/>
      <c r="M431"/>
      <c r="S431" s="54"/>
    </row>
    <row r="432" spans="1:19" s="15" customFormat="1" x14ac:dyDescent="0.3">
      <c r="A432" s="17"/>
      <c r="B432"/>
      <c r="C432"/>
      <c r="D432"/>
      <c r="E432"/>
      <c r="F432"/>
      <c r="G432"/>
      <c r="H432"/>
      <c r="I432"/>
      <c r="J432"/>
      <c r="K432"/>
      <c r="L432"/>
      <c r="M432"/>
      <c r="S432" s="54"/>
    </row>
    <row r="433" spans="1:19" s="15" customFormat="1" x14ac:dyDescent="0.3">
      <c r="A433" s="17"/>
      <c r="B433"/>
      <c r="C433"/>
      <c r="D433"/>
      <c r="E433"/>
      <c r="F433"/>
      <c r="G433"/>
      <c r="H433"/>
      <c r="I433"/>
      <c r="J433"/>
      <c r="K433"/>
      <c r="L433"/>
      <c r="M433"/>
      <c r="S433" s="54"/>
    </row>
    <row r="434" spans="1:19" s="15" customFormat="1" x14ac:dyDescent="0.3">
      <c r="A434" s="17"/>
      <c r="B434"/>
      <c r="C434"/>
      <c r="D434"/>
      <c r="E434"/>
      <c r="F434"/>
      <c r="G434"/>
      <c r="H434"/>
      <c r="I434"/>
      <c r="J434"/>
      <c r="K434"/>
      <c r="L434"/>
      <c r="M434"/>
      <c r="S434" s="54"/>
    </row>
    <row r="435" spans="1:19" s="15" customFormat="1" x14ac:dyDescent="0.3">
      <c r="A435" s="17"/>
      <c r="B435"/>
      <c r="C435"/>
      <c r="D435"/>
      <c r="E435"/>
      <c r="F435"/>
      <c r="G435"/>
      <c r="H435"/>
      <c r="I435"/>
      <c r="J435"/>
      <c r="K435"/>
      <c r="L435"/>
      <c r="M435"/>
      <c r="S435" s="54"/>
    </row>
    <row r="436" spans="1:19" s="15" customFormat="1" x14ac:dyDescent="0.3">
      <c r="A436" s="17"/>
      <c r="B436"/>
      <c r="C436"/>
      <c r="D436"/>
      <c r="E436"/>
      <c r="F436"/>
      <c r="G436"/>
      <c r="H436"/>
      <c r="I436"/>
      <c r="J436"/>
      <c r="K436"/>
      <c r="L436"/>
      <c r="M436"/>
      <c r="S436" s="54"/>
    </row>
    <row r="437" spans="1:19" s="15" customFormat="1" x14ac:dyDescent="0.3">
      <c r="A437" s="17"/>
      <c r="B437"/>
      <c r="C437"/>
      <c r="D437"/>
      <c r="E437"/>
      <c r="F437"/>
      <c r="G437"/>
      <c r="H437"/>
      <c r="I437"/>
      <c r="J437"/>
      <c r="K437"/>
      <c r="L437"/>
      <c r="M437"/>
      <c r="S437" s="54"/>
    </row>
    <row r="438" spans="1:19" s="15" customFormat="1" x14ac:dyDescent="0.3">
      <c r="A438" s="17"/>
      <c r="B438"/>
      <c r="C438"/>
      <c r="D438"/>
      <c r="E438"/>
      <c r="F438"/>
      <c r="G438"/>
      <c r="H438"/>
      <c r="I438"/>
      <c r="J438"/>
      <c r="K438"/>
      <c r="L438"/>
      <c r="M438"/>
      <c r="S438" s="54"/>
    </row>
    <row r="439" spans="1:19" s="15" customFormat="1" x14ac:dyDescent="0.3">
      <c r="A439" s="17"/>
      <c r="B439"/>
      <c r="C439"/>
      <c r="D439"/>
      <c r="E439"/>
      <c r="F439"/>
      <c r="G439"/>
      <c r="H439"/>
      <c r="I439"/>
      <c r="J439"/>
      <c r="K439"/>
      <c r="L439"/>
      <c r="M439"/>
      <c r="S439" s="54"/>
    </row>
    <row r="440" spans="1:19" s="15" customFormat="1" x14ac:dyDescent="0.3">
      <c r="A440" s="17"/>
      <c r="B440"/>
      <c r="C440"/>
      <c r="D440"/>
      <c r="E440"/>
      <c r="F440"/>
      <c r="G440"/>
      <c r="H440"/>
      <c r="I440"/>
      <c r="J440"/>
      <c r="K440"/>
      <c r="L440"/>
      <c r="M440"/>
      <c r="S440" s="54"/>
    </row>
    <row r="441" spans="1:19" s="15" customFormat="1" x14ac:dyDescent="0.3">
      <c r="A441" s="17"/>
      <c r="B441"/>
      <c r="C441"/>
      <c r="D441"/>
      <c r="E441"/>
      <c r="F441"/>
      <c r="G441"/>
      <c r="H441"/>
      <c r="I441"/>
      <c r="J441"/>
      <c r="K441"/>
      <c r="L441"/>
      <c r="M441"/>
      <c r="S441" s="54"/>
    </row>
    <row r="442" spans="1:19" s="15" customFormat="1" x14ac:dyDescent="0.3">
      <c r="A442" s="17"/>
      <c r="B442"/>
      <c r="C442"/>
      <c r="D442"/>
      <c r="E442"/>
      <c r="F442"/>
      <c r="G442"/>
      <c r="H442"/>
      <c r="I442"/>
      <c r="J442"/>
      <c r="K442"/>
      <c r="L442"/>
      <c r="M442"/>
      <c r="S442" s="54"/>
    </row>
    <row r="443" spans="1:19" s="15" customFormat="1" x14ac:dyDescent="0.3">
      <c r="A443" s="17"/>
      <c r="B443"/>
      <c r="C443"/>
      <c r="D443"/>
      <c r="E443"/>
      <c r="F443"/>
      <c r="G443"/>
      <c r="H443"/>
      <c r="I443"/>
      <c r="J443"/>
      <c r="K443"/>
      <c r="L443"/>
      <c r="M443"/>
      <c r="S443" s="54"/>
    </row>
    <row r="444" spans="1:19" s="15" customFormat="1" x14ac:dyDescent="0.3">
      <c r="A444" s="17"/>
      <c r="B444"/>
      <c r="C444"/>
      <c r="D444"/>
      <c r="E444"/>
      <c r="F444"/>
      <c r="G444"/>
      <c r="H444"/>
      <c r="I444"/>
      <c r="J444"/>
      <c r="K444"/>
      <c r="L444"/>
      <c r="M444"/>
      <c r="S444" s="54"/>
    </row>
    <row r="445" spans="1:19" s="15" customFormat="1" x14ac:dyDescent="0.3">
      <c r="A445" s="17"/>
      <c r="B445"/>
      <c r="C445"/>
      <c r="D445"/>
      <c r="E445"/>
      <c r="F445"/>
      <c r="G445"/>
      <c r="H445"/>
      <c r="I445"/>
      <c r="J445"/>
      <c r="K445"/>
      <c r="L445"/>
      <c r="M445"/>
      <c r="S445" s="54"/>
    </row>
    <row r="446" spans="1:19" s="15" customFormat="1" x14ac:dyDescent="0.3">
      <c r="A446" s="17"/>
      <c r="B446"/>
      <c r="C446"/>
      <c r="D446"/>
      <c r="E446"/>
      <c r="F446"/>
      <c r="G446"/>
      <c r="H446"/>
      <c r="I446"/>
      <c r="J446"/>
      <c r="K446"/>
      <c r="L446"/>
      <c r="M446"/>
      <c r="S446" s="54"/>
    </row>
    <row r="447" spans="1:19" s="15" customFormat="1" x14ac:dyDescent="0.3">
      <c r="A447" s="17"/>
      <c r="B447"/>
      <c r="C447"/>
      <c r="D447"/>
      <c r="E447"/>
      <c r="F447"/>
      <c r="G447"/>
      <c r="H447"/>
      <c r="I447"/>
      <c r="J447"/>
      <c r="K447"/>
      <c r="L447"/>
      <c r="M447"/>
      <c r="S447" s="54"/>
    </row>
    <row r="448" spans="1:19" s="15" customFormat="1" x14ac:dyDescent="0.3">
      <c r="A448" s="17"/>
      <c r="B448"/>
      <c r="C448"/>
      <c r="D448"/>
      <c r="E448"/>
      <c r="F448"/>
      <c r="G448"/>
      <c r="H448"/>
      <c r="I448"/>
      <c r="J448"/>
      <c r="K448"/>
      <c r="L448"/>
      <c r="M448"/>
      <c r="S448" s="54"/>
    </row>
    <row r="449" spans="1:19" s="15" customFormat="1" x14ac:dyDescent="0.3">
      <c r="A449" s="17"/>
      <c r="B449"/>
      <c r="C449"/>
      <c r="D449"/>
      <c r="E449"/>
      <c r="F449"/>
      <c r="G449"/>
      <c r="H449"/>
      <c r="I449"/>
      <c r="J449"/>
      <c r="K449"/>
      <c r="L449"/>
      <c r="M449"/>
      <c r="S449" s="54"/>
    </row>
    <row r="450" spans="1:19" s="15" customFormat="1" x14ac:dyDescent="0.3">
      <c r="A450" s="17"/>
      <c r="B450"/>
      <c r="C450"/>
      <c r="D450"/>
      <c r="E450"/>
      <c r="F450"/>
      <c r="G450"/>
      <c r="H450"/>
      <c r="I450"/>
      <c r="J450"/>
      <c r="K450"/>
      <c r="L450"/>
      <c r="M450"/>
      <c r="S450" s="54"/>
    </row>
    <row r="451" spans="1:19" s="15" customFormat="1" x14ac:dyDescent="0.3">
      <c r="A451" s="17"/>
      <c r="B451"/>
      <c r="C451"/>
      <c r="D451"/>
      <c r="E451"/>
      <c r="F451"/>
      <c r="G451"/>
      <c r="H451"/>
      <c r="I451"/>
      <c r="J451"/>
      <c r="K451"/>
      <c r="L451"/>
      <c r="M451"/>
      <c r="S451" s="54"/>
    </row>
    <row r="452" spans="1:19" s="15" customFormat="1" x14ac:dyDescent="0.3">
      <c r="A452" s="17"/>
      <c r="B452"/>
      <c r="C452"/>
      <c r="D452"/>
      <c r="E452"/>
      <c r="F452"/>
      <c r="G452"/>
      <c r="H452"/>
      <c r="I452"/>
      <c r="J452"/>
      <c r="K452"/>
      <c r="L452"/>
      <c r="M452"/>
      <c r="S452" s="54"/>
    </row>
    <row r="453" spans="1:19" s="15" customFormat="1" x14ac:dyDescent="0.3">
      <c r="A453" s="17"/>
      <c r="B453"/>
      <c r="C453"/>
      <c r="D453"/>
      <c r="E453"/>
      <c r="F453"/>
      <c r="G453"/>
      <c r="H453"/>
      <c r="I453"/>
      <c r="J453"/>
      <c r="K453"/>
      <c r="L453"/>
      <c r="M453"/>
      <c r="S453" s="54"/>
    </row>
    <row r="454" spans="1:19" s="15" customFormat="1" x14ac:dyDescent="0.3">
      <c r="A454" s="17"/>
      <c r="B454"/>
      <c r="C454"/>
      <c r="D454"/>
      <c r="E454"/>
      <c r="F454"/>
      <c r="G454"/>
      <c r="H454"/>
      <c r="I454"/>
      <c r="J454"/>
      <c r="K454"/>
      <c r="L454"/>
      <c r="M454"/>
      <c r="S454" s="54"/>
    </row>
    <row r="455" spans="1:19" s="15" customFormat="1" x14ac:dyDescent="0.3">
      <c r="A455" s="17"/>
      <c r="B455"/>
      <c r="C455"/>
      <c r="D455"/>
      <c r="E455"/>
      <c r="F455"/>
      <c r="G455"/>
      <c r="H455"/>
      <c r="I455"/>
      <c r="J455"/>
      <c r="K455"/>
      <c r="L455"/>
      <c r="M455"/>
      <c r="S455" s="54"/>
    </row>
    <row r="456" spans="1:19" s="15" customFormat="1" x14ac:dyDescent="0.3">
      <c r="A456" s="17"/>
      <c r="B456"/>
      <c r="C456"/>
      <c r="D456"/>
      <c r="E456"/>
      <c r="F456"/>
      <c r="G456"/>
      <c r="H456"/>
      <c r="I456"/>
      <c r="J456"/>
      <c r="K456"/>
      <c r="L456"/>
      <c r="M456"/>
      <c r="S456" s="54"/>
    </row>
    <row r="457" spans="1:19" s="15" customFormat="1" x14ac:dyDescent="0.3">
      <c r="A457" s="17"/>
      <c r="B457"/>
      <c r="C457"/>
      <c r="D457"/>
      <c r="E457"/>
      <c r="F457"/>
      <c r="G457"/>
      <c r="H457"/>
      <c r="I457"/>
      <c r="J457"/>
      <c r="K457"/>
      <c r="L457"/>
      <c r="M457"/>
      <c r="S457" s="54"/>
    </row>
    <row r="458" spans="1:19" s="15" customFormat="1" x14ac:dyDescent="0.3">
      <c r="A458" s="17"/>
      <c r="B458"/>
      <c r="C458"/>
      <c r="D458"/>
      <c r="E458"/>
      <c r="F458"/>
      <c r="G458"/>
      <c r="H458"/>
      <c r="I458"/>
      <c r="J458"/>
      <c r="K458"/>
      <c r="L458"/>
      <c r="M458"/>
      <c r="S458" s="54"/>
    </row>
    <row r="459" spans="1:19" s="15" customFormat="1" x14ac:dyDescent="0.3">
      <c r="A459" s="17"/>
      <c r="B459"/>
      <c r="C459"/>
      <c r="D459"/>
      <c r="E459"/>
      <c r="F459"/>
      <c r="G459"/>
      <c r="H459"/>
      <c r="I459"/>
      <c r="J459"/>
      <c r="K459"/>
      <c r="L459"/>
      <c r="M459"/>
      <c r="S459" s="54"/>
    </row>
    <row r="460" spans="1:19" s="15" customFormat="1" x14ac:dyDescent="0.3">
      <c r="A460" s="17"/>
      <c r="B460"/>
      <c r="C460"/>
      <c r="D460"/>
      <c r="E460"/>
      <c r="F460"/>
      <c r="G460"/>
      <c r="H460"/>
      <c r="I460"/>
      <c r="J460"/>
      <c r="K460"/>
      <c r="L460"/>
      <c r="M460"/>
      <c r="S460" s="54"/>
    </row>
    <row r="461" spans="1:19" s="15" customFormat="1" x14ac:dyDescent="0.3">
      <c r="A461" s="17"/>
      <c r="B461"/>
      <c r="C461"/>
      <c r="D461"/>
      <c r="E461"/>
      <c r="F461"/>
      <c r="G461"/>
      <c r="H461"/>
      <c r="I461"/>
      <c r="J461"/>
      <c r="K461"/>
      <c r="L461"/>
      <c r="M461"/>
      <c r="S461" s="54"/>
    </row>
    <row r="462" spans="1:19" s="15" customFormat="1" x14ac:dyDescent="0.3">
      <c r="A462" s="17"/>
      <c r="B462"/>
      <c r="C462"/>
      <c r="D462"/>
      <c r="E462"/>
      <c r="F462"/>
      <c r="G462"/>
      <c r="H462"/>
      <c r="I462"/>
      <c r="J462"/>
      <c r="K462"/>
      <c r="L462"/>
      <c r="M462"/>
      <c r="S462" s="54"/>
    </row>
    <row r="463" spans="1:19" s="15" customFormat="1" x14ac:dyDescent="0.3">
      <c r="A463" s="17"/>
      <c r="B463"/>
      <c r="C463"/>
      <c r="D463"/>
      <c r="E463"/>
      <c r="F463"/>
      <c r="G463"/>
      <c r="H463"/>
      <c r="I463"/>
      <c r="J463"/>
      <c r="K463"/>
      <c r="L463"/>
      <c r="M463"/>
      <c r="S463" s="54"/>
    </row>
    <row r="464" spans="1:19" s="15" customFormat="1" x14ac:dyDescent="0.3">
      <c r="A464" s="17"/>
      <c r="B464"/>
      <c r="C464"/>
      <c r="D464"/>
      <c r="E464"/>
      <c r="F464"/>
      <c r="G464"/>
      <c r="H464"/>
      <c r="I464"/>
      <c r="J464"/>
      <c r="K464"/>
      <c r="L464"/>
      <c r="M464"/>
      <c r="S464" s="54"/>
    </row>
    <row r="465" spans="1:19" s="15" customFormat="1" x14ac:dyDescent="0.3">
      <c r="A465" s="17"/>
      <c r="B465"/>
      <c r="C465"/>
      <c r="D465"/>
      <c r="E465"/>
      <c r="F465"/>
      <c r="G465"/>
      <c r="H465"/>
      <c r="I465"/>
      <c r="J465"/>
      <c r="K465"/>
      <c r="L465"/>
      <c r="M465"/>
      <c r="S465" s="54"/>
    </row>
    <row r="466" spans="1:19" s="15" customFormat="1" x14ac:dyDescent="0.3">
      <c r="A466" s="17"/>
      <c r="B466"/>
      <c r="C466"/>
      <c r="D466"/>
      <c r="E466"/>
      <c r="F466"/>
      <c r="G466"/>
      <c r="H466"/>
      <c r="I466"/>
      <c r="J466"/>
      <c r="K466"/>
      <c r="L466"/>
      <c r="M466"/>
      <c r="S466" s="54"/>
    </row>
    <row r="467" spans="1:19" s="15" customFormat="1" x14ac:dyDescent="0.3">
      <c r="A467" s="17"/>
      <c r="B467"/>
      <c r="C467"/>
      <c r="D467"/>
      <c r="E467"/>
      <c r="F467"/>
      <c r="G467"/>
      <c r="H467"/>
      <c r="I467"/>
      <c r="J467"/>
      <c r="K467"/>
      <c r="L467"/>
      <c r="M467"/>
      <c r="S467" s="54"/>
    </row>
    <row r="468" spans="1:19" s="15" customFormat="1" x14ac:dyDescent="0.3">
      <c r="A468" s="17"/>
      <c r="B468"/>
      <c r="C468"/>
      <c r="D468"/>
      <c r="E468"/>
      <c r="F468"/>
      <c r="G468"/>
      <c r="H468"/>
      <c r="I468"/>
      <c r="J468"/>
      <c r="K468"/>
      <c r="L468"/>
      <c r="M468"/>
      <c r="S468" s="54"/>
    </row>
    <row r="469" spans="1:19" s="15" customFormat="1" x14ac:dyDescent="0.3">
      <c r="A469" s="17"/>
      <c r="B469"/>
      <c r="C469"/>
      <c r="D469"/>
      <c r="E469"/>
      <c r="F469"/>
      <c r="G469"/>
      <c r="H469"/>
      <c r="I469"/>
      <c r="J469"/>
      <c r="K469"/>
      <c r="L469"/>
      <c r="M469"/>
      <c r="S469" s="54"/>
    </row>
    <row r="470" spans="1:19" s="15" customFormat="1" x14ac:dyDescent="0.3">
      <c r="A470" s="17"/>
      <c r="B470"/>
      <c r="C470"/>
      <c r="D470"/>
      <c r="E470"/>
      <c r="F470"/>
      <c r="G470"/>
      <c r="H470"/>
      <c r="I470"/>
      <c r="J470"/>
      <c r="K470"/>
      <c r="L470"/>
      <c r="M470"/>
      <c r="S470" s="54"/>
    </row>
    <row r="471" spans="1:19" s="15" customFormat="1" x14ac:dyDescent="0.3">
      <c r="A471" s="17"/>
      <c r="B471"/>
      <c r="C471"/>
      <c r="D471"/>
      <c r="E471"/>
      <c r="F471"/>
      <c r="G471"/>
      <c r="H471"/>
      <c r="I471"/>
      <c r="J471"/>
      <c r="K471"/>
      <c r="L471"/>
      <c r="M471"/>
      <c r="S471" s="54"/>
    </row>
    <row r="472" spans="1:19" s="15" customFormat="1" x14ac:dyDescent="0.3">
      <c r="A472" s="17"/>
      <c r="B472"/>
      <c r="C472"/>
      <c r="D472"/>
      <c r="E472"/>
      <c r="F472"/>
      <c r="G472"/>
      <c r="H472"/>
      <c r="I472"/>
      <c r="J472"/>
      <c r="K472"/>
      <c r="L472"/>
      <c r="M472"/>
      <c r="S472" s="54"/>
    </row>
    <row r="473" spans="1:19" s="15" customFormat="1" x14ac:dyDescent="0.3">
      <c r="A473" s="17"/>
      <c r="B473"/>
      <c r="C473"/>
      <c r="D473"/>
      <c r="E473"/>
      <c r="F473"/>
      <c r="G473"/>
      <c r="H473"/>
      <c r="I473"/>
      <c r="J473"/>
      <c r="K473"/>
      <c r="L473"/>
      <c r="M473"/>
      <c r="S473" s="54"/>
    </row>
    <row r="474" spans="1:19" s="15" customFormat="1" x14ac:dyDescent="0.3">
      <c r="A474" s="17"/>
      <c r="B474"/>
      <c r="C474"/>
      <c r="D474"/>
      <c r="E474"/>
      <c r="F474"/>
      <c r="G474"/>
      <c r="H474"/>
      <c r="I474"/>
      <c r="J474"/>
      <c r="K474"/>
      <c r="L474"/>
      <c r="M474"/>
      <c r="S474" s="54"/>
    </row>
    <row r="475" spans="1:19" s="15" customFormat="1" x14ac:dyDescent="0.3">
      <c r="A475" s="17"/>
      <c r="B475"/>
      <c r="C475"/>
      <c r="D475"/>
      <c r="E475"/>
      <c r="F475"/>
      <c r="G475"/>
      <c r="H475"/>
      <c r="I475"/>
      <c r="J475"/>
      <c r="K475"/>
      <c r="L475"/>
      <c r="M475"/>
      <c r="S475" s="54"/>
    </row>
    <row r="476" spans="1:19" s="15" customFormat="1" x14ac:dyDescent="0.3">
      <c r="A476" s="17"/>
      <c r="B476"/>
      <c r="C476"/>
      <c r="D476"/>
      <c r="E476"/>
      <c r="F476"/>
      <c r="G476"/>
      <c r="H476"/>
      <c r="I476"/>
      <c r="J476"/>
      <c r="K476"/>
      <c r="L476"/>
      <c r="M476"/>
      <c r="S476" s="54"/>
    </row>
    <row r="477" spans="1:19" s="15" customFormat="1" x14ac:dyDescent="0.3">
      <c r="A477" s="17"/>
      <c r="B477"/>
      <c r="C477"/>
      <c r="D477"/>
      <c r="E477"/>
      <c r="F477"/>
      <c r="G477"/>
      <c r="H477"/>
      <c r="I477"/>
      <c r="J477"/>
      <c r="K477"/>
      <c r="L477"/>
      <c r="M477"/>
      <c r="S477" s="54"/>
    </row>
    <row r="478" spans="1:19" s="15" customFormat="1" x14ac:dyDescent="0.3">
      <c r="A478" s="17"/>
      <c r="B478"/>
      <c r="C478"/>
      <c r="D478"/>
      <c r="E478"/>
      <c r="F478"/>
      <c r="G478"/>
      <c r="H478"/>
      <c r="I478"/>
      <c r="J478"/>
      <c r="K478"/>
      <c r="L478"/>
      <c r="M478"/>
      <c r="S478" s="54"/>
    </row>
    <row r="479" spans="1:19" s="15" customFormat="1" x14ac:dyDescent="0.3">
      <c r="A479" s="17"/>
      <c r="B479"/>
      <c r="C479"/>
      <c r="D479"/>
      <c r="E479"/>
      <c r="F479"/>
      <c r="G479"/>
      <c r="H479"/>
      <c r="I479"/>
      <c r="J479"/>
      <c r="K479"/>
      <c r="L479"/>
      <c r="M479"/>
      <c r="S479" s="54"/>
    </row>
    <row r="480" spans="1:19" s="15" customFormat="1" x14ac:dyDescent="0.3">
      <c r="A480" s="17"/>
      <c r="B480"/>
      <c r="C480"/>
      <c r="D480"/>
      <c r="E480"/>
      <c r="F480"/>
      <c r="G480"/>
      <c r="H480"/>
      <c r="I480"/>
      <c r="J480"/>
      <c r="K480"/>
      <c r="L480"/>
      <c r="M480"/>
      <c r="S480" s="54"/>
    </row>
    <row r="481" spans="1:19" s="15" customFormat="1" x14ac:dyDescent="0.3">
      <c r="A481" s="17"/>
      <c r="B481"/>
      <c r="C481"/>
      <c r="D481"/>
      <c r="E481"/>
      <c r="F481"/>
      <c r="G481"/>
      <c r="H481"/>
      <c r="I481"/>
      <c r="J481"/>
      <c r="K481"/>
      <c r="L481"/>
      <c r="M481"/>
      <c r="S481" s="54"/>
    </row>
    <row r="482" spans="1:19" s="15" customFormat="1" x14ac:dyDescent="0.3">
      <c r="A482" s="17"/>
      <c r="B482"/>
      <c r="C482"/>
      <c r="D482"/>
      <c r="E482"/>
      <c r="F482"/>
      <c r="G482"/>
      <c r="H482"/>
      <c r="I482"/>
      <c r="J482"/>
      <c r="K482"/>
      <c r="L482"/>
      <c r="M482"/>
      <c r="S482" s="54"/>
    </row>
    <row r="483" spans="1:19" s="15" customFormat="1" x14ac:dyDescent="0.3">
      <c r="A483" s="17"/>
      <c r="B483"/>
      <c r="C483"/>
      <c r="D483"/>
      <c r="E483"/>
      <c r="F483"/>
      <c r="G483"/>
      <c r="H483"/>
      <c r="I483"/>
      <c r="J483"/>
      <c r="K483"/>
      <c r="L483"/>
      <c r="M483"/>
      <c r="S483" s="54"/>
    </row>
    <row r="484" spans="1:19" s="15" customFormat="1" x14ac:dyDescent="0.3">
      <c r="A484" s="17"/>
      <c r="B484"/>
      <c r="C484"/>
      <c r="D484"/>
      <c r="E484"/>
      <c r="F484"/>
      <c r="G484"/>
      <c r="H484"/>
      <c r="I484"/>
      <c r="J484"/>
      <c r="K484"/>
      <c r="L484"/>
      <c r="M484"/>
      <c r="S484" s="54"/>
    </row>
    <row r="485" spans="1:19" s="15" customFormat="1" x14ac:dyDescent="0.3">
      <c r="A485" s="17"/>
      <c r="B485"/>
      <c r="C485"/>
      <c r="D485"/>
      <c r="E485"/>
      <c r="F485"/>
      <c r="G485"/>
      <c r="H485"/>
      <c r="I485"/>
      <c r="J485"/>
      <c r="K485"/>
      <c r="L485"/>
      <c r="M485"/>
      <c r="S485" s="54"/>
    </row>
    <row r="486" spans="1:19" s="15" customFormat="1" x14ac:dyDescent="0.3">
      <c r="A486" s="17"/>
      <c r="B486"/>
      <c r="C486"/>
      <c r="D486"/>
      <c r="E486"/>
      <c r="F486"/>
      <c r="G486"/>
      <c r="H486"/>
      <c r="I486"/>
      <c r="J486"/>
      <c r="K486"/>
      <c r="L486"/>
      <c r="M486"/>
      <c r="S486" s="54"/>
    </row>
    <row r="487" spans="1:19" s="15" customFormat="1" x14ac:dyDescent="0.3">
      <c r="A487" s="17"/>
      <c r="B487"/>
      <c r="C487"/>
      <c r="D487"/>
      <c r="E487"/>
      <c r="F487"/>
      <c r="G487"/>
      <c r="H487"/>
      <c r="I487"/>
      <c r="J487"/>
      <c r="K487"/>
      <c r="L487"/>
      <c r="M487"/>
      <c r="S487" s="54"/>
    </row>
    <row r="488" spans="1:19" s="15" customFormat="1" x14ac:dyDescent="0.3">
      <c r="A488" s="17"/>
      <c r="B488"/>
      <c r="C488"/>
      <c r="D488"/>
      <c r="E488"/>
      <c r="F488"/>
      <c r="G488"/>
      <c r="H488"/>
      <c r="I488"/>
      <c r="J488"/>
      <c r="K488"/>
      <c r="L488"/>
      <c r="M488"/>
      <c r="S488" s="54"/>
    </row>
    <row r="489" spans="1:19" s="15" customFormat="1" x14ac:dyDescent="0.3">
      <c r="A489" s="17"/>
      <c r="B489"/>
      <c r="C489"/>
      <c r="D489"/>
      <c r="E489"/>
      <c r="F489"/>
      <c r="G489"/>
      <c r="H489"/>
      <c r="I489"/>
      <c r="J489"/>
      <c r="K489"/>
      <c r="L489"/>
      <c r="M489"/>
      <c r="S489" s="54"/>
    </row>
    <row r="490" spans="1:19" s="15" customFormat="1" x14ac:dyDescent="0.3">
      <c r="A490" s="17"/>
      <c r="B490"/>
      <c r="C490"/>
      <c r="D490"/>
      <c r="E490"/>
      <c r="F490"/>
      <c r="G490"/>
      <c r="H490"/>
      <c r="I490"/>
      <c r="J490"/>
      <c r="K490"/>
      <c r="L490"/>
      <c r="M490"/>
      <c r="S490" s="54"/>
    </row>
    <row r="491" spans="1:19" s="15" customFormat="1" x14ac:dyDescent="0.3">
      <c r="A491" s="17"/>
      <c r="B491"/>
      <c r="C491"/>
      <c r="D491"/>
      <c r="E491"/>
      <c r="F491"/>
      <c r="G491"/>
      <c r="H491"/>
      <c r="I491"/>
      <c r="J491"/>
      <c r="K491"/>
      <c r="L491"/>
      <c r="M491"/>
      <c r="S491" s="54"/>
    </row>
    <row r="492" spans="1:19" s="15" customFormat="1" x14ac:dyDescent="0.3">
      <c r="A492" s="17"/>
      <c r="B492"/>
      <c r="C492"/>
      <c r="D492"/>
      <c r="E492"/>
      <c r="F492"/>
      <c r="G492"/>
      <c r="H492"/>
      <c r="I492"/>
      <c r="J492"/>
      <c r="K492"/>
      <c r="L492"/>
      <c r="M492"/>
      <c r="S492" s="54"/>
    </row>
    <row r="493" spans="1:19" s="15" customFormat="1" x14ac:dyDescent="0.3">
      <c r="A493" s="17"/>
      <c r="B493"/>
      <c r="C493"/>
      <c r="D493"/>
      <c r="E493"/>
      <c r="F493"/>
      <c r="G493"/>
      <c r="H493"/>
      <c r="I493"/>
      <c r="J493"/>
      <c r="K493"/>
      <c r="L493"/>
      <c r="M493"/>
      <c r="S493" s="54"/>
    </row>
    <row r="494" spans="1:19" s="15" customFormat="1" x14ac:dyDescent="0.3">
      <c r="A494" s="17"/>
      <c r="B494"/>
      <c r="C494"/>
      <c r="D494"/>
      <c r="E494"/>
      <c r="F494"/>
      <c r="G494"/>
      <c r="H494"/>
      <c r="I494"/>
      <c r="J494"/>
      <c r="K494"/>
      <c r="L494"/>
      <c r="M494"/>
      <c r="S494" s="54"/>
    </row>
    <row r="495" spans="1:19" s="15" customFormat="1" x14ac:dyDescent="0.3">
      <c r="A495" s="17"/>
      <c r="B495"/>
      <c r="C495"/>
      <c r="D495"/>
      <c r="E495"/>
      <c r="F495"/>
      <c r="G495"/>
      <c r="H495"/>
      <c r="I495"/>
      <c r="J495"/>
      <c r="K495"/>
      <c r="L495"/>
      <c r="M495"/>
      <c r="S495" s="54"/>
    </row>
    <row r="496" spans="1:19" s="15" customFormat="1" x14ac:dyDescent="0.3">
      <c r="A496" s="17"/>
      <c r="B496"/>
      <c r="C496"/>
      <c r="D496"/>
      <c r="E496"/>
      <c r="F496"/>
      <c r="G496"/>
      <c r="H496"/>
      <c r="I496"/>
      <c r="J496"/>
      <c r="K496"/>
      <c r="L496"/>
      <c r="M496"/>
      <c r="S496" s="54"/>
    </row>
    <row r="497" spans="1:19" s="15" customFormat="1" x14ac:dyDescent="0.3">
      <c r="A497" s="17"/>
      <c r="B497"/>
      <c r="C497"/>
      <c r="D497"/>
      <c r="E497"/>
      <c r="F497"/>
      <c r="G497"/>
      <c r="H497"/>
      <c r="I497"/>
      <c r="J497"/>
      <c r="K497"/>
      <c r="L497"/>
      <c r="M497"/>
      <c r="S497" s="54"/>
    </row>
    <row r="498" spans="1:19" s="15" customFormat="1" x14ac:dyDescent="0.3">
      <c r="A498" s="17"/>
      <c r="B498"/>
      <c r="C498"/>
      <c r="D498"/>
      <c r="E498"/>
      <c r="F498"/>
      <c r="G498"/>
      <c r="H498"/>
      <c r="I498"/>
      <c r="J498"/>
      <c r="K498"/>
      <c r="L498"/>
      <c r="M498"/>
      <c r="S498" s="54"/>
    </row>
    <row r="499" spans="1:19" s="15" customFormat="1" x14ac:dyDescent="0.3">
      <c r="A499" s="17"/>
      <c r="B499"/>
      <c r="C499"/>
      <c r="D499"/>
      <c r="E499"/>
      <c r="F499"/>
      <c r="G499"/>
      <c r="H499"/>
      <c r="I499"/>
      <c r="J499"/>
      <c r="K499"/>
      <c r="L499"/>
      <c r="M499"/>
      <c r="S499" s="54"/>
    </row>
    <row r="500" spans="1:19" s="15" customFormat="1" x14ac:dyDescent="0.3">
      <c r="A500" s="17"/>
      <c r="B500"/>
      <c r="C500"/>
      <c r="D500"/>
      <c r="E500"/>
      <c r="F500"/>
      <c r="G500"/>
      <c r="H500"/>
      <c r="I500"/>
      <c r="J500"/>
      <c r="K500"/>
      <c r="L500"/>
      <c r="M500"/>
      <c r="S500" s="54"/>
    </row>
    <row r="501" spans="1:19" s="15" customFormat="1" x14ac:dyDescent="0.3">
      <c r="A501" s="17"/>
      <c r="B501"/>
      <c r="C501"/>
      <c r="D501"/>
      <c r="E501"/>
      <c r="F501"/>
      <c r="G501"/>
      <c r="H501"/>
      <c r="I501"/>
      <c r="J501"/>
      <c r="K501"/>
      <c r="L501"/>
      <c r="M501"/>
      <c r="S501" s="54"/>
    </row>
    <row r="502" spans="1:19" s="15" customFormat="1" x14ac:dyDescent="0.3">
      <c r="A502" s="17"/>
      <c r="B502"/>
      <c r="C502"/>
      <c r="D502"/>
      <c r="E502"/>
      <c r="F502"/>
      <c r="G502"/>
      <c r="H502"/>
      <c r="I502"/>
      <c r="J502"/>
      <c r="K502"/>
      <c r="L502"/>
      <c r="M502"/>
      <c r="S502" s="54"/>
    </row>
    <row r="503" spans="1:19" s="15" customFormat="1" x14ac:dyDescent="0.3">
      <c r="A503" s="17"/>
      <c r="B503"/>
      <c r="C503"/>
      <c r="D503"/>
      <c r="E503"/>
      <c r="F503"/>
      <c r="G503"/>
      <c r="H503"/>
      <c r="I503"/>
      <c r="J503"/>
      <c r="K503"/>
      <c r="L503"/>
      <c r="M503"/>
      <c r="S503" s="54"/>
    </row>
    <row r="504" spans="1:19" s="15" customFormat="1" x14ac:dyDescent="0.3">
      <c r="A504" s="17"/>
      <c r="B504"/>
      <c r="C504"/>
      <c r="D504"/>
      <c r="E504"/>
      <c r="F504"/>
      <c r="G504"/>
      <c r="H504"/>
      <c r="I504"/>
      <c r="J504"/>
      <c r="K504"/>
      <c r="L504"/>
      <c r="M504"/>
      <c r="S504" s="54"/>
    </row>
    <row r="505" spans="1:19" s="15" customFormat="1" x14ac:dyDescent="0.3">
      <c r="A505" s="17"/>
      <c r="B505"/>
      <c r="C505"/>
      <c r="D505"/>
      <c r="E505"/>
      <c r="F505"/>
      <c r="G505"/>
      <c r="H505"/>
      <c r="I505"/>
      <c r="J505"/>
      <c r="K505"/>
      <c r="L505"/>
      <c r="M505"/>
      <c r="S505" s="54"/>
    </row>
    <row r="506" spans="1:19" s="15" customFormat="1" x14ac:dyDescent="0.3">
      <c r="A506" s="17"/>
      <c r="B506"/>
      <c r="C506"/>
      <c r="D506"/>
      <c r="E506"/>
      <c r="F506"/>
      <c r="G506"/>
      <c r="H506"/>
      <c r="I506"/>
      <c r="J506"/>
      <c r="K506"/>
      <c r="L506"/>
      <c r="M506"/>
      <c r="S506" s="54"/>
    </row>
    <row r="507" spans="1:19" s="15" customFormat="1" x14ac:dyDescent="0.3">
      <c r="A507" s="17"/>
      <c r="B507"/>
      <c r="C507"/>
      <c r="D507"/>
      <c r="E507"/>
      <c r="F507"/>
      <c r="G507"/>
      <c r="H507"/>
      <c r="I507"/>
      <c r="J507"/>
      <c r="K507"/>
      <c r="L507"/>
      <c r="M507"/>
      <c r="S507" s="54"/>
    </row>
    <row r="508" spans="1:19" s="15" customFormat="1" x14ac:dyDescent="0.3">
      <c r="A508" s="17"/>
      <c r="B508"/>
      <c r="C508"/>
      <c r="D508"/>
      <c r="E508"/>
      <c r="F508"/>
      <c r="G508"/>
      <c r="H508"/>
      <c r="I508"/>
      <c r="J508"/>
      <c r="K508"/>
      <c r="L508"/>
      <c r="M508"/>
      <c r="S508" s="54"/>
    </row>
    <row r="509" spans="1:19" s="15" customFormat="1" x14ac:dyDescent="0.3">
      <c r="A509" s="17"/>
      <c r="B509"/>
      <c r="C509"/>
      <c r="D509"/>
      <c r="E509"/>
      <c r="F509"/>
      <c r="G509"/>
      <c r="H509"/>
      <c r="I509"/>
      <c r="J509"/>
      <c r="K509"/>
      <c r="L509"/>
      <c r="M509"/>
      <c r="S509" s="54"/>
    </row>
    <row r="510" spans="1:19" s="15" customFormat="1" x14ac:dyDescent="0.3">
      <c r="A510" s="17"/>
      <c r="B510"/>
      <c r="C510"/>
      <c r="D510"/>
      <c r="E510"/>
      <c r="F510"/>
      <c r="G510"/>
      <c r="H510"/>
      <c r="I510"/>
      <c r="J510"/>
      <c r="K510"/>
      <c r="L510"/>
      <c r="M510"/>
      <c r="S510" s="54"/>
    </row>
    <row r="511" spans="1:19" s="15" customFormat="1" x14ac:dyDescent="0.3">
      <c r="A511" s="17"/>
      <c r="B511"/>
      <c r="C511"/>
      <c r="D511"/>
      <c r="E511"/>
      <c r="F511"/>
      <c r="G511"/>
      <c r="H511"/>
      <c r="I511"/>
      <c r="J511"/>
      <c r="K511"/>
      <c r="L511"/>
      <c r="M511"/>
      <c r="S511" s="54"/>
    </row>
    <row r="512" spans="1:19" s="15" customFormat="1" x14ac:dyDescent="0.3">
      <c r="A512" s="17"/>
      <c r="B512"/>
      <c r="C512"/>
      <c r="D512"/>
      <c r="E512"/>
      <c r="F512"/>
      <c r="G512"/>
      <c r="H512"/>
      <c r="I512"/>
      <c r="J512"/>
      <c r="K512"/>
      <c r="L512"/>
      <c r="M512"/>
      <c r="S512" s="54"/>
    </row>
    <row r="513" spans="1:19" s="15" customFormat="1" x14ac:dyDescent="0.3">
      <c r="A513" s="17"/>
      <c r="B513"/>
      <c r="C513"/>
      <c r="D513"/>
      <c r="E513"/>
      <c r="F513"/>
      <c r="G513"/>
      <c r="H513"/>
      <c r="I513"/>
      <c r="J513"/>
      <c r="K513"/>
      <c r="L513"/>
      <c r="M513"/>
      <c r="S513" s="54"/>
    </row>
    <row r="514" spans="1:19" s="15" customFormat="1" x14ac:dyDescent="0.3">
      <c r="A514" s="17"/>
      <c r="B514"/>
      <c r="C514"/>
      <c r="D514"/>
      <c r="E514"/>
      <c r="F514"/>
      <c r="G514"/>
      <c r="H514"/>
      <c r="I514"/>
      <c r="J514"/>
      <c r="K514"/>
      <c r="L514"/>
      <c r="M514"/>
      <c r="S514" s="54"/>
    </row>
    <row r="515" spans="1:19" s="15" customFormat="1" x14ac:dyDescent="0.3">
      <c r="A515" s="17"/>
      <c r="B515"/>
      <c r="C515"/>
      <c r="D515"/>
      <c r="E515"/>
      <c r="F515"/>
      <c r="G515"/>
      <c r="H515"/>
      <c r="I515"/>
      <c r="J515"/>
      <c r="K515"/>
      <c r="L515"/>
      <c r="M515"/>
      <c r="S515" s="54"/>
    </row>
    <row r="516" spans="1:19" s="15" customFormat="1" x14ac:dyDescent="0.3">
      <c r="A516" s="17"/>
      <c r="B516"/>
      <c r="C516"/>
      <c r="D516"/>
      <c r="E516"/>
      <c r="F516"/>
      <c r="G516"/>
      <c r="H516"/>
      <c r="I516"/>
      <c r="J516"/>
      <c r="K516"/>
      <c r="L516"/>
      <c r="M516"/>
      <c r="S516" s="54"/>
    </row>
    <row r="517" spans="1:19" s="15" customFormat="1" x14ac:dyDescent="0.3">
      <c r="A517" s="17"/>
      <c r="B517"/>
      <c r="C517"/>
      <c r="D517"/>
      <c r="E517"/>
      <c r="F517"/>
      <c r="G517"/>
      <c r="H517"/>
      <c r="I517"/>
      <c r="J517"/>
      <c r="K517"/>
      <c r="L517"/>
      <c r="M517"/>
      <c r="S517" s="54"/>
    </row>
    <row r="518" spans="1:19" s="15" customFormat="1" x14ac:dyDescent="0.3">
      <c r="A518" s="17"/>
      <c r="B518"/>
      <c r="C518"/>
      <c r="D518"/>
      <c r="E518"/>
      <c r="F518"/>
      <c r="G518"/>
      <c r="H518"/>
      <c r="I518"/>
      <c r="J518"/>
      <c r="K518"/>
      <c r="L518"/>
      <c r="M518"/>
      <c r="S518" s="54"/>
    </row>
    <row r="519" spans="1:19" s="15" customFormat="1" x14ac:dyDescent="0.3">
      <c r="A519" s="17"/>
      <c r="B519"/>
      <c r="C519"/>
      <c r="D519"/>
      <c r="E519"/>
      <c r="F519"/>
      <c r="G519"/>
      <c r="H519"/>
      <c r="I519"/>
      <c r="J519"/>
      <c r="K519"/>
      <c r="L519"/>
      <c r="M519"/>
      <c r="S519" s="54"/>
    </row>
    <row r="520" spans="1:19" s="15" customFormat="1" x14ac:dyDescent="0.3">
      <c r="A520" s="17"/>
      <c r="B520"/>
      <c r="C520"/>
      <c r="D520"/>
      <c r="E520"/>
      <c r="F520"/>
      <c r="G520"/>
      <c r="H520"/>
      <c r="I520"/>
      <c r="J520"/>
      <c r="K520"/>
      <c r="L520"/>
      <c r="M520"/>
      <c r="S520" s="54"/>
    </row>
    <row r="521" spans="1:19" s="15" customFormat="1" x14ac:dyDescent="0.3">
      <c r="A521" s="17"/>
      <c r="B521"/>
      <c r="C521"/>
      <c r="D521"/>
      <c r="E521"/>
      <c r="F521"/>
      <c r="G521"/>
      <c r="H521"/>
      <c r="I521"/>
      <c r="J521"/>
      <c r="K521"/>
      <c r="L521"/>
      <c r="M521"/>
      <c r="S521" s="54"/>
    </row>
    <row r="522" spans="1:19" s="15" customFormat="1" x14ac:dyDescent="0.3">
      <c r="A522" s="17"/>
      <c r="B522"/>
      <c r="C522"/>
      <c r="D522"/>
      <c r="E522"/>
      <c r="F522"/>
      <c r="G522"/>
      <c r="H522"/>
      <c r="I522"/>
      <c r="J522"/>
      <c r="K522"/>
      <c r="L522"/>
      <c r="M522"/>
      <c r="S522" s="54"/>
    </row>
    <row r="523" spans="1:19" s="15" customFormat="1" x14ac:dyDescent="0.3">
      <c r="A523" s="17"/>
      <c r="B523"/>
      <c r="C523"/>
      <c r="D523"/>
      <c r="E523"/>
      <c r="F523"/>
      <c r="G523"/>
      <c r="H523"/>
      <c r="I523"/>
      <c r="J523"/>
      <c r="K523"/>
      <c r="L523"/>
      <c r="M523"/>
      <c r="S523" s="54"/>
    </row>
    <row r="524" spans="1:19" s="15" customFormat="1" x14ac:dyDescent="0.3">
      <c r="A524" s="17"/>
      <c r="B524"/>
      <c r="C524"/>
      <c r="D524"/>
      <c r="E524"/>
      <c r="F524"/>
      <c r="G524"/>
      <c r="H524"/>
      <c r="I524"/>
      <c r="J524"/>
      <c r="K524"/>
      <c r="L524"/>
      <c r="M524"/>
      <c r="S524" s="54"/>
    </row>
    <row r="525" spans="1:19" s="15" customFormat="1" x14ac:dyDescent="0.3">
      <c r="A525" s="17"/>
      <c r="B525"/>
      <c r="C525"/>
      <c r="D525"/>
      <c r="E525"/>
      <c r="F525"/>
      <c r="G525"/>
      <c r="H525"/>
      <c r="I525"/>
      <c r="J525"/>
      <c r="K525"/>
      <c r="L525"/>
      <c r="M525"/>
      <c r="S525" s="54"/>
    </row>
    <row r="526" spans="1:19" s="15" customFormat="1" x14ac:dyDescent="0.3">
      <c r="A526" s="17"/>
      <c r="B526"/>
      <c r="C526"/>
      <c r="D526"/>
      <c r="E526"/>
      <c r="F526"/>
      <c r="G526"/>
      <c r="H526"/>
      <c r="I526"/>
      <c r="J526"/>
      <c r="K526"/>
      <c r="L526"/>
      <c r="M526"/>
      <c r="S526" s="54"/>
    </row>
    <row r="527" spans="1:19" s="15" customFormat="1" x14ac:dyDescent="0.3">
      <c r="A527" s="17"/>
      <c r="B527"/>
      <c r="C527"/>
      <c r="D527"/>
      <c r="E527"/>
      <c r="F527"/>
      <c r="G527"/>
      <c r="H527"/>
      <c r="I527"/>
      <c r="J527"/>
      <c r="K527"/>
      <c r="L527"/>
      <c r="M527"/>
      <c r="S527" s="54"/>
    </row>
    <row r="528" spans="1:19" s="15" customFormat="1" x14ac:dyDescent="0.3">
      <c r="A528" s="17"/>
      <c r="B528"/>
      <c r="C528"/>
      <c r="D528"/>
      <c r="E528"/>
      <c r="F528"/>
      <c r="G528"/>
      <c r="H528"/>
      <c r="I528"/>
      <c r="J528"/>
      <c r="K528"/>
      <c r="L528"/>
      <c r="M528"/>
      <c r="S528" s="54"/>
    </row>
    <row r="529" spans="1:19" s="15" customFormat="1" x14ac:dyDescent="0.3">
      <c r="A529" s="17"/>
      <c r="B529"/>
      <c r="C529"/>
      <c r="D529"/>
      <c r="E529"/>
      <c r="F529"/>
      <c r="G529"/>
      <c r="H529"/>
      <c r="I529"/>
      <c r="J529"/>
      <c r="K529"/>
      <c r="L529"/>
      <c r="M529"/>
      <c r="S529" s="54"/>
    </row>
    <row r="530" spans="1:19" s="15" customFormat="1" x14ac:dyDescent="0.3">
      <c r="A530" s="17"/>
      <c r="B530"/>
      <c r="C530"/>
      <c r="D530"/>
      <c r="E530"/>
      <c r="F530"/>
      <c r="G530"/>
      <c r="H530"/>
      <c r="I530"/>
      <c r="J530"/>
      <c r="K530"/>
      <c r="L530"/>
      <c r="M530"/>
      <c r="S530" s="54"/>
    </row>
    <row r="531" spans="1:19" s="15" customFormat="1" x14ac:dyDescent="0.3">
      <c r="A531" s="17"/>
      <c r="B531"/>
      <c r="C531"/>
      <c r="D531"/>
      <c r="E531"/>
      <c r="F531"/>
      <c r="G531"/>
      <c r="H531"/>
      <c r="I531"/>
      <c r="J531"/>
      <c r="K531"/>
      <c r="L531"/>
      <c r="M531"/>
      <c r="S531" s="54"/>
    </row>
    <row r="532" spans="1:19" s="15" customFormat="1" x14ac:dyDescent="0.3">
      <c r="A532" s="17"/>
      <c r="B532"/>
      <c r="C532"/>
      <c r="D532"/>
      <c r="E532"/>
      <c r="F532"/>
      <c r="G532"/>
      <c r="H532"/>
      <c r="I532"/>
      <c r="J532"/>
      <c r="K532"/>
      <c r="L532"/>
      <c r="M532"/>
      <c r="S532" s="54"/>
    </row>
    <row r="533" spans="1:19" s="15" customFormat="1" x14ac:dyDescent="0.3">
      <c r="A533" s="17"/>
      <c r="B533"/>
      <c r="C533"/>
      <c r="D533"/>
      <c r="E533"/>
      <c r="F533"/>
      <c r="G533"/>
      <c r="H533"/>
      <c r="I533"/>
      <c r="J533"/>
      <c r="K533"/>
      <c r="L533"/>
      <c r="M533"/>
      <c r="S533" s="54"/>
    </row>
    <row r="534" spans="1:19" s="15" customFormat="1" x14ac:dyDescent="0.3">
      <c r="A534" s="17"/>
      <c r="B534"/>
      <c r="C534"/>
      <c r="D534"/>
      <c r="E534"/>
      <c r="F534"/>
      <c r="G534"/>
      <c r="H534"/>
      <c r="I534"/>
      <c r="J534"/>
      <c r="K534"/>
      <c r="L534"/>
      <c r="M534"/>
      <c r="S534" s="54"/>
    </row>
    <row r="535" spans="1:19" s="15" customFormat="1" x14ac:dyDescent="0.3">
      <c r="A535" s="17"/>
      <c r="B535"/>
      <c r="C535"/>
      <c r="D535"/>
      <c r="E535"/>
      <c r="F535"/>
      <c r="G535"/>
      <c r="H535"/>
      <c r="I535"/>
      <c r="J535"/>
      <c r="K535"/>
      <c r="L535"/>
      <c r="M535"/>
      <c r="S535" s="54"/>
    </row>
    <row r="536" spans="1:19" s="15" customFormat="1" x14ac:dyDescent="0.3">
      <c r="A536" s="17"/>
      <c r="B536"/>
      <c r="C536"/>
      <c r="D536"/>
      <c r="E536"/>
      <c r="F536"/>
      <c r="G536"/>
      <c r="H536"/>
      <c r="I536"/>
      <c r="J536"/>
      <c r="K536"/>
      <c r="L536"/>
      <c r="M536"/>
      <c r="S536" s="54"/>
    </row>
    <row r="537" spans="1:19" s="15" customFormat="1" x14ac:dyDescent="0.3">
      <c r="A537" s="17"/>
      <c r="B537"/>
      <c r="C537"/>
      <c r="D537"/>
      <c r="E537"/>
      <c r="F537"/>
      <c r="G537"/>
      <c r="H537"/>
      <c r="I537"/>
      <c r="J537"/>
      <c r="K537"/>
      <c r="L537"/>
      <c r="M537"/>
      <c r="S537" s="54"/>
    </row>
    <row r="538" spans="1:19" s="15" customFormat="1" x14ac:dyDescent="0.3">
      <c r="A538" s="17"/>
      <c r="B538"/>
      <c r="C538"/>
      <c r="D538"/>
      <c r="E538"/>
      <c r="F538"/>
      <c r="G538"/>
      <c r="H538"/>
      <c r="I538"/>
      <c r="J538"/>
      <c r="K538"/>
      <c r="L538"/>
      <c r="M538"/>
      <c r="S538" s="54"/>
    </row>
    <row r="539" spans="1:19" s="15" customFormat="1" x14ac:dyDescent="0.3">
      <c r="A539" s="17"/>
      <c r="B539"/>
      <c r="C539"/>
      <c r="D539"/>
      <c r="E539"/>
      <c r="F539"/>
      <c r="G539"/>
      <c r="H539"/>
      <c r="I539"/>
      <c r="J539"/>
      <c r="K539"/>
      <c r="L539"/>
      <c r="M539"/>
      <c r="S539" s="54"/>
    </row>
    <row r="540" spans="1:19" s="15" customFormat="1" x14ac:dyDescent="0.3">
      <c r="A540" s="17"/>
      <c r="B540"/>
      <c r="C540"/>
      <c r="D540"/>
      <c r="E540"/>
      <c r="F540"/>
      <c r="G540"/>
      <c r="H540"/>
      <c r="I540"/>
      <c r="J540"/>
      <c r="K540"/>
      <c r="L540"/>
      <c r="M540"/>
      <c r="S540" s="54"/>
    </row>
    <row r="541" spans="1:19" s="15" customFormat="1" x14ac:dyDescent="0.3">
      <c r="A541" s="17"/>
      <c r="B541"/>
      <c r="C541"/>
      <c r="D541"/>
      <c r="E541"/>
      <c r="F541"/>
      <c r="G541"/>
      <c r="H541"/>
      <c r="I541"/>
      <c r="J541"/>
      <c r="K541"/>
      <c r="L541"/>
      <c r="M541"/>
      <c r="S541" s="54"/>
    </row>
    <row r="542" spans="1:19" s="15" customFormat="1" x14ac:dyDescent="0.3">
      <c r="A542" s="17"/>
      <c r="B542"/>
      <c r="C542"/>
      <c r="D542"/>
      <c r="E542"/>
      <c r="F542"/>
      <c r="G542"/>
      <c r="H542"/>
      <c r="I542"/>
      <c r="J542"/>
      <c r="K542"/>
      <c r="L542"/>
      <c r="M542"/>
      <c r="S542" s="54"/>
    </row>
    <row r="543" spans="1:19" s="15" customFormat="1" x14ac:dyDescent="0.3">
      <c r="A543" s="17"/>
      <c r="B543"/>
      <c r="C543"/>
      <c r="D543"/>
      <c r="E543"/>
      <c r="F543"/>
      <c r="G543"/>
      <c r="H543"/>
      <c r="I543"/>
      <c r="J543"/>
      <c r="K543"/>
      <c r="L543"/>
      <c r="M543"/>
      <c r="S543" s="54"/>
    </row>
    <row r="544" spans="1:19" s="15" customFormat="1" x14ac:dyDescent="0.3">
      <c r="A544" s="17"/>
      <c r="B544"/>
      <c r="C544"/>
      <c r="D544"/>
      <c r="E544"/>
      <c r="F544"/>
      <c r="G544"/>
      <c r="H544"/>
      <c r="I544"/>
      <c r="J544"/>
      <c r="K544"/>
      <c r="L544"/>
      <c r="M544"/>
      <c r="S544" s="54"/>
    </row>
    <row r="545" spans="1:19" s="15" customFormat="1" x14ac:dyDescent="0.3">
      <c r="A545" s="17"/>
      <c r="B545"/>
      <c r="C545"/>
      <c r="D545"/>
      <c r="E545"/>
      <c r="F545"/>
      <c r="G545"/>
      <c r="H545"/>
      <c r="I545"/>
      <c r="J545"/>
      <c r="K545"/>
      <c r="L545"/>
      <c r="M545"/>
      <c r="S545" s="54"/>
    </row>
    <row r="546" spans="1:19" s="15" customFormat="1" x14ac:dyDescent="0.3">
      <c r="A546" s="17"/>
      <c r="B546"/>
      <c r="C546"/>
      <c r="D546"/>
      <c r="E546"/>
      <c r="F546"/>
      <c r="G546"/>
      <c r="H546"/>
      <c r="I546"/>
      <c r="J546"/>
      <c r="K546"/>
      <c r="L546"/>
      <c r="M546"/>
      <c r="S546" s="54"/>
    </row>
    <row r="547" spans="1:19" s="15" customFormat="1" x14ac:dyDescent="0.3">
      <c r="A547" s="17"/>
      <c r="B547"/>
      <c r="C547"/>
      <c r="D547"/>
      <c r="E547"/>
      <c r="F547"/>
      <c r="G547"/>
      <c r="H547"/>
      <c r="I547"/>
      <c r="J547"/>
      <c r="K547"/>
      <c r="L547"/>
      <c r="M547"/>
      <c r="S547" s="54"/>
    </row>
    <row r="548" spans="1:19" s="15" customFormat="1" x14ac:dyDescent="0.3">
      <c r="A548" s="17"/>
      <c r="B548"/>
      <c r="C548"/>
      <c r="D548"/>
      <c r="E548"/>
      <c r="F548"/>
      <c r="G548"/>
      <c r="H548"/>
      <c r="I548"/>
      <c r="J548"/>
      <c r="K548"/>
      <c r="L548"/>
      <c r="M548"/>
      <c r="S548" s="54"/>
    </row>
    <row r="549" spans="1:19" s="15" customFormat="1" x14ac:dyDescent="0.3">
      <c r="A549" s="17"/>
      <c r="B549"/>
      <c r="C549"/>
      <c r="D549"/>
      <c r="E549"/>
      <c r="F549"/>
      <c r="G549"/>
      <c r="H549"/>
      <c r="I549"/>
      <c r="J549"/>
      <c r="K549"/>
      <c r="L549"/>
      <c r="M549"/>
      <c r="S549" s="54"/>
    </row>
    <row r="550" spans="1:19" s="15" customFormat="1" x14ac:dyDescent="0.3">
      <c r="A550" s="17"/>
      <c r="B550"/>
      <c r="C550"/>
      <c r="D550"/>
      <c r="E550"/>
      <c r="F550"/>
      <c r="G550"/>
      <c r="H550"/>
      <c r="I550"/>
      <c r="J550"/>
      <c r="K550"/>
      <c r="L550"/>
      <c r="M550"/>
      <c r="S550" s="54"/>
    </row>
    <row r="551" spans="1:19" s="15" customFormat="1" x14ac:dyDescent="0.3">
      <c r="A551" s="17"/>
      <c r="B551"/>
      <c r="C551"/>
      <c r="D551"/>
      <c r="E551"/>
      <c r="F551"/>
      <c r="G551"/>
      <c r="H551"/>
      <c r="I551"/>
      <c r="J551"/>
      <c r="K551"/>
      <c r="L551"/>
      <c r="M551"/>
      <c r="S551" s="54"/>
    </row>
    <row r="552" spans="1:19" s="15" customFormat="1" x14ac:dyDescent="0.3">
      <c r="A552" s="17"/>
      <c r="B552"/>
      <c r="C552"/>
      <c r="D552"/>
      <c r="E552"/>
      <c r="F552"/>
      <c r="G552"/>
      <c r="H552"/>
      <c r="I552"/>
      <c r="J552"/>
      <c r="K552"/>
      <c r="L552"/>
      <c r="M552"/>
      <c r="S552" s="54"/>
    </row>
    <row r="553" spans="1:19" s="15" customFormat="1" x14ac:dyDescent="0.3">
      <c r="A553" s="17"/>
      <c r="B553"/>
      <c r="C553"/>
      <c r="D553"/>
      <c r="E553"/>
      <c r="F553"/>
      <c r="G553"/>
      <c r="H553"/>
      <c r="I553"/>
      <c r="J553"/>
      <c r="K553"/>
      <c r="L553"/>
      <c r="M553"/>
      <c r="S553" s="54"/>
    </row>
    <row r="554" spans="1:19" s="15" customFormat="1" x14ac:dyDescent="0.3">
      <c r="A554" s="17"/>
      <c r="B554"/>
      <c r="C554"/>
      <c r="D554"/>
      <c r="E554"/>
      <c r="F554"/>
      <c r="G554"/>
      <c r="H554"/>
      <c r="I554"/>
      <c r="J554"/>
      <c r="K554"/>
      <c r="L554"/>
      <c r="M554"/>
      <c r="S554" s="54"/>
    </row>
    <row r="555" spans="1:19" s="15" customFormat="1" x14ac:dyDescent="0.3">
      <c r="A555" s="17"/>
      <c r="B555"/>
      <c r="C555"/>
      <c r="D555"/>
      <c r="E555"/>
      <c r="F555"/>
      <c r="G555"/>
      <c r="H555"/>
      <c r="I555"/>
      <c r="J555"/>
      <c r="K555"/>
      <c r="L555"/>
      <c r="M555"/>
      <c r="S555" s="54"/>
    </row>
    <row r="556" spans="1:19" s="15" customFormat="1" x14ac:dyDescent="0.3">
      <c r="A556" s="17"/>
      <c r="B556"/>
      <c r="C556"/>
      <c r="D556"/>
      <c r="E556"/>
      <c r="F556"/>
      <c r="G556"/>
      <c r="H556"/>
      <c r="I556"/>
      <c r="J556"/>
      <c r="K556"/>
      <c r="L556"/>
      <c r="M556"/>
      <c r="S556" s="54"/>
    </row>
    <row r="557" spans="1:19" s="15" customFormat="1" x14ac:dyDescent="0.3">
      <c r="A557" s="17"/>
      <c r="B557"/>
      <c r="C557"/>
      <c r="D557"/>
      <c r="E557"/>
      <c r="F557"/>
      <c r="G557"/>
      <c r="H557"/>
      <c r="I557"/>
      <c r="J557"/>
      <c r="K557"/>
      <c r="L557"/>
      <c r="M557"/>
      <c r="S557" s="54"/>
    </row>
    <row r="558" spans="1:19" s="15" customFormat="1" x14ac:dyDescent="0.3">
      <c r="A558" s="17"/>
      <c r="B558"/>
      <c r="C558"/>
      <c r="D558"/>
      <c r="E558"/>
      <c r="F558"/>
      <c r="G558"/>
      <c r="H558"/>
      <c r="I558"/>
      <c r="J558"/>
      <c r="K558"/>
      <c r="L558"/>
      <c r="M558"/>
      <c r="S558" s="54"/>
    </row>
    <row r="559" spans="1:19" s="15" customFormat="1" x14ac:dyDescent="0.3">
      <c r="A559" s="17"/>
      <c r="B559"/>
      <c r="C559"/>
      <c r="D559"/>
      <c r="E559"/>
      <c r="F559"/>
      <c r="G559"/>
      <c r="H559"/>
      <c r="I559"/>
      <c r="J559"/>
      <c r="K559"/>
      <c r="L559"/>
      <c r="M559"/>
      <c r="S559" s="54"/>
    </row>
    <row r="560" spans="1:19" s="15" customFormat="1" x14ac:dyDescent="0.3">
      <c r="A560" s="17"/>
      <c r="B560"/>
      <c r="C560"/>
      <c r="D560"/>
      <c r="E560"/>
      <c r="F560"/>
      <c r="G560"/>
      <c r="H560"/>
      <c r="I560"/>
      <c r="J560"/>
      <c r="K560"/>
      <c r="L560"/>
      <c r="M560"/>
      <c r="S560" s="54"/>
    </row>
    <row r="561" spans="1:19" s="15" customFormat="1" x14ac:dyDescent="0.3">
      <c r="A561" s="17"/>
      <c r="B561"/>
      <c r="C561"/>
      <c r="D561"/>
      <c r="E561"/>
      <c r="F561"/>
      <c r="G561"/>
      <c r="H561"/>
      <c r="I561"/>
      <c r="J561"/>
      <c r="K561"/>
      <c r="L561"/>
      <c r="M561"/>
      <c r="S561" s="54"/>
    </row>
    <row r="562" spans="1:19" s="15" customFormat="1" x14ac:dyDescent="0.3">
      <c r="A562" s="17"/>
      <c r="B562"/>
      <c r="C562"/>
      <c r="D562"/>
      <c r="E562"/>
      <c r="F562"/>
      <c r="G562"/>
      <c r="H562"/>
      <c r="I562"/>
      <c r="J562"/>
      <c r="K562"/>
      <c r="L562"/>
      <c r="M562"/>
      <c r="S562" s="54"/>
    </row>
    <row r="563" spans="1:19" s="15" customFormat="1" x14ac:dyDescent="0.3">
      <c r="A563" s="17"/>
      <c r="B563"/>
      <c r="C563"/>
      <c r="D563"/>
      <c r="E563"/>
      <c r="F563"/>
      <c r="G563"/>
      <c r="H563"/>
      <c r="I563"/>
      <c r="J563"/>
      <c r="K563"/>
      <c r="L563"/>
      <c r="M563"/>
      <c r="S563" s="54"/>
    </row>
    <row r="564" spans="1:19" s="15" customFormat="1" x14ac:dyDescent="0.3">
      <c r="A564" s="17"/>
      <c r="B564"/>
      <c r="C564"/>
      <c r="D564"/>
      <c r="E564"/>
      <c r="F564"/>
      <c r="G564"/>
      <c r="H564"/>
      <c r="I564"/>
      <c r="J564"/>
      <c r="K564"/>
      <c r="L564"/>
      <c r="M564"/>
      <c r="S564" s="54"/>
    </row>
    <row r="565" spans="1:19" s="15" customFormat="1" x14ac:dyDescent="0.3">
      <c r="A565" s="17"/>
      <c r="B565"/>
      <c r="C565"/>
      <c r="D565"/>
      <c r="E565"/>
      <c r="F565"/>
      <c r="G565"/>
      <c r="H565"/>
      <c r="I565"/>
      <c r="J565"/>
      <c r="K565"/>
      <c r="L565"/>
      <c r="M565"/>
      <c r="S565" s="54"/>
    </row>
    <row r="566" spans="1:19" s="15" customFormat="1" x14ac:dyDescent="0.3">
      <c r="A566" s="17"/>
      <c r="B566"/>
      <c r="C566"/>
      <c r="D566"/>
      <c r="E566"/>
      <c r="F566"/>
      <c r="G566"/>
      <c r="H566"/>
      <c r="I566"/>
      <c r="J566"/>
      <c r="K566"/>
      <c r="L566"/>
      <c r="M566"/>
      <c r="S566" s="54"/>
    </row>
    <row r="567" spans="1:19" s="15" customFormat="1" x14ac:dyDescent="0.3">
      <c r="A567" s="17"/>
      <c r="B567"/>
      <c r="C567"/>
      <c r="D567"/>
      <c r="E567"/>
      <c r="F567"/>
      <c r="G567"/>
      <c r="H567"/>
      <c r="I567"/>
      <c r="J567"/>
      <c r="K567"/>
      <c r="L567"/>
      <c r="M567"/>
      <c r="S567" s="54"/>
    </row>
    <row r="568" spans="1:19" s="15" customFormat="1" x14ac:dyDescent="0.3">
      <c r="A568" s="17"/>
      <c r="B568"/>
      <c r="C568"/>
      <c r="D568"/>
      <c r="E568"/>
      <c r="F568"/>
      <c r="G568"/>
      <c r="H568"/>
      <c r="I568"/>
      <c r="J568"/>
      <c r="K568"/>
      <c r="L568"/>
      <c r="M568"/>
      <c r="S568" s="54"/>
    </row>
    <row r="569" spans="1:19" s="15" customFormat="1" x14ac:dyDescent="0.3">
      <c r="A569" s="17"/>
      <c r="B569"/>
      <c r="C569"/>
      <c r="D569"/>
      <c r="E569"/>
      <c r="F569"/>
      <c r="G569"/>
      <c r="H569"/>
      <c r="I569"/>
      <c r="J569"/>
      <c r="K569"/>
      <c r="L569"/>
      <c r="M569"/>
      <c r="S569" s="54"/>
    </row>
    <row r="570" spans="1:19" s="15" customFormat="1" x14ac:dyDescent="0.3">
      <c r="A570" s="17"/>
      <c r="B570"/>
      <c r="C570"/>
      <c r="D570"/>
      <c r="E570"/>
      <c r="F570"/>
      <c r="G570"/>
      <c r="H570"/>
      <c r="I570"/>
      <c r="J570"/>
      <c r="K570"/>
      <c r="L570"/>
      <c r="M570"/>
      <c r="S570" s="54"/>
    </row>
    <row r="571" spans="1:19" s="15" customFormat="1" x14ac:dyDescent="0.3">
      <c r="A571" s="17"/>
      <c r="B571"/>
      <c r="C571"/>
      <c r="D571"/>
      <c r="E571"/>
      <c r="F571"/>
      <c r="G571"/>
      <c r="H571"/>
      <c r="I571"/>
      <c r="J571"/>
      <c r="K571"/>
      <c r="L571"/>
      <c r="M571"/>
      <c r="S571" s="54"/>
    </row>
    <row r="572" spans="1:19" s="15" customFormat="1" x14ac:dyDescent="0.3">
      <c r="A572" s="17"/>
      <c r="B572"/>
      <c r="C572"/>
      <c r="D572"/>
      <c r="E572"/>
      <c r="F572"/>
      <c r="G572"/>
      <c r="H572"/>
      <c r="I572"/>
      <c r="J572"/>
      <c r="K572"/>
      <c r="L572"/>
      <c r="M572"/>
      <c r="S572" s="54"/>
    </row>
    <row r="573" spans="1:19" s="15" customFormat="1" x14ac:dyDescent="0.3">
      <c r="A573" s="17"/>
      <c r="B573"/>
      <c r="C573"/>
      <c r="D573"/>
      <c r="E573"/>
      <c r="F573"/>
      <c r="G573"/>
      <c r="H573"/>
      <c r="I573"/>
      <c r="J573"/>
      <c r="K573"/>
      <c r="L573"/>
      <c r="M573"/>
      <c r="S573" s="54"/>
    </row>
    <row r="574" spans="1:19" s="15" customFormat="1" x14ac:dyDescent="0.3">
      <c r="A574" s="17"/>
      <c r="B574"/>
      <c r="C574"/>
      <c r="D574"/>
      <c r="E574"/>
      <c r="F574"/>
      <c r="G574"/>
      <c r="H574"/>
      <c r="I574"/>
      <c r="J574"/>
      <c r="K574"/>
      <c r="L574"/>
      <c r="M574"/>
      <c r="S574" s="54"/>
    </row>
    <row r="575" spans="1:19" s="15" customFormat="1" x14ac:dyDescent="0.3">
      <c r="A575" s="17"/>
      <c r="B575"/>
      <c r="C575"/>
      <c r="D575"/>
      <c r="E575"/>
      <c r="F575"/>
      <c r="G575"/>
      <c r="H575"/>
      <c r="I575"/>
      <c r="J575"/>
      <c r="K575"/>
      <c r="L575"/>
      <c r="M575"/>
      <c r="S575" s="54"/>
    </row>
    <row r="576" spans="1:19" s="15" customFormat="1" x14ac:dyDescent="0.3">
      <c r="A576" s="17"/>
      <c r="B576"/>
      <c r="C576"/>
      <c r="D576"/>
      <c r="E576"/>
      <c r="F576"/>
      <c r="G576"/>
      <c r="H576"/>
      <c r="I576"/>
      <c r="J576"/>
      <c r="K576"/>
      <c r="L576"/>
      <c r="M576"/>
      <c r="S576" s="54"/>
    </row>
    <row r="577" spans="1:19" s="15" customFormat="1" x14ac:dyDescent="0.3">
      <c r="A577" s="17"/>
      <c r="B577"/>
      <c r="C577"/>
      <c r="D577"/>
      <c r="E577"/>
      <c r="F577"/>
      <c r="G577"/>
      <c r="H577"/>
      <c r="I577"/>
      <c r="J577"/>
      <c r="K577"/>
      <c r="L577"/>
      <c r="M577"/>
      <c r="S577" s="54"/>
    </row>
    <row r="578" spans="1:19" s="15" customFormat="1" x14ac:dyDescent="0.3">
      <c r="A578" s="17"/>
      <c r="B578"/>
      <c r="C578"/>
      <c r="D578"/>
      <c r="E578"/>
      <c r="F578"/>
      <c r="G578"/>
      <c r="H578"/>
      <c r="I578"/>
      <c r="J578"/>
      <c r="K578"/>
      <c r="L578"/>
      <c r="M578"/>
      <c r="S578" s="54"/>
    </row>
    <row r="579" spans="1:19" s="15" customFormat="1" x14ac:dyDescent="0.3">
      <c r="A579" s="17"/>
      <c r="B579"/>
      <c r="C579"/>
      <c r="D579"/>
      <c r="E579"/>
      <c r="F579"/>
      <c r="G579"/>
      <c r="H579"/>
      <c r="I579"/>
      <c r="J579"/>
      <c r="K579"/>
      <c r="L579"/>
      <c r="M579"/>
      <c r="S579" s="54"/>
    </row>
    <row r="580" spans="1:19" s="15" customFormat="1" x14ac:dyDescent="0.3">
      <c r="A580" s="17"/>
      <c r="B580"/>
      <c r="C580"/>
      <c r="D580"/>
      <c r="E580"/>
      <c r="F580"/>
      <c r="G580"/>
      <c r="H580"/>
      <c r="I580"/>
      <c r="J580"/>
      <c r="K580"/>
      <c r="L580"/>
      <c r="M580"/>
      <c r="S580" s="54"/>
    </row>
    <row r="581" spans="1:19" s="15" customFormat="1" x14ac:dyDescent="0.3">
      <c r="A581" s="17"/>
      <c r="B581"/>
      <c r="C581"/>
      <c r="D581"/>
      <c r="E581"/>
      <c r="F581"/>
      <c r="G581"/>
      <c r="H581"/>
      <c r="I581"/>
      <c r="J581"/>
      <c r="K581"/>
      <c r="L581"/>
      <c r="M581"/>
      <c r="S581" s="54"/>
    </row>
    <row r="582" spans="1:19" s="15" customFormat="1" x14ac:dyDescent="0.3">
      <c r="A582" s="17"/>
      <c r="B582"/>
      <c r="C582"/>
      <c r="D582"/>
      <c r="E582"/>
      <c r="F582"/>
      <c r="G582"/>
      <c r="H582"/>
      <c r="I582"/>
      <c r="J582"/>
      <c r="K582"/>
      <c r="L582"/>
      <c r="M582"/>
      <c r="S582" s="54"/>
    </row>
    <row r="583" spans="1:19" s="15" customFormat="1" x14ac:dyDescent="0.3">
      <c r="A583" s="17"/>
      <c r="B583"/>
      <c r="C583"/>
      <c r="D583"/>
      <c r="E583"/>
      <c r="F583"/>
      <c r="G583"/>
      <c r="H583"/>
      <c r="I583"/>
      <c r="J583"/>
      <c r="K583"/>
      <c r="L583"/>
      <c r="M583"/>
      <c r="S583" s="54"/>
    </row>
    <row r="584" spans="1:19" s="15" customFormat="1" x14ac:dyDescent="0.3">
      <c r="A584" s="17"/>
      <c r="B584"/>
      <c r="C584"/>
      <c r="D584"/>
      <c r="E584"/>
      <c r="F584"/>
      <c r="G584"/>
      <c r="H584"/>
      <c r="I584"/>
      <c r="J584"/>
      <c r="K584"/>
      <c r="L584"/>
      <c r="M584"/>
      <c r="S584" s="54"/>
    </row>
    <row r="585" spans="1:19" s="15" customFormat="1" x14ac:dyDescent="0.3">
      <c r="A585" s="17"/>
      <c r="B585"/>
      <c r="C585"/>
      <c r="D585"/>
      <c r="E585"/>
      <c r="F585"/>
      <c r="G585"/>
      <c r="H585"/>
      <c r="I585"/>
      <c r="J585"/>
      <c r="K585"/>
      <c r="L585"/>
      <c r="M585"/>
      <c r="S585" s="54"/>
    </row>
    <row r="586" spans="1:19" s="15" customFormat="1" x14ac:dyDescent="0.3">
      <c r="A586" s="17"/>
      <c r="B586"/>
      <c r="C586"/>
      <c r="D586"/>
      <c r="E586"/>
      <c r="F586"/>
      <c r="G586"/>
      <c r="H586"/>
      <c r="I586"/>
      <c r="J586"/>
      <c r="K586"/>
      <c r="L586"/>
      <c r="M586"/>
      <c r="S586" s="54"/>
    </row>
    <row r="587" spans="1:19" s="15" customFormat="1" x14ac:dyDescent="0.3">
      <c r="A587" s="17"/>
      <c r="B587"/>
      <c r="C587"/>
      <c r="D587"/>
      <c r="E587"/>
      <c r="F587"/>
      <c r="G587"/>
      <c r="H587"/>
      <c r="I587"/>
      <c r="J587"/>
      <c r="K587"/>
      <c r="L587"/>
      <c r="M587"/>
      <c r="S587" s="54"/>
    </row>
    <row r="588" spans="1:19" s="15" customFormat="1" x14ac:dyDescent="0.3">
      <c r="A588" s="17"/>
      <c r="B588"/>
      <c r="C588"/>
      <c r="D588"/>
      <c r="E588"/>
      <c r="F588"/>
      <c r="G588"/>
      <c r="H588"/>
      <c r="I588"/>
      <c r="J588"/>
      <c r="K588"/>
      <c r="L588"/>
      <c r="M588"/>
      <c r="S588" s="54"/>
    </row>
    <row r="589" spans="1:19" s="15" customFormat="1" x14ac:dyDescent="0.3">
      <c r="A589" s="17"/>
      <c r="B589"/>
      <c r="C589"/>
      <c r="D589"/>
      <c r="E589"/>
      <c r="F589"/>
      <c r="G589"/>
      <c r="H589"/>
      <c r="I589"/>
      <c r="J589"/>
      <c r="K589"/>
      <c r="L589"/>
      <c r="M589"/>
      <c r="S589" s="54"/>
    </row>
    <row r="590" spans="1:19" s="15" customFormat="1" x14ac:dyDescent="0.3">
      <c r="A590" s="17"/>
      <c r="B590"/>
      <c r="C590"/>
      <c r="D590"/>
      <c r="E590"/>
      <c r="F590"/>
      <c r="G590"/>
      <c r="H590"/>
      <c r="I590"/>
      <c r="J590"/>
      <c r="K590"/>
      <c r="L590"/>
      <c r="M590"/>
      <c r="S590" s="54"/>
    </row>
    <row r="591" spans="1:19" s="15" customFormat="1" x14ac:dyDescent="0.3">
      <c r="A591" s="17"/>
      <c r="B591"/>
      <c r="C591"/>
      <c r="D591"/>
      <c r="E591"/>
      <c r="F591"/>
      <c r="G591"/>
      <c r="H591"/>
      <c r="I591"/>
      <c r="J591"/>
      <c r="K591"/>
      <c r="L591"/>
      <c r="M591"/>
      <c r="S591" s="54"/>
    </row>
    <row r="592" spans="1:19" s="15" customFormat="1" x14ac:dyDescent="0.3">
      <c r="A592" s="17"/>
      <c r="B592"/>
      <c r="C592"/>
      <c r="D592"/>
      <c r="E592"/>
      <c r="F592"/>
      <c r="G592"/>
      <c r="H592"/>
      <c r="I592"/>
      <c r="J592"/>
      <c r="K592"/>
      <c r="L592"/>
      <c r="M592"/>
      <c r="S592" s="54"/>
    </row>
    <row r="593" spans="1:19" s="15" customFormat="1" x14ac:dyDescent="0.3">
      <c r="A593" s="17"/>
      <c r="B593"/>
      <c r="C593"/>
      <c r="D593"/>
      <c r="E593"/>
      <c r="F593"/>
      <c r="G593"/>
      <c r="H593"/>
      <c r="I593"/>
      <c r="J593"/>
      <c r="K593"/>
      <c r="L593"/>
      <c r="M593"/>
      <c r="S593" s="54"/>
    </row>
    <row r="594" spans="1:19" s="15" customFormat="1" x14ac:dyDescent="0.3">
      <c r="A594" s="17"/>
      <c r="B594"/>
      <c r="C594"/>
      <c r="D594"/>
      <c r="E594"/>
      <c r="F594"/>
      <c r="G594"/>
      <c r="H594"/>
      <c r="I594"/>
      <c r="J594"/>
      <c r="K594"/>
      <c r="L594"/>
      <c r="M594"/>
      <c r="S594" s="54"/>
    </row>
    <row r="595" spans="1:19" s="15" customFormat="1" x14ac:dyDescent="0.3">
      <c r="A595" s="17"/>
      <c r="B595"/>
      <c r="C595"/>
      <c r="D595"/>
      <c r="E595"/>
      <c r="F595"/>
      <c r="G595"/>
      <c r="H595"/>
      <c r="I595"/>
      <c r="J595"/>
      <c r="K595"/>
      <c r="L595"/>
      <c r="M595"/>
      <c r="S595" s="54"/>
    </row>
    <row r="596" spans="1:19" s="15" customFormat="1" x14ac:dyDescent="0.3">
      <c r="A596" s="17"/>
      <c r="B596"/>
      <c r="C596"/>
      <c r="D596"/>
      <c r="E596"/>
      <c r="F596"/>
      <c r="G596"/>
      <c r="H596"/>
      <c r="I596"/>
      <c r="J596"/>
      <c r="K596"/>
      <c r="L596"/>
      <c r="M596"/>
      <c r="S596" s="54"/>
    </row>
    <row r="597" spans="1:19" s="15" customFormat="1" x14ac:dyDescent="0.3">
      <c r="A597" s="17"/>
      <c r="B597"/>
      <c r="C597"/>
      <c r="D597"/>
      <c r="E597"/>
      <c r="F597"/>
      <c r="G597"/>
      <c r="H597"/>
      <c r="I597"/>
      <c r="J597"/>
      <c r="K597"/>
      <c r="L597"/>
      <c r="M597"/>
      <c r="S597" s="54"/>
    </row>
    <row r="598" spans="1:19" s="15" customFormat="1" x14ac:dyDescent="0.3">
      <c r="A598" s="17"/>
      <c r="B598"/>
      <c r="C598"/>
      <c r="D598"/>
      <c r="E598"/>
      <c r="F598"/>
      <c r="G598"/>
      <c r="H598"/>
      <c r="I598"/>
      <c r="J598"/>
      <c r="K598"/>
      <c r="L598"/>
      <c r="M598"/>
      <c r="S598" s="54"/>
    </row>
    <row r="599" spans="1:19" s="15" customFormat="1" x14ac:dyDescent="0.3">
      <c r="A599" s="17"/>
      <c r="B599"/>
      <c r="C599"/>
      <c r="D599"/>
      <c r="E599"/>
      <c r="F599"/>
      <c r="G599"/>
      <c r="H599"/>
      <c r="I599"/>
      <c r="J599"/>
      <c r="K599"/>
      <c r="L599"/>
      <c r="M599"/>
      <c r="S599" s="54"/>
    </row>
    <row r="600" spans="1:19" s="15" customFormat="1" x14ac:dyDescent="0.3">
      <c r="A600" s="17"/>
      <c r="B600"/>
      <c r="C600"/>
      <c r="D600"/>
      <c r="E600"/>
      <c r="F600"/>
      <c r="G600"/>
      <c r="H600"/>
      <c r="I600"/>
      <c r="J600"/>
      <c r="K600"/>
      <c r="L600"/>
      <c r="M600"/>
      <c r="S600" s="54"/>
    </row>
    <row r="601" spans="1:19" s="15" customFormat="1" x14ac:dyDescent="0.3">
      <c r="A601" s="17"/>
      <c r="B601"/>
      <c r="C601"/>
      <c r="D601"/>
      <c r="E601"/>
      <c r="F601"/>
      <c r="G601"/>
      <c r="H601"/>
      <c r="I601"/>
      <c r="J601"/>
      <c r="K601"/>
      <c r="L601"/>
      <c r="M601"/>
      <c r="S601" s="54"/>
    </row>
    <row r="602" spans="1:19" s="15" customFormat="1" x14ac:dyDescent="0.3">
      <c r="A602" s="17"/>
      <c r="B602"/>
      <c r="C602"/>
      <c r="D602"/>
      <c r="E602"/>
      <c r="F602"/>
      <c r="G602"/>
      <c r="H602"/>
      <c r="I602"/>
      <c r="J602"/>
      <c r="K602"/>
      <c r="L602"/>
      <c r="M602"/>
      <c r="S602" s="54"/>
    </row>
    <row r="603" spans="1:19" s="15" customFormat="1" x14ac:dyDescent="0.3">
      <c r="A603" s="17"/>
      <c r="B603"/>
      <c r="C603"/>
      <c r="D603"/>
      <c r="E603"/>
      <c r="F603"/>
      <c r="G603"/>
      <c r="H603"/>
      <c r="I603"/>
      <c r="J603"/>
      <c r="K603"/>
      <c r="L603"/>
      <c r="M603"/>
      <c r="S603" s="54"/>
    </row>
    <row r="604" spans="1:19" s="15" customFormat="1" x14ac:dyDescent="0.3">
      <c r="A604" s="17"/>
      <c r="B604"/>
      <c r="C604"/>
      <c r="D604"/>
      <c r="E604"/>
      <c r="F604"/>
      <c r="G604"/>
      <c r="H604"/>
      <c r="I604"/>
      <c r="J604"/>
      <c r="K604"/>
      <c r="L604"/>
      <c r="M604"/>
      <c r="S604" s="54"/>
    </row>
    <row r="605" spans="1:19" s="15" customFormat="1" x14ac:dyDescent="0.3">
      <c r="A605" s="17"/>
      <c r="B605"/>
      <c r="C605"/>
      <c r="D605"/>
      <c r="E605"/>
      <c r="F605"/>
      <c r="G605"/>
      <c r="H605"/>
      <c r="I605"/>
      <c r="J605"/>
      <c r="K605"/>
      <c r="L605"/>
      <c r="M605"/>
      <c r="S605" s="54"/>
    </row>
    <row r="606" spans="1:19" s="15" customFormat="1" x14ac:dyDescent="0.3">
      <c r="A606" s="17"/>
      <c r="B606"/>
      <c r="C606"/>
      <c r="D606"/>
      <c r="E606"/>
      <c r="F606"/>
      <c r="G606"/>
      <c r="H606"/>
      <c r="I606"/>
      <c r="J606"/>
      <c r="K606"/>
      <c r="L606"/>
      <c r="M606"/>
      <c r="S606" s="54"/>
    </row>
    <row r="607" spans="1:19" s="15" customFormat="1" x14ac:dyDescent="0.3">
      <c r="A607" s="17"/>
      <c r="B607"/>
      <c r="C607"/>
      <c r="D607"/>
      <c r="E607"/>
      <c r="F607"/>
      <c r="G607"/>
      <c r="H607"/>
      <c r="I607"/>
      <c r="J607"/>
      <c r="K607"/>
      <c r="L607"/>
      <c r="M607"/>
      <c r="S607" s="54"/>
    </row>
    <row r="608" spans="1:19" s="15" customFormat="1" x14ac:dyDescent="0.3">
      <c r="A608" s="17"/>
      <c r="B608"/>
      <c r="C608"/>
      <c r="D608"/>
      <c r="E608"/>
      <c r="F608"/>
      <c r="G608"/>
      <c r="H608"/>
      <c r="I608"/>
      <c r="J608"/>
      <c r="K608"/>
      <c r="L608"/>
      <c r="M608"/>
      <c r="S608" s="54"/>
    </row>
    <row r="609" spans="1:19" s="15" customFormat="1" x14ac:dyDescent="0.3">
      <c r="A609" s="17"/>
      <c r="B609"/>
      <c r="C609"/>
      <c r="D609"/>
      <c r="E609"/>
      <c r="F609"/>
      <c r="G609"/>
      <c r="H609"/>
      <c r="I609"/>
      <c r="J609"/>
      <c r="K609"/>
      <c r="L609"/>
      <c r="M609"/>
      <c r="S609" s="54"/>
    </row>
    <row r="610" spans="1:19" s="15" customFormat="1" x14ac:dyDescent="0.3">
      <c r="A610" s="17"/>
      <c r="B610"/>
      <c r="C610"/>
      <c r="D610"/>
      <c r="E610"/>
      <c r="F610"/>
      <c r="G610"/>
      <c r="H610"/>
      <c r="I610"/>
      <c r="J610"/>
      <c r="K610"/>
      <c r="L610"/>
      <c r="M610"/>
      <c r="S610" s="54"/>
    </row>
    <row r="611" spans="1:19" s="15" customFormat="1" x14ac:dyDescent="0.3">
      <c r="A611" s="17"/>
      <c r="B611"/>
      <c r="C611"/>
      <c r="D611"/>
      <c r="E611"/>
      <c r="F611"/>
      <c r="G611"/>
      <c r="H611"/>
      <c r="I611"/>
      <c r="J611"/>
      <c r="K611"/>
      <c r="L611"/>
      <c r="M611"/>
      <c r="S611" s="54"/>
    </row>
    <row r="612" spans="1:19" s="15" customFormat="1" x14ac:dyDescent="0.3">
      <c r="A612" s="17"/>
      <c r="B612"/>
      <c r="C612"/>
      <c r="D612"/>
      <c r="E612"/>
      <c r="F612"/>
      <c r="G612"/>
      <c r="H612"/>
      <c r="I612"/>
      <c r="J612"/>
      <c r="K612"/>
      <c r="L612"/>
      <c r="M612"/>
      <c r="S612" s="54"/>
    </row>
    <row r="613" spans="1:19" s="15" customFormat="1" x14ac:dyDescent="0.3">
      <c r="A613" s="17"/>
      <c r="B613"/>
      <c r="C613"/>
      <c r="D613"/>
      <c r="E613"/>
      <c r="F613"/>
      <c r="G613"/>
      <c r="H613"/>
      <c r="I613"/>
      <c r="J613"/>
      <c r="K613"/>
      <c r="L613"/>
      <c r="M613"/>
      <c r="S613" s="54"/>
    </row>
    <row r="614" spans="1:19" s="15" customFormat="1" x14ac:dyDescent="0.3">
      <c r="A614" s="17"/>
      <c r="B614"/>
      <c r="C614"/>
      <c r="D614"/>
      <c r="E614"/>
      <c r="F614"/>
      <c r="G614"/>
      <c r="H614"/>
      <c r="I614"/>
      <c r="J614"/>
      <c r="K614"/>
      <c r="L614"/>
      <c r="M614"/>
      <c r="S614" s="54"/>
    </row>
    <row r="615" spans="1:19" s="15" customFormat="1" x14ac:dyDescent="0.3">
      <c r="A615" s="17"/>
      <c r="B615"/>
      <c r="C615"/>
      <c r="D615"/>
      <c r="E615"/>
      <c r="F615"/>
      <c r="G615"/>
      <c r="H615"/>
      <c r="I615"/>
      <c r="J615"/>
      <c r="K615"/>
      <c r="L615"/>
      <c r="M615"/>
      <c r="S615" s="54"/>
    </row>
    <row r="616" spans="1:19" s="15" customFormat="1" x14ac:dyDescent="0.3">
      <c r="A616" s="17"/>
      <c r="B616"/>
      <c r="C616"/>
      <c r="D616"/>
      <c r="E616"/>
      <c r="F616"/>
      <c r="G616"/>
      <c r="H616"/>
      <c r="I616"/>
      <c r="J616"/>
      <c r="K616"/>
      <c r="L616"/>
      <c r="M616"/>
      <c r="S616" s="54"/>
    </row>
    <row r="617" spans="1:19" s="15" customFormat="1" x14ac:dyDescent="0.3">
      <c r="A617" s="17"/>
      <c r="B617"/>
      <c r="C617"/>
      <c r="D617"/>
      <c r="E617"/>
      <c r="F617"/>
      <c r="G617"/>
      <c r="H617"/>
      <c r="I617"/>
      <c r="J617"/>
      <c r="K617"/>
      <c r="L617"/>
      <c r="M617"/>
      <c r="S617" s="54"/>
    </row>
    <row r="618" spans="1:19" s="15" customFormat="1" x14ac:dyDescent="0.3">
      <c r="A618" s="17"/>
      <c r="B618"/>
      <c r="C618"/>
      <c r="D618"/>
      <c r="E618"/>
      <c r="F618"/>
      <c r="G618"/>
      <c r="H618"/>
      <c r="I618"/>
      <c r="J618"/>
      <c r="K618"/>
      <c r="L618"/>
      <c r="M618"/>
      <c r="S618" s="54"/>
    </row>
    <row r="619" spans="1:19" s="15" customFormat="1" x14ac:dyDescent="0.3">
      <c r="A619" s="17"/>
      <c r="B619"/>
      <c r="C619"/>
      <c r="D619"/>
      <c r="E619"/>
      <c r="F619"/>
      <c r="G619"/>
      <c r="H619"/>
      <c r="I619"/>
      <c r="J619"/>
      <c r="K619"/>
      <c r="L619"/>
      <c r="M619"/>
      <c r="S619" s="54"/>
    </row>
    <row r="620" spans="1:19" s="15" customFormat="1" x14ac:dyDescent="0.3">
      <c r="A620" s="17"/>
      <c r="B620"/>
      <c r="C620"/>
      <c r="D620"/>
      <c r="E620"/>
      <c r="F620"/>
      <c r="G620"/>
      <c r="H620"/>
      <c r="I620"/>
      <c r="J620"/>
      <c r="K620"/>
      <c r="L620"/>
      <c r="M620"/>
      <c r="S620" s="54"/>
    </row>
    <row r="621" spans="1:19" s="15" customFormat="1" x14ac:dyDescent="0.3">
      <c r="A621" s="17"/>
      <c r="B621"/>
      <c r="C621"/>
      <c r="D621"/>
      <c r="E621"/>
      <c r="F621"/>
      <c r="G621"/>
      <c r="H621"/>
      <c r="I621"/>
      <c r="J621"/>
      <c r="K621"/>
      <c r="L621"/>
      <c r="M621"/>
      <c r="S621" s="54"/>
    </row>
    <row r="622" spans="1:19" s="15" customFormat="1" x14ac:dyDescent="0.3">
      <c r="A622" s="17"/>
      <c r="B622"/>
      <c r="C622"/>
      <c r="D622"/>
      <c r="E622"/>
      <c r="F622"/>
      <c r="G622"/>
      <c r="H622"/>
      <c r="I622"/>
      <c r="J622"/>
      <c r="K622"/>
      <c r="L622"/>
      <c r="M622"/>
      <c r="S622" s="54"/>
    </row>
    <row r="623" spans="1:19" s="15" customFormat="1" x14ac:dyDescent="0.3">
      <c r="A623" s="17"/>
      <c r="B623"/>
      <c r="C623"/>
      <c r="D623"/>
      <c r="E623"/>
      <c r="F623"/>
      <c r="G623"/>
      <c r="H623"/>
      <c r="I623"/>
      <c r="J623"/>
      <c r="K623"/>
      <c r="L623"/>
      <c r="M623"/>
      <c r="S623" s="54"/>
    </row>
    <row r="624" spans="1:19" s="15" customFormat="1" x14ac:dyDescent="0.3">
      <c r="A624" s="17"/>
      <c r="B624"/>
      <c r="C624"/>
      <c r="D624"/>
      <c r="E624"/>
      <c r="F624"/>
      <c r="G624"/>
      <c r="H624"/>
      <c r="I624"/>
      <c r="J624"/>
      <c r="K624"/>
      <c r="L624"/>
      <c r="M624"/>
      <c r="S624" s="54"/>
    </row>
    <row r="625" spans="1:19" s="15" customFormat="1" x14ac:dyDescent="0.3">
      <c r="A625" s="17"/>
      <c r="B625"/>
      <c r="C625"/>
      <c r="D625"/>
      <c r="E625"/>
      <c r="F625"/>
      <c r="G625"/>
      <c r="H625"/>
      <c r="I625"/>
      <c r="J625"/>
      <c r="K625"/>
      <c r="L625"/>
      <c r="M625"/>
      <c r="S625" s="54"/>
    </row>
    <row r="626" spans="1:19" s="15" customFormat="1" x14ac:dyDescent="0.3">
      <c r="A626" s="17"/>
      <c r="B626"/>
      <c r="C626"/>
      <c r="D626"/>
      <c r="E626"/>
      <c r="F626"/>
      <c r="G626"/>
      <c r="H626"/>
      <c r="I626"/>
      <c r="J626"/>
      <c r="K626"/>
      <c r="L626"/>
      <c r="M626"/>
      <c r="S626" s="54"/>
    </row>
    <row r="627" spans="1:19" s="15" customFormat="1" x14ac:dyDescent="0.3">
      <c r="A627" s="17"/>
      <c r="B627"/>
      <c r="C627"/>
      <c r="D627"/>
      <c r="E627"/>
      <c r="F627"/>
      <c r="G627"/>
      <c r="H627"/>
      <c r="I627"/>
      <c r="J627"/>
      <c r="K627"/>
      <c r="L627"/>
      <c r="M627"/>
      <c r="S627" s="54"/>
    </row>
    <row r="628" spans="1:19" s="15" customFormat="1" x14ac:dyDescent="0.3">
      <c r="A628" s="17"/>
      <c r="B628"/>
      <c r="C628"/>
      <c r="D628"/>
      <c r="E628"/>
      <c r="F628"/>
      <c r="G628"/>
      <c r="H628"/>
      <c r="I628"/>
      <c r="J628"/>
      <c r="K628"/>
      <c r="L628"/>
      <c r="M628"/>
      <c r="S628" s="54"/>
    </row>
    <row r="629" spans="1:19" s="15" customFormat="1" x14ac:dyDescent="0.3">
      <c r="A629" s="17"/>
      <c r="B629"/>
      <c r="C629"/>
      <c r="D629"/>
      <c r="E629"/>
      <c r="F629"/>
      <c r="G629"/>
      <c r="H629"/>
      <c r="I629"/>
      <c r="J629"/>
      <c r="K629"/>
      <c r="L629"/>
      <c r="M629"/>
      <c r="S629" s="54"/>
    </row>
    <row r="630" spans="1:19" s="15" customFormat="1" x14ac:dyDescent="0.3">
      <c r="A630" s="17"/>
      <c r="B630"/>
      <c r="C630"/>
      <c r="D630"/>
      <c r="E630"/>
      <c r="F630"/>
      <c r="G630"/>
      <c r="H630"/>
      <c r="I630"/>
      <c r="J630"/>
      <c r="K630"/>
      <c r="L630"/>
      <c r="M630"/>
      <c r="S630" s="54"/>
    </row>
    <row r="631" spans="1:19" s="15" customFormat="1" x14ac:dyDescent="0.3">
      <c r="A631" s="17"/>
      <c r="B631"/>
      <c r="C631"/>
      <c r="D631"/>
      <c r="E631"/>
      <c r="F631"/>
      <c r="G631"/>
      <c r="H631"/>
      <c r="I631"/>
      <c r="J631"/>
      <c r="K631"/>
      <c r="L631"/>
      <c r="M631"/>
      <c r="S631" s="54"/>
    </row>
    <row r="632" spans="1:19" s="15" customFormat="1" x14ac:dyDescent="0.3">
      <c r="A632" s="17"/>
      <c r="B632"/>
      <c r="C632"/>
      <c r="D632"/>
      <c r="E632"/>
      <c r="F632"/>
      <c r="G632"/>
      <c r="H632"/>
      <c r="I632"/>
      <c r="J632"/>
      <c r="K632"/>
      <c r="L632"/>
      <c r="M632"/>
      <c r="S632" s="54"/>
    </row>
    <row r="633" spans="1:19" s="15" customFormat="1" x14ac:dyDescent="0.3">
      <c r="A633" s="17"/>
      <c r="B633"/>
      <c r="C633"/>
      <c r="D633"/>
      <c r="E633"/>
      <c r="F633"/>
      <c r="G633"/>
      <c r="H633"/>
      <c r="I633"/>
      <c r="J633"/>
      <c r="K633"/>
      <c r="L633"/>
      <c r="M633"/>
      <c r="S633" s="54"/>
    </row>
    <row r="634" spans="1:19" s="15" customFormat="1" x14ac:dyDescent="0.3">
      <c r="A634" s="17"/>
      <c r="B634"/>
      <c r="C634"/>
      <c r="D634"/>
      <c r="E634"/>
      <c r="F634"/>
      <c r="G634"/>
      <c r="H634"/>
      <c r="I634"/>
      <c r="J634"/>
      <c r="K634"/>
      <c r="L634"/>
      <c r="M634"/>
      <c r="S634" s="54"/>
    </row>
    <row r="635" spans="1:19" s="15" customFormat="1" x14ac:dyDescent="0.3">
      <c r="A635" s="17"/>
      <c r="B635"/>
      <c r="C635"/>
      <c r="D635"/>
      <c r="E635"/>
      <c r="F635"/>
      <c r="G635"/>
      <c r="H635"/>
      <c r="I635"/>
      <c r="J635"/>
      <c r="K635"/>
      <c r="L635"/>
      <c r="M635"/>
      <c r="S635" s="54"/>
    </row>
    <row r="636" spans="1:19" s="15" customFormat="1" x14ac:dyDescent="0.3">
      <c r="A636" s="17"/>
      <c r="B636"/>
      <c r="C636"/>
      <c r="D636"/>
      <c r="E636"/>
      <c r="F636"/>
      <c r="G636"/>
      <c r="H636"/>
      <c r="I636"/>
      <c r="J636"/>
      <c r="K636"/>
      <c r="L636"/>
      <c r="M636"/>
      <c r="S636" s="54"/>
    </row>
    <row r="637" spans="1:19" s="15" customFormat="1" x14ac:dyDescent="0.3">
      <c r="A637" s="17"/>
      <c r="B637"/>
      <c r="C637"/>
      <c r="D637"/>
      <c r="E637"/>
      <c r="F637"/>
      <c r="G637"/>
      <c r="H637"/>
      <c r="I637"/>
      <c r="J637"/>
      <c r="K637"/>
      <c r="L637"/>
      <c r="M637"/>
      <c r="S637" s="54"/>
    </row>
    <row r="638" spans="1:19" s="15" customFormat="1" x14ac:dyDescent="0.3">
      <c r="A638" s="17"/>
      <c r="B638"/>
      <c r="C638"/>
      <c r="D638"/>
      <c r="E638"/>
      <c r="F638"/>
      <c r="G638"/>
      <c r="H638"/>
      <c r="I638"/>
      <c r="J638"/>
      <c r="K638"/>
      <c r="L638"/>
      <c r="M638"/>
      <c r="S638" s="54"/>
    </row>
    <row r="639" spans="1:19" s="15" customFormat="1" x14ac:dyDescent="0.3">
      <c r="A639" s="17"/>
      <c r="B639"/>
      <c r="C639"/>
      <c r="D639"/>
      <c r="E639"/>
      <c r="F639"/>
      <c r="G639"/>
      <c r="H639"/>
      <c r="I639"/>
      <c r="J639"/>
      <c r="K639"/>
      <c r="L639"/>
      <c r="M639"/>
      <c r="S639" s="54"/>
    </row>
    <row r="640" spans="1:19" s="15" customFormat="1" x14ac:dyDescent="0.3">
      <c r="A640" s="17"/>
      <c r="B640"/>
      <c r="C640"/>
      <c r="D640"/>
      <c r="E640"/>
      <c r="F640"/>
      <c r="G640"/>
      <c r="H640"/>
      <c r="I640"/>
      <c r="J640"/>
      <c r="K640"/>
      <c r="L640"/>
      <c r="M640"/>
      <c r="S640" s="54"/>
    </row>
    <row r="641" spans="1:19" s="15" customFormat="1" x14ac:dyDescent="0.3">
      <c r="A641" s="17"/>
      <c r="B641"/>
      <c r="C641"/>
      <c r="D641"/>
      <c r="E641"/>
      <c r="F641"/>
      <c r="G641"/>
      <c r="H641"/>
      <c r="I641"/>
      <c r="J641"/>
      <c r="K641"/>
      <c r="L641"/>
      <c r="M641"/>
      <c r="S641" s="54"/>
    </row>
    <row r="642" spans="1:19" s="15" customFormat="1" x14ac:dyDescent="0.3">
      <c r="A642" s="17"/>
      <c r="B642"/>
      <c r="C642"/>
      <c r="D642"/>
      <c r="E642"/>
      <c r="F642"/>
      <c r="G642"/>
      <c r="H642"/>
      <c r="I642"/>
      <c r="J642"/>
      <c r="K642"/>
      <c r="L642"/>
      <c r="M642"/>
      <c r="S642" s="54"/>
    </row>
    <row r="643" spans="1:19" s="15" customFormat="1" x14ac:dyDescent="0.3">
      <c r="A643" s="17"/>
      <c r="B643"/>
      <c r="C643"/>
      <c r="D643"/>
      <c r="E643"/>
      <c r="F643"/>
      <c r="G643"/>
      <c r="H643"/>
      <c r="I643"/>
      <c r="J643"/>
      <c r="K643"/>
      <c r="L643"/>
      <c r="M643"/>
      <c r="S643" s="54"/>
    </row>
    <row r="644" spans="1:19" s="15" customFormat="1" x14ac:dyDescent="0.3">
      <c r="A644" s="17"/>
      <c r="B644"/>
      <c r="C644"/>
      <c r="D644"/>
      <c r="E644"/>
      <c r="F644"/>
      <c r="G644"/>
      <c r="H644"/>
      <c r="I644"/>
      <c r="J644"/>
      <c r="K644"/>
      <c r="L644"/>
      <c r="M644"/>
      <c r="S644" s="54"/>
    </row>
    <row r="645" spans="1:19" s="15" customFormat="1" x14ac:dyDescent="0.3">
      <c r="A645" s="17"/>
      <c r="B645"/>
      <c r="C645"/>
      <c r="D645"/>
      <c r="E645"/>
      <c r="F645"/>
      <c r="G645"/>
      <c r="H645"/>
      <c r="I645"/>
      <c r="J645"/>
      <c r="K645"/>
      <c r="L645"/>
      <c r="M645"/>
      <c r="S645" s="54"/>
    </row>
    <row r="646" spans="1:19" s="15" customFormat="1" x14ac:dyDescent="0.3">
      <c r="A646" s="17"/>
      <c r="B646"/>
      <c r="C646"/>
      <c r="D646"/>
      <c r="E646"/>
      <c r="F646"/>
      <c r="G646"/>
      <c r="H646"/>
      <c r="I646"/>
      <c r="J646"/>
      <c r="K646"/>
      <c r="L646"/>
      <c r="M646"/>
      <c r="S646" s="54"/>
    </row>
    <row r="647" spans="1:19" s="15" customFormat="1" x14ac:dyDescent="0.3">
      <c r="A647" s="17"/>
      <c r="B647"/>
      <c r="C647"/>
      <c r="D647"/>
      <c r="E647"/>
      <c r="F647"/>
      <c r="G647"/>
      <c r="H647"/>
      <c r="I647"/>
      <c r="J647"/>
      <c r="K647"/>
      <c r="L647"/>
      <c r="M647"/>
      <c r="S647" s="54"/>
    </row>
    <row r="648" spans="1:19" s="15" customFormat="1" x14ac:dyDescent="0.3">
      <c r="A648" s="17"/>
      <c r="B648"/>
      <c r="C648"/>
      <c r="D648"/>
      <c r="E648"/>
      <c r="F648"/>
      <c r="G648"/>
      <c r="H648"/>
      <c r="I648"/>
      <c r="J648"/>
      <c r="K648"/>
      <c r="L648"/>
      <c r="M648"/>
      <c r="S648" s="54"/>
    </row>
    <row r="649" spans="1:19" s="15" customFormat="1" x14ac:dyDescent="0.3">
      <c r="A649" s="17"/>
      <c r="B649"/>
      <c r="C649"/>
      <c r="D649"/>
      <c r="E649"/>
      <c r="F649"/>
      <c r="G649"/>
      <c r="H649"/>
      <c r="I649"/>
      <c r="J649"/>
      <c r="K649"/>
      <c r="L649"/>
      <c r="M649"/>
      <c r="S649" s="54"/>
    </row>
    <row r="650" spans="1:19" s="15" customFormat="1" x14ac:dyDescent="0.3">
      <c r="A650" s="17"/>
      <c r="B650"/>
      <c r="C650"/>
      <c r="D650"/>
      <c r="E650"/>
      <c r="F650"/>
      <c r="G650"/>
      <c r="H650"/>
      <c r="I650"/>
      <c r="J650"/>
      <c r="K650"/>
      <c r="L650"/>
      <c r="M650"/>
      <c r="S650" s="54"/>
    </row>
    <row r="651" spans="1:19" s="15" customFormat="1" x14ac:dyDescent="0.3">
      <c r="A651" s="17"/>
      <c r="B651"/>
      <c r="C651"/>
      <c r="D651"/>
      <c r="E651"/>
      <c r="F651"/>
      <c r="G651"/>
      <c r="H651"/>
      <c r="I651"/>
      <c r="J651"/>
      <c r="K651"/>
      <c r="L651"/>
      <c r="M651"/>
      <c r="S651" s="54"/>
    </row>
    <row r="652" spans="1:19" s="15" customFormat="1" x14ac:dyDescent="0.3">
      <c r="A652" s="17"/>
      <c r="B652"/>
      <c r="C652"/>
      <c r="D652"/>
      <c r="E652"/>
      <c r="F652"/>
      <c r="G652"/>
      <c r="H652"/>
      <c r="I652"/>
      <c r="J652"/>
      <c r="K652"/>
      <c r="L652"/>
      <c r="M652"/>
      <c r="S652" s="54"/>
    </row>
    <row r="653" spans="1:19" s="15" customFormat="1" x14ac:dyDescent="0.3">
      <c r="A653" s="17"/>
      <c r="B653"/>
      <c r="C653"/>
      <c r="D653"/>
      <c r="E653"/>
      <c r="F653"/>
      <c r="G653"/>
      <c r="H653"/>
      <c r="I653"/>
      <c r="J653"/>
      <c r="K653"/>
      <c r="L653"/>
      <c r="M653"/>
      <c r="S653" s="54"/>
    </row>
    <row r="654" spans="1:19" s="15" customFormat="1" x14ac:dyDescent="0.3">
      <c r="A654" s="17"/>
      <c r="B654"/>
      <c r="C654"/>
      <c r="D654"/>
      <c r="E654"/>
      <c r="F654"/>
      <c r="G654"/>
      <c r="H654"/>
      <c r="I654"/>
      <c r="J654"/>
      <c r="K654"/>
      <c r="L654"/>
      <c r="M654"/>
      <c r="S654" s="54"/>
    </row>
    <row r="655" spans="1:19" s="15" customFormat="1" x14ac:dyDescent="0.3">
      <c r="A655" s="17"/>
      <c r="B655"/>
      <c r="C655"/>
      <c r="D655"/>
      <c r="E655"/>
      <c r="F655"/>
      <c r="G655"/>
      <c r="H655"/>
      <c r="I655"/>
      <c r="J655"/>
      <c r="K655"/>
      <c r="L655"/>
      <c r="M655"/>
      <c r="S655" s="54"/>
    </row>
    <row r="656" spans="1:19" s="15" customFormat="1" x14ac:dyDescent="0.3">
      <c r="A656" s="17"/>
      <c r="B656"/>
      <c r="C656"/>
      <c r="D656"/>
      <c r="E656"/>
      <c r="F656"/>
      <c r="G656"/>
      <c r="H656"/>
      <c r="I656"/>
      <c r="J656"/>
      <c r="K656"/>
      <c r="L656"/>
      <c r="M656"/>
      <c r="S656" s="54"/>
    </row>
    <row r="657" spans="1:19" s="15" customFormat="1" x14ac:dyDescent="0.3">
      <c r="A657" s="17"/>
      <c r="B657"/>
      <c r="C657"/>
      <c r="D657"/>
      <c r="E657"/>
      <c r="F657"/>
      <c r="G657"/>
      <c r="H657"/>
      <c r="I657"/>
      <c r="J657"/>
      <c r="K657"/>
      <c r="L657"/>
      <c r="M657"/>
      <c r="S657" s="54"/>
    </row>
    <row r="658" spans="1:19" s="15" customFormat="1" x14ac:dyDescent="0.3">
      <c r="A658" s="17"/>
      <c r="B658"/>
      <c r="C658"/>
      <c r="D658"/>
      <c r="E658"/>
      <c r="F658"/>
      <c r="G658"/>
      <c r="H658"/>
      <c r="I658"/>
      <c r="J658"/>
      <c r="K658"/>
      <c r="L658"/>
      <c r="M658"/>
      <c r="S658" s="54"/>
    </row>
    <row r="659" spans="1:19" s="15" customFormat="1" x14ac:dyDescent="0.3">
      <c r="A659" s="17"/>
      <c r="B659"/>
      <c r="C659"/>
      <c r="D659"/>
      <c r="E659"/>
      <c r="F659"/>
      <c r="G659"/>
      <c r="H659"/>
      <c r="I659"/>
      <c r="J659"/>
      <c r="K659"/>
      <c r="L659"/>
      <c r="M659"/>
      <c r="S659" s="54"/>
    </row>
    <row r="660" spans="1:19" s="15" customFormat="1" x14ac:dyDescent="0.3">
      <c r="A660" s="17"/>
      <c r="B660"/>
      <c r="C660"/>
      <c r="D660"/>
      <c r="E660"/>
      <c r="F660"/>
      <c r="G660"/>
      <c r="H660"/>
      <c r="I660"/>
      <c r="J660"/>
      <c r="K660"/>
      <c r="L660"/>
      <c r="M660"/>
      <c r="S660" s="54"/>
    </row>
    <row r="661" spans="1:19" s="15" customFormat="1" x14ac:dyDescent="0.3">
      <c r="A661" s="17"/>
      <c r="B661"/>
      <c r="C661"/>
      <c r="D661"/>
      <c r="E661"/>
      <c r="F661"/>
      <c r="G661"/>
      <c r="H661"/>
      <c r="I661"/>
      <c r="J661"/>
      <c r="K661"/>
      <c r="L661"/>
      <c r="M661"/>
      <c r="S661" s="54"/>
    </row>
    <row r="662" spans="1:19" s="15" customFormat="1" x14ac:dyDescent="0.3">
      <c r="A662" s="17"/>
      <c r="B662"/>
      <c r="C662"/>
      <c r="D662"/>
      <c r="E662"/>
      <c r="F662"/>
      <c r="G662"/>
      <c r="H662"/>
      <c r="I662"/>
      <c r="J662"/>
      <c r="K662"/>
      <c r="L662"/>
      <c r="M662"/>
      <c r="S662" s="54"/>
    </row>
    <row r="663" spans="1:19" s="15" customFormat="1" x14ac:dyDescent="0.3">
      <c r="A663" s="17"/>
      <c r="B663"/>
      <c r="C663"/>
      <c r="D663"/>
      <c r="E663"/>
      <c r="F663"/>
      <c r="G663"/>
      <c r="H663"/>
      <c r="I663"/>
      <c r="J663"/>
      <c r="K663"/>
      <c r="L663"/>
      <c r="M663"/>
      <c r="S663" s="54"/>
    </row>
    <row r="664" spans="1:19" s="15" customFormat="1" x14ac:dyDescent="0.3">
      <c r="A664" s="17"/>
      <c r="B664"/>
      <c r="C664"/>
      <c r="D664"/>
      <c r="E664"/>
      <c r="F664"/>
      <c r="G664"/>
      <c r="H664"/>
      <c r="I664"/>
      <c r="J664"/>
      <c r="K664"/>
      <c r="L664"/>
      <c r="M664"/>
      <c r="S664" s="54"/>
    </row>
    <row r="665" spans="1:19" s="15" customFormat="1" x14ac:dyDescent="0.3">
      <c r="A665" s="17"/>
      <c r="B665"/>
      <c r="C665"/>
      <c r="D665"/>
      <c r="E665"/>
      <c r="F665"/>
      <c r="G665"/>
      <c r="H665"/>
      <c r="I665"/>
      <c r="J665"/>
      <c r="K665"/>
      <c r="L665"/>
      <c r="M665"/>
      <c r="S665" s="54"/>
    </row>
    <row r="666" spans="1:19" s="15" customFormat="1" x14ac:dyDescent="0.3">
      <c r="A666" s="17"/>
      <c r="B666"/>
      <c r="C666"/>
      <c r="D666"/>
      <c r="E666"/>
      <c r="F666"/>
      <c r="G666"/>
      <c r="H666"/>
      <c r="I666"/>
      <c r="J666"/>
      <c r="K666"/>
      <c r="L666"/>
      <c r="M666"/>
      <c r="S666" s="54"/>
    </row>
    <row r="667" spans="1:19" s="15" customFormat="1" x14ac:dyDescent="0.3">
      <c r="A667" s="17"/>
      <c r="B667"/>
      <c r="C667"/>
      <c r="D667"/>
      <c r="E667"/>
      <c r="F667"/>
      <c r="G667"/>
      <c r="H667"/>
      <c r="I667"/>
      <c r="J667"/>
      <c r="K667"/>
      <c r="L667"/>
      <c r="M667"/>
      <c r="S667" s="54"/>
    </row>
    <row r="668" spans="1:19" s="15" customFormat="1" x14ac:dyDescent="0.3">
      <c r="A668" s="17"/>
      <c r="B668"/>
      <c r="C668"/>
      <c r="D668"/>
      <c r="E668"/>
      <c r="F668"/>
      <c r="G668"/>
      <c r="H668"/>
      <c r="I668"/>
      <c r="J668"/>
      <c r="K668"/>
      <c r="L668"/>
      <c r="M668"/>
      <c r="S668" s="54"/>
    </row>
    <row r="669" spans="1:19" s="15" customFormat="1" x14ac:dyDescent="0.3">
      <c r="A669" s="17"/>
      <c r="B669"/>
      <c r="C669"/>
      <c r="D669"/>
      <c r="E669"/>
      <c r="F669"/>
      <c r="G669"/>
      <c r="H669"/>
      <c r="I669"/>
      <c r="J669"/>
      <c r="K669"/>
      <c r="L669"/>
      <c r="M669"/>
      <c r="S669" s="54"/>
    </row>
    <row r="670" spans="1:19" s="15" customFormat="1" x14ac:dyDescent="0.3">
      <c r="A670" s="17"/>
      <c r="B670"/>
      <c r="C670"/>
      <c r="D670"/>
      <c r="E670"/>
      <c r="F670"/>
      <c r="G670"/>
      <c r="H670"/>
      <c r="I670"/>
      <c r="J670"/>
      <c r="K670"/>
      <c r="L670"/>
      <c r="M670"/>
      <c r="S670" s="54"/>
    </row>
    <row r="671" spans="1:19" s="15" customFormat="1" x14ac:dyDescent="0.3">
      <c r="A671" s="17"/>
      <c r="B671"/>
      <c r="C671"/>
      <c r="D671"/>
      <c r="E671"/>
      <c r="F671"/>
      <c r="G671"/>
      <c r="H671"/>
      <c r="I671"/>
      <c r="J671"/>
      <c r="K671"/>
      <c r="L671"/>
      <c r="M671"/>
      <c r="S671" s="54"/>
    </row>
    <row r="672" spans="1:19" s="15" customFormat="1" x14ac:dyDescent="0.3">
      <c r="A672" s="17"/>
      <c r="B672"/>
      <c r="C672"/>
      <c r="D672"/>
      <c r="E672"/>
      <c r="F672"/>
      <c r="G672"/>
      <c r="H672"/>
      <c r="I672"/>
      <c r="J672"/>
      <c r="K672"/>
      <c r="L672"/>
      <c r="M672"/>
      <c r="S672" s="54"/>
    </row>
    <row r="673" spans="1:19" s="15" customFormat="1" x14ac:dyDescent="0.3">
      <c r="A673" s="17"/>
      <c r="B673"/>
      <c r="C673"/>
      <c r="D673"/>
      <c r="E673"/>
      <c r="F673"/>
      <c r="G673"/>
      <c r="H673"/>
      <c r="I673"/>
      <c r="J673"/>
      <c r="K673"/>
      <c r="L673"/>
      <c r="M673"/>
      <c r="S673" s="54"/>
    </row>
    <row r="674" spans="1:19" s="15" customFormat="1" x14ac:dyDescent="0.3">
      <c r="A674" s="17"/>
      <c r="B674"/>
      <c r="C674"/>
      <c r="D674"/>
      <c r="E674"/>
      <c r="F674"/>
      <c r="G674"/>
      <c r="H674"/>
      <c r="I674"/>
      <c r="J674"/>
      <c r="K674"/>
      <c r="L674"/>
      <c r="M674"/>
      <c r="S674" s="54"/>
    </row>
    <row r="675" spans="1:19" s="15" customFormat="1" x14ac:dyDescent="0.3">
      <c r="A675" s="17"/>
      <c r="B675"/>
      <c r="C675"/>
      <c r="D675"/>
      <c r="E675"/>
      <c r="F675"/>
      <c r="G675"/>
      <c r="H675"/>
      <c r="I675"/>
      <c r="J675"/>
      <c r="K675"/>
      <c r="L675"/>
      <c r="M675"/>
      <c r="S675" s="54"/>
    </row>
    <row r="676" spans="1:19" s="15" customFormat="1" x14ac:dyDescent="0.3">
      <c r="A676" s="17"/>
      <c r="B676"/>
      <c r="C676"/>
      <c r="D676"/>
      <c r="E676"/>
      <c r="F676"/>
      <c r="G676"/>
      <c r="H676"/>
      <c r="I676"/>
      <c r="J676"/>
      <c r="K676"/>
      <c r="L676"/>
      <c r="M676"/>
      <c r="S676" s="54"/>
    </row>
    <row r="677" spans="1:19" s="15" customFormat="1" x14ac:dyDescent="0.3">
      <c r="A677" s="17"/>
      <c r="B677"/>
      <c r="C677"/>
      <c r="D677"/>
      <c r="E677"/>
      <c r="F677"/>
      <c r="G677"/>
      <c r="H677"/>
      <c r="I677"/>
      <c r="J677"/>
      <c r="K677"/>
      <c r="L677"/>
      <c r="M677"/>
      <c r="S677" s="54"/>
    </row>
    <row r="678" spans="1:19" s="15" customFormat="1" x14ac:dyDescent="0.3">
      <c r="A678" s="17"/>
      <c r="B678"/>
      <c r="C678"/>
      <c r="D678"/>
      <c r="E678"/>
      <c r="F678"/>
      <c r="G678"/>
      <c r="H678"/>
      <c r="I678"/>
      <c r="J678"/>
      <c r="K678"/>
      <c r="L678"/>
      <c r="M678"/>
      <c r="S678" s="54"/>
    </row>
    <row r="679" spans="1:19" s="15" customFormat="1" x14ac:dyDescent="0.3">
      <c r="A679" s="17"/>
      <c r="B679"/>
      <c r="C679"/>
      <c r="D679"/>
      <c r="E679"/>
      <c r="F679"/>
      <c r="G679"/>
      <c r="H679"/>
      <c r="I679"/>
      <c r="J679"/>
      <c r="K679"/>
      <c r="L679"/>
      <c r="M679"/>
      <c r="S679" s="54"/>
    </row>
    <row r="680" spans="1:19" s="15" customFormat="1" x14ac:dyDescent="0.3">
      <c r="A680" s="17"/>
      <c r="B680"/>
      <c r="C680"/>
      <c r="D680"/>
      <c r="E680"/>
      <c r="F680"/>
      <c r="G680"/>
      <c r="H680"/>
      <c r="I680"/>
      <c r="J680"/>
      <c r="K680"/>
      <c r="L680"/>
      <c r="M680"/>
      <c r="S680" s="54"/>
    </row>
    <row r="681" spans="1:19" s="15" customFormat="1" x14ac:dyDescent="0.3">
      <c r="A681" s="17"/>
      <c r="B681"/>
      <c r="C681"/>
      <c r="D681"/>
      <c r="E681"/>
      <c r="F681"/>
      <c r="G681"/>
      <c r="H681"/>
      <c r="I681"/>
      <c r="J681"/>
      <c r="K681"/>
      <c r="L681"/>
      <c r="M681"/>
      <c r="S681" s="54"/>
    </row>
    <row r="682" spans="1:19" s="15" customFormat="1" x14ac:dyDescent="0.3">
      <c r="A682" s="17"/>
      <c r="B682"/>
      <c r="C682"/>
      <c r="D682"/>
      <c r="E682"/>
      <c r="F682"/>
      <c r="G682"/>
      <c r="H682"/>
      <c r="I682"/>
      <c r="J682"/>
      <c r="K682"/>
      <c r="L682"/>
      <c r="M682"/>
      <c r="S682" s="54"/>
    </row>
    <row r="683" spans="1:19" s="15" customFormat="1" x14ac:dyDescent="0.3">
      <c r="A683" s="17"/>
      <c r="B683"/>
      <c r="C683"/>
      <c r="D683"/>
      <c r="E683"/>
      <c r="F683"/>
      <c r="G683"/>
      <c r="H683"/>
      <c r="I683"/>
      <c r="J683"/>
      <c r="K683"/>
      <c r="L683"/>
      <c r="M683"/>
      <c r="S683" s="54"/>
    </row>
    <row r="684" spans="1:19" s="15" customFormat="1" x14ac:dyDescent="0.3">
      <c r="A684" s="17"/>
      <c r="B684"/>
      <c r="C684"/>
      <c r="D684"/>
      <c r="E684"/>
      <c r="F684"/>
      <c r="G684"/>
      <c r="H684"/>
      <c r="I684"/>
      <c r="J684"/>
      <c r="K684"/>
      <c r="L684"/>
      <c r="M684"/>
      <c r="S684" s="54"/>
    </row>
    <row r="685" spans="1:19" s="15" customFormat="1" x14ac:dyDescent="0.3">
      <c r="A685" s="17"/>
      <c r="B685"/>
      <c r="C685"/>
      <c r="D685"/>
      <c r="E685"/>
      <c r="F685"/>
      <c r="G685"/>
      <c r="H685"/>
      <c r="I685"/>
      <c r="J685"/>
      <c r="K685"/>
      <c r="L685"/>
      <c r="M685"/>
      <c r="S685" s="54"/>
    </row>
    <row r="686" spans="1:19" s="15" customFormat="1" x14ac:dyDescent="0.3">
      <c r="A686" s="17"/>
      <c r="B686"/>
      <c r="C686"/>
      <c r="D686"/>
      <c r="E686"/>
      <c r="F686"/>
      <c r="G686"/>
      <c r="H686"/>
      <c r="I686"/>
      <c r="J686"/>
      <c r="K686"/>
      <c r="L686"/>
      <c r="M686"/>
      <c r="S686" s="54"/>
    </row>
    <row r="687" spans="1:19" s="15" customFormat="1" x14ac:dyDescent="0.3">
      <c r="A687" s="17"/>
      <c r="B687"/>
      <c r="C687"/>
      <c r="D687"/>
      <c r="E687"/>
      <c r="F687"/>
      <c r="G687"/>
      <c r="H687"/>
      <c r="I687"/>
      <c r="J687"/>
      <c r="K687"/>
      <c r="L687"/>
      <c r="M687"/>
      <c r="S687" s="54"/>
    </row>
    <row r="688" spans="1:19" s="15" customFormat="1" x14ac:dyDescent="0.3">
      <c r="A688" s="17"/>
      <c r="B688"/>
      <c r="C688"/>
      <c r="D688"/>
      <c r="E688"/>
      <c r="F688"/>
      <c r="G688"/>
      <c r="H688"/>
      <c r="I688"/>
      <c r="J688"/>
      <c r="K688"/>
      <c r="L688"/>
      <c r="M688"/>
      <c r="S688" s="54"/>
    </row>
    <row r="689" spans="1:19" s="15" customFormat="1" x14ac:dyDescent="0.3">
      <c r="A689" s="17"/>
      <c r="B689"/>
      <c r="C689"/>
      <c r="D689"/>
      <c r="E689"/>
      <c r="F689"/>
      <c r="G689"/>
      <c r="H689"/>
      <c r="I689"/>
      <c r="J689"/>
      <c r="K689"/>
      <c r="L689"/>
      <c r="M689"/>
      <c r="S689" s="54"/>
    </row>
    <row r="690" spans="1:19" s="15" customFormat="1" x14ac:dyDescent="0.3">
      <c r="A690" s="17"/>
      <c r="B690"/>
      <c r="C690"/>
      <c r="D690"/>
      <c r="E690"/>
      <c r="F690"/>
      <c r="G690"/>
      <c r="H690"/>
      <c r="I690"/>
      <c r="J690"/>
      <c r="K690"/>
      <c r="L690"/>
      <c r="M690"/>
      <c r="S690" s="54"/>
    </row>
    <row r="691" spans="1:19" s="15" customFormat="1" x14ac:dyDescent="0.3">
      <c r="A691" s="17"/>
      <c r="B691"/>
      <c r="C691"/>
      <c r="D691"/>
      <c r="E691"/>
      <c r="F691"/>
      <c r="G691"/>
      <c r="H691"/>
      <c r="I691"/>
      <c r="J691"/>
      <c r="K691"/>
      <c r="L691"/>
      <c r="M691"/>
      <c r="S691" s="54"/>
    </row>
    <row r="692" spans="1:19" s="15" customFormat="1" x14ac:dyDescent="0.3">
      <c r="A692" s="17"/>
      <c r="B692"/>
      <c r="C692"/>
      <c r="D692"/>
      <c r="E692"/>
      <c r="F692"/>
      <c r="G692"/>
      <c r="H692"/>
      <c r="I692"/>
      <c r="J692"/>
      <c r="K692"/>
      <c r="L692"/>
      <c r="M692"/>
      <c r="S692" s="54"/>
    </row>
    <row r="693" spans="1:19" s="15" customFormat="1" x14ac:dyDescent="0.3">
      <c r="A693" s="17"/>
      <c r="B693"/>
      <c r="C693"/>
      <c r="D693"/>
      <c r="E693"/>
      <c r="F693"/>
      <c r="G693"/>
      <c r="H693"/>
      <c r="I693"/>
      <c r="J693"/>
      <c r="K693"/>
      <c r="L693"/>
      <c r="M693"/>
      <c r="S693" s="54"/>
    </row>
    <row r="694" spans="1:19" s="15" customFormat="1" x14ac:dyDescent="0.3">
      <c r="A694" s="17"/>
      <c r="B694"/>
      <c r="C694"/>
      <c r="D694"/>
      <c r="E694"/>
      <c r="F694"/>
      <c r="G694"/>
      <c r="H694"/>
      <c r="I694"/>
      <c r="J694"/>
      <c r="K694"/>
      <c r="L694"/>
      <c r="M694"/>
      <c r="S694" s="54"/>
    </row>
    <row r="695" spans="1:19" s="15" customFormat="1" x14ac:dyDescent="0.3">
      <c r="A695" s="17"/>
      <c r="B695"/>
      <c r="C695"/>
      <c r="D695"/>
      <c r="E695"/>
      <c r="F695"/>
      <c r="G695"/>
      <c r="H695"/>
      <c r="I695"/>
      <c r="J695"/>
      <c r="K695"/>
      <c r="L695"/>
      <c r="M695"/>
      <c r="S695" s="54"/>
    </row>
    <row r="696" spans="1:19" s="15" customFormat="1" x14ac:dyDescent="0.3">
      <c r="A696" s="17"/>
      <c r="B696"/>
      <c r="C696"/>
      <c r="D696"/>
      <c r="E696"/>
      <c r="F696"/>
      <c r="G696"/>
      <c r="H696"/>
      <c r="I696"/>
      <c r="J696"/>
      <c r="K696"/>
      <c r="L696"/>
      <c r="M696"/>
      <c r="S696" s="54"/>
    </row>
    <row r="697" spans="1:19" s="15" customFormat="1" x14ac:dyDescent="0.3">
      <c r="A697" s="17"/>
      <c r="B697"/>
      <c r="C697"/>
      <c r="D697"/>
      <c r="E697"/>
      <c r="F697"/>
      <c r="G697"/>
      <c r="H697"/>
      <c r="I697"/>
      <c r="J697"/>
      <c r="K697"/>
      <c r="L697"/>
      <c r="M697"/>
      <c r="S697" s="54"/>
    </row>
    <row r="698" spans="1:19" s="15" customFormat="1" x14ac:dyDescent="0.3">
      <c r="A698" s="17"/>
      <c r="B698"/>
      <c r="C698"/>
      <c r="D698"/>
      <c r="E698"/>
      <c r="F698"/>
      <c r="G698"/>
      <c r="H698"/>
      <c r="I698"/>
      <c r="J698"/>
      <c r="K698"/>
      <c r="L698"/>
      <c r="M698"/>
      <c r="S698" s="54"/>
    </row>
    <row r="699" spans="1:19" s="15" customFormat="1" x14ac:dyDescent="0.3">
      <c r="A699" s="17"/>
      <c r="B699"/>
      <c r="C699"/>
      <c r="D699"/>
      <c r="E699"/>
      <c r="F699"/>
      <c r="G699"/>
      <c r="H699"/>
      <c r="I699"/>
      <c r="J699"/>
      <c r="K699"/>
      <c r="L699"/>
      <c r="M699"/>
      <c r="S699" s="54"/>
    </row>
    <row r="700" spans="1:19" s="15" customFormat="1" x14ac:dyDescent="0.3">
      <c r="A700" s="17"/>
      <c r="B700"/>
      <c r="C700"/>
      <c r="D700"/>
      <c r="E700"/>
      <c r="F700"/>
      <c r="G700"/>
      <c r="H700"/>
      <c r="I700"/>
      <c r="J700"/>
      <c r="K700"/>
      <c r="L700"/>
      <c r="M700"/>
      <c r="S700" s="54"/>
    </row>
    <row r="701" spans="1:19" s="15" customFormat="1" x14ac:dyDescent="0.3">
      <c r="A701" s="17"/>
      <c r="B701"/>
      <c r="C701"/>
      <c r="D701"/>
      <c r="E701"/>
      <c r="F701"/>
      <c r="G701"/>
      <c r="H701"/>
      <c r="I701"/>
      <c r="J701"/>
      <c r="K701"/>
      <c r="L701"/>
      <c r="M701"/>
      <c r="S701" s="54"/>
    </row>
    <row r="702" spans="1:19" s="15" customFormat="1" x14ac:dyDescent="0.3">
      <c r="A702" s="17"/>
      <c r="B702"/>
      <c r="C702"/>
      <c r="D702"/>
      <c r="E702"/>
      <c r="F702"/>
      <c r="G702"/>
      <c r="H702"/>
      <c r="I702"/>
      <c r="J702"/>
      <c r="K702"/>
      <c r="L702"/>
      <c r="M702"/>
      <c r="S702" s="54"/>
    </row>
    <row r="703" spans="1:19" s="15" customFormat="1" x14ac:dyDescent="0.3">
      <c r="A703" s="17"/>
      <c r="B703"/>
      <c r="C703"/>
      <c r="D703"/>
      <c r="E703"/>
      <c r="F703"/>
      <c r="G703"/>
      <c r="H703"/>
      <c r="I703"/>
      <c r="J703"/>
      <c r="K703"/>
      <c r="L703"/>
      <c r="M703"/>
      <c r="S703" s="54"/>
    </row>
    <row r="704" spans="1:19" s="15" customFormat="1" x14ac:dyDescent="0.3">
      <c r="A704" s="17"/>
      <c r="B704"/>
      <c r="C704"/>
      <c r="D704"/>
      <c r="E704"/>
      <c r="F704"/>
      <c r="G704"/>
      <c r="H704"/>
      <c r="I704"/>
      <c r="J704"/>
      <c r="K704"/>
      <c r="L704"/>
      <c r="M704"/>
      <c r="S704" s="54"/>
    </row>
    <row r="705" spans="1:19" s="15" customFormat="1" x14ac:dyDescent="0.3">
      <c r="A705" s="17"/>
      <c r="B705"/>
      <c r="C705"/>
      <c r="D705"/>
      <c r="E705"/>
      <c r="F705"/>
      <c r="G705"/>
      <c r="H705"/>
      <c r="I705"/>
      <c r="J705"/>
      <c r="K705"/>
      <c r="L705"/>
      <c r="M705"/>
      <c r="S705" s="54"/>
    </row>
    <row r="706" spans="1:19" s="15" customFormat="1" x14ac:dyDescent="0.3">
      <c r="A706" s="17"/>
      <c r="B706"/>
      <c r="C706"/>
      <c r="D706"/>
      <c r="E706"/>
      <c r="F706"/>
      <c r="G706"/>
      <c r="H706"/>
      <c r="I706"/>
      <c r="J706"/>
      <c r="K706"/>
      <c r="L706"/>
      <c r="M706"/>
      <c r="S706" s="54"/>
    </row>
    <row r="707" spans="1:19" s="15" customFormat="1" x14ac:dyDescent="0.3">
      <c r="A707" s="17"/>
      <c r="B707"/>
      <c r="C707"/>
      <c r="D707"/>
      <c r="E707"/>
      <c r="F707"/>
      <c r="G707"/>
      <c r="H707"/>
      <c r="I707"/>
      <c r="J707"/>
      <c r="K707"/>
      <c r="L707"/>
      <c r="M707"/>
      <c r="S707" s="54"/>
    </row>
    <row r="708" spans="1:19" s="15" customFormat="1" x14ac:dyDescent="0.3">
      <c r="A708" s="17"/>
      <c r="B708"/>
      <c r="C708"/>
      <c r="D708"/>
      <c r="E708"/>
      <c r="F708"/>
      <c r="G708"/>
      <c r="H708"/>
      <c r="I708"/>
      <c r="J708"/>
      <c r="K708"/>
      <c r="L708"/>
      <c r="M708"/>
      <c r="S708" s="54"/>
    </row>
    <row r="709" spans="1:19" s="15" customFormat="1" x14ac:dyDescent="0.3">
      <c r="A709" s="17"/>
      <c r="B709"/>
      <c r="C709"/>
      <c r="D709"/>
      <c r="E709"/>
      <c r="F709"/>
      <c r="G709"/>
      <c r="H709"/>
      <c r="I709"/>
      <c r="J709"/>
      <c r="K709"/>
      <c r="L709"/>
      <c r="M709"/>
      <c r="S709" s="54"/>
    </row>
    <row r="710" spans="1:19" s="15" customFormat="1" x14ac:dyDescent="0.3">
      <c r="A710" s="17"/>
      <c r="B710"/>
      <c r="C710"/>
      <c r="D710"/>
      <c r="E710"/>
      <c r="F710"/>
      <c r="G710"/>
      <c r="H710"/>
      <c r="I710"/>
      <c r="J710"/>
      <c r="K710"/>
      <c r="L710"/>
      <c r="M710"/>
      <c r="S710" s="54"/>
    </row>
    <row r="711" spans="1:19" s="15" customFormat="1" x14ac:dyDescent="0.3">
      <c r="A711" s="17"/>
      <c r="B711"/>
      <c r="C711"/>
      <c r="D711"/>
      <c r="E711"/>
      <c r="F711"/>
      <c r="G711"/>
      <c r="H711"/>
      <c r="I711"/>
      <c r="J711"/>
      <c r="K711"/>
      <c r="L711"/>
      <c r="M711"/>
      <c r="S711" s="54"/>
    </row>
    <row r="712" spans="1:19" s="15" customFormat="1" x14ac:dyDescent="0.3">
      <c r="A712" s="17"/>
      <c r="B712"/>
      <c r="C712"/>
      <c r="D712"/>
      <c r="E712"/>
      <c r="F712"/>
      <c r="G712"/>
      <c r="H712"/>
      <c r="I712"/>
      <c r="J712"/>
      <c r="K712"/>
      <c r="L712"/>
      <c r="M712"/>
      <c r="S712" s="54"/>
    </row>
    <row r="713" spans="1:19" s="15" customFormat="1" x14ac:dyDescent="0.3">
      <c r="A713" s="17"/>
      <c r="B713"/>
      <c r="C713"/>
      <c r="D713"/>
      <c r="E713"/>
      <c r="F713"/>
      <c r="G713"/>
      <c r="H713"/>
      <c r="I713"/>
      <c r="J713"/>
      <c r="K713"/>
      <c r="L713"/>
      <c r="M713"/>
      <c r="S713" s="54"/>
    </row>
    <row r="714" spans="1:19" s="15" customFormat="1" x14ac:dyDescent="0.3">
      <c r="A714" s="17"/>
      <c r="B714"/>
      <c r="C714"/>
      <c r="D714"/>
      <c r="E714"/>
      <c r="F714"/>
      <c r="G714"/>
      <c r="H714"/>
      <c r="I714"/>
      <c r="J714"/>
      <c r="K714"/>
      <c r="L714"/>
      <c r="M714"/>
      <c r="S714" s="54"/>
    </row>
    <row r="715" spans="1:19" s="15" customFormat="1" x14ac:dyDescent="0.3">
      <c r="A715" s="17"/>
      <c r="B715"/>
      <c r="C715"/>
      <c r="D715"/>
      <c r="E715"/>
      <c r="F715"/>
      <c r="G715"/>
      <c r="H715"/>
      <c r="I715"/>
      <c r="J715"/>
      <c r="K715"/>
      <c r="L715"/>
      <c r="M715"/>
      <c r="S715" s="54"/>
    </row>
    <row r="716" spans="1:19" s="15" customFormat="1" x14ac:dyDescent="0.3">
      <c r="A716" s="17"/>
      <c r="B716"/>
      <c r="C716"/>
      <c r="D716"/>
      <c r="E716"/>
      <c r="F716"/>
      <c r="G716"/>
      <c r="H716"/>
      <c r="I716"/>
      <c r="J716"/>
      <c r="K716"/>
      <c r="L716"/>
      <c r="M716"/>
      <c r="S716" s="54"/>
    </row>
    <row r="717" spans="1:19" s="15" customFormat="1" x14ac:dyDescent="0.3">
      <c r="A717" s="17"/>
      <c r="B717"/>
      <c r="C717"/>
      <c r="D717"/>
      <c r="E717"/>
      <c r="F717"/>
      <c r="G717"/>
      <c r="H717"/>
      <c r="I717"/>
      <c r="J717"/>
      <c r="K717"/>
      <c r="L717"/>
      <c r="M717"/>
      <c r="S717" s="54"/>
    </row>
    <row r="718" spans="1:19" s="15" customFormat="1" x14ac:dyDescent="0.3">
      <c r="A718" s="17"/>
      <c r="B718"/>
      <c r="C718"/>
      <c r="D718"/>
      <c r="E718"/>
      <c r="F718"/>
      <c r="G718"/>
      <c r="H718"/>
      <c r="I718"/>
      <c r="J718"/>
      <c r="K718"/>
      <c r="L718"/>
      <c r="M718"/>
      <c r="S718" s="54"/>
    </row>
    <row r="719" spans="1:19" s="15" customFormat="1" x14ac:dyDescent="0.3">
      <c r="A719" s="17"/>
      <c r="B719"/>
      <c r="C719"/>
      <c r="D719"/>
      <c r="E719"/>
      <c r="F719"/>
      <c r="G719"/>
      <c r="H719"/>
      <c r="I719"/>
      <c r="J719"/>
      <c r="K719"/>
      <c r="L719"/>
      <c r="M719"/>
      <c r="S719" s="54"/>
    </row>
    <row r="720" spans="1:19" s="15" customFormat="1" x14ac:dyDescent="0.3">
      <c r="A720" s="17"/>
      <c r="B720"/>
      <c r="C720"/>
      <c r="D720"/>
      <c r="E720"/>
      <c r="F720"/>
      <c r="G720"/>
      <c r="H720"/>
      <c r="I720"/>
      <c r="J720"/>
      <c r="K720"/>
      <c r="L720"/>
      <c r="M720"/>
      <c r="S720" s="54"/>
    </row>
    <row r="721" spans="1:19" s="15" customFormat="1" x14ac:dyDescent="0.3">
      <c r="A721" s="17"/>
      <c r="B721"/>
      <c r="C721"/>
      <c r="D721"/>
      <c r="E721"/>
      <c r="F721"/>
      <c r="G721"/>
      <c r="H721"/>
      <c r="I721"/>
      <c r="J721"/>
      <c r="K721"/>
      <c r="L721"/>
      <c r="M721"/>
      <c r="S721" s="54"/>
    </row>
    <row r="722" spans="1:19" s="15" customFormat="1" x14ac:dyDescent="0.3">
      <c r="A722" s="17"/>
      <c r="B722"/>
      <c r="C722"/>
      <c r="D722"/>
      <c r="E722"/>
      <c r="F722"/>
      <c r="G722"/>
      <c r="H722"/>
      <c r="I722"/>
      <c r="J722"/>
      <c r="K722"/>
      <c r="L722"/>
      <c r="M722"/>
      <c r="S722" s="54"/>
    </row>
    <row r="723" spans="1:19" s="15" customFormat="1" x14ac:dyDescent="0.3">
      <c r="A723" s="17"/>
      <c r="B723"/>
      <c r="C723"/>
      <c r="D723"/>
      <c r="E723"/>
      <c r="F723"/>
      <c r="G723"/>
      <c r="H723"/>
      <c r="I723"/>
      <c r="J723"/>
      <c r="K723"/>
      <c r="L723"/>
      <c r="M723"/>
      <c r="S723" s="54"/>
    </row>
    <row r="724" spans="1:19" s="15" customFormat="1" x14ac:dyDescent="0.3">
      <c r="A724" s="17"/>
      <c r="B724"/>
      <c r="C724"/>
      <c r="D724"/>
      <c r="E724"/>
      <c r="F724"/>
      <c r="G724"/>
      <c r="H724"/>
      <c r="I724"/>
      <c r="J724"/>
      <c r="K724"/>
      <c r="L724"/>
      <c r="M724"/>
      <c r="S724" s="54"/>
    </row>
    <row r="725" spans="1:19" s="15" customFormat="1" x14ac:dyDescent="0.3">
      <c r="A725" s="17"/>
      <c r="B725"/>
      <c r="C725"/>
      <c r="D725"/>
      <c r="E725"/>
      <c r="F725"/>
      <c r="G725"/>
      <c r="H725"/>
      <c r="I725"/>
      <c r="J725"/>
      <c r="K725"/>
      <c r="L725"/>
      <c r="M725"/>
      <c r="S725" s="54"/>
    </row>
    <row r="726" spans="1:19" s="15" customFormat="1" x14ac:dyDescent="0.3">
      <c r="A726" s="17"/>
      <c r="B726"/>
      <c r="C726"/>
      <c r="D726"/>
      <c r="E726"/>
      <c r="F726"/>
      <c r="G726"/>
      <c r="H726"/>
      <c r="I726"/>
      <c r="J726"/>
      <c r="K726"/>
      <c r="L726"/>
      <c r="M726"/>
      <c r="S726" s="54"/>
    </row>
    <row r="727" spans="1:19" s="15" customFormat="1" x14ac:dyDescent="0.3">
      <c r="A727" s="17"/>
      <c r="B727"/>
      <c r="C727"/>
      <c r="D727"/>
      <c r="E727"/>
      <c r="F727"/>
      <c r="G727"/>
      <c r="H727"/>
      <c r="I727"/>
      <c r="J727"/>
      <c r="K727"/>
      <c r="L727"/>
      <c r="M727"/>
      <c r="S727" s="54"/>
    </row>
    <row r="728" spans="1:19" s="15" customFormat="1" x14ac:dyDescent="0.3">
      <c r="A728" s="17"/>
      <c r="B728"/>
      <c r="C728"/>
      <c r="D728"/>
      <c r="E728"/>
      <c r="F728"/>
      <c r="G728"/>
      <c r="H728"/>
      <c r="I728"/>
      <c r="J728"/>
      <c r="K728"/>
      <c r="L728"/>
      <c r="M728"/>
      <c r="S728" s="54"/>
    </row>
    <row r="729" spans="1:19" s="15" customFormat="1" x14ac:dyDescent="0.3">
      <c r="A729" s="17"/>
      <c r="B729"/>
      <c r="C729"/>
      <c r="D729"/>
      <c r="E729"/>
      <c r="F729"/>
      <c r="G729"/>
      <c r="H729"/>
      <c r="I729"/>
      <c r="J729"/>
      <c r="K729"/>
      <c r="L729"/>
      <c r="M729"/>
      <c r="S729" s="54"/>
    </row>
    <row r="730" spans="1:19" s="15" customFormat="1" x14ac:dyDescent="0.3">
      <c r="A730" s="17"/>
      <c r="B730"/>
      <c r="C730"/>
      <c r="D730"/>
      <c r="E730"/>
      <c r="F730"/>
      <c r="G730"/>
      <c r="H730"/>
      <c r="I730"/>
      <c r="J730"/>
      <c r="K730"/>
      <c r="L730"/>
      <c r="M730"/>
      <c r="S730" s="54"/>
    </row>
    <row r="731" spans="1:19" s="15" customFormat="1" x14ac:dyDescent="0.3">
      <c r="A731" s="17"/>
      <c r="B731"/>
      <c r="C731"/>
      <c r="D731"/>
      <c r="E731"/>
      <c r="F731"/>
      <c r="G731"/>
      <c r="H731"/>
      <c r="I731"/>
      <c r="J731"/>
      <c r="K731"/>
      <c r="L731"/>
      <c r="M731"/>
      <c r="S731" s="54"/>
    </row>
    <row r="732" spans="1:19" s="15" customFormat="1" x14ac:dyDescent="0.3">
      <c r="A732" s="17"/>
      <c r="B732"/>
      <c r="C732"/>
      <c r="D732"/>
      <c r="E732"/>
      <c r="F732"/>
      <c r="G732"/>
      <c r="H732"/>
      <c r="I732"/>
      <c r="J732"/>
      <c r="K732"/>
      <c r="L732"/>
      <c r="M732"/>
      <c r="S732" s="54"/>
    </row>
    <row r="733" spans="1:19" s="15" customFormat="1" x14ac:dyDescent="0.3">
      <c r="A733" s="17"/>
      <c r="B733"/>
      <c r="C733"/>
      <c r="D733"/>
      <c r="E733"/>
      <c r="F733"/>
      <c r="G733"/>
      <c r="H733"/>
      <c r="I733"/>
      <c r="J733"/>
      <c r="K733"/>
      <c r="L733"/>
      <c r="M733"/>
      <c r="S733" s="54"/>
    </row>
    <row r="734" spans="1:19" s="15" customFormat="1" x14ac:dyDescent="0.3">
      <c r="A734" s="17"/>
      <c r="B734"/>
      <c r="C734"/>
      <c r="D734"/>
      <c r="E734"/>
      <c r="F734"/>
      <c r="G734"/>
      <c r="H734"/>
      <c r="I734"/>
      <c r="J734"/>
      <c r="K734"/>
      <c r="L734"/>
      <c r="M734"/>
      <c r="S734" s="54"/>
    </row>
    <row r="735" spans="1:19" s="15" customFormat="1" x14ac:dyDescent="0.3">
      <c r="A735" s="17"/>
      <c r="B735"/>
      <c r="C735"/>
      <c r="D735"/>
      <c r="E735"/>
      <c r="F735"/>
      <c r="G735"/>
      <c r="H735"/>
      <c r="I735"/>
      <c r="J735"/>
      <c r="K735"/>
      <c r="L735"/>
      <c r="M735"/>
      <c r="S735" s="54"/>
    </row>
    <row r="736" spans="1:19" s="15" customFormat="1" x14ac:dyDescent="0.3">
      <c r="A736" s="17"/>
      <c r="B736"/>
      <c r="C736"/>
      <c r="D736"/>
      <c r="E736"/>
      <c r="F736"/>
      <c r="G736"/>
      <c r="H736"/>
      <c r="I736"/>
      <c r="J736"/>
      <c r="K736"/>
      <c r="L736"/>
      <c r="M736"/>
      <c r="S736" s="54"/>
    </row>
    <row r="737" spans="1:19" s="15" customFormat="1" x14ac:dyDescent="0.3">
      <c r="A737" s="17"/>
      <c r="B737"/>
      <c r="C737"/>
      <c r="D737"/>
      <c r="E737"/>
      <c r="F737"/>
      <c r="G737"/>
      <c r="H737"/>
      <c r="I737"/>
      <c r="J737"/>
      <c r="K737"/>
      <c r="L737"/>
      <c r="M737"/>
      <c r="S737" s="54"/>
    </row>
    <row r="738" spans="1:19" s="15" customFormat="1" x14ac:dyDescent="0.3">
      <c r="A738" s="17"/>
      <c r="B738"/>
      <c r="C738"/>
      <c r="D738"/>
      <c r="E738"/>
      <c r="F738"/>
      <c r="G738"/>
      <c r="H738"/>
      <c r="I738"/>
      <c r="J738"/>
      <c r="K738"/>
      <c r="L738"/>
      <c r="M738"/>
      <c r="S738" s="54"/>
    </row>
    <row r="739" spans="1:19" s="15" customFormat="1" x14ac:dyDescent="0.3">
      <c r="A739" s="17"/>
      <c r="B739"/>
      <c r="C739"/>
      <c r="D739"/>
      <c r="E739"/>
      <c r="F739"/>
      <c r="G739"/>
      <c r="H739"/>
      <c r="I739"/>
      <c r="J739"/>
      <c r="K739"/>
      <c r="L739"/>
      <c r="M739"/>
      <c r="S739" s="54"/>
    </row>
    <row r="740" spans="1:19" s="15" customFormat="1" x14ac:dyDescent="0.3">
      <c r="A740" s="17"/>
      <c r="B740"/>
      <c r="C740"/>
      <c r="D740"/>
      <c r="E740"/>
      <c r="F740"/>
      <c r="G740"/>
      <c r="H740"/>
      <c r="I740"/>
      <c r="J740"/>
      <c r="K740"/>
      <c r="L740"/>
      <c r="M740"/>
      <c r="S740" s="54"/>
    </row>
    <row r="741" spans="1:19" s="15" customFormat="1" x14ac:dyDescent="0.3">
      <c r="A741" s="17"/>
      <c r="B741"/>
      <c r="C741"/>
      <c r="D741"/>
      <c r="E741"/>
      <c r="F741"/>
      <c r="G741"/>
      <c r="H741"/>
      <c r="I741"/>
      <c r="J741"/>
      <c r="K741"/>
      <c r="L741"/>
      <c r="M741"/>
      <c r="S741" s="54"/>
    </row>
    <row r="742" spans="1:19" s="15" customFormat="1" x14ac:dyDescent="0.3">
      <c r="A742" s="17"/>
      <c r="B742"/>
      <c r="C742"/>
      <c r="D742"/>
      <c r="E742"/>
      <c r="F742"/>
      <c r="G742"/>
      <c r="H742"/>
      <c r="I742"/>
      <c r="J742"/>
      <c r="K742"/>
      <c r="L742"/>
      <c r="M742"/>
      <c r="S742" s="54"/>
    </row>
    <row r="743" spans="1:19" s="15" customFormat="1" x14ac:dyDescent="0.3">
      <c r="A743" s="17"/>
      <c r="B743"/>
      <c r="C743"/>
      <c r="D743"/>
      <c r="E743"/>
      <c r="F743"/>
      <c r="G743"/>
      <c r="H743"/>
      <c r="I743"/>
      <c r="J743"/>
      <c r="K743"/>
      <c r="L743"/>
      <c r="M743"/>
      <c r="S743" s="54"/>
    </row>
    <row r="744" spans="1:19" s="15" customFormat="1" x14ac:dyDescent="0.3">
      <c r="A744" s="17"/>
      <c r="B744"/>
      <c r="C744"/>
      <c r="D744"/>
      <c r="E744"/>
      <c r="F744"/>
      <c r="G744"/>
      <c r="H744"/>
      <c r="I744"/>
      <c r="J744"/>
      <c r="K744"/>
      <c r="L744"/>
      <c r="M744"/>
      <c r="S744" s="54"/>
    </row>
    <row r="745" spans="1:19" s="15" customFormat="1" x14ac:dyDescent="0.3">
      <c r="A745" s="17"/>
      <c r="B745"/>
      <c r="C745"/>
      <c r="D745"/>
      <c r="E745"/>
      <c r="F745"/>
      <c r="G745"/>
      <c r="H745"/>
      <c r="I745"/>
      <c r="J745"/>
      <c r="K745"/>
      <c r="L745"/>
      <c r="M745"/>
      <c r="S745" s="54"/>
    </row>
    <row r="746" spans="1:19" s="15" customFormat="1" x14ac:dyDescent="0.3">
      <c r="A746" s="17"/>
      <c r="B746"/>
      <c r="C746"/>
      <c r="D746"/>
      <c r="E746"/>
      <c r="F746"/>
      <c r="G746"/>
      <c r="H746"/>
      <c r="I746"/>
      <c r="J746"/>
      <c r="K746"/>
      <c r="L746"/>
      <c r="M746"/>
      <c r="S746" s="54"/>
    </row>
    <row r="747" spans="1:19" s="15" customFormat="1" x14ac:dyDescent="0.3">
      <c r="A747" s="17"/>
      <c r="B747"/>
      <c r="C747"/>
      <c r="D747"/>
      <c r="E747"/>
      <c r="F747"/>
      <c r="G747"/>
      <c r="H747"/>
      <c r="I747"/>
      <c r="J747"/>
      <c r="K747"/>
      <c r="L747"/>
      <c r="M747"/>
      <c r="S747" s="54"/>
    </row>
    <row r="748" spans="1:19" s="15" customFormat="1" x14ac:dyDescent="0.3">
      <c r="A748" s="17"/>
      <c r="B748"/>
      <c r="C748"/>
      <c r="D748"/>
      <c r="E748"/>
      <c r="F748"/>
      <c r="G748"/>
      <c r="H748"/>
      <c r="I748"/>
      <c r="J748"/>
      <c r="K748"/>
      <c r="L748"/>
      <c r="M748"/>
      <c r="S748" s="54"/>
    </row>
    <row r="749" spans="1:19" s="15" customFormat="1" x14ac:dyDescent="0.3">
      <c r="A749" s="17"/>
      <c r="B749"/>
      <c r="C749"/>
      <c r="D749"/>
      <c r="E749"/>
      <c r="F749"/>
      <c r="G749"/>
      <c r="H749"/>
      <c r="I749"/>
      <c r="J749"/>
      <c r="K749"/>
      <c r="L749"/>
      <c r="M749"/>
      <c r="S749" s="54"/>
    </row>
    <row r="750" spans="1:19" s="15" customFormat="1" x14ac:dyDescent="0.3">
      <c r="A750" s="17"/>
      <c r="B750"/>
      <c r="C750"/>
      <c r="D750"/>
      <c r="E750"/>
      <c r="F750"/>
      <c r="G750"/>
      <c r="H750"/>
      <c r="I750"/>
      <c r="J750"/>
      <c r="K750"/>
      <c r="L750"/>
      <c r="M750"/>
      <c r="S750" s="54"/>
    </row>
    <row r="751" spans="1:19" s="15" customFormat="1" x14ac:dyDescent="0.3">
      <c r="A751" s="17"/>
      <c r="B751"/>
      <c r="C751"/>
      <c r="D751"/>
      <c r="E751"/>
      <c r="F751"/>
      <c r="G751"/>
      <c r="H751"/>
      <c r="I751"/>
      <c r="J751"/>
      <c r="K751"/>
      <c r="L751"/>
      <c r="M751"/>
      <c r="S751" s="54"/>
    </row>
    <row r="752" spans="1:19" s="15" customFormat="1" x14ac:dyDescent="0.3">
      <c r="A752" s="17"/>
      <c r="B752"/>
      <c r="C752"/>
      <c r="D752"/>
      <c r="E752"/>
      <c r="F752"/>
      <c r="G752"/>
      <c r="H752"/>
      <c r="I752"/>
      <c r="J752"/>
      <c r="K752"/>
      <c r="L752"/>
      <c r="M752"/>
      <c r="S752" s="54"/>
    </row>
    <row r="753" spans="1:19" s="15" customFormat="1" x14ac:dyDescent="0.3">
      <c r="A753" s="17"/>
      <c r="B753"/>
      <c r="C753"/>
      <c r="D753"/>
      <c r="E753"/>
      <c r="F753"/>
      <c r="G753"/>
      <c r="H753"/>
      <c r="I753"/>
      <c r="J753"/>
      <c r="K753"/>
      <c r="L753"/>
      <c r="M753"/>
      <c r="S753" s="54"/>
    </row>
    <row r="754" spans="1:19" s="15" customFormat="1" x14ac:dyDescent="0.3">
      <c r="A754" s="17"/>
      <c r="B754"/>
      <c r="C754"/>
      <c r="D754"/>
      <c r="E754"/>
      <c r="F754"/>
      <c r="G754"/>
      <c r="H754"/>
      <c r="I754"/>
      <c r="J754"/>
      <c r="K754"/>
      <c r="L754"/>
      <c r="M754"/>
      <c r="S754" s="54"/>
    </row>
    <row r="755" spans="1:19" s="15" customFormat="1" x14ac:dyDescent="0.3">
      <c r="A755" s="17"/>
      <c r="B755"/>
      <c r="C755"/>
      <c r="D755"/>
      <c r="E755"/>
      <c r="F755"/>
      <c r="G755"/>
      <c r="H755"/>
      <c r="I755"/>
      <c r="J755"/>
      <c r="K755"/>
      <c r="L755"/>
      <c r="M755"/>
      <c r="S755" s="54"/>
    </row>
    <row r="756" spans="1:19" s="15" customFormat="1" x14ac:dyDescent="0.3">
      <c r="A756" s="17"/>
      <c r="B756"/>
      <c r="C756"/>
      <c r="D756"/>
      <c r="E756"/>
      <c r="F756"/>
      <c r="G756"/>
      <c r="H756"/>
      <c r="I756"/>
      <c r="J756"/>
      <c r="K756"/>
      <c r="L756"/>
      <c r="M756"/>
      <c r="S756" s="54"/>
    </row>
    <row r="757" spans="1:19" s="15" customFormat="1" x14ac:dyDescent="0.3">
      <c r="A757" s="17"/>
      <c r="B757"/>
      <c r="C757"/>
      <c r="D757"/>
      <c r="E757"/>
      <c r="F757"/>
      <c r="G757"/>
      <c r="H757"/>
      <c r="I757"/>
      <c r="J757"/>
      <c r="K757"/>
      <c r="L757"/>
      <c r="M757"/>
      <c r="S757" s="54"/>
    </row>
    <row r="758" spans="1:19" s="15" customFormat="1" x14ac:dyDescent="0.3">
      <c r="A758" s="17"/>
      <c r="B758"/>
      <c r="C758"/>
      <c r="D758"/>
      <c r="E758"/>
      <c r="F758"/>
      <c r="G758"/>
      <c r="H758"/>
      <c r="I758"/>
      <c r="J758"/>
      <c r="K758"/>
      <c r="L758"/>
      <c r="M758"/>
      <c r="S758" s="54"/>
    </row>
    <row r="759" spans="1:19" s="15" customFormat="1" x14ac:dyDescent="0.3">
      <c r="A759" s="17"/>
      <c r="B759"/>
      <c r="C759"/>
      <c r="D759"/>
      <c r="E759"/>
      <c r="F759"/>
      <c r="G759"/>
      <c r="H759"/>
      <c r="I759"/>
      <c r="J759"/>
      <c r="K759"/>
      <c r="L759"/>
      <c r="M759"/>
      <c r="S759" s="54"/>
    </row>
    <row r="760" spans="1:19" s="15" customFormat="1" x14ac:dyDescent="0.3">
      <c r="A760" s="17"/>
      <c r="B760"/>
      <c r="C760"/>
      <c r="D760"/>
      <c r="E760"/>
      <c r="F760"/>
      <c r="G760"/>
      <c r="H760"/>
      <c r="I760"/>
      <c r="J760"/>
      <c r="K760"/>
      <c r="L760"/>
      <c r="M760"/>
      <c r="S760" s="54"/>
    </row>
    <row r="761" spans="1:19" s="15" customFormat="1" x14ac:dyDescent="0.3">
      <c r="A761" s="17"/>
      <c r="B761"/>
      <c r="C761"/>
      <c r="D761"/>
      <c r="E761"/>
      <c r="F761"/>
      <c r="G761"/>
      <c r="H761"/>
      <c r="I761"/>
      <c r="J761"/>
      <c r="K761"/>
      <c r="L761"/>
      <c r="M761"/>
      <c r="S761" s="54"/>
    </row>
    <row r="762" spans="1:19" s="15" customFormat="1" x14ac:dyDescent="0.3">
      <c r="A762" s="17"/>
      <c r="B762"/>
      <c r="C762"/>
      <c r="D762"/>
      <c r="E762"/>
      <c r="F762"/>
      <c r="G762"/>
      <c r="H762"/>
      <c r="I762"/>
      <c r="J762"/>
      <c r="K762"/>
      <c r="L762"/>
      <c r="M762"/>
      <c r="S762" s="54"/>
    </row>
    <row r="763" spans="1:19" s="15" customFormat="1" x14ac:dyDescent="0.3">
      <c r="A763" s="17"/>
      <c r="B763"/>
      <c r="C763"/>
      <c r="D763"/>
      <c r="E763"/>
      <c r="F763"/>
      <c r="G763"/>
      <c r="H763"/>
      <c r="I763"/>
      <c r="J763"/>
      <c r="K763"/>
      <c r="L763"/>
      <c r="M763"/>
      <c r="S763" s="54"/>
    </row>
    <row r="764" spans="1:19" s="15" customFormat="1" x14ac:dyDescent="0.3">
      <c r="A764" s="17"/>
      <c r="B764"/>
      <c r="C764"/>
      <c r="D764"/>
      <c r="E764"/>
      <c r="F764"/>
      <c r="G764"/>
      <c r="H764"/>
      <c r="I764"/>
      <c r="J764"/>
      <c r="K764"/>
      <c r="L764"/>
      <c r="M764"/>
      <c r="S764" s="54"/>
    </row>
    <row r="765" spans="1:19" s="15" customFormat="1" x14ac:dyDescent="0.3">
      <c r="A765" s="17"/>
      <c r="B765"/>
      <c r="C765"/>
      <c r="D765"/>
      <c r="E765"/>
      <c r="F765"/>
      <c r="G765"/>
      <c r="H765"/>
      <c r="I765"/>
      <c r="J765"/>
      <c r="K765"/>
      <c r="L765"/>
      <c r="M765"/>
      <c r="S765" s="54"/>
    </row>
    <row r="766" spans="1:19" s="15" customFormat="1" x14ac:dyDescent="0.3">
      <c r="A766" s="17"/>
      <c r="B766"/>
      <c r="C766"/>
      <c r="D766"/>
      <c r="E766"/>
      <c r="F766"/>
      <c r="G766"/>
      <c r="H766"/>
      <c r="I766"/>
      <c r="J766"/>
      <c r="K766"/>
      <c r="L766"/>
      <c r="M766"/>
      <c r="S766" s="54"/>
    </row>
    <row r="767" spans="1:19" s="15" customFormat="1" x14ac:dyDescent="0.3">
      <c r="A767" s="17"/>
      <c r="B767"/>
      <c r="C767"/>
      <c r="D767"/>
      <c r="E767"/>
      <c r="F767"/>
      <c r="G767"/>
      <c r="H767"/>
      <c r="I767"/>
      <c r="J767"/>
      <c r="K767"/>
      <c r="L767"/>
      <c r="M767"/>
      <c r="S767" s="54"/>
    </row>
    <row r="768" spans="1:19" s="15" customFormat="1" x14ac:dyDescent="0.3">
      <c r="A768" s="17"/>
      <c r="B768"/>
      <c r="C768"/>
      <c r="D768"/>
      <c r="E768"/>
      <c r="F768"/>
      <c r="G768"/>
      <c r="H768"/>
      <c r="I768"/>
      <c r="J768"/>
      <c r="K768"/>
      <c r="L768"/>
      <c r="M768"/>
      <c r="S768" s="54"/>
    </row>
    <row r="769" spans="1:19" s="15" customFormat="1" x14ac:dyDescent="0.3">
      <c r="A769" s="17"/>
      <c r="B769"/>
      <c r="C769"/>
      <c r="D769"/>
      <c r="E769"/>
      <c r="F769"/>
      <c r="G769"/>
      <c r="H769"/>
      <c r="I769"/>
      <c r="J769"/>
      <c r="K769"/>
      <c r="L769"/>
      <c r="M769"/>
      <c r="S769" s="54"/>
    </row>
    <row r="770" spans="1:19" s="15" customFormat="1" x14ac:dyDescent="0.3">
      <c r="A770" s="17"/>
      <c r="B770"/>
      <c r="C770"/>
      <c r="D770"/>
      <c r="E770"/>
      <c r="F770"/>
      <c r="G770"/>
      <c r="H770"/>
      <c r="I770"/>
      <c r="J770"/>
      <c r="K770"/>
      <c r="L770"/>
      <c r="M770"/>
      <c r="S770" s="54"/>
    </row>
    <row r="771" spans="1:19" s="15" customFormat="1" x14ac:dyDescent="0.3">
      <c r="A771" s="17"/>
      <c r="B771"/>
      <c r="C771"/>
      <c r="D771"/>
      <c r="E771"/>
      <c r="F771"/>
      <c r="G771"/>
      <c r="H771"/>
      <c r="I771"/>
      <c r="J771"/>
      <c r="K771"/>
      <c r="L771"/>
      <c r="M771"/>
      <c r="S771" s="54"/>
    </row>
    <row r="772" spans="1:19" s="15" customFormat="1" x14ac:dyDescent="0.3">
      <c r="A772" s="17"/>
      <c r="B772"/>
      <c r="C772"/>
      <c r="D772"/>
      <c r="E772"/>
      <c r="F772"/>
      <c r="G772"/>
      <c r="H772"/>
      <c r="I772"/>
      <c r="J772"/>
      <c r="K772"/>
      <c r="L772"/>
      <c r="M772"/>
      <c r="S772" s="54"/>
    </row>
    <row r="773" spans="1:19" s="15" customFormat="1" x14ac:dyDescent="0.3">
      <c r="A773" s="17"/>
      <c r="B773"/>
      <c r="C773"/>
      <c r="D773"/>
      <c r="E773"/>
      <c r="F773"/>
      <c r="G773"/>
      <c r="H773"/>
      <c r="I773"/>
      <c r="J773"/>
      <c r="K773"/>
      <c r="L773"/>
      <c r="M773"/>
      <c r="S773" s="54"/>
    </row>
    <row r="774" spans="1:19" s="15" customFormat="1" x14ac:dyDescent="0.3">
      <c r="A774" s="17"/>
      <c r="B774"/>
      <c r="C774"/>
      <c r="D774"/>
      <c r="E774"/>
      <c r="F774"/>
      <c r="G774"/>
      <c r="H774"/>
      <c r="I774"/>
      <c r="J774"/>
      <c r="K774"/>
      <c r="L774"/>
      <c r="M774"/>
      <c r="S774" s="54"/>
    </row>
    <row r="775" spans="1:19" s="15" customFormat="1" x14ac:dyDescent="0.3">
      <c r="A775" s="17"/>
      <c r="B775"/>
      <c r="C775"/>
      <c r="D775"/>
      <c r="E775"/>
      <c r="F775"/>
      <c r="G775"/>
      <c r="H775"/>
      <c r="I775"/>
      <c r="J775"/>
      <c r="K775"/>
      <c r="L775"/>
      <c r="M775"/>
      <c r="S775" s="54"/>
    </row>
    <row r="776" spans="1:19" s="15" customFormat="1" x14ac:dyDescent="0.3">
      <c r="A776" s="17"/>
      <c r="B776"/>
      <c r="C776"/>
      <c r="D776"/>
      <c r="E776"/>
      <c r="F776"/>
      <c r="G776"/>
      <c r="H776"/>
      <c r="I776"/>
      <c r="J776"/>
      <c r="K776"/>
      <c r="L776"/>
      <c r="M776"/>
      <c r="S776" s="54"/>
    </row>
    <row r="777" spans="1:19" s="15" customFormat="1" x14ac:dyDescent="0.3">
      <c r="A777" s="17"/>
      <c r="B777"/>
      <c r="C777"/>
      <c r="D777"/>
      <c r="E777"/>
      <c r="F777"/>
      <c r="G777"/>
      <c r="H777"/>
      <c r="I777"/>
      <c r="J777"/>
      <c r="K777"/>
      <c r="L777"/>
      <c r="M777"/>
      <c r="S777" s="54"/>
    </row>
    <row r="778" spans="1:19" s="15" customFormat="1" x14ac:dyDescent="0.3">
      <c r="A778" s="17"/>
      <c r="B778"/>
      <c r="C778"/>
      <c r="D778"/>
      <c r="E778"/>
      <c r="F778"/>
      <c r="G778"/>
      <c r="H778"/>
      <c r="I778"/>
      <c r="J778"/>
      <c r="K778"/>
      <c r="L778"/>
      <c r="M778"/>
      <c r="S778" s="54"/>
    </row>
    <row r="779" spans="1:19" s="15" customFormat="1" x14ac:dyDescent="0.3">
      <c r="A779" s="17"/>
      <c r="B779"/>
      <c r="C779"/>
      <c r="D779"/>
      <c r="E779"/>
      <c r="F779"/>
      <c r="G779"/>
      <c r="H779"/>
      <c r="I779"/>
      <c r="J779"/>
      <c r="K779"/>
      <c r="L779"/>
      <c r="M779"/>
      <c r="S779" s="54"/>
    </row>
    <row r="780" spans="1:19" s="15" customFormat="1" x14ac:dyDescent="0.3">
      <c r="A780" s="17"/>
      <c r="B780"/>
      <c r="C780"/>
      <c r="D780"/>
      <c r="E780"/>
      <c r="F780"/>
      <c r="G780"/>
      <c r="H780"/>
      <c r="I780"/>
      <c r="J780"/>
      <c r="K780"/>
      <c r="L780"/>
      <c r="M780"/>
      <c r="S780" s="54"/>
    </row>
    <row r="781" spans="1:19" s="15" customFormat="1" x14ac:dyDescent="0.3">
      <c r="A781" s="17"/>
      <c r="B781"/>
      <c r="C781"/>
      <c r="D781"/>
      <c r="E781"/>
      <c r="F781"/>
      <c r="G781"/>
      <c r="H781"/>
      <c r="I781"/>
      <c r="J781"/>
      <c r="K781"/>
      <c r="L781"/>
      <c r="M781"/>
      <c r="S781" s="54"/>
    </row>
    <row r="782" spans="1:19" s="15" customFormat="1" x14ac:dyDescent="0.3">
      <c r="A782" s="17"/>
      <c r="B782"/>
      <c r="C782"/>
      <c r="D782"/>
      <c r="E782"/>
      <c r="F782"/>
      <c r="G782"/>
      <c r="H782"/>
      <c r="I782"/>
      <c r="J782"/>
      <c r="K782"/>
      <c r="L782"/>
      <c r="M782"/>
      <c r="S782" s="54"/>
    </row>
    <row r="783" spans="1:19" s="15" customFormat="1" x14ac:dyDescent="0.3">
      <c r="A783" s="17"/>
      <c r="B783"/>
      <c r="C783"/>
      <c r="D783"/>
      <c r="E783"/>
      <c r="F783"/>
      <c r="G783"/>
      <c r="H783"/>
      <c r="I783"/>
      <c r="J783"/>
      <c r="K783"/>
      <c r="L783"/>
      <c r="M783"/>
      <c r="S783" s="54"/>
    </row>
    <row r="784" spans="1:19" s="15" customFormat="1" x14ac:dyDescent="0.3">
      <c r="A784" s="17"/>
      <c r="B784"/>
      <c r="C784"/>
      <c r="D784"/>
      <c r="E784"/>
      <c r="F784"/>
      <c r="G784"/>
      <c r="H784"/>
      <c r="I784"/>
      <c r="J784"/>
      <c r="K784"/>
      <c r="L784"/>
      <c r="M784"/>
      <c r="S784" s="54"/>
    </row>
    <row r="785" spans="1:19" s="15" customFormat="1" x14ac:dyDescent="0.3">
      <c r="A785" s="17"/>
      <c r="B785"/>
      <c r="C785"/>
      <c r="D785"/>
      <c r="E785"/>
      <c r="F785"/>
      <c r="G785"/>
      <c r="H785"/>
      <c r="I785"/>
      <c r="J785"/>
      <c r="K785"/>
      <c r="L785"/>
      <c r="M785"/>
      <c r="S785" s="54"/>
    </row>
    <row r="786" spans="1:19" s="15" customFormat="1" x14ac:dyDescent="0.3">
      <c r="A786" s="17"/>
      <c r="B786"/>
      <c r="C786"/>
      <c r="D786"/>
      <c r="E786"/>
      <c r="F786"/>
      <c r="G786"/>
      <c r="H786"/>
      <c r="I786"/>
      <c r="J786"/>
      <c r="K786"/>
      <c r="L786"/>
      <c r="M786"/>
      <c r="S786" s="54"/>
    </row>
    <row r="787" spans="1:19" s="15" customFormat="1" x14ac:dyDescent="0.3">
      <c r="A787" s="17"/>
      <c r="B787"/>
      <c r="C787"/>
      <c r="D787"/>
      <c r="E787"/>
      <c r="F787"/>
      <c r="G787"/>
      <c r="H787"/>
      <c r="I787"/>
      <c r="J787"/>
      <c r="K787"/>
      <c r="L787"/>
      <c r="M787"/>
      <c r="S787" s="54"/>
    </row>
    <row r="788" spans="1:19" s="15" customFormat="1" x14ac:dyDescent="0.3">
      <c r="A788" s="17"/>
      <c r="B788"/>
      <c r="C788"/>
      <c r="D788"/>
      <c r="E788"/>
      <c r="F788"/>
      <c r="G788"/>
      <c r="H788"/>
      <c r="I788"/>
      <c r="J788"/>
      <c r="K788"/>
      <c r="L788"/>
      <c r="M788"/>
      <c r="S788" s="54"/>
    </row>
    <row r="789" spans="1:19" s="15" customFormat="1" x14ac:dyDescent="0.3">
      <c r="A789" s="17"/>
      <c r="B789"/>
      <c r="C789"/>
      <c r="D789"/>
      <c r="E789"/>
      <c r="F789"/>
      <c r="G789"/>
      <c r="H789"/>
      <c r="I789"/>
      <c r="J789"/>
      <c r="K789"/>
      <c r="L789"/>
      <c r="M789"/>
      <c r="S789" s="54"/>
    </row>
    <row r="790" spans="1:19" s="15" customFormat="1" x14ac:dyDescent="0.3">
      <c r="A790" s="17"/>
      <c r="B790"/>
      <c r="C790"/>
      <c r="D790"/>
      <c r="E790"/>
      <c r="F790"/>
      <c r="G790"/>
      <c r="H790"/>
      <c r="I790"/>
      <c r="J790"/>
      <c r="K790"/>
      <c r="L790"/>
      <c r="M790"/>
      <c r="S790" s="54"/>
    </row>
    <row r="791" spans="1:19" s="15" customFormat="1" x14ac:dyDescent="0.3">
      <c r="A791" s="17"/>
      <c r="B791"/>
      <c r="C791"/>
      <c r="D791"/>
      <c r="E791"/>
      <c r="F791"/>
      <c r="G791"/>
      <c r="H791"/>
      <c r="I791"/>
      <c r="J791"/>
      <c r="K791"/>
      <c r="L791"/>
      <c r="M791"/>
      <c r="S791" s="54"/>
    </row>
    <row r="792" spans="1:19" s="15" customFormat="1" x14ac:dyDescent="0.3">
      <c r="A792" s="17"/>
      <c r="B792"/>
      <c r="C792"/>
      <c r="D792"/>
      <c r="E792"/>
      <c r="F792"/>
      <c r="G792"/>
      <c r="H792"/>
      <c r="I792"/>
      <c r="J792"/>
      <c r="K792"/>
      <c r="L792"/>
      <c r="M792"/>
      <c r="S792" s="54"/>
    </row>
    <row r="793" spans="1:19" s="15" customFormat="1" x14ac:dyDescent="0.3">
      <c r="A793" s="17"/>
      <c r="B793"/>
      <c r="C793"/>
      <c r="D793"/>
      <c r="E793"/>
      <c r="F793"/>
      <c r="G793"/>
      <c r="H793"/>
      <c r="I793"/>
      <c r="J793"/>
      <c r="K793"/>
      <c r="L793"/>
      <c r="M793"/>
      <c r="S793" s="54"/>
    </row>
    <row r="794" spans="1:19" s="15" customFormat="1" x14ac:dyDescent="0.3">
      <c r="A794" s="17"/>
      <c r="B794"/>
      <c r="C794"/>
      <c r="D794"/>
      <c r="E794"/>
      <c r="F794"/>
      <c r="G794"/>
      <c r="H794"/>
      <c r="I794"/>
      <c r="J794"/>
      <c r="K794"/>
      <c r="L794"/>
      <c r="M794"/>
      <c r="S794" s="54"/>
    </row>
    <row r="795" spans="1:19" s="15" customFormat="1" x14ac:dyDescent="0.3">
      <c r="A795" s="17"/>
      <c r="B795"/>
      <c r="C795"/>
      <c r="D795"/>
      <c r="E795"/>
      <c r="F795"/>
      <c r="G795"/>
      <c r="H795"/>
      <c r="I795"/>
      <c r="J795"/>
      <c r="K795"/>
      <c r="L795"/>
      <c r="M795"/>
      <c r="S795" s="54"/>
    </row>
    <row r="796" spans="1:19" s="15" customFormat="1" x14ac:dyDescent="0.3">
      <c r="A796" s="17"/>
      <c r="B796"/>
      <c r="C796"/>
      <c r="D796"/>
      <c r="E796"/>
      <c r="F796"/>
      <c r="G796"/>
      <c r="H796"/>
      <c r="I796"/>
      <c r="J796"/>
      <c r="K796"/>
      <c r="L796"/>
      <c r="M796"/>
      <c r="S796" s="54"/>
    </row>
    <row r="797" spans="1:19" s="15" customFormat="1" x14ac:dyDescent="0.3">
      <c r="A797" s="17"/>
      <c r="B797"/>
      <c r="C797"/>
      <c r="D797"/>
      <c r="E797"/>
      <c r="F797"/>
      <c r="G797"/>
      <c r="H797"/>
      <c r="I797"/>
      <c r="J797"/>
      <c r="K797"/>
      <c r="L797"/>
      <c r="M797"/>
      <c r="S797" s="54"/>
    </row>
    <row r="798" spans="1:19" s="15" customFormat="1" x14ac:dyDescent="0.3">
      <c r="A798" s="17"/>
      <c r="B798"/>
      <c r="C798"/>
      <c r="D798"/>
      <c r="E798"/>
      <c r="F798"/>
      <c r="G798"/>
      <c r="H798"/>
      <c r="I798"/>
      <c r="J798"/>
      <c r="K798"/>
      <c r="L798"/>
      <c r="M798"/>
      <c r="S798" s="54"/>
    </row>
    <row r="799" spans="1:19" s="15" customFormat="1" x14ac:dyDescent="0.3">
      <c r="A799" s="17"/>
      <c r="B799"/>
      <c r="C799"/>
      <c r="D799"/>
      <c r="E799"/>
      <c r="F799"/>
      <c r="G799"/>
      <c r="H799"/>
      <c r="I799"/>
      <c r="J799"/>
      <c r="K799"/>
      <c r="L799"/>
      <c r="M799"/>
      <c r="S799" s="54"/>
    </row>
    <row r="800" spans="1:19" s="15" customFormat="1" x14ac:dyDescent="0.3">
      <c r="A800" s="17"/>
      <c r="B800"/>
      <c r="C800"/>
      <c r="D800"/>
      <c r="E800"/>
      <c r="F800"/>
      <c r="G800"/>
      <c r="H800"/>
      <c r="I800"/>
      <c r="J800"/>
      <c r="K800"/>
      <c r="L800"/>
      <c r="M800"/>
      <c r="S800" s="54"/>
    </row>
    <row r="801" spans="1:19" s="15" customFormat="1" x14ac:dyDescent="0.3">
      <c r="A801" s="17"/>
      <c r="B801"/>
      <c r="C801"/>
      <c r="D801"/>
      <c r="E801"/>
      <c r="F801"/>
      <c r="G801"/>
      <c r="H801"/>
      <c r="I801"/>
      <c r="J801"/>
      <c r="K801"/>
      <c r="L801"/>
      <c r="M801"/>
      <c r="S801" s="54"/>
    </row>
    <row r="802" spans="1:19" s="15" customFormat="1" x14ac:dyDescent="0.3">
      <c r="A802" s="17"/>
      <c r="B802"/>
      <c r="C802"/>
      <c r="D802"/>
      <c r="E802"/>
      <c r="F802"/>
      <c r="G802"/>
      <c r="H802"/>
      <c r="I802"/>
      <c r="J802"/>
      <c r="K802"/>
      <c r="L802"/>
      <c r="M802"/>
      <c r="S802" s="54"/>
    </row>
    <row r="803" spans="1:19" s="15" customFormat="1" x14ac:dyDescent="0.3">
      <c r="A803" s="17"/>
      <c r="B803"/>
      <c r="C803"/>
      <c r="D803"/>
      <c r="E803"/>
      <c r="F803"/>
      <c r="G803"/>
      <c r="H803"/>
      <c r="I803"/>
      <c r="J803"/>
      <c r="K803"/>
      <c r="L803"/>
      <c r="M803"/>
      <c r="S803" s="54"/>
    </row>
    <row r="804" spans="1:19" s="15" customFormat="1" x14ac:dyDescent="0.3">
      <c r="A804" s="17"/>
      <c r="B804"/>
      <c r="C804"/>
      <c r="D804"/>
      <c r="E804"/>
      <c r="F804"/>
      <c r="G804"/>
      <c r="H804"/>
      <c r="I804"/>
      <c r="J804"/>
      <c r="K804"/>
      <c r="L804"/>
      <c r="M804"/>
      <c r="S804" s="54"/>
    </row>
    <row r="805" spans="1:19" s="15" customFormat="1" x14ac:dyDescent="0.3">
      <c r="A805" s="17"/>
      <c r="B805"/>
      <c r="C805"/>
      <c r="D805"/>
      <c r="E805"/>
      <c r="F805"/>
      <c r="G805"/>
      <c r="H805"/>
      <c r="I805"/>
      <c r="J805"/>
      <c r="K805"/>
      <c r="L805"/>
      <c r="M805"/>
      <c r="S805" s="54"/>
    </row>
    <row r="806" spans="1:19" s="15" customFormat="1" x14ac:dyDescent="0.3">
      <c r="A806" s="17"/>
      <c r="B806"/>
      <c r="C806"/>
      <c r="D806"/>
      <c r="E806"/>
      <c r="F806"/>
      <c r="G806"/>
      <c r="H806"/>
      <c r="I806"/>
      <c r="J806"/>
      <c r="K806"/>
      <c r="L806"/>
      <c r="M806"/>
      <c r="S806" s="54"/>
    </row>
    <row r="807" spans="1:19" s="15" customFormat="1" x14ac:dyDescent="0.3">
      <c r="A807" s="17"/>
      <c r="B807"/>
      <c r="C807"/>
      <c r="D807"/>
      <c r="E807"/>
      <c r="F807"/>
      <c r="G807"/>
      <c r="H807"/>
      <c r="I807"/>
      <c r="J807"/>
      <c r="K807"/>
      <c r="L807"/>
      <c r="M807"/>
      <c r="S807" s="54"/>
    </row>
    <row r="808" spans="1:19" s="15" customFormat="1" x14ac:dyDescent="0.3">
      <c r="A808" s="17"/>
      <c r="B808"/>
      <c r="C808"/>
      <c r="D808"/>
      <c r="E808"/>
      <c r="F808"/>
      <c r="G808"/>
      <c r="H808"/>
      <c r="I808"/>
      <c r="J808"/>
      <c r="K808"/>
      <c r="L808"/>
      <c r="M808"/>
      <c r="S808" s="54"/>
    </row>
    <row r="809" spans="1:19" s="15" customFormat="1" x14ac:dyDescent="0.3">
      <c r="A809" s="17"/>
      <c r="B809"/>
      <c r="C809"/>
      <c r="D809"/>
      <c r="E809"/>
      <c r="F809"/>
      <c r="G809"/>
      <c r="H809"/>
      <c r="I809"/>
      <c r="J809"/>
      <c r="K809"/>
      <c r="L809"/>
      <c r="M809"/>
      <c r="S809" s="54"/>
    </row>
    <row r="810" spans="1:19" s="15" customFormat="1" x14ac:dyDescent="0.3">
      <c r="A810" s="17"/>
      <c r="B810"/>
      <c r="C810"/>
      <c r="D810"/>
      <c r="E810"/>
      <c r="F810"/>
      <c r="G810"/>
      <c r="H810"/>
      <c r="I810"/>
      <c r="J810"/>
      <c r="K810"/>
      <c r="L810"/>
      <c r="M810"/>
      <c r="S810" s="54"/>
    </row>
    <row r="811" spans="1:19" s="15" customFormat="1" x14ac:dyDescent="0.3">
      <c r="A811" s="17"/>
      <c r="B811"/>
      <c r="C811"/>
      <c r="D811"/>
      <c r="E811"/>
      <c r="F811"/>
      <c r="G811"/>
      <c r="H811"/>
      <c r="I811"/>
      <c r="J811"/>
      <c r="K811"/>
      <c r="L811"/>
      <c r="M811"/>
      <c r="S811" s="54"/>
    </row>
    <row r="812" spans="1:19" s="15" customFormat="1" x14ac:dyDescent="0.3">
      <c r="A812" s="17"/>
      <c r="B812"/>
      <c r="C812"/>
      <c r="D812"/>
      <c r="E812"/>
      <c r="F812"/>
      <c r="G812"/>
      <c r="H812"/>
      <c r="I812"/>
      <c r="J812"/>
      <c r="K812"/>
      <c r="L812"/>
      <c r="M812"/>
      <c r="S812" s="54"/>
    </row>
    <row r="813" spans="1:19" s="15" customFormat="1" x14ac:dyDescent="0.3">
      <c r="A813" s="17"/>
      <c r="B813"/>
      <c r="C813"/>
      <c r="D813"/>
      <c r="E813"/>
      <c r="F813"/>
      <c r="G813"/>
      <c r="H813"/>
      <c r="I813"/>
      <c r="J813"/>
      <c r="K813"/>
      <c r="L813"/>
      <c r="M813"/>
      <c r="S813" s="54"/>
    </row>
    <row r="814" spans="1:19" s="15" customFormat="1" x14ac:dyDescent="0.3">
      <c r="A814" s="17"/>
      <c r="B814"/>
      <c r="C814"/>
      <c r="D814"/>
      <c r="E814"/>
      <c r="F814"/>
      <c r="G814"/>
      <c r="H814"/>
      <c r="I814"/>
      <c r="J814"/>
      <c r="K814"/>
      <c r="L814"/>
      <c r="M814"/>
      <c r="S814" s="54"/>
    </row>
    <row r="815" spans="1:19" s="15" customFormat="1" x14ac:dyDescent="0.3">
      <c r="A815" s="17"/>
      <c r="B815"/>
      <c r="C815"/>
      <c r="D815"/>
      <c r="E815"/>
      <c r="F815"/>
      <c r="G815"/>
      <c r="H815"/>
      <c r="I815"/>
      <c r="J815"/>
      <c r="K815"/>
      <c r="L815"/>
      <c r="M815"/>
      <c r="S815" s="54"/>
    </row>
    <row r="816" spans="1:19" s="15" customFormat="1" x14ac:dyDescent="0.3">
      <c r="A816" s="17"/>
      <c r="B816"/>
      <c r="C816"/>
      <c r="D816"/>
      <c r="E816"/>
      <c r="F816"/>
      <c r="G816"/>
      <c r="H816"/>
      <c r="I816"/>
      <c r="J816"/>
      <c r="K816"/>
      <c r="L816"/>
      <c r="M816"/>
      <c r="S816" s="54"/>
    </row>
    <row r="817" spans="1:19" s="15" customFormat="1" x14ac:dyDescent="0.3">
      <c r="A817" s="17"/>
      <c r="B817"/>
      <c r="C817"/>
      <c r="D817"/>
      <c r="E817"/>
      <c r="F817"/>
      <c r="G817"/>
      <c r="H817"/>
      <c r="I817"/>
      <c r="J817"/>
      <c r="K817"/>
      <c r="L817"/>
      <c r="M817"/>
      <c r="S817" s="54"/>
    </row>
    <row r="818" spans="1:19" s="15" customFormat="1" x14ac:dyDescent="0.3">
      <c r="A818" s="17"/>
      <c r="B818"/>
      <c r="C818"/>
      <c r="D818"/>
      <c r="E818"/>
      <c r="F818"/>
      <c r="G818"/>
      <c r="H818"/>
      <c r="I818"/>
      <c r="J818"/>
      <c r="K818"/>
      <c r="L818"/>
      <c r="M818"/>
      <c r="S818" s="54"/>
    </row>
    <row r="819" spans="1:19" s="15" customFormat="1" x14ac:dyDescent="0.3">
      <c r="A819" s="17"/>
      <c r="B819"/>
      <c r="C819"/>
      <c r="D819"/>
      <c r="E819"/>
      <c r="F819"/>
      <c r="G819"/>
      <c r="H819"/>
      <c r="I819"/>
      <c r="J819"/>
      <c r="K819"/>
      <c r="L819"/>
      <c r="M819"/>
      <c r="S819" s="54"/>
    </row>
    <row r="820" spans="1:19" s="15" customFormat="1" x14ac:dyDescent="0.3">
      <c r="A820" s="17"/>
      <c r="B820"/>
      <c r="C820"/>
      <c r="D820"/>
      <c r="E820"/>
      <c r="F820"/>
      <c r="G820"/>
      <c r="H820"/>
      <c r="I820"/>
      <c r="J820"/>
      <c r="K820"/>
      <c r="L820"/>
      <c r="M820"/>
      <c r="S820" s="54"/>
    </row>
    <row r="821" spans="1:19" s="15" customFormat="1" x14ac:dyDescent="0.3">
      <c r="A821" s="17"/>
      <c r="B821"/>
      <c r="C821"/>
      <c r="D821"/>
      <c r="E821"/>
      <c r="F821"/>
      <c r="G821"/>
      <c r="H821"/>
      <c r="I821"/>
      <c r="J821"/>
      <c r="K821"/>
      <c r="L821"/>
      <c r="M821"/>
      <c r="S821" s="54"/>
    </row>
    <row r="822" spans="1:19" s="15" customFormat="1" x14ac:dyDescent="0.3">
      <c r="A822" s="17"/>
      <c r="B822"/>
      <c r="C822"/>
      <c r="D822"/>
      <c r="E822"/>
      <c r="F822"/>
      <c r="G822"/>
      <c r="H822"/>
      <c r="I822"/>
      <c r="J822"/>
      <c r="K822"/>
      <c r="L822"/>
      <c r="M822"/>
      <c r="S822" s="54"/>
    </row>
    <row r="823" spans="1:19" s="15" customFormat="1" x14ac:dyDescent="0.3">
      <c r="A823" s="17"/>
      <c r="B823"/>
      <c r="C823"/>
      <c r="D823"/>
      <c r="E823"/>
      <c r="F823"/>
      <c r="G823"/>
      <c r="H823"/>
      <c r="I823"/>
      <c r="J823"/>
      <c r="K823"/>
      <c r="L823"/>
      <c r="M823"/>
      <c r="S823" s="54"/>
    </row>
    <row r="824" spans="1:19" s="15" customFormat="1" x14ac:dyDescent="0.3">
      <c r="A824" s="17"/>
      <c r="B824"/>
      <c r="C824"/>
      <c r="D824"/>
      <c r="E824"/>
      <c r="F824"/>
      <c r="G824"/>
      <c r="H824"/>
      <c r="I824"/>
      <c r="J824"/>
      <c r="K824"/>
      <c r="L824"/>
      <c r="M824"/>
      <c r="S824" s="54"/>
    </row>
    <row r="825" spans="1:19" s="15" customFormat="1" x14ac:dyDescent="0.3">
      <c r="A825" s="17"/>
      <c r="B825"/>
      <c r="C825"/>
      <c r="D825"/>
      <c r="E825"/>
      <c r="F825"/>
      <c r="G825"/>
      <c r="H825"/>
      <c r="I825"/>
      <c r="J825"/>
      <c r="K825"/>
      <c r="L825"/>
      <c r="M825"/>
      <c r="S825" s="54"/>
    </row>
    <row r="826" spans="1:19" s="15" customFormat="1" x14ac:dyDescent="0.3">
      <c r="A826" s="17"/>
      <c r="B826"/>
      <c r="C826"/>
      <c r="D826"/>
      <c r="E826"/>
      <c r="F826"/>
      <c r="G826"/>
      <c r="H826"/>
      <c r="I826"/>
      <c r="J826"/>
      <c r="K826"/>
      <c r="L826"/>
      <c r="M826"/>
      <c r="S826" s="54"/>
    </row>
    <row r="827" spans="1:19" s="15" customFormat="1" x14ac:dyDescent="0.3">
      <c r="A827" s="17"/>
      <c r="B827"/>
      <c r="C827"/>
      <c r="D827"/>
      <c r="E827"/>
      <c r="F827"/>
      <c r="G827"/>
      <c r="H827"/>
      <c r="I827"/>
      <c r="J827"/>
      <c r="K827"/>
      <c r="L827"/>
      <c r="M827"/>
      <c r="S827" s="54"/>
    </row>
    <row r="828" spans="1:19" s="15" customFormat="1" x14ac:dyDescent="0.3">
      <c r="A828" s="17"/>
      <c r="B828"/>
      <c r="C828"/>
      <c r="D828"/>
      <c r="E828"/>
      <c r="F828"/>
      <c r="G828"/>
      <c r="H828"/>
      <c r="I828"/>
      <c r="J828"/>
      <c r="K828"/>
      <c r="L828"/>
      <c r="M828"/>
      <c r="S828" s="54"/>
    </row>
    <row r="829" spans="1:19" s="15" customFormat="1" x14ac:dyDescent="0.3">
      <c r="A829" s="17"/>
      <c r="B829"/>
      <c r="C829"/>
      <c r="D829"/>
      <c r="E829"/>
      <c r="F829"/>
      <c r="G829"/>
      <c r="H829"/>
      <c r="I829"/>
      <c r="J829"/>
      <c r="K829"/>
      <c r="L829"/>
      <c r="M829"/>
      <c r="S829" s="54"/>
    </row>
    <row r="830" spans="1:19" s="15" customFormat="1" x14ac:dyDescent="0.3">
      <c r="A830" s="17"/>
      <c r="B830"/>
      <c r="C830"/>
      <c r="D830"/>
      <c r="E830"/>
      <c r="F830"/>
      <c r="G830"/>
      <c r="H830"/>
      <c r="I830"/>
      <c r="J830"/>
      <c r="K830"/>
      <c r="L830"/>
      <c r="M830"/>
      <c r="S830" s="54"/>
    </row>
    <row r="831" spans="1:19" s="15" customFormat="1" x14ac:dyDescent="0.3">
      <c r="A831" s="17"/>
      <c r="B831"/>
      <c r="C831"/>
      <c r="D831"/>
      <c r="E831"/>
      <c r="F831"/>
      <c r="G831"/>
      <c r="H831"/>
      <c r="I831"/>
      <c r="J831"/>
      <c r="K831"/>
      <c r="L831"/>
      <c r="M831"/>
      <c r="S831" s="54"/>
    </row>
    <row r="832" spans="1:19" s="15" customFormat="1" x14ac:dyDescent="0.3">
      <c r="A832" s="17"/>
      <c r="B832"/>
      <c r="C832"/>
      <c r="D832"/>
      <c r="E832"/>
      <c r="F832"/>
      <c r="G832"/>
      <c r="H832"/>
      <c r="I832"/>
      <c r="J832"/>
      <c r="K832"/>
      <c r="L832"/>
      <c r="M832"/>
      <c r="S832" s="54"/>
    </row>
    <row r="833" spans="1:19" s="15" customFormat="1" x14ac:dyDescent="0.3">
      <c r="A833" s="17"/>
      <c r="B833"/>
      <c r="C833"/>
      <c r="D833"/>
      <c r="E833"/>
      <c r="F833"/>
      <c r="G833"/>
      <c r="H833"/>
      <c r="I833"/>
      <c r="J833"/>
      <c r="K833"/>
      <c r="L833"/>
      <c r="M833"/>
      <c r="S833" s="54"/>
    </row>
    <row r="834" spans="1:19" s="15" customFormat="1" x14ac:dyDescent="0.3">
      <c r="A834" s="17"/>
      <c r="B834"/>
      <c r="C834"/>
      <c r="D834"/>
      <c r="E834"/>
      <c r="F834"/>
      <c r="G834"/>
      <c r="H834"/>
      <c r="I834"/>
      <c r="J834"/>
      <c r="K834"/>
      <c r="L834"/>
      <c r="M834"/>
      <c r="S834" s="54"/>
    </row>
    <row r="835" spans="1:19" s="15" customFormat="1" x14ac:dyDescent="0.3">
      <c r="A835" s="17"/>
      <c r="B835"/>
      <c r="C835"/>
      <c r="D835"/>
      <c r="E835"/>
      <c r="F835"/>
      <c r="G835"/>
      <c r="H835"/>
      <c r="I835"/>
      <c r="J835"/>
      <c r="K835"/>
      <c r="L835"/>
      <c r="M835"/>
      <c r="S835" s="54"/>
    </row>
    <row r="836" spans="1:19" s="15" customFormat="1" x14ac:dyDescent="0.3">
      <c r="A836" s="17"/>
      <c r="B836"/>
      <c r="C836"/>
      <c r="D836"/>
      <c r="E836"/>
      <c r="F836"/>
      <c r="G836"/>
      <c r="H836"/>
      <c r="I836"/>
      <c r="J836"/>
      <c r="K836"/>
      <c r="L836"/>
      <c r="M836"/>
      <c r="S836" s="54"/>
    </row>
    <row r="837" spans="1:19" s="15" customFormat="1" x14ac:dyDescent="0.3">
      <c r="A837" s="17"/>
      <c r="B837"/>
      <c r="C837"/>
      <c r="D837"/>
      <c r="E837"/>
      <c r="F837"/>
      <c r="G837"/>
      <c r="H837"/>
      <c r="I837"/>
      <c r="J837"/>
      <c r="K837"/>
      <c r="L837"/>
      <c r="M837"/>
      <c r="S837" s="54"/>
    </row>
    <row r="838" spans="1:19" s="15" customFormat="1" x14ac:dyDescent="0.3">
      <c r="A838" s="17"/>
      <c r="B838"/>
      <c r="C838"/>
      <c r="D838"/>
      <c r="E838"/>
      <c r="F838"/>
      <c r="G838"/>
      <c r="H838"/>
      <c r="I838"/>
      <c r="J838"/>
      <c r="K838"/>
      <c r="L838"/>
      <c r="M838"/>
      <c r="S838" s="54"/>
    </row>
    <row r="839" spans="1:19" s="15" customFormat="1" x14ac:dyDescent="0.3">
      <c r="A839" s="17"/>
      <c r="B839"/>
      <c r="C839"/>
      <c r="D839"/>
      <c r="E839"/>
      <c r="F839"/>
      <c r="G839"/>
      <c r="H839"/>
      <c r="I839"/>
      <c r="J839"/>
      <c r="K839"/>
      <c r="L839"/>
      <c r="M839"/>
      <c r="S839" s="54"/>
    </row>
    <row r="840" spans="1:19" s="15" customFormat="1" x14ac:dyDescent="0.3">
      <c r="A840" s="17"/>
      <c r="B840"/>
      <c r="C840"/>
      <c r="D840"/>
      <c r="E840"/>
      <c r="F840"/>
      <c r="G840"/>
      <c r="H840"/>
      <c r="I840"/>
      <c r="J840"/>
      <c r="K840"/>
      <c r="L840"/>
      <c r="M840"/>
      <c r="S840" s="54"/>
    </row>
    <row r="841" spans="1:19" s="15" customFormat="1" x14ac:dyDescent="0.3">
      <c r="A841" s="17"/>
      <c r="B841"/>
      <c r="C841"/>
      <c r="D841"/>
      <c r="E841"/>
      <c r="F841"/>
      <c r="G841"/>
      <c r="H841"/>
      <c r="I841"/>
      <c r="J841"/>
      <c r="K841"/>
      <c r="L841"/>
      <c r="M841"/>
      <c r="S841" s="54"/>
    </row>
    <row r="842" spans="1:19" s="15" customFormat="1" x14ac:dyDescent="0.3">
      <c r="A842" s="17"/>
      <c r="B842"/>
      <c r="C842"/>
      <c r="D842"/>
      <c r="E842"/>
      <c r="F842"/>
      <c r="G842"/>
      <c r="H842"/>
      <c r="I842"/>
      <c r="J842"/>
      <c r="K842"/>
      <c r="L842"/>
      <c r="M842"/>
      <c r="S842" s="54"/>
    </row>
    <row r="843" spans="1:19" s="15" customFormat="1" x14ac:dyDescent="0.3">
      <c r="A843" s="17"/>
      <c r="B843"/>
      <c r="C843"/>
      <c r="D843"/>
      <c r="E843"/>
      <c r="F843"/>
      <c r="G843"/>
      <c r="H843"/>
      <c r="I843"/>
      <c r="J843"/>
      <c r="K843"/>
      <c r="L843"/>
      <c r="M843"/>
      <c r="S843" s="54"/>
    </row>
    <row r="844" spans="1:19" s="15" customFormat="1" x14ac:dyDescent="0.3">
      <c r="A844" s="17"/>
      <c r="B844"/>
      <c r="C844"/>
      <c r="D844"/>
      <c r="E844"/>
      <c r="F844"/>
      <c r="G844"/>
      <c r="H844"/>
      <c r="I844"/>
      <c r="J844"/>
      <c r="K844"/>
      <c r="L844"/>
      <c r="M844"/>
      <c r="S844" s="54"/>
    </row>
    <row r="845" spans="1:19" s="15" customFormat="1" x14ac:dyDescent="0.3">
      <c r="A845" s="17"/>
      <c r="B845"/>
      <c r="C845"/>
      <c r="D845"/>
      <c r="E845"/>
      <c r="F845"/>
      <c r="G845"/>
      <c r="H845"/>
      <c r="I845"/>
      <c r="J845"/>
      <c r="K845"/>
      <c r="L845"/>
      <c r="M845"/>
      <c r="S845" s="54"/>
    </row>
    <row r="846" spans="1:19" s="15" customFormat="1" x14ac:dyDescent="0.3">
      <c r="A846" s="17"/>
      <c r="B846"/>
      <c r="C846"/>
      <c r="D846"/>
      <c r="E846"/>
      <c r="F846"/>
      <c r="G846"/>
      <c r="H846"/>
      <c r="I846"/>
      <c r="J846"/>
      <c r="K846"/>
      <c r="L846"/>
      <c r="M846"/>
      <c r="S846" s="54"/>
    </row>
    <row r="847" spans="1:19" s="15" customFormat="1" x14ac:dyDescent="0.3">
      <c r="A847" s="17"/>
      <c r="B847"/>
      <c r="C847"/>
      <c r="D847"/>
      <c r="E847"/>
      <c r="F847"/>
      <c r="G847"/>
      <c r="H847"/>
      <c r="I847"/>
      <c r="J847"/>
      <c r="K847"/>
      <c r="L847"/>
      <c r="M847"/>
      <c r="S847" s="54"/>
    </row>
    <row r="848" spans="1:19" s="15" customFormat="1" x14ac:dyDescent="0.3">
      <c r="A848" s="17"/>
      <c r="B848"/>
      <c r="C848"/>
      <c r="D848"/>
      <c r="E848"/>
      <c r="F848"/>
      <c r="G848"/>
      <c r="H848"/>
      <c r="I848"/>
      <c r="J848"/>
      <c r="K848"/>
      <c r="L848"/>
      <c r="M848"/>
      <c r="S848" s="54"/>
    </row>
    <row r="849" spans="1:19" s="15" customFormat="1" x14ac:dyDescent="0.3">
      <c r="A849" s="17"/>
      <c r="B849"/>
      <c r="C849"/>
      <c r="D849"/>
      <c r="E849"/>
      <c r="F849"/>
      <c r="G849"/>
      <c r="H849"/>
      <c r="I849"/>
      <c r="J849"/>
      <c r="K849"/>
      <c r="L849"/>
      <c r="M849"/>
      <c r="S849" s="54"/>
    </row>
    <row r="850" spans="1:19" s="15" customFormat="1" x14ac:dyDescent="0.3">
      <c r="A850" s="17"/>
      <c r="B850"/>
      <c r="C850"/>
      <c r="D850"/>
      <c r="E850"/>
      <c r="F850"/>
      <c r="G850"/>
      <c r="H850"/>
      <c r="I850"/>
      <c r="J850"/>
      <c r="K850"/>
      <c r="L850"/>
      <c r="M850"/>
      <c r="S850" s="54"/>
    </row>
    <row r="851" spans="1:19" s="15" customFormat="1" x14ac:dyDescent="0.3">
      <c r="A851" s="17"/>
      <c r="B851"/>
      <c r="C851"/>
      <c r="D851"/>
      <c r="E851"/>
      <c r="F851"/>
      <c r="G851"/>
      <c r="H851"/>
      <c r="I851"/>
      <c r="J851"/>
      <c r="K851"/>
      <c r="L851"/>
      <c r="M851"/>
      <c r="S851" s="54"/>
    </row>
    <row r="852" spans="1:19" s="15" customFormat="1" x14ac:dyDescent="0.3">
      <c r="A852" s="17"/>
      <c r="B852"/>
      <c r="C852"/>
      <c r="D852"/>
      <c r="E852"/>
      <c r="F852"/>
      <c r="G852"/>
      <c r="H852"/>
      <c r="I852"/>
      <c r="J852"/>
      <c r="K852"/>
      <c r="L852"/>
      <c r="M852"/>
      <c r="S852" s="54"/>
    </row>
    <row r="853" spans="1:19" s="15" customFormat="1" x14ac:dyDescent="0.3">
      <c r="A853" s="17"/>
      <c r="B853"/>
      <c r="C853"/>
      <c r="D853"/>
      <c r="E853"/>
      <c r="F853"/>
      <c r="G853"/>
      <c r="H853"/>
      <c r="I853"/>
      <c r="J853"/>
      <c r="K853"/>
      <c r="L853"/>
      <c r="M853"/>
      <c r="S853" s="54"/>
    </row>
    <row r="854" spans="1:19" s="15" customFormat="1" x14ac:dyDescent="0.3">
      <c r="A854" s="17"/>
      <c r="B854"/>
      <c r="C854"/>
      <c r="D854"/>
      <c r="E854"/>
      <c r="F854"/>
      <c r="G854"/>
      <c r="H854"/>
      <c r="I854"/>
      <c r="J854"/>
      <c r="K854"/>
      <c r="L854"/>
      <c r="M854"/>
      <c r="S854" s="54"/>
    </row>
    <row r="855" spans="1:19" s="15" customFormat="1" x14ac:dyDescent="0.3">
      <c r="A855" s="17"/>
      <c r="B855"/>
      <c r="C855"/>
      <c r="D855"/>
      <c r="E855"/>
      <c r="F855"/>
      <c r="G855"/>
      <c r="H855"/>
      <c r="I855"/>
      <c r="J855"/>
      <c r="K855"/>
      <c r="L855"/>
      <c r="M855"/>
      <c r="S855" s="54"/>
    </row>
    <row r="856" spans="1:19" s="15" customFormat="1" x14ac:dyDescent="0.3">
      <c r="A856" s="17"/>
      <c r="B856"/>
      <c r="C856"/>
      <c r="D856"/>
      <c r="E856"/>
      <c r="F856"/>
      <c r="G856"/>
      <c r="H856"/>
      <c r="I856"/>
      <c r="J856"/>
      <c r="K856"/>
      <c r="L856"/>
      <c r="M856"/>
      <c r="S856" s="54"/>
    </row>
    <row r="857" spans="1:19" s="15" customFormat="1" x14ac:dyDescent="0.3">
      <c r="A857" s="17"/>
      <c r="B857"/>
      <c r="C857"/>
      <c r="D857"/>
      <c r="E857"/>
      <c r="F857"/>
      <c r="G857"/>
      <c r="H857"/>
      <c r="I857"/>
      <c r="J857"/>
      <c r="K857"/>
      <c r="L857"/>
      <c r="M857"/>
      <c r="S857" s="54"/>
    </row>
    <row r="858" spans="1:19" s="15" customFormat="1" x14ac:dyDescent="0.3">
      <c r="A858" s="17"/>
      <c r="B858"/>
      <c r="C858"/>
      <c r="D858"/>
      <c r="E858"/>
      <c r="F858"/>
      <c r="G858"/>
      <c r="H858"/>
      <c r="I858"/>
      <c r="J858"/>
      <c r="K858"/>
      <c r="L858"/>
      <c r="M858"/>
      <c r="S858" s="54"/>
    </row>
    <row r="859" spans="1:19" s="15" customFormat="1" x14ac:dyDescent="0.3">
      <c r="A859" s="17"/>
      <c r="B859"/>
      <c r="C859"/>
      <c r="D859"/>
      <c r="E859"/>
      <c r="F859"/>
      <c r="G859"/>
      <c r="H859"/>
      <c r="I859"/>
      <c r="J859"/>
      <c r="K859"/>
      <c r="L859"/>
      <c r="M859"/>
      <c r="S859" s="54"/>
    </row>
    <row r="860" spans="1:19" s="15" customFormat="1" x14ac:dyDescent="0.3">
      <c r="A860" s="17"/>
      <c r="B860"/>
      <c r="C860"/>
      <c r="D860"/>
      <c r="E860"/>
      <c r="F860"/>
      <c r="G860"/>
      <c r="H860"/>
      <c r="I860"/>
      <c r="J860"/>
      <c r="K860"/>
      <c r="L860"/>
      <c r="M860"/>
      <c r="S860" s="54"/>
    </row>
    <row r="861" spans="1:19" s="15" customFormat="1" x14ac:dyDescent="0.3">
      <c r="A861" s="17"/>
      <c r="B861"/>
      <c r="C861"/>
      <c r="D861"/>
      <c r="E861"/>
      <c r="F861"/>
      <c r="G861"/>
      <c r="H861"/>
      <c r="I861"/>
      <c r="J861"/>
      <c r="K861"/>
      <c r="L861"/>
      <c r="M861"/>
      <c r="S861" s="54"/>
    </row>
    <row r="862" spans="1:19" s="15" customFormat="1" x14ac:dyDescent="0.3">
      <c r="A862" s="17"/>
      <c r="B862"/>
      <c r="C862"/>
      <c r="D862"/>
      <c r="E862"/>
      <c r="F862"/>
      <c r="G862"/>
      <c r="H862"/>
      <c r="I862"/>
      <c r="J862"/>
      <c r="K862"/>
      <c r="L862"/>
      <c r="M862"/>
      <c r="S862" s="54"/>
    </row>
    <row r="863" spans="1:19" s="15" customFormat="1" x14ac:dyDescent="0.3">
      <c r="A863" s="17"/>
      <c r="B863"/>
      <c r="C863"/>
      <c r="D863"/>
      <c r="E863"/>
      <c r="F863"/>
      <c r="G863"/>
      <c r="H863"/>
      <c r="I863"/>
      <c r="J863"/>
      <c r="K863"/>
      <c r="L863"/>
      <c r="M863"/>
      <c r="S863" s="54"/>
    </row>
    <row r="864" spans="1:19" s="15" customFormat="1" x14ac:dyDescent="0.3">
      <c r="A864" s="17"/>
      <c r="B864"/>
      <c r="C864"/>
      <c r="D864"/>
      <c r="E864"/>
      <c r="F864"/>
      <c r="G864"/>
      <c r="H864"/>
      <c r="I864"/>
      <c r="J864"/>
      <c r="K864"/>
      <c r="L864"/>
      <c r="M864"/>
      <c r="S864" s="54"/>
    </row>
    <row r="865" spans="1:19" s="15" customFormat="1" x14ac:dyDescent="0.3">
      <c r="A865" s="17"/>
      <c r="B865"/>
      <c r="C865"/>
      <c r="D865"/>
      <c r="E865"/>
      <c r="F865"/>
      <c r="G865"/>
      <c r="H865"/>
      <c r="I865"/>
      <c r="J865"/>
      <c r="K865"/>
      <c r="L865"/>
      <c r="M865"/>
      <c r="S865" s="54"/>
    </row>
    <row r="866" spans="1:19" s="15" customFormat="1" x14ac:dyDescent="0.3">
      <c r="A866" s="17"/>
      <c r="B866"/>
      <c r="C866"/>
      <c r="D866"/>
      <c r="E866"/>
      <c r="F866"/>
      <c r="G866"/>
      <c r="H866"/>
      <c r="I866"/>
      <c r="J866"/>
      <c r="K866"/>
      <c r="L866"/>
      <c r="M866"/>
      <c r="S866" s="54"/>
    </row>
    <row r="867" spans="1:19" s="15" customFormat="1" x14ac:dyDescent="0.3">
      <c r="A867" s="17"/>
      <c r="B867"/>
      <c r="C867"/>
      <c r="D867"/>
      <c r="E867"/>
      <c r="F867"/>
      <c r="G867"/>
      <c r="H867"/>
      <c r="I867"/>
      <c r="J867"/>
      <c r="K867"/>
      <c r="L867"/>
      <c r="M867"/>
      <c r="S867" s="54"/>
    </row>
    <row r="868" spans="1:19" s="15" customFormat="1" x14ac:dyDescent="0.3">
      <c r="A868" s="17"/>
      <c r="B868"/>
      <c r="C868"/>
      <c r="D868"/>
      <c r="E868"/>
      <c r="F868"/>
      <c r="G868"/>
      <c r="H868"/>
      <c r="I868"/>
      <c r="J868"/>
      <c r="K868"/>
      <c r="L868"/>
      <c r="M868"/>
      <c r="S868" s="54"/>
    </row>
    <row r="869" spans="1:19" s="15" customFormat="1" x14ac:dyDescent="0.3">
      <c r="A869" s="17"/>
      <c r="B869"/>
      <c r="C869"/>
      <c r="D869"/>
      <c r="E869"/>
      <c r="F869"/>
      <c r="G869"/>
      <c r="H869"/>
      <c r="I869"/>
      <c r="J869"/>
      <c r="K869"/>
      <c r="L869"/>
      <c r="M869"/>
      <c r="S869" s="54"/>
    </row>
    <row r="870" spans="1:19" s="15" customFormat="1" x14ac:dyDescent="0.3">
      <c r="A870" s="17"/>
      <c r="B870"/>
      <c r="C870"/>
      <c r="D870"/>
      <c r="E870"/>
      <c r="F870"/>
      <c r="G870"/>
      <c r="H870"/>
      <c r="I870"/>
      <c r="J870"/>
      <c r="K870"/>
      <c r="L870"/>
      <c r="M870"/>
      <c r="S870" s="54"/>
    </row>
    <row r="871" spans="1:19" s="15" customFormat="1" x14ac:dyDescent="0.3">
      <c r="A871" s="17"/>
      <c r="B871"/>
      <c r="C871"/>
      <c r="D871"/>
      <c r="E871"/>
      <c r="F871"/>
      <c r="G871"/>
      <c r="H871"/>
      <c r="I871"/>
      <c r="J871"/>
      <c r="K871"/>
      <c r="L871"/>
      <c r="M871"/>
      <c r="S871" s="54"/>
    </row>
    <row r="872" spans="1:19" s="15" customFormat="1" x14ac:dyDescent="0.3">
      <c r="A872" s="17"/>
      <c r="B872"/>
      <c r="C872"/>
      <c r="D872"/>
      <c r="E872"/>
      <c r="F872"/>
      <c r="G872"/>
      <c r="H872"/>
      <c r="I872"/>
      <c r="J872"/>
      <c r="K872"/>
      <c r="L872"/>
      <c r="M872"/>
      <c r="S872" s="54"/>
    </row>
    <row r="873" spans="1:19" s="15" customFormat="1" x14ac:dyDescent="0.3">
      <c r="A873" s="17"/>
      <c r="B873"/>
      <c r="C873"/>
      <c r="D873"/>
      <c r="E873"/>
      <c r="F873"/>
      <c r="G873"/>
      <c r="H873"/>
      <c r="I873"/>
      <c r="J873"/>
      <c r="K873"/>
      <c r="L873"/>
      <c r="M873"/>
      <c r="S873" s="54"/>
    </row>
    <row r="874" spans="1:19" s="15" customFormat="1" x14ac:dyDescent="0.3">
      <c r="A874" s="17"/>
      <c r="B874"/>
      <c r="C874"/>
      <c r="D874"/>
      <c r="E874"/>
      <c r="F874"/>
      <c r="G874"/>
      <c r="H874"/>
      <c r="I874"/>
      <c r="J874"/>
      <c r="K874"/>
      <c r="L874"/>
      <c r="M874"/>
      <c r="S874" s="54"/>
    </row>
    <row r="875" spans="1:19" s="15" customFormat="1" x14ac:dyDescent="0.3">
      <c r="A875" s="17"/>
      <c r="B875"/>
      <c r="C875"/>
      <c r="D875"/>
      <c r="E875"/>
      <c r="F875"/>
      <c r="G875"/>
      <c r="H875"/>
      <c r="I875"/>
      <c r="J875"/>
      <c r="K875"/>
      <c r="L875"/>
      <c r="M875"/>
      <c r="S875" s="54"/>
    </row>
    <row r="876" spans="1:19" s="15" customFormat="1" x14ac:dyDescent="0.3">
      <c r="A876" s="17"/>
      <c r="B876"/>
      <c r="C876"/>
      <c r="D876"/>
      <c r="E876"/>
      <c r="F876"/>
      <c r="G876"/>
      <c r="H876"/>
      <c r="I876"/>
      <c r="J876"/>
      <c r="K876"/>
      <c r="L876"/>
      <c r="M876"/>
      <c r="S876" s="54"/>
    </row>
    <row r="877" spans="1:19" s="15" customFormat="1" x14ac:dyDescent="0.3">
      <c r="A877" s="17"/>
      <c r="B877"/>
      <c r="C877"/>
      <c r="D877"/>
      <c r="E877"/>
      <c r="F877"/>
      <c r="G877"/>
      <c r="H877"/>
      <c r="I877"/>
      <c r="J877"/>
      <c r="K877"/>
      <c r="L877"/>
      <c r="M877"/>
      <c r="S877" s="54"/>
    </row>
    <row r="878" spans="1:19" s="15" customFormat="1" x14ac:dyDescent="0.3">
      <c r="A878" s="17"/>
      <c r="B878"/>
      <c r="C878"/>
      <c r="D878"/>
      <c r="E878"/>
      <c r="F878"/>
      <c r="G878"/>
      <c r="H878"/>
      <c r="I878"/>
      <c r="J878"/>
      <c r="K878"/>
      <c r="L878"/>
      <c r="M878"/>
      <c r="S878" s="54"/>
    </row>
    <row r="879" spans="1:19" s="15" customFormat="1" x14ac:dyDescent="0.3">
      <c r="A879" s="17"/>
      <c r="B879"/>
      <c r="C879"/>
      <c r="D879"/>
      <c r="E879"/>
      <c r="F879"/>
      <c r="G879"/>
      <c r="H879"/>
      <c r="I879"/>
      <c r="J879"/>
      <c r="K879"/>
      <c r="L879"/>
      <c r="M879"/>
      <c r="S879" s="54"/>
    </row>
    <row r="880" spans="1:19" s="15" customFormat="1" x14ac:dyDescent="0.3">
      <c r="A880" s="17"/>
      <c r="B880"/>
      <c r="C880"/>
      <c r="D880"/>
      <c r="E880"/>
      <c r="F880"/>
      <c r="G880"/>
      <c r="H880"/>
      <c r="I880"/>
      <c r="J880"/>
      <c r="K880"/>
      <c r="L880"/>
      <c r="M880"/>
      <c r="S880" s="54"/>
    </row>
    <row r="881" spans="1:19" s="15" customFormat="1" x14ac:dyDescent="0.3">
      <c r="A881" s="17"/>
      <c r="B881"/>
      <c r="C881"/>
      <c r="D881"/>
      <c r="E881"/>
      <c r="F881"/>
      <c r="G881"/>
      <c r="H881"/>
      <c r="I881"/>
      <c r="J881"/>
      <c r="K881"/>
      <c r="L881"/>
      <c r="M881"/>
      <c r="S881" s="54"/>
    </row>
    <row r="882" spans="1:19" s="15" customFormat="1" x14ac:dyDescent="0.3">
      <c r="A882" s="17"/>
      <c r="B882"/>
      <c r="C882"/>
      <c r="D882"/>
      <c r="E882"/>
      <c r="F882"/>
      <c r="G882"/>
      <c r="H882"/>
      <c r="I882"/>
      <c r="J882"/>
      <c r="K882"/>
      <c r="L882"/>
      <c r="M882"/>
      <c r="S882" s="54"/>
    </row>
    <row r="883" spans="1:19" s="15" customFormat="1" x14ac:dyDescent="0.3">
      <c r="A883" s="17"/>
      <c r="B883"/>
      <c r="C883"/>
      <c r="D883"/>
      <c r="E883"/>
      <c r="F883"/>
      <c r="G883"/>
      <c r="H883"/>
      <c r="I883"/>
      <c r="J883"/>
      <c r="K883"/>
      <c r="L883"/>
      <c r="M883"/>
      <c r="S883" s="54"/>
    </row>
    <row r="884" spans="1:19" s="15" customFormat="1" x14ac:dyDescent="0.3">
      <c r="A884" s="17"/>
      <c r="B884"/>
      <c r="C884"/>
      <c r="D884"/>
      <c r="E884"/>
      <c r="F884"/>
      <c r="G884"/>
      <c r="H884"/>
      <c r="I884"/>
      <c r="J884"/>
      <c r="K884"/>
      <c r="L884"/>
      <c r="M884"/>
      <c r="S884" s="54"/>
    </row>
    <row r="885" spans="1:19" s="15" customFormat="1" x14ac:dyDescent="0.3">
      <c r="A885" s="17"/>
      <c r="B885"/>
      <c r="C885"/>
      <c r="D885"/>
      <c r="E885"/>
      <c r="F885"/>
      <c r="G885"/>
      <c r="H885"/>
      <c r="I885"/>
      <c r="J885"/>
      <c r="K885"/>
      <c r="L885"/>
      <c r="M885"/>
      <c r="S885" s="54"/>
    </row>
    <row r="886" spans="1:19" s="15" customFormat="1" x14ac:dyDescent="0.3">
      <c r="A886" s="17"/>
      <c r="B886"/>
      <c r="C886"/>
      <c r="D886"/>
      <c r="E886"/>
      <c r="F886"/>
      <c r="G886"/>
      <c r="H886"/>
      <c r="I886"/>
      <c r="J886"/>
      <c r="K886"/>
      <c r="L886"/>
      <c r="M886"/>
      <c r="S886" s="54"/>
    </row>
    <row r="887" spans="1:19" s="15" customFormat="1" x14ac:dyDescent="0.3">
      <c r="A887" s="17"/>
      <c r="B887"/>
      <c r="C887"/>
      <c r="D887"/>
      <c r="E887"/>
      <c r="F887"/>
      <c r="G887"/>
      <c r="H887"/>
      <c r="I887"/>
      <c r="J887"/>
      <c r="K887"/>
      <c r="L887"/>
      <c r="M887"/>
      <c r="S887" s="54"/>
    </row>
    <row r="888" spans="1:19" s="15" customFormat="1" x14ac:dyDescent="0.3">
      <c r="A888" s="17"/>
      <c r="B888"/>
      <c r="C888"/>
      <c r="D888"/>
      <c r="E888"/>
      <c r="F888"/>
      <c r="G888"/>
      <c r="H888"/>
      <c r="I888"/>
      <c r="J888"/>
      <c r="K888"/>
      <c r="L888"/>
      <c r="M888"/>
      <c r="S888" s="54"/>
    </row>
    <row r="889" spans="1:19" s="15" customFormat="1" x14ac:dyDescent="0.3">
      <c r="A889" s="17"/>
      <c r="B889"/>
      <c r="C889"/>
      <c r="D889"/>
      <c r="E889"/>
      <c r="F889"/>
      <c r="G889"/>
      <c r="H889"/>
      <c r="I889"/>
      <c r="J889"/>
      <c r="K889"/>
      <c r="L889"/>
      <c r="M889"/>
      <c r="S889" s="54"/>
    </row>
    <row r="890" spans="1:19" s="15" customFormat="1" x14ac:dyDescent="0.3">
      <c r="A890" s="17"/>
      <c r="B890"/>
      <c r="C890"/>
      <c r="D890"/>
      <c r="E890"/>
      <c r="F890"/>
      <c r="G890"/>
      <c r="H890"/>
      <c r="I890"/>
      <c r="J890"/>
      <c r="K890"/>
      <c r="L890"/>
      <c r="M890"/>
      <c r="S890" s="54"/>
    </row>
    <row r="891" spans="1:19" s="15" customFormat="1" x14ac:dyDescent="0.3">
      <c r="A891" s="17"/>
      <c r="B891"/>
      <c r="C891"/>
      <c r="D891"/>
      <c r="E891"/>
      <c r="F891"/>
      <c r="G891"/>
      <c r="H891"/>
      <c r="I891"/>
      <c r="J891"/>
      <c r="K891"/>
      <c r="L891"/>
      <c r="M891"/>
      <c r="S891" s="54"/>
    </row>
    <row r="892" spans="1:19" s="15" customFormat="1" x14ac:dyDescent="0.3">
      <c r="A892" s="17"/>
      <c r="B892"/>
      <c r="C892"/>
      <c r="D892"/>
      <c r="E892"/>
      <c r="F892"/>
      <c r="G892"/>
      <c r="H892"/>
      <c r="I892"/>
      <c r="J892"/>
      <c r="K892"/>
      <c r="L892"/>
      <c r="M892"/>
      <c r="S892" s="54"/>
    </row>
    <row r="893" spans="1:19" s="15" customFormat="1" x14ac:dyDescent="0.3">
      <c r="A893" s="17"/>
      <c r="B893"/>
      <c r="C893"/>
      <c r="D893"/>
      <c r="E893"/>
      <c r="F893"/>
      <c r="G893"/>
      <c r="H893"/>
      <c r="I893"/>
      <c r="J893"/>
      <c r="K893"/>
      <c r="L893"/>
      <c r="M893"/>
      <c r="S893" s="54"/>
    </row>
    <row r="894" spans="1:19" s="15" customFormat="1" x14ac:dyDescent="0.3">
      <c r="A894" s="17"/>
      <c r="B894"/>
      <c r="C894"/>
      <c r="D894"/>
      <c r="E894"/>
      <c r="F894"/>
      <c r="G894"/>
      <c r="H894"/>
      <c r="I894"/>
      <c r="J894"/>
      <c r="K894"/>
      <c r="L894"/>
      <c r="M894"/>
      <c r="S894" s="54"/>
    </row>
    <row r="895" spans="1:19" s="15" customFormat="1" x14ac:dyDescent="0.3">
      <c r="A895" s="17"/>
      <c r="B895"/>
      <c r="C895"/>
      <c r="D895"/>
      <c r="E895"/>
      <c r="F895"/>
      <c r="G895"/>
      <c r="H895"/>
      <c r="I895"/>
      <c r="J895"/>
      <c r="K895"/>
      <c r="L895"/>
      <c r="M895"/>
      <c r="S895" s="54"/>
    </row>
    <row r="896" spans="1:19" s="15" customFormat="1" x14ac:dyDescent="0.3">
      <c r="A896" s="17"/>
      <c r="B896"/>
      <c r="C896"/>
      <c r="D896"/>
      <c r="E896"/>
      <c r="F896"/>
      <c r="G896"/>
      <c r="H896"/>
      <c r="I896"/>
      <c r="J896"/>
      <c r="K896"/>
      <c r="L896"/>
      <c r="M896"/>
      <c r="S896" s="54"/>
    </row>
    <row r="897" spans="1:19" s="15" customFormat="1" x14ac:dyDescent="0.3">
      <c r="A897" s="17"/>
      <c r="B897"/>
      <c r="C897"/>
      <c r="D897"/>
      <c r="E897"/>
      <c r="F897"/>
      <c r="G897"/>
      <c r="H897"/>
      <c r="I897"/>
      <c r="J897"/>
      <c r="K897"/>
      <c r="L897"/>
      <c r="M897"/>
      <c r="S897" s="54"/>
    </row>
    <row r="898" spans="1:19" s="15" customFormat="1" x14ac:dyDescent="0.3">
      <c r="A898" s="17"/>
      <c r="B898"/>
      <c r="C898"/>
      <c r="D898"/>
      <c r="E898"/>
      <c r="F898"/>
      <c r="G898"/>
      <c r="H898"/>
      <c r="I898"/>
      <c r="J898"/>
      <c r="K898"/>
      <c r="L898"/>
      <c r="M898"/>
      <c r="S898" s="54"/>
    </row>
    <row r="899" spans="1:19" s="15" customFormat="1" x14ac:dyDescent="0.3">
      <c r="A899" s="17"/>
      <c r="B899"/>
      <c r="C899"/>
      <c r="D899"/>
      <c r="E899"/>
      <c r="F899"/>
      <c r="G899"/>
      <c r="H899"/>
      <c r="I899"/>
      <c r="J899"/>
      <c r="K899"/>
      <c r="L899"/>
      <c r="M899"/>
      <c r="S899" s="54"/>
    </row>
    <row r="900" spans="1:19" s="15" customFormat="1" x14ac:dyDescent="0.3">
      <c r="A900" s="17"/>
      <c r="B900"/>
      <c r="C900"/>
      <c r="D900"/>
      <c r="E900"/>
      <c r="F900"/>
      <c r="G900"/>
      <c r="H900"/>
      <c r="I900"/>
      <c r="J900"/>
      <c r="K900"/>
      <c r="L900"/>
      <c r="M900"/>
      <c r="S900" s="54"/>
    </row>
    <row r="901" spans="1:19" s="15" customFormat="1" x14ac:dyDescent="0.3">
      <c r="A901" s="17"/>
      <c r="B901"/>
      <c r="C901"/>
      <c r="D901"/>
      <c r="E901"/>
      <c r="F901"/>
      <c r="G901"/>
      <c r="H901"/>
      <c r="I901"/>
      <c r="J901"/>
      <c r="K901"/>
      <c r="L901"/>
      <c r="M901"/>
      <c r="S901" s="54"/>
    </row>
    <row r="902" spans="1:19" s="15" customFormat="1" x14ac:dyDescent="0.3">
      <c r="A902" s="17"/>
      <c r="B902"/>
      <c r="C902"/>
      <c r="D902"/>
      <c r="E902"/>
      <c r="F902"/>
      <c r="G902"/>
      <c r="H902"/>
      <c r="I902"/>
      <c r="J902"/>
      <c r="K902"/>
      <c r="L902"/>
      <c r="M902"/>
      <c r="S902" s="54"/>
    </row>
    <row r="903" spans="1:19" s="15" customFormat="1" x14ac:dyDescent="0.3">
      <c r="A903" s="17"/>
      <c r="B903"/>
      <c r="C903"/>
      <c r="D903"/>
      <c r="E903"/>
      <c r="F903"/>
      <c r="G903"/>
      <c r="H903"/>
      <c r="I903"/>
      <c r="J903"/>
      <c r="K903"/>
      <c r="L903"/>
      <c r="M903"/>
      <c r="S903" s="54"/>
    </row>
    <row r="904" spans="1:19" s="15" customFormat="1" x14ac:dyDescent="0.3">
      <c r="A904" s="17"/>
      <c r="B904"/>
      <c r="C904"/>
      <c r="D904"/>
      <c r="E904"/>
      <c r="F904"/>
      <c r="G904"/>
      <c r="H904"/>
      <c r="I904"/>
      <c r="J904"/>
      <c r="K904"/>
      <c r="L904"/>
      <c r="M904"/>
      <c r="S904" s="54"/>
    </row>
    <row r="905" spans="1:19" s="15" customFormat="1" x14ac:dyDescent="0.3">
      <c r="A905" s="17"/>
      <c r="B905"/>
      <c r="C905"/>
      <c r="D905"/>
      <c r="E905"/>
      <c r="F905"/>
      <c r="G905"/>
      <c r="H905"/>
      <c r="I905"/>
      <c r="J905"/>
      <c r="K905"/>
      <c r="L905"/>
      <c r="M905"/>
      <c r="S905" s="54"/>
    </row>
    <row r="906" spans="1:19" s="15" customFormat="1" x14ac:dyDescent="0.3">
      <c r="A906" s="17"/>
      <c r="B906"/>
      <c r="C906"/>
      <c r="D906"/>
      <c r="E906"/>
      <c r="F906"/>
      <c r="G906"/>
      <c r="H906"/>
      <c r="I906"/>
      <c r="J906"/>
      <c r="K906"/>
      <c r="L906"/>
      <c r="M906"/>
      <c r="S906" s="54"/>
    </row>
    <row r="907" spans="1:19" s="15" customFormat="1" x14ac:dyDescent="0.3">
      <c r="A907" s="17"/>
      <c r="B907"/>
      <c r="C907"/>
      <c r="D907"/>
      <c r="E907"/>
      <c r="F907"/>
      <c r="G907"/>
      <c r="H907"/>
      <c r="I907"/>
      <c r="J907"/>
      <c r="K907"/>
      <c r="L907"/>
      <c r="M907"/>
      <c r="S907" s="54"/>
    </row>
    <row r="908" spans="1:19" s="15" customFormat="1" x14ac:dyDescent="0.3">
      <c r="A908" s="17"/>
      <c r="B908"/>
      <c r="C908"/>
      <c r="D908"/>
      <c r="E908"/>
      <c r="F908"/>
      <c r="G908"/>
      <c r="H908"/>
      <c r="I908"/>
      <c r="J908"/>
      <c r="K908"/>
      <c r="L908"/>
      <c r="M908"/>
      <c r="S908" s="54"/>
    </row>
    <row r="909" spans="1:19" s="15" customFormat="1" x14ac:dyDescent="0.3">
      <c r="A909" s="17"/>
      <c r="B909"/>
      <c r="C909"/>
      <c r="D909"/>
      <c r="E909"/>
      <c r="F909"/>
      <c r="G909"/>
      <c r="H909"/>
      <c r="I909"/>
      <c r="J909"/>
      <c r="K909"/>
      <c r="L909"/>
      <c r="M909"/>
      <c r="S909" s="54"/>
    </row>
    <row r="910" spans="1:19" s="15" customFormat="1" x14ac:dyDescent="0.3">
      <c r="A910" s="17"/>
      <c r="B910"/>
      <c r="C910"/>
      <c r="D910"/>
      <c r="E910"/>
      <c r="F910"/>
      <c r="G910"/>
      <c r="H910"/>
      <c r="I910"/>
      <c r="J910"/>
      <c r="K910"/>
      <c r="L910"/>
      <c r="M910"/>
      <c r="S910" s="54"/>
    </row>
    <row r="911" spans="1:19" s="15" customFormat="1" x14ac:dyDescent="0.3">
      <c r="A911" s="17"/>
      <c r="B911"/>
      <c r="C911"/>
      <c r="D911"/>
      <c r="E911"/>
      <c r="F911"/>
      <c r="G911"/>
      <c r="H911"/>
      <c r="I911"/>
      <c r="J911"/>
      <c r="K911"/>
      <c r="L911"/>
      <c r="M911"/>
      <c r="S911" s="54"/>
    </row>
    <row r="912" spans="1:19" s="15" customFormat="1" x14ac:dyDescent="0.3">
      <c r="A912" s="17"/>
      <c r="B912"/>
      <c r="C912"/>
      <c r="D912"/>
      <c r="E912"/>
      <c r="F912"/>
      <c r="G912"/>
      <c r="H912"/>
      <c r="I912"/>
      <c r="J912"/>
      <c r="K912"/>
      <c r="L912"/>
      <c r="M912"/>
      <c r="S912" s="54"/>
    </row>
    <row r="913" spans="1:19" s="15" customFormat="1" x14ac:dyDescent="0.3">
      <c r="A913" s="17"/>
      <c r="B913"/>
      <c r="C913"/>
      <c r="D913"/>
      <c r="E913"/>
      <c r="F913"/>
      <c r="G913"/>
      <c r="H913"/>
      <c r="I913"/>
      <c r="J913"/>
      <c r="K913"/>
      <c r="L913"/>
      <c r="M913"/>
      <c r="S913" s="54"/>
    </row>
    <row r="914" spans="1:19" s="15" customFormat="1" x14ac:dyDescent="0.3">
      <c r="A914" s="17"/>
      <c r="B914"/>
      <c r="C914"/>
      <c r="D914"/>
      <c r="E914"/>
      <c r="F914"/>
      <c r="G914"/>
      <c r="H914"/>
      <c r="I914"/>
      <c r="J914"/>
      <c r="K914"/>
      <c r="L914"/>
      <c r="M914"/>
      <c r="S914" s="54"/>
    </row>
    <row r="915" spans="1:19" s="15" customFormat="1" x14ac:dyDescent="0.3">
      <c r="A915" s="17"/>
      <c r="B915"/>
      <c r="C915"/>
      <c r="D915"/>
      <c r="E915"/>
      <c r="F915"/>
      <c r="G915"/>
      <c r="H915"/>
      <c r="I915"/>
      <c r="J915"/>
      <c r="K915"/>
      <c r="L915"/>
      <c r="M915"/>
      <c r="S915" s="54"/>
    </row>
    <row r="916" spans="1:19" s="15" customFormat="1" x14ac:dyDescent="0.3">
      <c r="A916" s="17"/>
      <c r="B916"/>
      <c r="C916"/>
      <c r="D916"/>
      <c r="E916"/>
      <c r="F916"/>
      <c r="G916"/>
      <c r="H916"/>
      <c r="I916"/>
      <c r="J916"/>
      <c r="K916"/>
      <c r="L916"/>
      <c r="M916"/>
      <c r="S916" s="54"/>
    </row>
    <row r="917" spans="1:19" s="15" customFormat="1" x14ac:dyDescent="0.3">
      <c r="A917" s="17"/>
      <c r="B917"/>
      <c r="C917"/>
      <c r="D917"/>
      <c r="E917"/>
      <c r="F917"/>
      <c r="G917"/>
      <c r="H917"/>
      <c r="I917"/>
      <c r="J917"/>
      <c r="K917"/>
      <c r="L917"/>
      <c r="M917"/>
      <c r="S917" s="54"/>
    </row>
    <row r="918" spans="1:19" s="15" customFormat="1" x14ac:dyDescent="0.3">
      <c r="A918" s="17"/>
      <c r="B918"/>
      <c r="C918"/>
      <c r="D918"/>
      <c r="E918"/>
      <c r="F918"/>
      <c r="G918"/>
      <c r="H918"/>
      <c r="I918"/>
      <c r="J918"/>
      <c r="K918"/>
      <c r="L918"/>
      <c r="M918"/>
      <c r="S918" s="54"/>
    </row>
    <row r="919" spans="1:19" s="15" customFormat="1" x14ac:dyDescent="0.3">
      <c r="A919" s="17"/>
      <c r="B919"/>
      <c r="C919"/>
      <c r="D919"/>
      <c r="E919"/>
      <c r="F919"/>
      <c r="G919"/>
      <c r="H919"/>
      <c r="I919"/>
      <c r="J919"/>
      <c r="K919"/>
      <c r="L919"/>
      <c r="M919"/>
      <c r="S919" s="54"/>
    </row>
    <row r="920" spans="1:19" s="15" customFormat="1" x14ac:dyDescent="0.3">
      <c r="A920" s="17"/>
      <c r="B920"/>
      <c r="C920"/>
      <c r="D920"/>
      <c r="E920"/>
      <c r="F920"/>
      <c r="G920"/>
      <c r="H920"/>
      <c r="I920"/>
      <c r="J920"/>
      <c r="K920"/>
      <c r="L920"/>
      <c r="M920"/>
      <c r="S920" s="54"/>
    </row>
    <row r="921" spans="1:19" s="15" customFormat="1" x14ac:dyDescent="0.3">
      <c r="A921" s="17"/>
      <c r="B921"/>
      <c r="C921"/>
      <c r="D921"/>
      <c r="E921"/>
      <c r="F921"/>
      <c r="G921"/>
      <c r="H921"/>
      <c r="I921"/>
      <c r="J921"/>
      <c r="K921"/>
      <c r="L921"/>
      <c r="M921"/>
      <c r="S921" s="54"/>
    </row>
    <row r="922" spans="1:19" s="15" customFormat="1" x14ac:dyDescent="0.3">
      <c r="A922" s="17"/>
      <c r="B922"/>
      <c r="C922"/>
      <c r="D922"/>
      <c r="E922"/>
      <c r="F922"/>
      <c r="G922"/>
      <c r="H922"/>
      <c r="I922"/>
      <c r="J922"/>
      <c r="K922"/>
      <c r="L922"/>
      <c r="M922"/>
      <c r="S922" s="54"/>
    </row>
    <row r="923" spans="1:19" s="15" customFormat="1" x14ac:dyDescent="0.3">
      <c r="A923" s="17"/>
      <c r="B923"/>
      <c r="C923"/>
      <c r="D923"/>
      <c r="E923"/>
      <c r="F923"/>
      <c r="G923"/>
      <c r="H923"/>
      <c r="I923"/>
      <c r="J923"/>
      <c r="K923"/>
      <c r="L923"/>
      <c r="M923"/>
      <c r="S923" s="54"/>
    </row>
    <row r="924" spans="1:19" s="15" customFormat="1" x14ac:dyDescent="0.3">
      <c r="A924" s="17"/>
      <c r="B924"/>
      <c r="C924"/>
      <c r="D924"/>
      <c r="E924"/>
      <c r="F924"/>
      <c r="G924"/>
      <c r="H924"/>
      <c r="I924"/>
      <c r="J924"/>
      <c r="K924"/>
      <c r="L924"/>
      <c r="M924"/>
      <c r="S924" s="54"/>
    </row>
    <row r="925" spans="1:19" s="15" customFormat="1" x14ac:dyDescent="0.3">
      <c r="A925" s="17"/>
      <c r="B925"/>
      <c r="C925"/>
      <c r="D925"/>
      <c r="E925"/>
      <c r="F925"/>
      <c r="G925"/>
      <c r="H925"/>
      <c r="I925"/>
      <c r="J925"/>
      <c r="K925"/>
      <c r="L925"/>
      <c r="M925"/>
      <c r="S925" s="54"/>
    </row>
    <row r="926" spans="1:19" s="15" customFormat="1" x14ac:dyDescent="0.3">
      <c r="A926" s="17"/>
      <c r="B926"/>
      <c r="C926"/>
      <c r="D926"/>
      <c r="E926"/>
      <c r="F926"/>
      <c r="G926"/>
      <c r="H926"/>
      <c r="I926"/>
      <c r="J926"/>
      <c r="K926"/>
      <c r="L926"/>
      <c r="M926"/>
      <c r="S926" s="54"/>
    </row>
    <row r="927" spans="1:19" s="15" customFormat="1" x14ac:dyDescent="0.3">
      <c r="A927" s="17"/>
      <c r="B927"/>
      <c r="C927"/>
      <c r="D927"/>
      <c r="E927"/>
      <c r="F927"/>
      <c r="G927"/>
      <c r="H927"/>
      <c r="I927"/>
      <c r="J927"/>
      <c r="K927"/>
      <c r="L927"/>
      <c r="M927"/>
      <c r="S927" s="54"/>
    </row>
    <row r="928" spans="1:19" s="15" customFormat="1" x14ac:dyDescent="0.3">
      <c r="A928" s="17"/>
      <c r="B928"/>
      <c r="C928"/>
      <c r="D928"/>
      <c r="E928"/>
      <c r="F928"/>
      <c r="G928"/>
      <c r="H928"/>
      <c r="I928"/>
      <c r="J928"/>
      <c r="K928"/>
      <c r="L928"/>
      <c r="M928"/>
      <c r="S928" s="54"/>
    </row>
    <row r="929" spans="1:19" s="15" customFormat="1" x14ac:dyDescent="0.3">
      <c r="A929" s="17"/>
      <c r="B929"/>
      <c r="C929"/>
      <c r="D929"/>
      <c r="E929"/>
      <c r="F929"/>
      <c r="G929"/>
      <c r="H929"/>
      <c r="I929"/>
      <c r="J929"/>
      <c r="K929"/>
      <c r="L929"/>
      <c r="M929"/>
      <c r="S929" s="54"/>
    </row>
    <row r="930" spans="1:19" s="15" customFormat="1" x14ac:dyDescent="0.3">
      <c r="A930" s="17"/>
      <c r="B930"/>
      <c r="C930"/>
      <c r="D930"/>
      <c r="E930"/>
      <c r="F930"/>
      <c r="G930"/>
      <c r="H930"/>
      <c r="I930"/>
      <c r="J930"/>
      <c r="K930"/>
      <c r="L930"/>
      <c r="M930"/>
      <c r="S930" s="54"/>
    </row>
    <row r="931" spans="1:19" s="15" customFormat="1" x14ac:dyDescent="0.3">
      <c r="A931" s="17"/>
      <c r="B931"/>
      <c r="C931"/>
      <c r="D931"/>
      <c r="E931"/>
      <c r="F931"/>
      <c r="G931"/>
      <c r="H931"/>
      <c r="I931"/>
      <c r="J931"/>
      <c r="K931"/>
      <c r="L931"/>
      <c r="M931"/>
      <c r="S931" s="54"/>
    </row>
    <row r="932" spans="1:19" s="15" customFormat="1" x14ac:dyDescent="0.3">
      <c r="A932" s="17"/>
      <c r="B932"/>
      <c r="C932"/>
      <c r="D932"/>
      <c r="E932"/>
      <c r="F932"/>
      <c r="G932"/>
      <c r="H932"/>
      <c r="I932"/>
      <c r="J932"/>
      <c r="K932"/>
      <c r="L932"/>
      <c r="M932"/>
      <c r="S932" s="54"/>
    </row>
    <row r="933" spans="1:19" s="15" customFormat="1" x14ac:dyDescent="0.3">
      <c r="A933" s="17"/>
      <c r="B933"/>
      <c r="C933"/>
      <c r="D933"/>
      <c r="E933"/>
      <c r="F933"/>
      <c r="G933"/>
      <c r="H933"/>
      <c r="I933"/>
      <c r="J933"/>
      <c r="K933"/>
      <c r="L933"/>
      <c r="M933"/>
      <c r="S933" s="54"/>
    </row>
    <row r="934" spans="1:19" s="15" customFormat="1" x14ac:dyDescent="0.3">
      <c r="A934" s="17"/>
      <c r="B934"/>
      <c r="C934"/>
      <c r="D934"/>
      <c r="E934"/>
      <c r="F934"/>
      <c r="G934"/>
      <c r="H934"/>
      <c r="I934"/>
      <c r="J934"/>
      <c r="K934"/>
      <c r="L934"/>
      <c r="M934"/>
      <c r="S934" s="54"/>
    </row>
    <row r="935" spans="1:19" s="15" customFormat="1" x14ac:dyDescent="0.3">
      <c r="A935" s="17"/>
      <c r="B935"/>
      <c r="C935"/>
      <c r="D935"/>
      <c r="E935"/>
      <c r="F935"/>
      <c r="G935"/>
      <c r="H935"/>
      <c r="I935"/>
      <c r="J935"/>
      <c r="K935"/>
      <c r="L935"/>
      <c r="M935"/>
      <c r="S935" s="54"/>
    </row>
    <row r="936" spans="1:19" s="15" customFormat="1" x14ac:dyDescent="0.3">
      <c r="A936" s="17"/>
      <c r="B936"/>
      <c r="C936"/>
      <c r="D936"/>
      <c r="E936"/>
      <c r="F936"/>
      <c r="G936"/>
      <c r="H936"/>
      <c r="I936"/>
      <c r="J936"/>
      <c r="K936"/>
      <c r="L936"/>
      <c r="M936"/>
      <c r="S936" s="54"/>
    </row>
    <row r="937" spans="1:19" s="15" customFormat="1" x14ac:dyDescent="0.3">
      <c r="A937" s="17"/>
      <c r="B937"/>
      <c r="C937"/>
      <c r="D937"/>
      <c r="E937"/>
      <c r="F937"/>
      <c r="G937"/>
      <c r="H937"/>
      <c r="I937"/>
      <c r="J937"/>
      <c r="K937"/>
      <c r="L937"/>
      <c r="M937"/>
      <c r="S937" s="54"/>
    </row>
    <row r="938" spans="1:19" s="15" customFormat="1" x14ac:dyDescent="0.3">
      <c r="A938" s="17"/>
      <c r="B938"/>
      <c r="C938"/>
      <c r="D938"/>
      <c r="E938"/>
      <c r="F938"/>
      <c r="G938"/>
      <c r="H938"/>
      <c r="I938"/>
      <c r="J938"/>
      <c r="K938"/>
      <c r="L938"/>
      <c r="M938"/>
      <c r="S938" s="54"/>
    </row>
    <row r="939" spans="1:19" s="15" customFormat="1" x14ac:dyDescent="0.3">
      <c r="A939" s="17"/>
      <c r="B939"/>
      <c r="C939"/>
      <c r="D939"/>
      <c r="E939"/>
      <c r="F939"/>
      <c r="G939"/>
      <c r="H939"/>
      <c r="I939"/>
      <c r="J939"/>
      <c r="K939"/>
      <c r="L939"/>
      <c r="M939"/>
      <c r="S939" s="54"/>
    </row>
    <row r="940" spans="1:19" s="15" customFormat="1" x14ac:dyDescent="0.3">
      <c r="A940" s="17"/>
      <c r="B940"/>
      <c r="C940"/>
      <c r="D940"/>
      <c r="E940"/>
      <c r="F940"/>
      <c r="G940"/>
      <c r="H940"/>
      <c r="I940"/>
      <c r="J940"/>
      <c r="K940"/>
      <c r="L940"/>
      <c r="M940"/>
      <c r="S940" s="54"/>
    </row>
    <row r="941" spans="1:19" s="15" customFormat="1" x14ac:dyDescent="0.3">
      <c r="A941" s="17"/>
      <c r="B941"/>
      <c r="C941"/>
      <c r="D941"/>
      <c r="E941"/>
      <c r="F941"/>
      <c r="G941"/>
      <c r="H941"/>
      <c r="I941"/>
      <c r="J941"/>
      <c r="K941"/>
      <c r="L941"/>
      <c r="M941"/>
      <c r="S941" s="54"/>
    </row>
    <row r="942" spans="1:19" s="15" customFormat="1" x14ac:dyDescent="0.3">
      <c r="A942" s="17"/>
      <c r="B942"/>
      <c r="C942"/>
      <c r="D942"/>
      <c r="E942"/>
      <c r="F942"/>
      <c r="G942"/>
      <c r="H942"/>
      <c r="I942"/>
      <c r="J942"/>
      <c r="K942"/>
      <c r="L942"/>
      <c r="M942"/>
      <c r="S942" s="54"/>
    </row>
    <row r="943" spans="1:19" s="15" customFormat="1" x14ac:dyDescent="0.3">
      <c r="A943" s="17"/>
      <c r="B943"/>
      <c r="C943"/>
      <c r="D943"/>
      <c r="E943"/>
      <c r="F943"/>
      <c r="G943"/>
      <c r="H943"/>
      <c r="I943"/>
      <c r="J943"/>
      <c r="K943"/>
      <c r="L943"/>
      <c r="M943"/>
      <c r="S943" s="54"/>
    </row>
    <row r="944" spans="1:19" s="15" customFormat="1" x14ac:dyDescent="0.3">
      <c r="A944" s="17"/>
      <c r="B944"/>
      <c r="C944"/>
      <c r="D944"/>
      <c r="E944"/>
      <c r="F944"/>
      <c r="G944"/>
      <c r="H944"/>
      <c r="I944"/>
      <c r="J944"/>
      <c r="K944"/>
      <c r="L944"/>
      <c r="M944"/>
      <c r="S944" s="54"/>
    </row>
    <row r="945" spans="1:19" s="15" customFormat="1" x14ac:dyDescent="0.3">
      <c r="A945" s="17"/>
      <c r="B945"/>
      <c r="C945"/>
      <c r="D945"/>
      <c r="E945"/>
      <c r="F945"/>
      <c r="G945"/>
      <c r="H945"/>
      <c r="I945"/>
      <c r="J945"/>
      <c r="K945"/>
      <c r="L945"/>
      <c r="M945"/>
      <c r="S945" s="54"/>
    </row>
    <row r="946" spans="1:19" s="15" customFormat="1" x14ac:dyDescent="0.3">
      <c r="A946" s="17"/>
      <c r="B946"/>
      <c r="C946"/>
      <c r="D946"/>
      <c r="E946"/>
      <c r="F946"/>
      <c r="G946"/>
      <c r="H946"/>
      <c r="I946"/>
      <c r="J946"/>
      <c r="K946"/>
      <c r="L946"/>
      <c r="M946"/>
      <c r="S946" s="54"/>
    </row>
    <row r="947" spans="1:19" s="15" customFormat="1" x14ac:dyDescent="0.3">
      <c r="A947" s="17"/>
      <c r="B947"/>
      <c r="C947"/>
      <c r="D947"/>
      <c r="E947"/>
      <c r="F947"/>
      <c r="G947"/>
      <c r="H947"/>
      <c r="I947"/>
      <c r="J947"/>
      <c r="K947"/>
      <c r="L947"/>
      <c r="M947"/>
      <c r="S947" s="54"/>
    </row>
    <row r="948" spans="1:19" s="15" customFormat="1" x14ac:dyDescent="0.3">
      <c r="A948" s="17"/>
      <c r="B948"/>
      <c r="C948"/>
      <c r="D948"/>
      <c r="E948"/>
      <c r="F948"/>
      <c r="G948"/>
      <c r="H948"/>
      <c r="I948"/>
      <c r="J948"/>
      <c r="K948"/>
      <c r="L948"/>
      <c r="M948"/>
      <c r="S948" s="54"/>
    </row>
    <row r="949" spans="1:19" s="15" customFormat="1" x14ac:dyDescent="0.3">
      <c r="A949" s="17"/>
      <c r="B949"/>
      <c r="C949"/>
      <c r="D949"/>
      <c r="E949"/>
      <c r="F949"/>
      <c r="G949"/>
      <c r="H949"/>
      <c r="I949"/>
      <c r="J949"/>
      <c r="K949"/>
      <c r="L949"/>
      <c r="M949"/>
      <c r="S949" s="54"/>
    </row>
    <row r="950" spans="1:19" s="15" customFormat="1" x14ac:dyDescent="0.3">
      <c r="A950" s="17"/>
      <c r="B950"/>
      <c r="C950"/>
      <c r="D950"/>
      <c r="E950"/>
      <c r="F950"/>
      <c r="G950"/>
      <c r="H950"/>
      <c r="I950"/>
      <c r="J950"/>
      <c r="K950"/>
      <c r="L950"/>
      <c r="M950"/>
      <c r="S950" s="54"/>
    </row>
    <row r="951" spans="1:19" s="15" customFormat="1" x14ac:dyDescent="0.3">
      <c r="A951" s="17"/>
      <c r="B951"/>
      <c r="C951"/>
      <c r="D951"/>
      <c r="E951"/>
      <c r="F951"/>
      <c r="G951"/>
      <c r="H951"/>
      <c r="I951"/>
      <c r="J951"/>
      <c r="K951"/>
      <c r="L951"/>
      <c r="M951"/>
      <c r="S951" s="54"/>
    </row>
    <row r="952" spans="1:19" s="15" customFormat="1" x14ac:dyDescent="0.3">
      <c r="A952" s="17"/>
      <c r="B952"/>
      <c r="C952"/>
      <c r="D952"/>
      <c r="E952"/>
      <c r="F952"/>
      <c r="G952"/>
      <c r="H952"/>
      <c r="I952"/>
      <c r="J952"/>
      <c r="K952"/>
      <c r="L952"/>
      <c r="M952"/>
      <c r="S952" s="54"/>
    </row>
    <row r="953" spans="1:19" s="15" customFormat="1" x14ac:dyDescent="0.3">
      <c r="A953" s="17"/>
      <c r="B953"/>
      <c r="C953"/>
      <c r="D953"/>
      <c r="E953"/>
      <c r="F953"/>
      <c r="G953"/>
      <c r="H953"/>
      <c r="I953"/>
      <c r="J953"/>
      <c r="K953"/>
      <c r="L953"/>
      <c r="M953"/>
      <c r="S953" s="54"/>
    </row>
    <row r="954" spans="1:19" s="15" customFormat="1" x14ac:dyDescent="0.3">
      <c r="A954" s="17"/>
      <c r="B954"/>
      <c r="C954"/>
      <c r="D954"/>
      <c r="E954"/>
      <c r="F954"/>
      <c r="G954"/>
      <c r="H954"/>
      <c r="I954"/>
      <c r="J954"/>
      <c r="K954"/>
      <c r="L954"/>
      <c r="M954"/>
      <c r="S954" s="54"/>
    </row>
    <row r="955" spans="1:19" s="15" customFormat="1" x14ac:dyDescent="0.3">
      <c r="A955" s="17"/>
      <c r="B955"/>
      <c r="C955"/>
      <c r="D955"/>
      <c r="E955"/>
      <c r="F955"/>
      <c r="G955"/>
      <c r="H955"/>
      <c r="I955"/>
      <c r="J955"/>
      <c r="K955"/>
      <c r="L955"/>
      <c r="M955"/>
      <c r="S955" s="54"/>
    </row>
    <row r="956" spans="1:19" s="15" customFormat="1" x14ac:dyDescent="0.3">
      <c r="A956" s="17"/>
      <c r="B956"/>
      <c r="C956"/>
      <c r="D956"/>
      <c r="E956"/>
      <c r="F956"/>
      <c r="G956"/>
      <c r="H956"/>
      <c r="I956"/>
      <c r="J956"/>
      <c r="K956"/>
      <c r="L956"/>
      <c r="M956"/>
      <c r="S956" s="54"/>
    </row>
    <row r="957" spans="1:19" s="15" customFormat="1" x14ac:dyDescent="0.3">
      <c r="A957" s="17"/>
      <c r="B957"/>
      <c r="C957"/>
      <c r="D957"/>
      <c r="E957"/>
      <c r="F957"/>
      <c r="G957"/>
      <c r="H957"/>
      <c r="I957"/>
      <c r="J957"/>
      <c r="K957"/>
      <c r="L957"/>
      <c r="M957"/>
      <c r="S957" s="54"/>
    </row>
    <row r="958" spans="1:19" s="15" customFormat="1" x14ac:dyDescent="0.3">
      <c r="A958" s="17"/>
      <c r="B958"/>
      <c r="C958"/>
      <c r="D958"/>
      <c r="E958"/>
      <c r="F958"/>
      <c r="G958"/>
      <c r="H958"/>
      <c r="I958"/>
      <c r="J958"/>
      <c r="K958"/>
      <c r="L958"/>
      <c r="M958"/>
      <c r="S958" s="54"/>
    </row>
    <row r="959" spans="1:19" s="15" customFormat="1" x14ac:dyDescent="0.3">
      <c r="A959" s="17"/>
      <c r="B959"/>
      <c r="C959"/>
      <c r="D959"/>
      <c r="E959"/>
      <c r="F959"/>
      <c r="G959"/>
      <c r="H959"/>
      <c r="I959"/>
      <c r="J959"/>
      <c r="K959"/>
      <c r="L959"/>
      <c r="M959"/>
      <c r="S959" s="54"/>
    </row>
    <row r="960" spans="1:19" s="15" customFormat="1" x14ac:dyDescent="0.3">
      <c r="A960" s="17"/>
      <c r="B960"/>
      <c r="C960"/>
      <c r="D960"/>
      <c r="E960"/>
      <c r="F960"/>
      <c r="G960"/>
      <c r="H960"/>
      <c r="I960"/>
      <c r="J960"/>
      <c r="K960"/>
      <c r="L960"/>
      <c r="M960"/>
      <c r="S960" s="54"/>
    </row>
    <row r="961" spans="1:19" s="15" customFormat="1" x14ac:dyDescent="0.3">
      <c r="A961" s="17"/>
      <c r="B961"/>
      <c r="C961"/>
      <c r="D961"/>
      <c r="E961"/>
      <c r="F961"/>
      <c r="G961"/>
      <c r="H961"/>
      <c r="I961"/>
      <c r="J961"/>
      <c r="K961"/>
      <c r="L961"/>
      <c r="M961"/>
      <c r="S961" s="54"/>
    </row>
    <row r="962" spans="1:19" s="15" customFormat="1" x14ac:dyDescent="0.3">
      <c r="A962" s="17"/>
      <c r="B962"/>
      <c r="C962"/>
      <c r="D962"/>
      <c r="E962"/>
      <c r="F962"/>
      <c r="G962"/>
      <c r="H962"/>
      <c r="I962"/>
      <c r="J962"/>
      <c r="K962"/>
      <c r="L962"/>
      <c r="M962"/>
      <c r="S962" s="54"/>
    </row>
    <row r="963" spans="1:19" s="15" customFormat="1" x14ac:dyDescent="0.3">
      <c r="A963" s="17"/>
      <c r="B963"/>
      <c r="C963"/>
      <c r="D963"/>
      <c r="E963"/>
      <c r="F963"/>
      <c r="G963"/>
      <c r="H963"/>
      <c r="I963"/>
      <c r="J963"/>
      <c r="K963"/>
      <c r="L963"/>
      <c r="M963"/>
      <c r="S963" s="54"/>
    </row>
    <row r="964" spans="1:19" s="15" customFormat="1" x14ac:dyDescent="0.3">
      <c r="A964" s="17"/>
      <c r="B964"/>
      <c r="C964"/>
      <c r="D964"/>
      <c r="E964"/>
      <c r="F964"/>
      <c r="G964"/>
      <c r="H964"/>
      <c r="I964"/>
      <c r="J964"/>
      <c r="K964"/>
      <c r="L964"/>
      <c r="M964"/>
      <c r="S964" s="54"/>
    </row>
    <row r="965" spans="1:19" s="15" customFormat="1" x14ac:dyDescent="0.3">
      <c r="A965" s="17"/>
      <c r="B965"/>
      <c r="C965"/>
      <c r="D965"/>
      <c r="E965"/>
      <c r="F965"/>
      <c r="G965"/>
      <c r="H965"/>
      <c r="I965"/>
      <c r="J965"/>
      <c r="K965"/>
      <c r="L965"/>
      <c r="M965"/>
      <c r="S965" s="54"/>
    </row>
    <row r="966" spans="1:19" s="15" customFormat="1" x14ac:dyDescent="0.3">
      <c r="A966" s="17"/>
      <c r="B966"/>
      <c r="C966"/>
      <c r="D966"/>
      <c r="E966"/>
      <c r="F966"/>
      <c r="G966"/>
      <c r="H966"/>
      <c r="I966"/>
      <c r="J966"/>
      <c r="K966"/>
      <c r="L966"/>
      <c r="M966"/>
      <c r="S966" s="54"/>
    </row>
    <row r="967" spans="1:19" s="15" customFormat="1" x14ac:dyDescent="0.3">
      <c r="A967" s="17"/>
      <c r="B967"/>
      <c r="C967"/>
      <c r="D967"/>
      <c r="E967"/>
      <c r="F967"/>
      <c r="G967"/>
      <c r="H967"/>
      <c r="I967"/>
      <c r="J967"/>
      <c r="K967"/>
      <c r="L967"/>
      <c r="M967"/>
      <c r="S967" s="54"/>
    </row>
    <row r="968" spans="1:19" s="15" customFormat="1" x14ac:dyDescent="0.3">
      <c r="A968" s="17"/>
      <c r="B968"/>
      <c r="C968"/>
      <c r="D968"/>
      <c r="E968"/>
      <c r="F968"/>
      <c r="G968"/>
      <c r="H968"/>
      <c r="I968"/>
      <c r="J968"/>
      <c r="K968"/>
      <c r="L968"/>
      <c r="M968"/>
      <c r="S968" s="54"/>
    </row>
    <row r="969" spans="1:19" s="15" customFormat="1" x14ac:dyDescent="0.3">
      <c r="A969" s="17"/>
      <c r="B969"/>
      <c r="C969"/>
      <c r="D969"/>
      <c r="E969"/>
      <c r="F969"/>
      <c r="G969"/>
      <c r="H969"/>
      <c r="I969"/>
      <c r="J969"/>
      <c r="K969"/>
      <c r="L969"/>
      <c r="M969"/>
      <c r="S969" s="54"/>
    </row>
    <row r="970" spans="1:19" s="15" customFormat="1" x14ac:dyDescent="0.3">
      <c r="A970" s="17"/>
      <c r="B970"/>
      <c r="C970"/>
      <c r="D970"/>
      <c r="E970"/>
      <c r="F970"/>
      <c r="G970"/>
      <c r="H970"/>
      <c r="I970"/>
      <c r="J970"/>
      <c r="K970"/>
      <c r="L970"/>
      <c r="M970"/>
      <c r="S970" s="54"/>
    </row>
    <row r="971" spans="1:19" s="15" customFormat="1" x14ac:dyDescent="0.3">
      <c r="A971" s="17"/>
      <c r="B971"/>
      <c r="C971"/>
      <c r="D971"/>
      <c r="E971"/>
      <c r="F971"/>
      <c r="G971"/>
      <c r="H971"/>
      <c r="I971"/>
      <c r="J971"/>
      <c r="K971"/>
      <c r="L971"/>
      <c r="M971"/>
      <c r="S971" s="54"/>
    </row>
    <row r="972" spans="1:19" s="15" customFormat="1" x14ac:dyDescent="0.3">
      <c r="A972" s="17"/>
      <c r="B972"/>
      <c r="C972"/>
      <c r="D972"/>
      <c r="E972"/>
      <c r="F972"/>
      <c r="G972"/>
      <c r="H972"/>
      <c r="I972"/>
      <c r="J972"/>
      <c r="K972"/>
      <c r="L972"/>
      <c r="M972"/>
      <c r="S972" s="54"/>
    </row>
    <row r="973" spans="1:19" s="15" customFormat="1" x14ac:dyDescent="0.3">
      <c r="A973" s="17"/>
      <c r="B973"/>
      <c r="C973"/>
      <c r="D973"/>
      <c r="E973"/>
      <c r="F973"/>
      <c r="G973"/>
      <c r="H973"/>
      <c r="I973"/>
      <c r="J973"/>
      <c r="K973"/>
      <c r="L973"/>
      <c r="M973"/>
      <c r="S973" s="54"/>
    </row>
    <row r="974" spans="1:19" s="15" customFormat="1" x14ac:dyDescent="0.3">
      <c r="A974" s="17"/>
      <c r="B974"/>
      <c r="C974"/>
      <c r="D974"/>
      <c r="E974"/>
      <c r="F974"/>
      <c r="G974"/>
      <c r="H974"/>
      <c r="I974"/>
      <c r="J974"/>
      <c r="K974"/>
      <c r="L974"/>
      <c r="M974"/>
      <c r="S974" s="54"/>
    </row>
    <row r="975" spans="1:19" s="15" customFormat="1" x14ac:dyDescent="0.3">
      <c r="A975" s="17"/>
      <c r="B975"/>
      <c r="C975"/>
      <c r="D975"/>
      <c r="E975"/>
      <c r="F975"/>
      <c r="G975"/>
      <c r="H975"/>
      <c r="I975"/>
      <c r="J975"/>
      <c r="K975"/>
      <c r="L975"/>
      <c r="M975"/>
      <c r="S975" s="54"/>
    </row>
    <row r="976" spans="1:19" s="15" customFormat="1" x14ac:dyDescent="0.3">
      <c r="A976" s="17"/>
      <c r="B976"/>
      <c r="C976"/>
      <c r="D976"/>
      <c r="E976"/>
      <c r="F976"/>
      <c r="G976"/>
      <c r="H976"/>
      <c r="I976"/>
      <c r="J976"/>
      <c r="K976"/>
      <c r="L976"/>
      <c r="M976"/>
      <c r="S976" s="54"/>
    </row>
    <row r="977" spans="1:19" s="15" customFormat="1" x14ac:dyDescent="0.3">
      <c r="A977" s="17"/>
      <c r="B977"/>
      <c r="C977"/>
      <c r="D977"/>
      <c r="E977"/>
      <c r="F977"/>
      <c r="G977"/>
      <c r="H977"/>
      <c r="I977"/>
      <c r="J977"/>
      <c r="K977"/>
      <c r="L977"/>
      <c r="M977"/>
      <c r="S977" s="54"/>
    </row>
    <row r="978" spans="1:19" s="15" customFormat="1" x14ac:dyDescent="0.3">
      <c r="A978" s="17"/>
      <c r="B978"/>
      <c r="C978"/>
      <c r="D978"/>
      <c r="E978"/>
      <c r="F978"/>
      <c r="G978"/>
      <c r="H978"/>
      <c r="I978"/>
      <c r="J978"/>
      <c r="K978"/>
      <c r="L978"/>
      <c r="M978"/>
      <c r="S978" s="54"/>
    </row>
    <row r="979" spans="1:19" s="15" customFormat="1" x14ac:dyDescent="0.3">
      <c r="A979" s="17"/>
      <c r="B979"/>
      <c r="C979"/>
      <c r="D979"/>
      <c r="E979"/>
      <c r="F979"/>
      <c r="G979"/>
      <c r="H979"/>
      <c r="I979"/>
      <c r="J979"/>
      <c r="K979"/>
      <c r="L979"/>
      <c r="M979"/>
      <c r="S979" s="54"/>
    </row>
    <row r="980" spans="1:19" s="15" customFormat="1" x14ac:dyDescent="0.3">
      <c r="A980" s="17"/>
      <c r="B980"/>
      <c r="C980"/>
      <c r="D980"/>
      <c r="E980"/>
      <c r="F980"/>
      <c r="G980"/>
      <c r="H980"/>
      <c r="I980"/>
      <c r="J980"/>
      <c r="K980"/>
      <c r="L980"/>
      <c r="M980"/>
      <c r="S980" s="54"/>
    </row>
    <row r="981" spans="1:19" s="15" customFormat="1" x14ac:dyDescent="0.3">
      <c r="A981" s="17"/>
      <c r="B981"/>
      <c r="C981"/>
      <c r="D981"/>
      <c r="E981"/>
      <c r="F981"/>
      <c r="G981"/>
      <c r="H981"/>
      <c r="I981"/>
      <c r="J981"/>
      <c r="K981"/>
      <c r="L981"/>
      <c r="M981"/>
      <c r="S981" s="54"/>
    </row>
    <row r="982" spans="1:19" s="15" customFormat="1" x14ac:dyDescent="0.3">
      <c r="A982" s="17"/>
      <c r="B982"/>
      <c r="C982"/>
      <c r="D982"/>
      <c r="E982"/>
      <c r="F982"/>
      <c r="G982"/>
      <c r="H982"/>
      <c r="I982"/>
      <c r="J982"/>
      <c r="K982"/>
      <c r="L982"/>
      <c r="M982"/>
      <c r="S982" s="54"/>
    </row>
    <row r="983" spans="1:19" s="15" customFormat="1" x14ac:dyDescent="0.3">
      <c r="A983" s="17"/>
      <c r="B983"/>
      <c r="C983"/>
      <c r="D983"/>
      <c r="E983"/>
      <c r="F983"/>
      <c r="G983"/>
      <c r="H983"/>
      <c r="I983"/>
      <c r="J983"/>
      <c r="K983"/>
      <c r="L983"/>
      <c r="M983"/>
      <c r="S983" s="54"/>
    </row>
    <row r="984" spans="1:19" s="15" customFormat="1" x14ac:dyDescent="0.3">
      <c r="A984" s="17"/>
      <c r="B984"/>
      <c r="C984"/>
      <c r="D984"/>
      <c r="E984"/>
      <c r="F984"/>
      <c r="G984"/>
      <c r="H984"/>
      <c r="I984"/>
      <c r="J984"/>
      <c r="K984"/>
      <c r="L984"/>
      <c r="M984"/>
      <c r="S984" s="54"/>
    </row>
    <row r="985" spans="1:19" s="15" customFormat="1" x14ac:dyDescent="0.3">
      <c r="A985" s="17"/>
      <c r="B985"/>
      <c r="C985"/>
      <c r="D985"/>
      <c r="E985"/>
      <c r="F985"/>
      <c r="G985"/>
      <c r="H985"/>
      <c r="I985"/>
      <c r="J985"/>
      <c r="K985"/>
      <c r="L985"/>
      <c r="M985"/>
      <c r="S985" s="54"/>
    </row>
    <row r="986" spans="1:19" s="15" customFormat="1" x14ac:dyDescent="0.3">
      <c r="A986" s="17"/>
      <c r="B986"/>
      <c r="C986"/>
      <c r="D986"/>
      <c r="E986"/>
      <c r="F986"/>
      <c r="G986"/>
      <c r="H986"/>
      <c r="I986"/>
      <c r="J986"/>
      <c r="K986"/>
      <c r="L986"/>
      <c r="M986"/>
      <c r="S986" s="54"/>
    </row>
    <row r="987" spans="1:19" s="15" customFormat="1" x14ac:dyDescent="0.3">
      <c r="A987" s="17"/>
      <c r="B987"/>
      <c r="C987"/>
      <c r="D987"/>
      <c r="E987"/>
      <c r="F987"/>
      <c r="G987"/>
      <c r="H987"/>
      <c r="I987"/>
      <c r="J987"/>
      <c r="K987"/>
      <c r="L987"/>
      <c r="M987"/>
      <c r="S987" s="54"/>
    </row>
    <row r="988" spans="1:19" s="15" customFormat="1" x14ac:dyDescent="0.3">
      <c r="A988" s="17"/>
      <c r="B988"/>
      <c r="C988"/>
      <c r="D988"/>
      <c r="E988"/>
      <c r="F988"/>
      <c r="G988"/>
      <c r="H988"/>
      <c r="I988"/>
      <c r="J988"/>
      <c r="K988"/>
      <c r="L988"/>
      <c r="M988"/>
      <c r="S988" s="54"/>
    </row>
    <row r="989" spans="1:19" s="15" customFormat="1" x14ac:dyDescent="0.3">
      <c r="A989" s="17"/>
      <c r="B989"/>
      <c r="C989"/>
      <c r="D989"/>
      <c r="E989"/>
      <c r="F989"/>
      <c r="G989"/>
      <c r="H989"/>
      <c r="I989"/>
      <c r="J989"/>
      <c r="K989"/>
      <c r="L989"/>
      <c r="M989"/>
      <c r="S989" s="54"/>
    </row>
    <row r="990" spans="1:19" s="15" customFormat="1" x14ac:dyDescent="0.3">
      <c r="A990" s="17"/>
      <c r="B990"/>
      <c r="C990"/>
      <c r="D990"/>
      <c r="E990"/>
      <c r="F990"/>
      <c r="G990"/>
      <c r="H990"/>
      <c r="I990"/>
      <c r="J990"/>
      <c r="K990"/>
      <c r="L990"/>
      <c r="M990"/>
      <c r="S990" s="54"/>
    </row>
    <row r="991" spans="1:19" s="15" customFormat="1" x14ac:dyDescent="0.3">
      <c r="A991" s="17"/>
      <c r="B991"/>
      <c r="C991"/>
      <c r="D991"/>
      <c r="E991"/>
      <c r="F991"/>
      <c r="G991"/>
      <c r="H991"/>
      <c r="I991"/>
      <c r="J991"/>
      <c r="K991"/>
      <c r="L991"/>
      <c r="M991"/>
      <c r="S991" s="54"/>
    </row>
    <row r="992" spans="1:19" s="15" customFormat="1" x14ac:dyDescent="0.3">
      <c r="A992" s="17"/>
      <c r="B992"/>
      <c r="C992"/>
      <c r="D992"/>
      <c r="E992"/>
      <c r="F992"/>
      <c r="G992"/>
      <c r="H992"/>
      <c r="I992"/>
      <c r="J992"/>
      <c r="K992"/>
      <c r="L992"/>
      <c r="M992"/>
      <c r="S992" s="54"/>
    </row>
    <row r="993" spans="1:19" s="15" customFormat="1" x14ac:dyDescent="0.3">
      <c r="A993" s="17"/>
      <c r="B993"/>
      <c r="C993"/>
      <c r="D993"/>
      <c r="E993"/>
      <c r="F993"/>
      <c r="G993"/>
      <c r="H993"/>
      <c r="I993"/>
      <c r="J993"/>
      <c r="K993"/>
      <c r="L993"/>
      <c r="M993"/>
      <c r="S993" s="54"/>
    </row>
    <row r="994" spans="1:19" s="15" customFormat="1" x14ac:dyDescent="0.3">
      <c r="A994" s="17"/>
      <c r="B994"/>
      <c r="C994"/>
      <c r="D994"/>
      <c r="E994"/>
      <c r="F994"/>
      <c r="G994"/>
      <c r="H994"/>
      <c r="I994"/>
      <c r="J994"/>
      <c r="K994"/>
      <c r="L994"/>
      <c r="M994"/>
      <c r="S994" s="54"/>
    </row>
    <row r="995" spans="1:19" s="15" customFormat="1" x14ac:dyDescent="0.3">
      <c r="A995" s="17"/>
      <c r="B995"/>
      <c r="C995"/>
      <c r="D995"/>
      <c r="E995"/>
      <c r="F995"/>
      <c r="G995"/>
      <c r="H995"/>
      <c r="I995"/>
      <c r="J995"/>
      <c r="K995"/>
      <c r="L995"/>
      <c r="M995"/>
      <c r="S995" s="54"/>
    </row>
    <row r="996" spans="1:19" s="15" customFormat="1" x14ac:dyDescent="0.3">
      <c r="A996" s="17"/>
      <c r="B996"/>
      <c r="C996"/>
      <c r="D996"/>
      <c r="E996"/>
      <c r="F996"/>
      <c r="G996"/>
      <c r="H996"/>
      <c r="I996"/>
      <c r="J996"/>
      <c r="K996"/>
      <c r="L996"/>
      <c r="M996"/>
      <c r="S996" s="54"/>
    </row>
    <row r="997" spans="1:19" s="15" customFormat="1" x14ac:dyDescent="0.3">
      <c r="A997" s="17"/>
      <c r="B997"/>
      <c r="C997"/>
      <c r="D997"/>
      <c r="E997"/>
      <c r="F997"/>
      <c r="G997"/>
      <c r="H997"/>
      <c r="I997"/>
      <c r="J997"/>
      <c r="K997"/>
      <c r="L997"/>
      <c r="M997"/>
      <c r="S997" s="54"/>
    </row>
    <row r="998" spans="1:19" s="15" customFormat="1" x14ac:dyDescent="0.3">
      <c r="A998" s="17"/>
      <c r="B998"/>
      <c r="C998"/>
      <c r="D998"/>
      <c r="E998"/>
      <c r="F998"/>
      <c r="G998"/>
      <c r="H998"/>
      <c r="I998"/>
      <c r="J998"/>
      <c r="K998"/>
      <c r="L998"/>
      <c r="M998"/>
      <c r="S998" s="54"/>
    </row>
    <row r="999" spans="1:19" s="15" customFormat="1" x14ac:dyDescent="0.3">
      <c r="A999" s="17"/>
      <c r="B999"/>
      <c r="C999"/>
      <c r="D999"/>
      <c r="E999"/>
      <c r="F999"/>
      <c r="G999"/>
      <c r="H999"/>
      <c r="I999"/>
      <c r="J999"/>
      <c r="K999"/>
      <c r="L999"/>
      <c r="M999"/>
      <c r="S999" s="54"/>
    </row>
    <row r="1000" spans="1:19" s="15" customFormat="1" x14ac:dyDescent="0.3">
      <c r="A1000" s="17"/>
      <c r="B1000"/>
      <c r="C1000"/>
      <c r="D1000"/>
      <c r="E1000"/>
      <c r="F1000"/>
      <c r="G1000"/>
      <c r="H1000"/>
      <c r="I1000"/>
      <c r="J1000"/>
      <c r="K1000"/>
      <c r="L1000"/>
      <c r="M1000"/>
      <c r="S1000" s="54"/>
    </row>
    <row r="1001" spans="1:19" s="15" customFormat="1" x14ac:dyDescent="0.3">
      <c r="A1001" s="17"/>
      <c r="B1001"/>
      <c r="C1001"/>
      <c r="D1001"/>
      <c r="E1001"/>
      <c r="F1001"/>
      <c r="G1001"/>
      <c r="H1001"/>
      <c r="I1001"/>
      <c r="J1001"/>
      <c r="K1001"/>
      <c r="L1001"/>
      <c r="M1001"/>
      <c r="S1001" s="54"/>
    </row>
    <row r="1002" spans="1:19" s="15" customFormat="1" x14ac:dyDescent="0.3">
      <c r="A1002" s="17"/>
      <c r="B1002"/>
      <c r="C1002"/>
      <c r="D1002"/>
      <c r="E1002"/>
      <c r="F1002"/>
      <c r="G1002"/>
      <c r="H1002"/>
      <c r="I1002"/>
      <c r="J1002"/>
      <c r="K1002"/>
      <c r="L1002"/>
      <c r="M1002"/>
      <c r="S1002" s="54"/>
    </row>
    <row r="1003" spans="1:19" s="15" customFormat="1" x14ac:dyDescent="0.3">
      <c r="A1003" s="17"/>
      <c r="B1003"/>
      <c r="C1003"/>
      <c r="D1003"/>
      <c r="E1003"/>
      <c r="F1003"/>
      <c r="G1003"/>
      <c r="H1003"/>
      <c r="I1003"/>
      <c r="J1003"/>
      <c r="K1003"/>
      <c r="L1003"/>
      <c r="M1003"/>
      <c r="S1003" s="54"/>
    </row>
    <row r="1004" spans="1:19" s="15" customFormat="1" x14ac:dyDescent="0.3">
      <c r="A1004" s="17"/>
      <c r="B1004"/>
      <c r="C1004"/>
      <c r="D1004"/>
      <c r="E1004"/>
      <c r="F1004"/>
      <c r="G1004"/>
      <c r="H1004"/>
      <c r="I1004"/>
      <c r="J1004"/>
      <c r="K1004"/>
      <c r="L1004"/>
      <c r="M1004"/>
      <c r="S1004" s="54"/>
    </row>
    <row r="1005" spans="1:19" s="15" customFormat="1" x14ac:dyDescent="0.3">
      <c r="A1005" s="17"/>
      <c r="B1005"/>
      <c r="C1005"/>
      <c r="D1005"/>
      <c r="E1005"/>
      <c r="F1005"/>
      <c r="G1005"/>
      <c r="H1005"/>
      <c r="I1005"/>
      <c r="J1005"/>
      <c r="K1005"/>
      <c r="L1005"/>
      <c r="M1005"/>
      <c r="S1005" s="54"/>
    </row>
    <row r="1006" spans="1:19" s="15" customFormat="1" x14ac:dyDescent="0.3">
      <c r="A1006" s="17"/>
      <c r="B1006"/>
      <c r="C1006"/>
      <c r="D1006"/>
      <c r="E1006"/>
      <c r="F1006"/>
      <c r="G1006"/>
      <c r="H1006"/>
      <c r="I1006"/>
      <c r="J1006"/>
      <c r="K1006"/>
      <c r="L1006"/>
      <c r="M1006"/>
      <c r="S1006" s="54"/>
    </row>
    <row r="1007" spans="1:19" s="15" customFormat="1" x14ac:dyDescent="0.3">
      <c r="A1007" s="17"/>
      <c r="B1007"/>
      <c r="C1007"/>
      <c r="D1007"/>
      <c r="E1007"/>
      <c r="F1007"/>
      <c r="G1007"/>
      <c r="H1007"/>
      <c r="I1007"/>
      <c r="J1007"/>
      <c r="K1007"/>
      <c r="L1007"/>
      <c r="M1007"/>
      <c r="S1007" s="54"/>
    </row>
    <row r="1008" spans="1:19" s="15" customFormat="1" x14ac:dyDescent="0.3">
      <c r="A1008" s="17"/>
      <c r="B1008"/>
      <c r="C1008"/>
      <c r="D1008"/>
      <c r="E1008"/>
      <c r="F1008"/>
      <c r="G1008"/>
      <c r="H1008"/>
      <c r="I1008"/>
      <c r="J1008"/>
      <c r="K1008"/>
      <c r="L1008"/>
      <c r="M1008"/>
      <c r="S1008" s="54"/>
    </row>
    <row r="1009" spans="1:19" s="15" customFormat="1" x14ac:dyDescent="0.3">
      <c r="A1009" s="17"/>
      <c r="B1009"/>
      <c r="C1009"/>
      <c r="D1009"/>
      <c r="E1009"/>
      <c r="F1009"/>
      <c r="G1009"/>
      <c r="H1009"/>
      <c r="I1009"/>
      <c r="J1009"/>
      <c r="K1009"/>
      <c r="L1009"/>
      <c r="M1009"/>
      <c r="S1009" s="54"/>
    </row>
    <row r="1010" spans="1:19" s="15" customFormat="1" x14ac:dyDescent="0.3">
      <c r="A1010" s="17"/>
      <c r="B1010"/>
      <c r="C1010"/>
      <c r="D1010"/>
      <c r="E1010"/>
      <c r="F1010"/>
      <c r="G1010"/>
      <c r="H1010"/>
      <c r="I1010"/>
      <c r="J1010"/>
      <c r="K1010"/>
      <c r="L1010"/>
      <c r="M1010"/>
      <c r="S1010" s="54"/>
    </row>
    <row r="1011" spans="1:19" s="15" customFormat="1" x14ac:dyDescent="0.3">
      <c r="A1011" s="17"/>
      <c r="B1011"/>
      <c r="C1011"/>
      <c r="D1011"/>
      <c r="E1011"/>
      <c r="F1011"/>
      <c r="G1011"/>
      <c r="H1011"/>
      <c r="I1011"/>
      <c r="J1011"/>
      <c r="K1011"/>
      <c r="L1011"/>
      <c r="M1011"/>
      <c r="S1011" s="54"/>
    </row>
    <row r="1012" spans="1:19" s="15" customFormat="1" x14ac:dyDescent="0.3">
      <c r="A1012" s="17"/>
      <c r="B1012"/>
      <c r="C1012"/>
      <c r="D1012"/>
      <c r="E1012"/>
      <c r="F1012"/>
      <c r="G1012"/>
      <c r="H1012"/>
      <c r="I1012"/>
      <c r="J1012"/>
      <c r="K1012"/>
      <c r="L1012"/>
      <c r="M1012"/>
      <c r="S1012" s="54"/>
    </row>
    <row r="1013" spans="1:19" s="15" customFormat="1" x14ac:dyDescent="0.3">
      <c r="A1013" s="17"/>
      <c r="B1013"/>
      <c r="C1013"/>
      <c r="D1013"/>
      <c r="E1013"/>
      <c r="F1013"/>
      <c r="G1013"/>
      <c r="H1013"/>
      <c r="I1013"/>
      <c r="J1013"/>
      <c r="K1013"/>
      <c r="L1013"/>
      <c r="M1013"/>
      <c r="S1013" s="54"/>
    </row>
    <row r="1014" spans="1:19" s="15" customFormat="1" x14ac:dyDescent="0.3">
      <c r="A1014" s="17"/>
      <c r="B1014"/>
      <c r="C1014"/>
      <c r="D1014"/>
      <c r="E1014"/>
      <c r="F1014"/>
      <c r="G1014"/>
      <c r="H1014"/>
      <c r="I1014"/>
      <c r="J1014"/>
      <c r="K1014"/>
      <c r="L1014"/>
      <c r="M1014"/>
      <c r="S1014" s="54"/>
    </row>
    <row r="1015" spans="1:19" s="15" customFormat="1" x14ac:dyDescent="0.3">
      <c r="A1015" s="17"/>
      <c r="B1015"/>
      <c r="C1015"/>
      <c r="D1015"/>
      <c r="E1015"/>
      <c r="F1015"/>
      <c r="G1015"/>
      <c r="H1015"/>
      <c r="I1015"/>
      <c r="J1015"/>
      <c r="K1015"/>
      <c r="L1015"/>
      <c r="M1015"/>
      <c r="S1015" s="54"/>
    </row>
    <row r="1016" spans="1:19" s="15" customFormat="1" x14ac:dyDescent="0.3">
      <c r="A1016" s="17"/>
      <c r="B1016"/>
      <c r="C1016"/>
      <c r="D1016"/>
      <c r="E1016"/>
      <c r="F1016"/>
      <c r="G1016"/>
      <c r="H1016"/>
      <c r="I1016"/>
      <c r="J1016"/>
      <c r="K1016"/>
      <c r="L1016"/>
      <c r="M1016"/>
      <c r="S1016" s="54"/>
    </row>
    <row r="1017" spans="1:19" s="15" customFormat="1" x14ac:dyDescent="0.3">
      <c r="A1017" s="17"/>
      <c r="B1017"/>
      <c r="C1017"/>
      <c r="D1017"/>
      <c r="E1017"/>
      <c r="F1017"/>
      <c r="G1017"/>
      <c r="H1017"/>
      <c r="I1017"/>
      <c r="J1017"/>
      <c r="K1017"/>
      <c r="L1017"/>
      <c r="M1017"/>
      <c r="S1017" s="54"/>
    </row>
    <row r="1018" spans="1:19" s="15" customFormat="1" x14ac:dyDescent="0.3">
      <c r="A1018" s="17"/>
      <c r="B1018"/>
      <c r="C1018"/>
      <c r="D1018"/>
      <c r="E1018"/>
      <c r="F1018"/>
      <c r="G1018"/>
      <c r="H1018"/>
      <c r="I1018"/>
      <c r="J1018"/>
      <c r="K1018"/>
      <c r="L1018"/>
      <c r="M1018"/>
      <c r="S1018" s="54"/>
    </row>
    <row r="1019" spans="1:19" s="15" customFormat="1" x14ac:dyDescent="0.3">
      <c r="A1019" s="17"/>
      <c r="B1019"/>
      <c r="C1019"/>
      <c r="D1019"/>
      <c r="E1019"/>
      <c r="F1019"/>
      <c r="G1019"/>
      <c r="H1019"/>
      <c r="I1019"/>
      <c r="J1019"/>
      <c r="K1019"/>
      <c r="L1019"/>
      <c r="M1019"/>
      <c r="S1019" s="54"/>
    </row>
    <row r="1020" spans="1:19" s="15" customFormat="1" x14ac:dyDescent="0.3">
      <c r="A1020" s="17"/>
      <c r="B1020"/>
      <c r="C1020"/>
      <c r="D1020"/>
      <c r="E1020"/>
      <c r="F1020"/>
      <c r="G1020"/>
      <c r="H1020"/>
      <c r="I1020"/>
      <c r="J1020"/>
      <c r="K1020"/>
      <c r="L1020"/>
      <c r="M1020"/>
      <c r="S1020" s="54"/>
    </row>
    <row r="1021" spans="1:19" s="15" customFormat="1" x14ac:dyDescent="0.3">
      <c r="A1021" s="17"/>
      <c r="B1021"/>
      <c r="C1021"/>
      <c r="D1021"/>
      <c r="E1021"/>
      <c r="F1021"/>
      <c r="G1021"/>
      <c r="H1021"/>
      <c r="I1021"/>
      <c r="J1021"/>
      <c r="K1021"/>
      <c r="L1021"/>
      <c r="M1021"/>
      <c r="S1021" s="54"/>
    </row>
    <row r="1022" spans="1:19" s="15" customFormat="1" x14ac:dyDescent="0.3">
      <c r="A1022" s="17"/>
      <c r="B1022"/>
      <c r="C1022"/>
      <c r="D1022"/>
      <c r="E1022"/>
      <c r="F1022"/>
      <c r="G1022"/>
      <c r="H1022"/>
      <c r="I1022"/>
      <c r="J1022"/>
      <c r="K1022"/>
      <c r="L1022"/>
      <c r="M1022"/>
      <c r="S1022" s="54"/>
    </row>
    <row r="1023" spans="1:19" s="15" customFormat="1" x14ac:dyDescent="0.3">
      <c r="A1023" s="17"/>
      <c r="B1023"/>
      <c r="C1023"/>
      <c r="D1023"/>
      <c r="E1023"/>
      <c r="F1023"/>
      <c r="G1023"/>
      <c r="H1023"/>
      <c r="I1023"/>
      <c r="J1023"/>
      <c r="K1023"/>
      <c r="L1023"/>
      <c r="M1023"/>
      <c r="S1023" s="54"/>
    </row>
    <row r="1024" spans="1:19" s="15" customFormat="1" x14ac:dyDescent="0.3">
      <c r="A1024" s="17"/>
      <c r="B1024"/>
      <c r="C1024"/>
      <c r="D1024"/>
      <c r="E1024"/>
      <c r="F1024"/>
      <c r="G1024"/>
      <c r="H1024"/>
      <c r="I1024"/>
      <c r="J1024"/>
      <c r="K1024"/>
      <c r="L1024"/>
      <c r="M1024"/>
      <c r="S1024" s="54"/>
    </row>
    <row r="1025" spans="1:19" s="15" customFormat="1" x14ac:dyDescent="0.3">
      <c r="A1025" s="17"/>
      <c r="B1025"/>
      <c r="C1025"/>
      <c r="D1025"/>
      <c r="E1025"/>
      <c r="F1025"/>
      <c r="G1025"/>
      <c r="H1025"/>
      <c r="I1025"/>
      <c r="J1025"/>
      <c r="K1025"/>
      <c r="L1025"/>
      <c r="M1025"/>
      <c r="S1025" s="54"/>
    </row>
    <row r="1026" spans="1:19" s="15" customFormat="1" x14ac:dyDescent="0.3">
      <c r="A1026" s="17"/>
      <c r="B1026"/>
      <c r="C1026"/>
      <c r="D1026"/>
      <c r="E1026"/>
      <c r="F1026"/>
      <c r="G1026"/>
      <c r="H1026"/>
      <c r="I1026"/>
      <c r="J1026"/>
      <c r="K1026"/>
      <c r="L1026"/>
      <c r="M1026"/>
      <c r="S1026" s="54"/>
    </row>
    <row r="1027" spans="1:19" s="15" customFormat="1" x14ac:dyDescent="0.3">
      <c r="A1027" s="17"/>
      <c r="B1027"/>
      <c r="C1027"/>
      <c r="D1027"/>
      <c r="E1027"/>
      <c r="F1027"/>
      <c r="G1027"/>
      <c r="H1027"/>
      <c r="I1027"/>
      <c r="J1027"/>
      <c r="K1027"/>
      <c r="L1027"/>
      <c r="M1027"/>
      <c r="S1027" s="54"/>
    </row>
    <row r="1028" spans="1:19" s="15" customFormat="1" x14ac:dyDescent="0.3">
      <c r="A1028" s="17"/>
      <c r="B1028"/>
      <c r="C1028"/>
      <c r="D1028"/>
      <c r="E1028"/>
      <c r="F1028"/>
      <c r="G1028"/>
      <c r="H1028"/>
      <c r="I1028"/>
      <c r="J1028"/>
      <c r="K1028"/>
      <c r="L1028"/>
      <c r="M1028"/>
      <c r="S1028" s="54"/>
    </row>
    <row r="1029" spans="1:19" s="15" customFormat="1" x14ac:dyDescent="0.3">
      <c r="A1029" s="17"/>
      <c r="B1029"/>
      <c r="C1029"/>
      <c r="D1029"/>
      <c r="E1029"/>
      <c r="F1029"/>
      <c r="G1029"/>
      <c r="H1029"/>
      <c r="I1029"/>
      <c r="J1029"/>
      <c r="K1029"/>
      <c r="L1029"/>
      <c r="M1029"/>
      <c r="S1029" s="54"/>
    </row>
    <row r="1030" spans="1:19" s="15" customFormat="1" x14ac:dyDescent="0.3">
      <c r="A1030" s="17"/>
      <c r="B1030"/>
      <c r="C1030"/>
      <c r="D1030"/>
      <c r="E1030"/>
      <c r="F1030"/>
      <c r="G1030"/>
      <c r="H1030"/>
      <c r="I1030"/>
      <c r="J1030"/>
      <c r="K1030"/>
      <c r="L1030"/>
      <c r="M1030"/>
      <c r="S1030" s="54"/>
    </row>
    <row r="1031" spans="1:19" s="15" customFormat="1" x14ac:dyDescent="0.3">
      <c r="A1031" s="17"/>
      <c r="B1031"/>
      <c r="C1031"/>
      <c r="D1031"/>
      <c r="E1031"/>
      <c r="F1031"/>
      <c r="G1031"/>
      <c r="H1031"/>
      <c r="I1031"/>
      <c r="J1031"/>
      <c r="K1031"/>
      <c r="L1031"/>
      <c r="M1031"/>
      <c r="S1031" s="54"/>
    </row>
    <row r="1032" spans="1:19" s="15" customFormat="1" x14ac:dyDescent="0.3">
      <c r="A1032" s="17"/>
      <c r="B1032"/>
      <c r="C1032"/>
      <c r="D1032"/>
      <c r="E1032"/>
      <c r="F1032"/>
      <c r="G1032"/>
      <c r="H1032"/>
      <c r="I1032"/>
      <c r="J1032"/>
      <c r="K1032"/>
      <c r="L1032"/>
      <c r="M1032"/>
      <c r="S1032" s="54"/>
    </row>
    <row r="1033" spans="1:19" s="15" customFormat="1" x14ac:dyDescent="0.3">
      <c r="A1033" s="17"/>
      <c r="B1033"/>
      <c r="C1033"/>
      <c r="D1033"/>
      <c r="E1033"/>
      <c r="F1033"/>
      <c r="G1033"/>
      <c r="H1033"/>
      <c r="I1033"/>
      <c r="J1033"/>
      <c r="K1033"/>
      <c r="L1033"/>
      <c r="M1033"/>
      <c r="S1033" s="54"/>
    </row>
    <row r="1034" spans="1:19" s="15" customFormat="1" x14ac:dyDescent="0.3">
      <c r="A1034" s="17"/>
      <c r="B1034"/>
      <c r="C1034"/>
      <c r="D1034"/>
      <c r="E1034"/>
      <c r="F1034"/>
      <c r="G1034"/>
      <c r="H1034"/>
      <c r="I1034"/>
      <c r="J1034"/>
      <c r="K1034"/>
      <c r="L1034"/>
      <c r="M1034"/>
      <c r="S1034" s="54"/>
    </row>
    <row r="1035" spans="1:19" s="15" customFormat="1" x14ac:dyDescent="0.3">
      <c r="A1035" s="17"/>
      <c r="B1035"/>
      <c r="C1035"/>
      <c r="D1035"/>
      <c r="E1035"/>
      <c r="F1035"/>
      <c r="G1035"/>
      <c r="H1035"/>
      <c r="I1035"/>
      <c r="J1035"/>
      <c r="K1035"/>
      <c r="L1035"/>
      <c r="M1035"/>
      <c r="S1035" s="54"/>
    </row>
    <row r="1036" spans="1:19" s="15" customFormat="1" x14ac:dyDescent="0.3">
      <c r="A1036" s="17"/>
      <c r="B1036"/>
      <c r="C1036"/>
      <c r="D1036"/>
      <c r="E1036"/>
      <c r="F1036"/>
      <c r="G1036"/>
      <c r="H1036"/>
      <c r="I1036"/>
      <c r="J1036"/>
      <c r="K1036"/>
      <c r="L1036"/>
      <c r="M1036"/>
      <c r="S1036" s="54"/>
    </row>
    <row r="1037" spans="1:19" s="15" customFormat="1" x14ac:dyDescent="0.3">
      <c r="A1037" s="17"/>
      <c r="B1037"/>
      <c r="C1037"/>
      <c r="D1037"/>
      <c r="E1037"/>
      <c r="F1037"/>
      <c r="G1037"/>
      <c r="H1037"/>
      <c r="I1037"/>
      <c r="J1037"/>
      <c r="K1037"/>
      <c r="L1037"/>
      <c r="M1037"/>
      <c r="S1037" s="54"/>
    </row>
    <row r="1038" spans="1:19" s="15" customFormat="1" x14ac:dyDescent="0.3">
      <c r="A1038" s="17"/>
      <c r="B1038"/>
      <c r="C1038"/>
      <c r="D1038"/>
      <c r="E1038"/>
      <c r="F1038"/>
      <c r="G1038"/>
      <c r="H1038"/>
      <c r="I1038"/>
      <c r="J1038"/>
      <c r="K1038"/>
      <c r="L1038"/>
      <c r="M1038"/>
      <c r="S1038" s="54"/>
    </row>
    <row r="1039" spans="1:19" s="15" customFormat="1" x14ac:dyDescent="0.3">
      <c r="A1039" s="17"/>
      <c r="B1039"/>
      <c r="C1039"/>
      <c r="D1039"/>
      <c r="E1039"/>
      <c r="F1039"/>
      <c r="G1039"/>
      <c r="H1039"/>
      <c r="I1039"/>
      <c r="J1039"/>
      <c r="K1039"/>
      <c r="L1039"/>
      <c r="M1039"/>
      <c r="S1039" s="54"/>
    </row>
    <row r="1040" spans="1:19" s="15" customFormat="1" x14ac:dyDescent="0.3">
      <c r="A1040" s="17"/>
      <c r="B1040"/>
      <c r="C1040"/>
      <c r="D1040"/>
      <c r="E1040"/>
      <c r="F1040"/>
      <c r="G1040"/>
      <c r="H1040"/>
      <c r="I1040"/>
      <c r="J1040"/>
      <c r="K1040"/>
      <c r="L1040"/>
      <c r="M1040"/>
      <c r="S1040" s="54"/>
    </row>
    <row r="1041" spans="1:19" s="15" customFormat="1" x14ac:dyDescent="0.3">
      <c r="A1041" s="17"/>
      <c r="B1041"/>
      <c r="C1041"/>
      <c r="D1041"/>
      <c r="E1041"/>
      <c r="F1041"/>
      <c r="G1041"/>
      <c r="H1041"/>
      <c r="I1041"/>
      <c r="J1041"/>
      <c r="K1041"/>
      <c r="L1041"/>
      <c r="M1041"/>
      <c r="S1041" s="54"/>
    </row>
    <row r="1042" spans="1:19" s="15" customFormat="1" x14ac:dyDescent="0.3">
      <c r="A1042" s="17"/>
      <c r="B1042"/>
      <c r="C1042"/>
      <c r="D1042"/>
      <c r="E1042"/>
      <c r="F1042"/>
      <c r="G1042"/>
      <c r="H1042"/>
      <c r="I1042"/>
      <c r="J1042"/>
      <c r="K1042"/>
      <c r="L1042"/>
      <c r="M1042"/>
      <c r="S1042" s="54"/>
    </row>
    <row r="1043" spans="1:19" s="15" customFormat="1" x14ac:dyDescent="0.3">
      <c r="A1043" s="17"/>
      <c r="B1043"/>
      <c r="C1043"/>
      <c r="D1043"/>
      <c r="E1043"/>
      <c r="F1043"/>
      <c r="G1043"/>
      <c r="H1043"/>
      <c r="I1043"/>
      <c r="J1043"/>
      <c r="K1043"/>
      <c r="L1043"/>
      <c r="M1043"/>
      <c r="S1043" s="54"/>
    </row>
    <row r="1044" spans="1:19" s="15" customFormat="1" x14ac:dyDescent="0.3">
      <c r="A1044" s="17"/>
      <c r="B1044"/>
      <c r="C1044"/>
      <c r="D1044"/>
      <c r="E1044"/>
      <c r="F1044"/>
      <c r="G1044"/>
      <c r="H1044"/>
      <c r="I1044"/>
      <c r="J1044"/>
      <c r="K1044"/>
      <c r="L1044"/>
      <c r="M1044"/>
      <c r="S1044" s="54"/>
    </row>
    <row r="1045" spans="1:19" s="15" customFormat="1" x14ac:dyDescent="0.3">
      <c r="A1045" s="17"/>
      <c r="B1045"/>
      <c r="C1045"/>
      <c r="D1045"/>
      <c r="E1045"/>
      <c r="F1045"/>
      <c r="G1045"/>
      <c r="H1045"/>
      <c r="I1045"/>
      <c r="J1045"/>
      <c r="K1045"/>
      <c r="L1045"/>
      <c r="M1045"/>
      <c r="S1045" s="54"/>
    </row>
    <row r="1046" spans="1:19" s="15" customFormat="1" x14ac:dyDescent="0.3">
      <c r="A1046" s="17"/>
      <c r="B1046"/>
      <c r="C1046"/>
      <c r="D1046"/>
      <c r="E1046"/>
      <c r="F1046"/>
      <c r="G1046"/>
      <c r="H1046"/>
      <c r="I1046"/>
      <c r="J1046"/>
      <c r="K1046"/>
      <c r="L1046"/>
      <c r="M1046"/>
      <c r="S1046" s="54"/>
    </row>
    <row r="1047" spans="1:19" s="15" customFormat="1" x14ac:dyDescent="0.3">
      <c r="A1047" s="17"/>
      <c r="B1047"/>
      <c r="C1047"/>
      <c r="D1047"/>
      <c r="E1047"/>
      <c r="F1047"/>
      <c r="G1047"/>
      <c r="H1047"/>
      <c r="I1047"/>
      <c r="J1047"/>
      <c r="K1047"/>
      <c r="L1047"/>
      <c r="M1047"/>
      <c r="S1047" s="54"/>
    </row>
    <row r="1048" spans="1:19" s="15" customFormat="1" x14ac:dyDescent="0.3">
      <c r="A1048" s="17"/>
      <c r="B1048"/>
      <c r="C1048"/>
      <c r="D1048"/>
      <c r="E1048"/>
      <c r="F1048"/>
      <c r="G1048"/>
      <c r="H1048"/>
      <c r="I1048"/>
      <c r="J1048"/>
      <c r="K1048"/>
      <c r="L1048"/>
      <c r="M1048"/>
      <c r="S1048" s="54"/>
    </row>
    <row r="1049" spans="1:19" s="15" customFormat="1" x14ac:dyDescent="0.3">
      <c r="A1049" s="17"/>
      <c r="B1049"/>
      <c r="C1049"/>
      <c r="D1049"/>
      <c r="E1049"/>
      <c r="F1049"/>
      <c r="G1049"/>
      <c r="H1049"/>
      <c r="I1049"/>
      <c r="J1049"/>
      <c r="K1049"/>
      <c r="L1049"/>
      <c r="M1049"/>
      <c r="S1049" s="54"/>
    </row>
    <row r="1050" spans="1:19" s="15" customFormat="1" x14ac:dyDescent="0.3">
      <c r="A1050" s="17"/>
      <c r="B1050"/>
      <c r="C1050"/>
      <c r="D1050"/>
      <c r="E1050"/>
      <c r="F1050"/>
      <c r="G1050"/>
      <c r="H1050"/>
      <c r="I1050"/>
      <c r="J1050"/>
      <c r="K1050"/>
      <c r="L1050"/>
      <c r="M1050"/>
      <c r="S1050" s="54"/>
    </row>
    <row r="1051" spans="1:19" s="15" customFormat="1" x14ac:dyDescent="0.3">
      <c r="A1051" s="17"/>
      <c r="B1051"/>
      <c r="C1051"/>
      <c r="D1051"/>
      <c r="E1051"/>
      <c r="F1051"/>
      <c r="G1051"/>
      <c r="H1051"/>
      <c r="I1051"/>
      <c r="J1051"/>
      <c r="K1051"/>
      <c r="L1051"/>
      <c r="M1051"/>
      <c r="S1051" s="54"/>
    </row>
    <row r="1052" spans="1:19" s="15" customFormat="1" x14ac:dyDescent="0.3">
      <c r="A1052" s="17"/>
      <c r="B1052"/>
      <c r="C1052"/>
      <c r="D1052"/>
      <c r="E1052"/>
      <c r="F1052"/>
      <c r="G1052"/>
      <c r="H1052"/>
      <c r="I1052"/>
      <c r="J1052"/>
      <c r="K1052"/>
      <c r="L1052"/>
      <c r="M1052"/>
      <c r="S1052" s="54"/>
    </row>
    <row r="1053" spans="1:19" s="15" customFormat="1" x14ac:dyDescent="0.3">
      <c r="A1053" s="17"/>
      <c r="B1053"/>
      <c r="C1053"/>
      <c r="D1053"/>
      <c r="E1053"/>
      <c r="F1053"/>
      <c r="G1053"/>
      <c r="H1053"/>
      <c r="I1053"/>
      <c r="J1053"/>
      <c r="K1053"/>
      <c r="L1053"/>
      <c r="M1053"/>
      <c r="S1053" s="54"/>
    </row>
    <row r="1054" spans="1:19" s="15" customFormat="1" x14ac:dyDescent="0.3">
      <c r="A1054" s="17"/>
      <c r="B1054"/>
      <c r="C1054"/>
      <c r="D1054"/>
      <c r="E1054"/>
      <c r="F1054"/>
      <c r="G1054"/>
      <c r="H1054"/>
      <c r="I1054"/>
      <c r="J1054"/>
      <c r="K1054"/>
      <c r="L1054"/>
      <c r="M1054"/>
      <c r="S1054" s="54"/>
    </row>
    <row r="1055" spans="1:19" s="15" customFormat="1" x14ac:dyDescent="0.3">
      <c r="A1055" s="17"/>
      <c r="B1055"/>
      <c r="C1055"/>
      <c r="D1055"/>
      <c r="E1055"/>
      <c r="F1055"/>
      <c r="G1055"/>
      <c r="H1055"/>
      <c r="I1055"/>
      <c r="J1055"/>
      <c r="K1055"/>
      <c r="L1055"/>
      <c r="M1055"/>
      <c r="S1055" s="54"/>
    </row>
    <row r="1056" spans="1:19" s="15" customFormat="1" x14ac:dyDescent="0.3">
      <c r="A1056" s="17"/>
      <c r="B1056"/>
      <c r="C1056"/>
      <c r="D1056"/>
      <c r="E1056"/>
      <c r="F1056"/>
      <c r="G1056"/>
      <c r="H1056"/>
      <c r="I1056"/>
      <c r="J1056"/>
      <c r="K1056"/>
      <c r="L1056"/>
      <c r="M1056"/>
      <c r="S1056" s="54"/>
    </row>
    <row r="1057" spans="1:19" s="15" customFormat="1" x14ac:dyDescent="0.3">
      <c r="A1057" s="17"/>
      <c r="B1057"/>
      <c r="C1057"/>
      <c r="D1057"/>
      <c r="E1057"/>
      <c r="F1057"/>
      <c r="G1057"/>
      <c r="H1057"/>
      <c r="I1057"/>
      <c r="J1057"/>
      <c r="K1057"/>
      <c r="L1057"/>
      <c r="M1057"/>
      <c r="S1057" s="54"/>
    </row>
    <row r="1058" spans="1:19" s="15" customFormat="1" x14ac:dyDescent="0.3">
      <c r="A1058" s="17"/>
      <c r="B1058"/>
      <c r="C1058"/>
      <c r="D1058"/>
      <c r="E1058"/>
      <c r="F1058"/>
      <c r="G1058"/>
      <c r="H1058"/>
      <c r="I1058"/>
      <c r="J1058"/>
      <c r="K1058"/>
      <c r="L1058"/>
      <c r="M1058"/>
      <c r="S1058" s="54"/>
    </row>
    <row r="1059" spans="1:19" s="15" customFormat="1" x14ac:dyDescent="0.3">
      <c r="A1059" s="17"/>
      <c r="B1059"/>
      <c r="C1059"/>
      <c r="D1059"/>
      <c r="E1059"/>
      <c r="F1059"/>
      <c r="G1059"/>
      <c r="H1059"/>
      <c r="I1059"/>
      <c r="J1059"/>
      <c r="K1059"/>
      <c r="L1059"/>
      <c r="M1059"/>
      <c r="S1059" s="54"/>
    </row>
    <row r="1060" spans="1:19" s="15" customFormat="1" x14ac:dyDescent="0.3">
      <c r="A1060" s="17"/>
      <c r="B1060"/>
      <c r="C1060"/>
      <c r="D1060"/>
      <c r="E1060"/>
      <c r="F1060"/>
      <c r="G1060"/>
      <c r="H1060"/>
      <c r="I1060"/>
      <c r="J1060"/>
      <c r="K1060"/>
      <c r="L1060"/>
      <c r="M1060"/>
      <c r="S1060" s="54"/>
    </row>
    <row r="1061" spans="1:19" s="15" customFormat="1" x14ac:dyDescent="0.3">
      <c r="A1061" s="17"/>
      <c r="B1061"/>
      <c r="C1061"/>
      <c r="D1061"/>
      <c r="E1061"/>
      <c r="F1061"/>
      <c r="G1061"/>
      <c r="H1061"/>
      <c r="I1061"/>
      <c r="J1061"/>
      <c r="K1061"/>
      <c r="L1061"/>
      <c r="M1061"/>
      <c r="S1061" s="54"/>
    </row>
    <row r="1062" spans="1:19" s="15" customFormat="1" x14ac:dyDescent="0.3">
      <c r="A1062" s="17"/>
      <c r="B1062"/>
      <c r="C1062"/>
      <c r="D1062"/>
      <c r="E1062"/>
      <c r="F1062"/>
      <c r="G1062"/>
      <c r="H1062"/>
      <c r="I1062"/>
      <c r="J1062"/>
      <c r="K1062"/>
      <c r="L1062"/>
      <c r="M1062"/>
      <c r="S1062" s="54"/>
    </row>
    <row r="1063" spans="1:19" s="15" customFormat="1" x14ac:dyDescent="0.3">
      <c r="A1063" s="17"/>
      <c r="B1063"/>
      <c r="C1063"/>
      <c r="D1063"/>
      <c r="E1063"/>
      <c r="F1063"/>
      <c r="G1063"/>
      <c r="H1063"/>
      <c r="I1063"/>
      <c r="J1063"/>
      <c r="K1063"/>
      <c r="L1063"/>
      <c r="M1063"/>
      <c r="S1063" s="54"/>
    </row>
    <row r="1064" spans="1:19" s="15" customFormat="1" x14ac:dyDescent="0.3">
      <c r="A1064" s="17"/>
      <c r="B1064"/>
      <c r="C1064"/>
      <c r="D1064"/>
      <c r="E1064"/>
      <c r="F1064"/>
      <c r="G1064"/>
      <c r="H1064"/>
      <c r="I1064"/>
      <c r="J1064"/>
      <c r="K1064"/>
      <c r="L1064"/>
      <c r="M1064"/>
      <c r="S1064" s="54"/>
    </row>
    <row r="1065" spans="1:19" s="15" customFormat="1" x14ac:dyDescent="0.3">
      <c r="A1065" s="17"/>
      <c r="B1065"/>
      <c r="C1065"/>
      <c r="D1065"/>
      <c r="E1065"/>
      <c r="F1065"/>
      <c r="G1065"/>
      <c r="H1065"/>
      <c r="I1065"/>
      <c r="J1065"/>
      <c r="K1065"/>
      <c r="L1065"/>
      <c r="M1065"/>
      <c r="S1065" s="54"/>
    </row>
    <row r="1066" spans="1:19" s="15" customFormat="1" x14ac:dyDescent="0.3">
      <c r="A1066" s="17"/>
      <c r="B1066"/>
      <c r="C1066"/>
      <c r="D1066"/>
      <c r="E1066"/>
      <c r="F1066"/>
      <c r="G1066"/>
      <c r="H1066"/>
      <c r="I1066"/>
      <c r="J1066"/>
      <c r="K1066"/>
      <c r="L1066"/>
      <c r="M1066"/>
      <c r="S1066" s="54"/>
    </row>
    <row r="1067" spans="1:19" s="15" customFormat="1" x14ac:dyDescent="0.3">
      <c r="A1067" s="17"/>
      <c r="B1067"/>
      <c r="C1067"/>
      <c r="D1067"/>
      <c r="E1067"/>
      <c r="F1067"/>
      <c r="G1067"/>
      <c r="H1067"/>
      <c r="I1067"/>
      <c r="J1067"/>
      <c r="K1067"/>
      <c r="L1067"/>
      <c r="M1067"/>
      <c r="S1067" s="54"/>
    </row>
    <row r="1068" spans="1:19" s="15" customFormat="1" x14ac:dyDescent="0.3">
      <c r="A1068" s="17"/>
      <c r="B1068"/>
      <c r="C1068"/>
      <c r="D1068"/>
      <c r="E1068"/>
      <c r="F1068"/>
      <c r="G1068"/>
      <c r="H1068"/>
      <c r="I1068"/>
      <c r="J1068"/>
      <c r="K1068"/>
      <c r="L1068"/>
      <c r="M1068"/>
      <c r="S1068" s="54"/>
    </row>
    <row r="1069" spans="1:19" s="15" customFormat="1" x14ac:dyDescent="0.3">
      <c r="A1069" s="17"/>
      <c r="B1069"/>
      <c r="C1069"/>
      <c r="D1069"/>
      <c r="E1069"/>
      <c r="F1069"/>
      <c r="G1069"/>
      <c r="H1069"/>
      <c r="I1069"/>
      <c r="J1069"/>
      <c r="K1069"/>
      <c r="L1069"/>
      <c r="M1069"/>
      <c r="S1069" s="54"/>
    </row>
    <row r="1070" spans="1:19" s="15" customFormat="1" x14ac:dyDescent="0.3">
      <c r="A1070" s="17"/>
      <c r="B1070"/>
      <c r="C1070"/>
      <c r="D1070"/>
      <c r="E1070"/>
      <c r="F1070"/>
      <c r="G1070"/>
      <c r="H1070"/>
      <c r="I1070"/>
      <c r="J1070"/>
      <c r="K1070"/>
      <c r="L1070"/>
      <c r="M1070"/>
      <c r="S1070" s="54"/>
    </row>
    <row r="1071" spans="1:19" s="15" customFormat="1" x14ac:dyDescent="0.3">
      <c r="A1071" s="17"/>
      <c r="B1071"/>
      <c r="C1071"/>
      <c r="D1071"/>
      <c r="E1071"/>
      <c r="F1071"/>
      <c r="G1071"/>
      <c r="H1071"/>
      <c r="I1071"/>
      <c r="J1071"/>
      <c r="K1071"/>
      <c r="L1071"/>
      <c r="M1071"/>
      <c r="S1071" s="54"/>
    </row>
    <row r="1072" spans="1:19" s="15" customFormat="1" x14ac:dyDescent="0.3">
      <c r="A1072" s="17"/>
      <c r="B1072"/>
      <c r="C1072"/>
      <c r="D1072"/>
      <c r="E1072"/>
      <c r="F1072"/>
      <c r="G1072"/>
      <c r="H1072"/>
      <c r="I1072"/>
      <c r="J1072"/>
      <c r="K1072"/>
      <c r="L1072"/>
      <c r="M1072"/>
      <c r="S1072" s="54"/>
    </row>
    <row r="1073" spans="1:19" s="15" customFormat="1" x14ac:dyDescent="0.3">
      <c r="A1073" s="17"/>
      <c r="B1073"/>
      <c r="C1073"/>
      <c r="D1073"/>
      <c r="E1073"/>
      <c r="F1073"/>
      <c r="G1073"/>
      <c r="H1073"/>
      <c r="I1073"/>
      <c r="J1073"/>
      <c r="K1073"/>
      <c r="L1073"/>
      <c r="M1073"/>
      <c r="S1073" s="54"/>
    </row>
    <row r="1074" spans="1:19" s="15" customFormat="1" x14ac:dyDescent="0.3">
      <c r="A1074" s="17"/>
      <c r="B1074"/>
      <c r="C1074"/>
      <c r="D1074"/>
      <c r="E1074"/>
      <c r="F1074"/>
      <c r="G1074"/>
      <c r="H1074"/>
      <c r="I1074"/>
      <c r="J1074"/>
      <c r="K1074"/>
      <c r="L1074"/>
      <c r="M1074"/>
      <c r="S1074" s="54"/>
    </row>
    <row r="1075" spans="1:19" s="15" customFormat="1" x14ac:dyDescent="0.3">
      <c r="A1075" s="17"/>
      <c r="B1075"/>
      <c r="C1075"/>
      <c r="D1075"/>
      <c r="E1075"/>
      <c r="F1075"/>
      <c r="G1075"/>
      <c r="H1075"/>
      <c r="I1075"/>
      <c r="J1075"/>
      <c r="K1075"/>
      <c r="L1075"/>
      <c r="M1075"/>
      <c r="S1075" s="54"/>
    </row>
    <row r="1076" spans="1:19" s="15" customFormat="1" x14ac:dyDescent="0.3">
      <c r="A1076" s="17"/>
      <c r="B1076"/>
      <c r="C1076"/>
      <c r="D1076"/>
      <c r="E1076"/>
      <c r="F1076"/>
      <c r="G1076"/>
      <c r="H1076"/>
      <c r="I1076"/>
      <c r="J1076"/>
      <c r="K1076"/>
      <c r="L1076"/>
      <c r="M1076"/>
      <c r="S1076" s="54"/>
    </row>
    <row r="1077" spans="1:19" s="15" customFormat="1" x14ac:dyDescent="0.3">
      <c r="A1077" s="17"/>
      <c r="B1077"/>
      <c r="C1077"/>
      <c r="D1077"/>
      <c r="E1077"/>
      <c r="F1077"/>
      <c r="G1077"/>
      <c r="H1077"/>
      <c r="I1077"/>
      <c r="J1077"/>
      <c r="K1077"/>
      <c r="L1077"/>
      <c r="M1077"/>
      <c r="S1077" s="54"/>
    </row>
    <row r="1078" spans="1:19" s="15" customFormat="1" x14ac:dyDescent="0.3">
      <c r="A1078" s="17"/>
      <c r="B1078"/>
      <c r="C1078"/>
      <c r="D1078"/>
      <c r="E1078"/>
      <c r="F1078"/>
      <c r="G1078"/>
      <c r="H1078"/>
      <c r="I1078"/>
      <c r="J1078"/>
      <c r="K1078"/>
      <c r="L1078"/>
      <c r="M1078"/>
      <c r="S1078" s="54"/>
    </row>
    <row r="1079" spans="1:19" s="15" customFormat="1" x14ac:dyDescent="0.3">
      <c r="A1079" s="17"/>
      <c r="B1079"/>
      <c r="C1079"/>
      <c r="D1079"/>
      <c r="E1079"/>
      <c r="F1079"/>
      <c r="G1079"/>
      <c r="H1079"/>
      <c r="I1079"/>
      <c r="J1079"/>
      <c r="K1079"/>
      <c r="L1079"/>
      <c r="M1079"/>
      <c r="S1079" s="54"/>
    </row>
    <row r="1080" spans="1:19" s="15" customFormat="1" x14ac:dyDescent="0.3">
      <c r="A1080" s="17"/>
      <c r="B1080"/>
      <c r="C1080"/>
      <c r="D1080"/>
      <c r="E1080"/>
      <c r="F1080"/>
      <c r="G1080"/>
      <c r="H1080"/>
      <c r="I1080"/>
      <c r="J1080"/>
      <c r="K1080"/>
      <c r="L1080"/>
      <c r="M1080"/>
      <c r="S1080" s="54"/>
    </row>
    <row r="1081" spans="1:19" s="15" customFormat="1" x14ac:dyDescent="0.3">
      <c r="A1081" s="17"/>
      <c r="B1081"/>
      <c r="C1081"/>
      <c r="D1081"/>
      <c r="E1081"/>
      <c r="F1081"/>
      <c r="G1081"/>
      <c r="H1081"/>
      <c r="I1081"/>
      <c r="J1081"/>
      <c r="K1081"/>
      <c r="L1081"/>
      <c r="M1081"/>
      <c r="S1081" s="54"/>
    </row>
    <row r="1082" spans="1:19" s="15" customFormat="1" x14ac:dyDescent="0.3">
      <c r="A1082" s="17"/>
      <c r="B1082"/>
      <c r="C1082"/>
      <c r="D1082"/>
      <c r="E1082"/>
      <c r="F1082"/>
      <c r="G1082"/>
      <c r="H1082"/>
      <c r="I1082"/>
      <c r="J1082"/>
      <c r="K1082"/>
      <c r="L1082"/>
      <c r="M1082"/>
      <c r="S1082" s="54"/>
    </row>
    <row r="1083" spans="1:19" s="15" customFormat="1" x14ac:dyDescent="0.3">
      <c r="A1083" s="17"/>
      <c r="B1083"/>
      <c r="C1083"/>
      <c r="D1083"/>
      <c r="E1083"/>
      <c r="F1083"/>
      <c r="G1083"/>
      <c r="H1083"/>
      <c r="I1083"/>
      <c r="J1083"/>
      <c r="K1083"/>
      <c r="L1083"/>
      <c r="M1083"/>
      <c r="S1083" s="54"/>
    </row>
    <row r="1084" spans="1:19" s="15" customFormat="1" x14ac:dyDescent="0.3">
      <c r="A1084" s="17"/>
      <c r="B1084"/>
      <c r="C1084"/>
      <c r="D1084"/>
      <c r="E1084"/>
      <c r="F1084"/>
      <c r="G1084"/>
      <c r="H1084"/>
      <c r="I1084"/>
      <c r="J1084"/>
      <c r="K1084"/>
      <c r="L1084"/>
      <c r="M1084"/>
      <c r="S1084" s="54"/>
    </row>
    <row r="1085" spans="1:19" s="15" customFormat="1" x14ac:dyDescent="0.3">
      <c r="A1085" s="17"/>
      <c r="B1085"/>
      <c r="C1085"/>
      <c r="D1085"/>
      <c r="E1085"/>
      <c r="F1085"/>
      <c r="G1085"/>
      <c r="H1085"/>
      <c r="I1085"/>
      <c r="J1085"/>
      <c r="K1085"/>
      <c r="L1085"/>
      <c r="M1085"/>
      <c r="S1085" s="54"/>
    </row>
    <row r="1086" spans="1:19" s="15" customFormat="1" x14ac:dyDescent="0.3">
      <c r="A1086" s="17"/>
      <c r="B1086"/>
      <c r="C1086"/>
      <c r="D1086"/>
      <c r="E1086"/>
      <c r="F1086"/>
      <c r="G1086"/>
      <c r="H1086"/>
      <c r="I1086"/>
      <c r="J1086"/>
      <c r="K1086"/>
      <c r="L1086"/>
      <c r="M1086"/>
      <c r="S1086" s="54"/>
    </row>
    <row r="1087" spans="1:19" s="15" customFormat="1" x14ac:dyDescent="0.3">
      <c r="A1087" s="17"/>
      <c r="B1087"/>
      <c r="C1087"/>
      <c r="D1087"/>
      <c r="E1087"/>
      <c r="F1087"/>
      <c r="G1087"/>
      <c r="H1087"/>
      <c r="I1087"/>
      <c r="J1087"/>
      <c r="K1087"/>
      <c r="L1087"/>
      <c r="M1087"/>
      <c r="S1087" s="54"/>
    </row>
    <row r="1088" spans="1:19" s="15" customFormat="1" x14ac:dyDescent="0.3">
      <c r="A1088" s="17"/>
      <c r="B1088"/>
      <c r="C1088"/>
      <c r="D1088"/>
      <c r="E1088"/>
      <c r="F1088"/>
      <c r="G1088"/>
      <c r="H1088"/>
      <c r="I1088"/>
      <c r="J1088"/>
      <c r="K1088"/>
      <c r="L1088"/>
      <c r="M1088"/>
      <c r="S1088" s="54"/>
    </row>
    <row r="1089" spans="1:19" s="15" customFormat="1" x14ac:dyDescent="0.3">
      <c r="A1089" s="17"/>
      <c r="B1089"/>
      <c r="C1089"/>
      <c r="D1089"/>
      <c r="E1089"/>
      <c r="F1089"/>
      <c r="G1089"/>
      <c r="H1089"/>
      <c r="I1089"/>
      <c r="J1089"/>
      <c r="K1089"/>
      <c r="L1089"/>
      <c r="M1089"/>
      <c r="S1089" s="54"/>
    </row>
    <row r="1090" spans="1:19" s="15" customFormat="1" x14ac:dyDescent="0.3">
      <c r="A1090" s="17"/>
      <c r="B1090"/>
      <c r="C1090"/>
      <c r="D1090"/>
      <c r="E1090"/>
      <c r="F1090"/>
      <c r="G1090"/>
      <c r="H1090"/>
      <c r="I1090"/>
      <c r="J1090"/>
      <c r="K1090"/>
      <c r="L1090"/>
      <c r="M1090"/>
      <c r="S1090" s="54"/>
    </row>
    <row r="1091" spans="1:19" s="15" customFormat="1" x14ac:dyDescent="0.3">
      <c r="A1091" s="17"/>
      <c r="B1091"/>
      <c r="C1091"/>
      <c r="D1091"/>
      <c r="E1091"/>
      <c r="F1091"/>
      <c r="G1091"/>
      <c r="H1091"/>
      <c r="I1091"/>
      <c r="J1091"/>
      <c r="K1091"/>
      <c r="L1091"/>
      <c r="M1091"/>
      <c r="S1091" s="54"/>
    </row>
    <row r="1092" spans="1:19" s="15" customFormat="1" x14ac:dyDescent="0.3">
      <c r="A1092" s="17"/>
      <c r="B1092"/>
      <c r="C1092"/>
      <c r="D1092"/>
      <c r="E1092"/>
      <c r="F1092"/>
      <c r="G1092"/>
      <c r="H1092"/>
      <c r="I1092"/>
      <c r="J1092"/>
      <c r="K1092"/>
      <c r="L1092"/>
      <c r="M1092"/>
      <c r="S1092" s="54"/>
    </row>
    <row r="1093" spans="1:19" s="15" customFormat="1" x14ac:dyDescent="0.3">
      <c r="A1093" s="17"/>
      <c r="B1093"/>
      <c r="C1093"/>
      <c r="D1093"/>
      <c r="E1093"/>
      <c r="F1093"/>
      <c r="G1093"/>
      <c r="H1093"/>
      <c r="I1093"/>
      <c r="J1093"/>
      <c r="K1093"/>
      <c r="L1093"/>
      <c r="M1093"/>
      <c r="S1093" s="54"/>
    </row>
    <row r="1094" spans="1:19" s="15" customFormat="1" x14ac:dyDescent="0.3">
      <c r="A1094" s="17"/>
      <c r="B1094"/>
      <c r="C1094"/>
      <c r="D1094"/>
      <c r="E1094"/>
      <c r="F1094"/>
      <c r="G1094"/>
      <c r="H1094"/>
      <c r="I1094"/>
      <c r="J1094"/>
      <c r="K1094"/>
      <c r="L1094"/>
      <c r="M1094"/>
      <c r="S1094" s="54"/>
    </row>
    <row r="1095" spans="1:19" s="15" customFormat="1" x14ac:dyDescent="0.3">
      <c r="A1095" s="17"/>
      <c r="B1095"/>
      <c r="C1095"/>
      <c r="D1095"/>
      <c r="E1095"/>
      <c r="F1095"/>
      <c r="G1095"/>
      <c r="H1095"/>
      <c r="I1095"/>
      <c r="J1095"/>
      <c r="K1095"/>
      <c r="L1095"/>
      <c r="M1095"/>
      <c r="S1095" s="54"/>
    </row>
    <row r="1096" spans="1:19" s="15" customFormat="1" x14ac:dyDescent="0.3">
      <c r="A1096" s="17"/>
      <c r="B1096"/>
      <c r="C1096"/>
      <c r="D1096"/>
      <c r="E1096"/>
      <c r="F1096"/>
      <c r="G1096"/>
      <c r="H1096"/>
      <c r="I1096"/>
      <c r="J1096"/>
      <c r="K1096"/>
      <c r="L1096"/>
      <c r="M1096"/>
      <c r="S1096" s="54"/>
    </row>
    <row r="1097" spans="1:19" s="15" customFormat="1" x14ac:dyDescent="0.3">
      <c r="A1097" s="17"/>
      <c r="B1097"/>
      <c r="C1097"/>
      <c r="D1097"/>
      <c r="E1097"/>
      <c r="F1097"/>
      <c r="G1097"/>
      <c r="H1097"/>
      <c r="I1097"/>
      <c r="J1097"/>
      <c r="K1097"/>
      <c r="L1097"/>
      <c r="M1097"/>
      <c r="S1097" s="54"/>
    </row>
    <row r="1098" spans="1:19" s="15" customFormat="1" x14ac:dyDescent="0.3">
      <c r="A1098" s="17"/>
      <c r="B1098"/>
      <c r="C1098"/>
      <c r="D1098"/>
      <c r="E1098"/>
      <c r="F1098"/>
      <c r="G1098"/>
      <c r="H1098"/>
      <c r="I1098"/>
      <c r="J1098"/>
      <c r="K1098"/>
      <c r="L1098"/>
      <c r="M1098"/>
      <c r="S1098" s="54"/>
    </row>
    <row r="1099" spans="1:19" s="15" customFormat="1" x14ac:dyDescent="0.3">
      <c r="A1099" s="17"/>
      <c r="B1099"/>
      <c r="C1099"/>
      <c r="D1099"/>
      <c r="E1099"/>
      <c r="F1099"/>
      <c r="G1099"/>
      <c r="H1099"/>
      <c r="I1099"/>
      <c r="J1099"/>
      <c r="K1099"/>
      <c r="L1099"/>
      <c r="M1099"/>
      <c r="S1099" s="54"/>
    </row>
    <row r="1100" spans="1:19" s="15" customFormat="1" x14ac:dyDescent="0.3">
      <c r="A1100" s="17"/>
      <c r="B1100"/>
      <c r="C1100"/>
      <c r="D1100"/>
      <c r="E1100"/>
      <c r="F1100"/>
      <c r="G1100"/>
      <c r="H1100"/>
      <c r="I1100"/>
      <c r="J1100"/>
      <c r="K1100"/>
      <c r="L1100"/>
      <c r="M1100"/>
      <c r="S1100" s="54"/>
    </row>
    <row r="1101" spans="1:19" s="15" customFormat="1" x14ac:dyDescent="0.3">
      <c r="A1101" s="17"/>
      <c r="B1101"/>
      <c r="C1101"/>
      <c r="D1101"/>
      <c r="E1101"/>
      <c r="F1101"/>
      <c r="G1101"/>
      <c r="H1101"/>
      <c r="I1101"/>
      <c r="J1101"/>
      <c r="K1101"/>
      <c r="L1101"/>
      <c r="M1101"/>
      <c r="S1101" s="54"/>
    </row>
    <row r="1102" spans="1:19" s="15" customFormat="1" x14ac:dyDescent="0.3">
      <c r="A1102" s="17"/>
      <c r="B1102"/>
      <c r="C1102"/>
      <c r="D1102"/>
      <c r="E1102"/>
      <c r="F1102"/>
      <c r="G1102"/>
      <c r="H1102"/>
      <c r="I1102"/>
      <c r="J1102"/>
      <c r="K1102"/>
      <c r="L1102"/>
      <c r="M1102"/>
      <c r="S1102" s="54"/>
    </row>
    <row r="1103" spans="1:19" s="15" customFormat="1" x14ac:dyDescent="0.3">
      <c r="A1103" s="17"/>
      <c r="B1103"/>
      <c r="C1103"/>
      <c r="D1103"/>
      <c r="E1103"/>
      <c r="F1103"/>
      <c r="G1103"/>
      <c r="H1103"/>
      <c r="I1103"/>
      <c r="J1103"/>
      <c r="K1103"/>
      <c r="L1103"/>
      <c r="M1103"/>
      <c r="S1103" s="54"/>
    </row>
    <row r="1104" spans="1:19" s="15" customFormat="1" x14ac:dyDescent="0.3">
      <c r="A1104" s="17"/>
      <c r="B1104"/>
      <c r="C1104"/>
      <c r="D1104"/>
      <c r="E1104"/>
      <c r="F1104"/>
      <c r="G1104"/>
      <c r="H1104"/>
      <c r="I1104"/>
      <c r="J1104"/>
      <c r="K1104"/>
      <c r="L1104"/>
      <c r="M1104"/>
      <c r="S1104" s="54"/>
    </row>
    <row r="1105" spans="1:19" s="15" customFormat="1" x14ac:dyDescent="0.3">
      <c r="A1105" s="17"/>
      <c r="B1105"/>
      <c r="C1105"/>
      <c r="D1105"/>
      <c r="E1105"/>
      <c r="F1105"/>
      <c r="G1105"/>
      <c r="H1105"/>
      <c r="I1105"/>
      <c r="J1105"/>
      <c r="K1105"/>
      <c r="L1105"/>
      <c r="M1105"/>
      <c r="S1105" s="54"/>
    </row>
    <row r="1106" spans="1:19" s="15" customFormat="1" x14ac:dyDescent="0.3">
      <c r="A1106" s="17"/>
      <c r="B1106"/>
      <c r="C1106"/>
      <c r="D1106"/>
      <c r="E1106"/>
      <c r="F1106"/>
      <c r="G1106"/>
      <c r="H1106"/>
      <c r="I1106"/>
      <c r="J1106"/>
      <c r="K1106"/>
      <c r="L1106"/>
      <c r="M1106"/>
      <c r="S1106" s="54"/>
    </row>
    <row r="1107" spans="1:19" s="15" customFormat="1" x14ac:dyDescent="0.3">
      <c r="A1107" s="17"/>
      <c r="B1107"/>
      <c r="C1107"/>
      <c r="D1107"/>
      <c r="E1107"/>
      <c r="F1107"/>
      <c r="G1107"/>
      <c r="H1107"/>
      <c r="I1107"/>
      <c r="J1107"/>
      <c r="K1107"/>
      <c r="L1107"/>
      <c r="M1107"/>
      <c r="S1107" s="54"/>
    </row>
    <row r="1108" spans="1:19" s="15" customFormat="1" x14ac:dyDescent="0.3">
      <c r="A1108" s="17"/>
      <c r="B1108"/>
      <c r="C1108"/>
      <c r="D1108"/>
      <c r="E1108"/>
      <c r="F1108"/>
      <c r="G1108"/>
      <c r="H1108"/>
      <c r="I1108"/>
      <c r="J1108"/>
      <c r="K1108"/>
      <c r="L1108"/>
      <c r="M1108"/>
      <c r="S1108" s="54"/>
    </row>
    <row r="1109" spans="1:19" s="15" customFormat="1" x14ac:dyDescent="0.3">
      <c r="A1109" s="17"/>
      <c r="B1109"/>
      <c r="C1109"/>
      <c r="D1109"/>
      <c r="E1109"/>
      <c r="F1109"/>
      <c r="G1109"/>
      <c r="H1109"/>
      <c r="I1109"/>
      <c r="J1109"/>
      <c r="K1109"/>
      <c r="L1109"/>
      <c r="M1109"/>
      <c r="S1109" s="54"/>
    </row>
    <row r="1110" spans="1:19" s="15" customFormat="1" x14ac:dyDescent="0.3">
      <c r="A1110" s="17"/>
      <c r="B1110"/>
      <c r="C1110"/>
      <c r="D1110"/>
      <c r="E1110"/>
      <c r="F1110"/>
      <c r="G1110"/>
      <c r="H1110"/>
      <c r="I1110"/>
      <c r="J1110"/>
      <c r="K1110"/>
      <c r="L1110"/>
      <c r="M1110"/>
      <c r="S1110" s="54"/>
    </row>
    <row r="1111" spans="1:19" s="15" customFormat="1" x14ac:dyDescent="0.3">
      <c r="A1111" s="17"/>
      <c r="B1111"/>
      <c r="C1111"/>
      <c r="D1111"/>
      <c r="E1111"/>
      <c r="F1111"/>
      <c r="G1111"/>
      <c r="H1111"/>
      <c r="I1111"/>
      <c r="J1111"/>
      <c r="K1111"/>
      <c r="L1111"/>
      <c r="M1111"/>
      <c r="S1111" s="54"/>
    </row>
    <row r="1112" spans="1:19" s="15" customFormat="1" x14ac:dyDescent="0.3">
      <c r="A1112" s="17"/>
      <c r="B1112"/>
      <c r="C1112"/>
      <c r="D1112"/>
      <c r="E1112"/>
      <c r="F1112"/>
      <c r="G1112"/>
      <c r="H1112"/>
      <c r="I1112"/>
      <c r="J1112"/>
      <c r="K1112"/>
      <c r="L1112"/>
      <c r="M1112"/>
      <c r="S1112" s="54"/>
    </row>
    <row r="1113" spans="1:19" s="15" customFormat="1" x14ac:dyDescent="0.3">
      <c r="A1113" s="17"/>
      <c r="B1113"/>
      <c r="C1113"/>
      <c r="D1113"/>
      <c r="E1113"/>
      <c r="F1113"/>
      <c r="G1113"/>
      <c r="H1113"/>
      <c r="I1113"/>
      <c r="J1113"/>
      <c r="K1113"/>
      <c r="L1113"/>
      <c r="M1113"/>
      <c r="S1113" s="54"/>
    </row>
    <row r="1114" spans="1:19" s="15" customFormat="1" x14ac:dyDescent="0.3">
      <c r="A1114" s="17"/>
      <c r="B1114"/>
      <c r="C1114"/>
      <c r="D1114"/>
      <c r="E1114"/>
      <c r="F1114"/>
      <c r="G1114"/>
      <c r="H1114"/>
      <c r="I1114"/>
      <c r="J1114"/>
      <c r="K1114"/>
      <c r="L1114"/>
      <c r="M1114"/>
      <c r="S1114" s="54"/>
    </row>
    <row r="1115" spans="1:19" s="15" customFormat="1" x14ac:dyDescent="0.3">
      <c r="A1115" s="17"/>
      <c r="B1115"/>
      <c r="C1115"/>
      <c r="D1115"/>
      <c r="E1115"/>
      <c r="F1115"/>
      <c r="G1115"/>
      <c r="H1115"/>
      <c r="I1115"/>
      <c r="J1115"/>
      <c r="K1115"/>
      <c r="L1115"/>
      <c r="M1115"/>
      <c r="S1115" s="54"/>
    </row>
    <row r="1116" spans="1:19" s="15" customFormat="1" x14ac:dyDescent="0.3">
      <c r="A1116" s="17"/>
      <c r="B1116"/>
      <c r="C1116"/>
      <c r="D1116"/>
      <c r="E1116"/>
      <c r="F1116"/>
      <c r="G1116"/>
      <c r="H1116"/>
      <c r="I1116"/>
      <c r="J1116"/>
      <c r="K1116"/>
      <c r="L1116"/>
      <c r="M1116"/>
      <c r="S1116" s="54"/>
    </row>
    <row r="1117" spans="1:19" s="15" customFormat="1" x14ac:dyDescent="0.3">
      <c r="A1117" s="17"/>
      <c r="B1117"/>
      <c r="C1117"/>
      <c r="D1117"/>
      <c r="E1117"/>
      <c r="F1117"/>
      <c r="G1117"/>
      <c r="H1117"/>
      <c r="I1117"/>
      <c r="J1117"/>
      <c r="K1117"/>
      <c r="L1117"/>
      <c r="M1117"/>
      <c r="S1117" s="54"/>
    </row>
    <row r="1118" spans="1:19" s="15" customFormat="1" x14ac:dyDescent="0.3">
      <c r="A1118" s="17"/>
      <c r="B1118"/>
      <c r="C1118"/>
      <c r="D1118"/>
      <c r="E1118"/>
      <c r="F1118"/>
      <c r="G1118"/>
      <c r="H1118"/>
      <c r="I1118"/>
      <c r="J1118"/>
      <c r="K1118"/>
      <c r="L1118"/>
      <c r="M1118"/>
      <c r="S1118" s="54"/>
    </row>
    <row r="1119" spans="1:19" s="15" customFormat="1" x14ac:dyDescent="0.3">
      <c r="A1119" s="17"/>
      <c r="B1119"/>
      <c r="C1119"/>
      <c r="D1119"/>
      <c r="E1119"/>
      <c r="F1119"/>
      <c r="G1119"/>
      <c r="H1119"/>
      <c r="I1119"/>
      <c r="J1119"/>
      <c r="K1119"/>
      <c r="L1119"/>
      <c r="M1119"/>
      <c r="S1119" s="54"/>
    </row>
    <row r="1120" spans="1:19" s="15" customFormat="1" x14ac:dyDescent="0.3">
      <c r="A1120" s="17"/>
      <c r="B1120"/>
      <c r="C1120"/>
      <c r="D1120"/>
      <c r="E1120"/>
      <c r="F1120"/>
      <c r="G1120"/>
      <c r="H1120"/>
      <c r="I1120"/>
      <c r="J1120"/>
      <c r="K1120"/>
      <c r="L1120"/>
      <c r="M1120"/>
      <c r="S1120" s="54"/>
    </row>
    <row r="1121" spans="1:19" s="15" customFormat="1" x14ac:dyDescent="0.3">
      <c r="A1121" s="17"/>
      <c r="B1121"/>
      <c r="C1121"/>
      <c r="D1121"/>
      <c r="E1121"/>
      <c r="F1121"/>
      <c r="G1121"/>
      <c r="H1121"/>
      <c r="I1121"/>
      <c r="J1121"/>
      <c r="K1121"/>
      <c r="L1121"/>
      <c r="M1121"/>
      <c r="S1121" s="54"/>
    </row>
    <row r="1122" spans="1:19" s="15" customFormat="1" x14ac:dyDescent="0.3">
      <c r="A1122" s="17"/>
      <c r="B1122"/>
      <c r="C1122"/>
      <c r="D1122"/>
      <c r="E1122"/>
      <c r="F1122"/>
      <c r="G1122"/>
      <c r="H1122"/>
      <c r="I1122"/>
      <c r="J1122"/>
      <c r="K1122"/>
      <c r="L1122"/>
      <c r="M1122"/>
      <c r="S1122" s="54"/>
    </row>
    <row r="1123" spans="1:19" s="15" customFormat="1" x14ac:dyDescent="0.3">
      <c r="A1123" s="17"/>
      <c r="B1123"/>
      <c r="C1123"/>
      <c r="D1123"/>
      <c r="E1123"/>
      <c r="F1123"/>
      <c r="G1123"/>
      <c r="H1123"/>
      <c r="I1123"/>
      <c r="J1123"/>
      <c r="K1123"/>
      <c r="L1123"/>
      <c r="M1123"/>
      <c r="S1123" s="54"/>
    </row>
    <row r="1124" spans="1:19" s="15" customFormat="1" x14ac:dyDescent="0.3">
      <c r="A1124" s="17"/>
      <c r="B1124"/>
      <c r="C1124"/>
      <c r="D1124"/>
      <c r="E1124"/>
      <c r="F1124"/>
      <c r="G1124"/>
      <c r="H1124"/>
      <c r="I1124"/>
      <c r="J1124"/>
      <c r="K1124"/>
      <c r="L1124"/>
      <c r="M1124"/>
      <c r="S1124" s="54"/>
    </row>
    <row r="1125" spans="1:19" s="15" customFormat="1" x14ac:dyDescent="0.3">
      <c r="A1125" s="17"/>
      <c r="B1125"/>
      <c r="C1125"/>
      <c r="D1125"/>
      <c r="E1125"/>
      <c r="F1125"/>
      <c r="G1125"/>
      <c r="H1125"/>
      <c r="I1125"/>
      <c r="J1125"/>
      <c r="K1125"/>
      <c r="L1125"/>
      <c r="M1125"/>
      <c r="S1125" s="54"/>
    </row>
    <row r="1126" spans="1:19" s="15" customFormat="1" x14ac:dyDescent="0.3">
      <c r="A1126" s="17"/>
      <c r="B1126"/>
      <c r="C1126"/>
      <c r="D1126"/>
      <c r="E1126"/>
      <c r="F1126"/>
      <c r="G1126"/>
      <c r="H1126"/>
      <c r="I1126"/>
      <c r="J1126"/>
      <c r="K1126"/>
      <c r="L1126"/>
      <c r="M1126"/>
      <c r="S1126" s="54"/>
    </row>
    <row r="1127" spans="1:19" s="15" customFormat="1" x14ac:dyDescent="0.3">
      <c r="A1127" s="17"/>
      <c r="B1127"/>
      <c r="C1127"/>
      <c r="D1127"/>
      <c r="E1127"/>
      <c r="F1127"/>
      <c r="G1127"/>
      <c r="H1127"/>
      <c r="I1127"/>
      <c r="J1127"/>
      <c r="K1127"/>
      <c r="L1127"/>
      <c r="M1127"/>
      <c r="S1127" s="54"/>
    </row>
    <row r="1128" spans="1:19" s="15" customFormat="1" x14ac:dyDescent="0.3">
      <c r="A1128" s="17"/>
      <c r="B1128"/>
      <c r="C1128"/>
      <c r="D1128"/>
      <c r="E1128"/>
      <c r="F1128"/>
      <c r="G1128"/>
      <c r="H1128"/>
      <c r="I1128"/>
      <c r="J1128"/>
      <c r="K1128"/>
      <c r="L1128"/>
      <c r="M1128"/>
      <c r="S1128" s="54"/>
    </row>
    <row r="1129" spans="1:19" s="15" customFormat="1" x14ac:dyDescent="0.3">
      <c r="A1129" s="17"/>
      <c r="B1129"/>
      <c r="C1129"/>
      <c r="D1129"/>
      <c r="E1129"/>
      <c r="F1129"/>
      <c r="G1129"/>
      <c r="H1129"/>
      <c r="I1129"/>
      <c r="J1129"/>
      <c r="K1129"/>
      <c r="L1129"/>
      <c r="M1129"/>
      <c r="S1129" s="54"/>
    </row>
    <row r="1130" spans="1:19" s="15" customFormat="1" x14ac:dyDescent="0.3">
      <c r="A1130" s="17"/>
      <c r="B1130"/>
      <c r="C1130"/>
      <c r="D1130"/>
      <c r="E1130"/>
      <c r="F1130"/>
      <c r="G1130"/>
      <c r="H1130"/>
      <c r="I1130"/>
      <c r="J1130"/>
      <c r="K1130"/>
      <c r="L1130"/>
      <c r="M1130"/>
      <c r="S1130" s="54"/>
    </row>
    <row r="1131" spans="1:19" s="15" customFormat="1" x14ac:dyDescent="0.3">
      <c r="A1131" s="17"/>
      <c r="B1131"/>
      <c r="C1131"/>
      <c r="D1131"/>
      <c r="E1131"/>
      <c r="F1131"/>
      <c r="G1131"/>
      <c r="H1131"/>
      <c r="I1131"/>
      <c r="J1131"/>
      <c r="K1131"/>
      <c r="L1131"/>
      <c r="M1131"/>
      <c r="S1131" s="54"/>
    </row>
    <row r="1132" spans="1:19" s="15" customFormat="1" x14ac:dyDescent="0.3">
      <c r="A1132" s="17"/>
      <c r="B1132"/>
      <c r="C1132"/>
      <c r="D1132"/>
      <c r="E1132"/>
      <c r="F1132"/>
      <c r="G1132"/>
      <c r="H1132"/>
      <c r="I1132"/>
      <c r="J1132"/>
      <c r="K1132"/>
      <c r="L1132"/>
      <c r="M1132"/>
      <c r="S1132" s="54"/>
    </row>
    <row r="1133" spans="1:19" s="15" customFormat="1" x14ac:dyDescent="0.3">
      <c r="A1133" s="17"/>
      <c r="B1133"/>
      <c r="C1133"/>
      <c r="D1133"/>
      <c r="E1133"/>
      <c r="F1133"/>
      <c r="G1133"/>
      <c r="H1133"/>
      <c r="I1133"/>
      <c r="J1133"/>
      <c r="K1133"/>
      <c r="L1133"/>
      <c r="M1133"/>
      <c r="S1133" s="54"/>
    </row>
    <row r="1134" spans="1:19" s="15" customFormat="1" x14ac:dyDescent="0.3">
      <c r="A1134" s="17"/>
      <c r="B1134"/>
      <c r="C1134"/>
      <c r="D1134"/>
      <c r="E1134"/>
      <c r="F1134"/>
      <c r="G1134"/>
      <c r="H1134"/>
      <c r="I1134"/>
      <c r="J1134"/>
      <c r="K1134"/>
      <c r="L1134"/>
      <c r="M1134"/>
      <c r="S1134" s="54"/>
    </row>
    <row r="1135" spans="1:19" s="15" customFormat="1" x14ac:dyDescent="0.3">
      <c r="A1135" s="17"/>
      <c r="B1135"/>
      <c r="C1135"/>
      <c r="D1135"/>
      <c r="E1135"/>
      <c r="F1135"/>
      <c r="G1135"/>
      <c r="H1135"/>
      <c r="I1135"/>
      <c r="J1135"/>
      <c r="K1135"/>
      <c r="L1135"/>
      <c r="M1135"/>
      <c r="S1135" s="54"/>
    </row>
    <row r="1136" spans="1:19" s="15" customFormat="1" x14ac:dyDescent="0.3">
      <c r="A1136" s="17"/>
      <c r="B1136"/>
      <c r="C1136"/>
      <c r="D1136"/>
      <c r="E1136"/>
      <c r="F1136"/>
      <c r="G1136"/>
      <c r="H1136"/>
      <c r="I1136"/>
      <c r="J1136"/>
      <c r="K1136"/>
      <c r="L1136"/>
      <c r="M1136"/>
      <c r="S1136" s="54"/>
    </row>
    <row r="1137" spans="1:19" s="15" customFormat="1" x14ac:dyDescent="0.3">
      <c r="A1137" s="17"/>
      <c r="B1137"/>
      <c r="C1137"/>
      <c r="D1137"/>
      <c r="E1137"/>
      <c r="F1137"/>
      <c r="G1137"/>
      <c r="H1137"/>
      <c r="I1137"/>
      <c r="J1137"/>
      <c r="K1137"/>
      <c r="L1137"/>
      <c r="M1137"/>
      <c r="S1137" s="54"/>
    </row>
    <row r="1138" spans="1:19" s="15" customFormat="1" x14ac:dyDescent="0.3">
      <c r="A1138" s="17"/>
      <c r="B1138"/>
      <c r="C1138"/>
      <c r="D1138"/>
      <c r="E1138"/>
      <c r="F1138"/>
      <c r="G1138"/>
      <c r="H1138"/>
      <c r="I1138"/>
      <c r="J1138"/>
      <c r="K1138"/>
      <c r="L1138"/>
      <c r="M1138"/>
      <c r="S1138" s="54"/>
    </row>
    <row r="1139" spans="1:19" s="15" customFormat="1" x14ac:dyDescent="0.3">
      <c r="A1139" s="17"/>
      <c r="B1139"/>
      <c r="C1139"/>
      <c r="D1139"/>
      <c r="E1139"/>
      <c r="F1139"/>
      <c r="G1139"/>
      <c r="H1139"/>
      <c r="I1139"/>
      <c r="J1139"/>
      <c r="K1139"/>
      <c r="L1139"/>
      <c r="M1139"/>
      <c r="S1139" s="54"/>
    </row>
    <row r="1140" spans="1:19" s="15" customFormat="1" x14ac:dyDescent="0.3">
      <c r="A1140" s="17"/>
      <c r="B1140"/>
      <c r="C1140"/>
      <c r="D1140"/>
      <c r="E1140"/>
      <c r="F1140"/>
      <c r="G1140"/>
      <c r="H1140"/>
      <c r="I1140"/>
      <c r="J1140"/>
      <c r="K1140"/>
      <c r="L1140"/>
      <c r="M1140"/>
      <c r="S1140" s="54"/>
    </row>
    <row r="1141" spans="1:19" s="15" customFormat="1" x14ac:dyDescent="0.3">
      <c r="A1141" s="17"/>
      <c r="B1141"/>
      <c r="C1141"/>
      <c r="D1141"/>
      <c r="E1141"/>
      <c r="F1141"/>
      <c r="G1141"/>
      <c r="H1141"/>
      <c r="I1141"/>
      <c r="J1141"/>
      <c r="K1141"/>
      <c r="L1141"/>
      <c r="M1141"/>
      <c r="S1141" s="54"/>
    </row>
    <row r="1142" spans="1:19" s="15" customFormat="1" x14ac:dyDescent="0.3">
      <c r="A1142" s="17"/>
      <c r="B1142"/>
      <c r="C1142"/>
      <c r="D1142"/>
      <c r="E1142"/>
      <c r="F1142"/>
      <c r="G1142"/>
      <c r="H1142"/>
      <c r="I1142"/>
      <c r="J1142"/>
      <c r="K1142"/>
      <c r="L1142"/>
      <c r="M1142"/>
      <c r="S1142" s="54"/>
    </row>
    <row r="1143" spans="1:19" s="15" customFormat="1" x14ac:dyDescent="0.3">
      <c r="A1143" s="17"/>
      <c r="B1143"/>
      <c r="C1143"/>
      <c r="D1143"/>
      <c r="E1143"/>
      <c r="F1143"/>
      <c r="G1143"/>
      <c r="H1143"/>
      <c r="I1143"/>
      <c r="J1143"/>
      <c r="K1143"/>
      <c r="L1143"/>
      <c r="M1143"/>
      <c r="S1143" s="54"/>
    </row>
    <row r="1144" spans="1:19" s="15" customFormat="1" x14ac:dyDescent="0.3">
      <c r="A1144" s="17"/>
      <c r="B1144"/>
      <c r="C1144"/>
      <c r="D1144"/>
      <c r="E1144"/>
      <c r="F1144"/>
      <c r="G1144"/>
      <c r="H1144"/>
      <c r="I1144"/>
      <c r="J1144"/>
      <c r="K1144"/>
      <c r="L1144"/>
      <c r="M1144"/>
      <c r="S1144" s="54"/>
    </row>
    <row r="1145" spans="1:19" s="15" customFormat="1" x14ac:dyDescent="0.3">
      <c r="A1145" s="17"/>
      <c r="B1145"/>
      <c r="C1145"/>
      <c r="D1145"/>
      <c r="E1145"/>
      <c r="F1145"/>
      <c r="G1145"/>
      <c r="H1145"/>
      <c r="I1145"/>
      <c r="J1145"/>
      <c r="K1145"/>
      <c r="L1145"/>
      <c r="M1145"/>
      <c r="S1145" s="54"/>
    </row>
    <row r="1146" spans="1:19" s="15" customFormat="1" x14ac:dyDescent="0.3">
      <c r="A1146" s="17"/>
      <c r="B1146"/>
      <c r="C1146"/>
      <c r="D1146"/>
      <c r="E1146"/>
      <c r="F1146"/>
      <c r="G1146"/>
      <c r="H1146"/>
      <c r="I1146"/>
      <c r="J1146"/>
      <c r="K1146"/>
      <c r="L1146"/>
      <c r="M1146"/>
      <c r="S1146" s="54"/>
    </row>
    <row r="1147" spans="1:19" s="15" customFormat="1" x14ac:dyDescent="0.3">
      <c r="A1147" s="17"/>
      <c r="B1147"/>
      <c r="C1147"/>
      <c r="D1147"/>
      <c r="E1147"/>
      <c r="F1147"/>
      <c r="G1147"/>
      <c r="H1147"/>
      <c r="I1147"/>
      <c r="J1147"/>
      <c r="K1147"/>
      <c r="L1147"/>
      <c r="M1147"/>
      <c r="S1147" s="54"/>
    </row>
    <row r="1148" spans="1:19" s="15" customFormat="1" x14ac:dyDescent="0.3">
      <c r="A1148" s="17"/>
      <c r="B1148"/>
      <c r="C1148"/>
      <c r="D1148"/>
      <c r="E1148"/>
      <c r="F1148"/>
      <c r="G1148"/>
      <c r="H1148"/>
      <c r="I1148"/>
      <c r="J1148"/>
      <c r="K1148"/>
      <c r="L1148"/>
      <c r="M1148"/>
      <c r="S1148" s="54"/>
    </row>
    <row r="1149" spans="1:19" s="15" customFormat="1" x14ac:dyDescent="0.3">
      <c r="A1149" s="17"/>
      <c r="B1149"/>
      <c r="C1149"/>
      <c r="D1149"/>
      <c r="E1149"/>
      <c r="F1149"/>
      <c r="G1149"/>
      <c r="H1149"/>
      <c r="I1149"/>
      <c r="J1149"/>
      <c r="K1149"/>
      <c r="L1149"/>
      <c r="M1149"/>
      <c r="S1149" s="54"/>
    </row>
    <row r="1150" spans="1:19" s="15" customFormat="1" x14ac:dyDescent="0.3">
      <c r="A1150" s="17"/>
      <c r="B1150"/>
      <c r="C1150"/>
      <c r="D1150"/>
      <c r="E1150"/>
      <c r="F1150"/>
      <c r="G1150"/>
      <c r="H1150"/>
      <c r="I1150"/>
      <c r="J1150"/>
      <c r="K1150"/>
      <c r="L1150"/>
      <c r="M1150"/>
      <c r="S1150" s="54"/>
    </row>
    <row r="1151" spans="1:19" s="15" customFormat="1" x14ac:dyDescent="0.3">
      <c r="A1151" s="17"/>
      <c r="B1151"/>
      <c r="C1151"/>
      <c r="D1151"/>
      <c r="E1151"/>
      <c r="F1151"/>
      <c r="G1151"/>
      <c r="H1151"/>
      <c r="I1151"/>
      <c r="J1151"/>
      <c r="K1151"/>
      <c r="L1151"/>
      <c r="M1151"/>
      <c r="S1151" s="54"/>
    </row>
    <row r="1152" spans="1:19" s="15" customFormat="1" x14ac:dyDescent="0.3">
      <c r="A1152" s="17"/>
      <c r="B1152"/>
      <c r="C1152"/>
      <c r="D1152"/>
      <c r="E1152"/>
      <c r="F1152"/>
      <c r="G1152"/>
      <c r="H1152"/>
      <c r="I1152"/>
      <c r="J1152"/>
      <c r="K1152"/>
      <c r="L1152"/>
      <c r="M1152"/>
      <c r="S1152" s="54"/>
    </row>
    <row r="1153" spans="1:19" s="15" customFormat="1" x14ac:dyDescent="0.3">
      <c r="A1153" s="17"/>
      <c r="B1153"/>
      <c r="C1153"/>
      <c r="D1153"/>
      <c r="E1153"/>
      <c r="F1153"/>
      <c r="G1153"/>
      <c r="H1153"/>
      <c r="I1153"/>
      <c r="J1153"/>
      <c r="K1153"/>
      <c r="L1153"/>
      <c r="M1153"/>
      <c r="S1153" s="54"/>
    </row>
    <row r="1154" spans="1:19" s="15" customFormat="1" x14ac:dyDescent="0.3">
      <c r="A1154" s="17"/>
      <c r="B1154"/>
      <c r="C1154"/>
      <c r="D1154"/>
      <c r="E1154"/>
      <c r="F1154"/>
      <c r="G1154"/>
      <c r="H1154"/>
      <c r="I1154"/>
      <c r="J1154"/>
      <c r="K1154"/>
      <c r="L1154"/>
      <c r="M1154"/>
      <c r="S1154" s="54"/>
    </row>
    <row r="1155" spans="1:19" s="15" customFormat="1" x14ac:dyDescent="0.3">
      <c r="A1155" s="17"/>
      <c r="B1155"/>
      <c r="C1155"/>
      <c r="D1155"/>
      <c r="E1155"/>
      <c r="F1155"/>
      <c r="G1155"/>
      <c r="H1155"/>
      <c r="I1155"/>
      <c r="J1155"/>
      <c r="K1155"/>
      <c r="L1155"/>
      <c r="M1155"/>
      <c r="S1155" s="54"/>
    </row>
    <row r="1156" spans="1:19" s="15" customFormat="1" x14ac:dyDescent="0.3">
      <c r="A1156" s="17"/>
      <c r="B1156"/>
      <c r="C1156"/>
      <c r="D1156"/>
      <c r="E1156"/>
      <c r="F1156"/>
      <c r="G1156"/>
      <c r="H1156"/>
      <c r="I1156"/>
      <c r="J1156"/>
      <c r="K1156"/>
      <c r="L1156"/>
      <c r="M1156"/>
      <c r="S1156" s="54"/>
    </row>
    <row r="1157" spans="1:19" s="15" customFormat="1" x14ac:dyDescent="0.3">
      <c r="A1157" s="17"/>
      <c r="B1157"/>
      <c r="C1157"/>
      <c r="D1157"/>
      <c r="E1157"/>
      <c r="F1157"/>
      <c r="G1157"/>
      <c r="H1157"/>
      <c r="I1157"/>
      <c r="J1157"/>
      <c r="K1157"/>
      <c r="L1157"/>
      <c r="M1157"/>
      <c r="S1157" s="54"/>
    </row>
    <row r="1158" spans="1:19" s="15" customFormat="1" x14ac:dyDescent="0.3">
      <c r="A1158" s="17"/>
      <c r="B1158"/>
      <c r="C1158"/>
      <c r="D1158"/>
      <c r="E1158"/>
      <c r="F1158"/>
      <c r="G1158"/>
      <c r="H1158"/>
      <c r="I1158"/>
      <c r="J1158"/>
      <c r="K1158"/>
      <c r="L1158"/>
      <c r="M1158"/>
      <c r="S1158" s="54"/>
    </row>
    <row r="1159" spans="1:19" s="15" customFormat="1" x14ac:dyDescent="0.3">
      <c r="A1159" s="17"/>
      <c r="B1159"/>
      <c r="C1159"/>
      <c r="D1159"/>
      <c r="E1159"/>
      <c r="F1159"/>
      <c r="G1159"/>
      <c r="H1159"/>
      <c r="I1159"/>
      <c r="J1159"/>
      <c r="K1159"/>
      <c r="L1159"/>
      <c r="M1159"/>
      <c r="S1159" s="54"/>
    </row>
    <row r="1160" spans="1:19" s="15" customFormat="1" x14ac:dyDescent="0.3">
      <c r="A1160" s="17"/>
      <c r="B1160"/>
      <c r="C1160"/>
      <c r="D1160"/>
      <c r="E1160"/>
      <c r="F1160"/>
      <c r="G1160"/>
      <c r="H1160"/>
      <c r="I1160"/>
      <c r="J1160"/>
      <c r="K1160"/>
      <c r="L1160"/>
      <c r="M1160"/>
      <c r="S1160" s="54"/>
    </row>
    <row r="1161" spans="1:19" s="15" customFormat="1" x14ac:dyDescent="0.3">
      <c r="A1161" s="17"/>
      <c r="B1161"/>
      <c r="C1161"/>
      <c r="D1161"/>
      <c r="E1161"/>
      <c r="F1161"/>
      <c r="G1161"/>
      <c r="H1161"/>
      <c r="I1161"/>
      <c r="J1161"/>
      <c r="K1161"/>
      <c r="L1161"/>
      <c r="M1161"/>
      <c r="S1161" s="54"/>
    </row>
    <row r="1162" spans="1:19" s="15" customFormat="1" x14ac:dyDescent="0.3">
      <c r="A1162" s="17"/>
      <c r="B1162"/>
      <c r="C1162"/>
      <c r="D1162"/>
      <c r="E1162"/>
      <c r="F1162"/>
      <c r="G1162"/>
      <c r="H1162"/>
      <c r="I1162"/>
      <c r="J1162"/>
      <c r="K1162"/>
      <c r="L1162"/>
      <c r="M1162"/>
      <c r="S1162" s="54"/>
    </row>
    <row r="1163" spans="1:19" s="15" customFormat="1" x14ac:dyDescent="0.3">
      <c r="A1163" s="17"/>
      <c r="B1163"/>
      <c r="C1163"/>
      <c r="D1163"/>
      <c r="E1163"/>
      <c r="F1163"/>
      <c r="G1163"/>
      <c r="H1163"/>
      <c r="I1163"/>
      <c r="J1163"/>
      <c r="K1163"/>
      <c r="L1163"/>
      <c r="M1163"/>
      <c r="S1163" s="54"/>
    </row>
    <row r="1164" spans="1:19" s="15" customFormat="1" x14ac:dyDescent="0.3">
      <c r="A1164" s="17"/>
      <c r="B1164"/>
      <c r="C1164"/>
      <c r="D1164"/>
      <c r="E1164"/>
      <c r="F1164"/>
      <c r="G1164"/>
      <c r="H1164"/>
      <c r="I1164"/>
      <c r="J1164"/>
      <c r="K1164"/>
      <c r="L1164"/>
      <c r="M1164"/>
      <c r="S1164" s="54"/>
    </row>
    <row r="1165" spans="1:19" s="15" customFormat="1" x14ac:dyDescent="0.3">
      <c r="A1165" s="17"/>
      <c r="B1165"/>
      <c r="C1165"/>
      <c r="D1165"/>
      <c r="E1165"/>
      <c r="F1165"/>
      <c r="G1165"/>
      <c r="H1165"/>
      <c r="I1165"/>
      <c r="J1165"/>
      <c r="K1165"/>
      <c r="L1165"/>
      <c r="M1165"/>
      <c r="S1165" s="54"/>
    </row>
    <row r="1166" spans="1:19" s="15" customFormat="1" x14ac:dyDescent="0.3">
      <c r="A1166" s="17"/>
      <c r="B1166"/>
      <c r="C1166"/>
      <c r="D1166"/>
      <c r="E1166"/>
      <c r="F1166"/>
      <c r="G1166"/>
      <c r="H1166"/>
      <c r="I1166"/>
      <c r="J1166"/>
      <c r="K1166"/>
      <c r="L1166"/>
      <c r="M1166"/>
      <c r="S1166" s="54"/>
    </row>
    <row r="1167" spans="1:19" s="15" customFormat="1" x14ac:dyDescent="0.3">
      <c r="A1167" s="17"/>
      <c r="B1167"/>
      <c r="C1167"/>
      <c r="D1167"/>
      <c r="E1167"/>
      <c r="F1167"/>
      <c r="G1167"/>
      <c r="H1167"/>
      <c r="I1167"/>
      <c r="J1167"/>
      <c r="K1167"/>
      <c r="L1167"/>
      <c r="M1167"/>
      <c r="S1167" s="54"/>
    </row>
    <row r="1168" spans="1:19" s="15" customFormat="1" x14ac:dyDescent="0.3">
      <c r="A1168" s="17"/>
      <c r="B1168"/>
      <c r="C1168"/>
      <c r="D1168"/>
      <c r="E1168"/>
      <c r="F1168"/>
      <c r="G1168"/>
      <c r="H1168"/>
      <c r="I1168"/>
      <c r="J1168"/>
      <c r="K1168"/>
      <c r="L1168"/>
      <c r="M1168"/>
      <c r="S1168" s="54"/>
    </row>
    <row r="1169" spans="1:19" s="15" customFormat="1" x14ac:dyDescent="0.3">
      <c r="A1169" s="17"/>
      <c r="B1169"/>
      <c r="C1169"/>
      <c r="D1169"/>
      <c r="E1169"/>
      <c r="F1169"/>
      <c r="G1169"/>
      <c r="H1169"/>
      <c r="I1169"/>
      <c r="J1169"/>
      <c r="K1169"/>
      <c r="L1169"/>
      <c r="M1169"/>
      <c r="S1169" s="54"/>
    </row>
    <row r="1170" spans="1:19" s="15" customFormat="1" x14ac:dyDescent="0.3">
      <c r="A1170" s="17"/>
      <c r="B1170"/>
      <c r="C1170"/>
      <c r="D1170"/>
      <c r="E1170"/>
      <c r="F1170"/>
      <c r="G1170"/>
      <c r="H1170"/>
      <c r="I1170"/>
      <c r="J1170"/>
      <c r="K1170"/>
      <c r="L1170"/>
      <c r="M1170"/>
      <c r="S1170" s="54"/>
    </row>
    <row r="1171" spans="1:19" s="15" customFormat="1" x14ac:dyDescent="0.3">
      <c r="A1171" s="17"/>
      <c r="B1171"/>
      <c r="C1171"/>
      <c r="D1171"/>
      <c r="E1171"/>
      <c r="F1171"/>
      <c r="G1171"/>
      <c r="H1171"/>
      <c r="I1171"/>
      <c r="J1171"/>
      <c r="K1171"/>
      <c r="L1171"/>
      <c r="M1171"/>
      <c r="S1171" s="54"/>
    </row>
    <row r="1172" spans="1:19" s="15" customFormat="1" x14ac:dyDescent="0.3">
      <c r="A1172" s="17"/>
      <c r="B1172"/>
      <c r="C1172"/>
      <c r="D1172"/>
      <c r="E1172"/>
      <c r="F1172"/>
      <c r="G1172"/>
      <c r="H1172"/>
      <c r="I1172"/>
      <c r="J1172"/>
      <c r="K1172"/>
      <c r="L1172"/>
      <c r="M1172"/>
      <c r="S1172" s="54"/>
    </row>
    <row r="1173" spans="1:19" s="15" customFormat="1" x14ac:dyDescent="0.3">
      <c r="A1173" s="17"/>
      <c r="B1173"/>
      <c r="C1173"/>
      <c r="D1173"/>
      <c r="E1173"/>
      <c r="F1173"/>
      <c r="G1173"/>
      <c r="H1173"/>
      <c r="I1173"/>
      <c r="J1173"/>
      <c r="K1173"/>
      <c r="L1173"/>
      <c r="M1173"/>
      <c r="S1173" s="54"/>
    </row>
    <row r="1174" spans="1:19" s="15" customFormat="1" x14ac:dyDescent="0.3">
      <c r="A1174" s="17"/>
      <c r="B1174"/>
      <c r="C1174"/>
      <c r="D1174"/>
      <c r="E1174"/>
      <c r="F1174"/>
      <c r="G1174"/>
      <c r="H1174"/>
      <c r="I1174"/>
      <c r="J1174"/>
      <c r="K1174"/>
      <c r="L1174"/>
      <c r="M1174"/>
      <c r="S1174" s="54"/>
    </row>
    <row r="1175" spans="1:19" s="15" customFormat="1" x14ac:dyDescent="0.3">
      <c r="A1175" s="17"/>
      <c r="B1175"/>
      <c r="C1175"/>
      <c r="D1175"/>
      <c r="E1175"/>
      <c r="F1175"/>
      <c r="G1175"/>
      <c r="H1175"/>
      <c r="I1175"/>
      <c r="J1175"/>
      <c r="K1175"/>
      <c r="L1175"/>
      <c r="M1175"/>
      <c r="S1175" s="54"/>
    </row>
    <row r="1176" spans="1:19" s="15" customFormat="1" x14ac:dyDescent="0.3">
      <c r="A1176" s="17"/>
      <c r="B1176"/>
      <c r="C1176"/>
      <c r="D1176"/>
      <c r="E1176"/>
      <c r="F1176"/>
      <c r="G1176"/>
      <c r="H1176"/>
      <c r="I1176"/>
      <c r="J1176"/>
      <c r="K1176"/>
      <c r="L1176"/>
      <c r="M1176"/>
      <c r="S1176" s="54"/>
    </row>
    <row r="1177" spans="1:19" s="15" customFormat="1" x14ac:dyDescent="0.3">
      <c r="A1177" s="17"/>
      <c r="B1177"/>
      <c r="C1177"/>
      <c r="D1177"/>
      <c r="E1177"/>
      <c r="F1177"/>
      <c r="G1177"/>
      <c r="H1177"/>
      <c r="I1177"/>
      <c r="J1177"/>
      <c r="K1177"/>
      <c r="L1177"/>
      <c r="M1177"/>
      <c r="S1177" s="54"/>
    </row>
    <row r="1178" spans="1:19" s="15" customFormat="1" x14ac:dyDescent="0.3">
      <c r="A1178" s="17"/>
      <c r="B1178"/>
      <c r="C1178"/>
      <c r="D1178"/>
      <c r="E1178"/>
      <c r="F1178"/>
      <c r="G1178"/>
      <c r="H1178"/>
      <c r="I1178"/>
      <c r="J1178"/>
      <c r="K1178"/>
      <c r="L1178"/>
      <c r="M1178"/>
      <c r="S1178" s="54"/>
    </row>
    <row r="1179" spans="1:19" s="15" customFormat="1" x14ac:dyDescent="0.3">
      <c r="A1179" s="17"/>
      <c r="B1179"/>
      <c r="C1179"/>
      <c r="D1179"/>
      <c r="E1179"/>
      <c r="F1179"/>
      <c r="G1179"/>
      <c r="H1179"/>
      <c r="I1179"/>
      <c r="J1179"/>
      <c r="K1179"/>
      <c r="L1179"/>
      <c r="M1179"/>
      <c r="S1179" s="54"/>
    </row>
    <row r="1180" spans="1:19" s="15" customFormat="1" x14ac:dyDescent="0.3">
      <c r="A1180" s="17"/>
      <c r="B1180"/>
      <c r="C1180"/>
      <c r="D1180"/>
      <c r="E1180"/>
      <c r="F1180"/>
      <c r="G1180"/>
      <c r="H1180"/>
      <c r="I1180"/>
      <c r="J1180"/>
      <c r="K1180"/>
      <c r="L1180"/>
      <c r="M1180"/>
      <c r="S1180" s="54"/>
    </row>
    <row r="1181" spans="1:19" s="15" customFormat="1" x14ac:dyDescent="0.3">
      <c r="A1181" s="17"/>
      <c r="B1181"/>
      <c r="C1181"/>
      <c r="D1181"/>
      <c r="E1181"/>
      <c r="F1181"/>
      <c r="G1181"/>
      <c r="H1181"/>
      <c r="I1181"/>
      <c r="J1181"/>
      <c r="K1181"/>
      <c r="L1181"/>
      <c r="M1181"/>
      <c r="S1181" s="54"/>
    </row>
    <row r="1182" spans="1:19" s="15" customFormat="1" x14ac:dyDescent="0.3">
      <c r="A1182" s="17"/>
      <c r="B1182"/>
      <c r="C1182"/>
      <c r="D1182"/>
      <c r="E1182"/>
      <c r="F1182"/>
      <c r="G1182"/>
      <c r="H1182"/>
      <c r="I1182"/>
      <c r="J1182"/>
      <c r="K1182"/>
      <c r="L1182"/>
      <c r="M1182"/>
      <c r="S1182" s="54"/>
    </row>
    <row r="1183" spans="1:19" s="15" customFormat="1" x14ac:dyDescent="0.3">
      <c r="A1183" s="17"/>
      <c r="B1183"/>
      <c r="C1183"/>
      <c r="D1183"/>
      <c r="E1183"/>
      <c r="F1183"/>
      <c r="G1183"/>
      <c r="H1183"/>
      <c r="I1183"/>
      <c r="J1183"/>
      <c r="K1183"/>
      <c r="L1183"/>
      <c r="M1183"/>
      <c r="S1183" s="54"/>
    </row>
    <row r="1184" spans="1:19" s="15" customFormat="1" x14ac:dyDescent="0.3">
      <c r="A1184" s="17"/>
      <c r="B1184"/>
      <c r="C1184"/>
      <c r="D1184"/>
      <c r="E1184"/>
      <c r="F1184"/>
      <c r="G1184"/>
      <c r="H1184"/>
      <c r="I1184"/>
      <c r="J1184"/>
      <c r="K1184"/>
      <c r="L1184"/>
      <c r="M1184"/>
      <c r="S1184" s="54"/>
    </row>
    <row r="1185" spans="1:19" s="15" customFormat="1" x14ac:dyDescent="0.3">
      <c r="A1185" s="17"/>
      <c r="B1185"/>
      <c r="C1185"/>
      <c r="D1185"/>
      <c r="E1185"/>
      <c r="F1185"/>
      <c r="G1185"/>
      <c r="H1185"/>
      <c r="I1185"/>
      <c r="J1185"/>
      <c r="K1185"/>
      <c r="L1185"/>
      <c r="M1185"/>
      <c r="S1185" s="54"/>
    </row>
    <row r="1186" spans="1:19" s="15" customFormat="1" x14ac:dyDescent="0.3">
      <c r="A1186" s="17"/>
      <c r="B1186"/>
      <c r="C1186"/>
      <c r="D1186"/>
      <c r="E1186"/>
      <c r="F1186"/>
      <c r="G1186"/>
      <c r="H1186"/>
      <c r="I1186"/>
      <c r="J1186"/>
      <c r="K1186"/>
      <c r="L1186"/>
      <c r="M1186"/>
      <c r="S1186" s="54"/>
    </row>
    <row r="1187" spans="1:19" s="15" customFormat="1" x14ac:dyDescent="0.3">
      <c r="A1187" s="17"/>
      <c r="B1187"/>
      <c r="C1187"/>
      <c r="D1187"/>
      <c r="E1187"/>
      <c r="F1187"/>
      <c r="G1187"/>
      <c r="H1187"/>
      <c r="I1187"/>
      <c r="J1187"/>
      <c r="K1187"/>
      <c r="L1187"/>
      <c r="M1187"/>
      <c r="S1187" s="54"/>
    </row>
    <row r="1188" spans="1:19" s="15" customFormat="1" x14ac:dyDescent="0.3">
      <c r="A1188" s="17"/>
      <c r="B1188"/>
      <c r="C1188"/>
      <c r="D1188"/>
      <c r="E1188"/>
      <c r="F1188"/>
      <c r="G1188"/>
      <c r="H1188"/>
      <c r="I1188"/>
      <c r="J1188"/>
      <c r="K1188"/>
      <c r="L1188"/>
      <c r="M1188"/>
      <c r="S1188" s="54"/>
    </row>
    <row r="1189" spans="1:19" s="15" customFormat="1" x14ac:dyDescent="0.3">
      <c r="A1189" s="17"/>
      <c r="B1189"/>
      <c r="C1189"/>
      <c r="D1189"/>
      <c r="E1189"/>
      <c r="F1189"/>
      <c r="G1189"/>
      <c r="H1189"/>
      <c r="I1189"/>
      <c r="J1189"/>
      <c r="K1189"/>
      <c r="L1189"/>
      <c r="M1189"/>
      <c r="S1189" s="54"/>
    </row>
    <row r="1190" spans="1:19" s="15" customFormat="1" x14ac:dyDescent="0.3">
      <c r="A1190" s="17"/>
      <c r="B1190"/>
      <c r="C1190"/>
      <c r="D1190"/>
      <c r="E1190"/>
      <c r="F1190"/>
      <c r="G1190"/>
      <c r="H1190"/>
      <c r="I1190"/>
      <c r="J1190"/>
      <c r="K1190"/>
      <c r="L1190"/>
      <c r="M1190"/>
      <c r="S1190" s="54"/>
    </row>
    <row r="1191" spans="1:19" s="15" customFormat="1" x14ac:dyDescent="0.3">
      <c r="A1191" s="17"/>
      <c r="B1191"/>
      <c r="C1191"/>
      <c r="D1191"/>
      <c r="E1191"/>
      <c r="F1191"/>
      <c r="G1191"/>
      <c r="H1191"/>
      <c r="I1191"/>
      <c r="J1191"/>
      <c r="K1191"/>
      <c r="L1191"/>
      <c r="M1191"/>
      <c r="S1191" s="54"/>
    </row>
    <row r="1192" spans="1:19" s="15" customFormat="1" x14ac:dyDescent="0.3">
      <c r="A1192" s="17"/>
      <c r="B1192"/>
      <c r="C1192"/>
      <c r="D1192"/>
      <c r="E1192"/>
      <c r="F1192"/>
      <c r="G1192"/>
      <c r="H1192"/>
      <c r="I1192"/>
      <c r="J1192"/>
      <c r="K1192"/>
      <c r="L1192"/>
      <c r="M1192"/>
      <c r="S1192" s="54"/>
    </row>
    <row r="1193" spans="1:19" s="15" customFormat="1" x14ac:dyDescent="0.3">
      <c r="A1193" s="17"/>
      <c r="B1193"/>
      <c r="C1193"/>
      <c r="D1193"/>
      <c r="E1193"/>
      <c r="F1193"/>
      <c r="G1193"/>
      <c r="H1193"/>
      <c r="I1193"/>
      <c r="J1193"/>
      <c r="K1193"/>
      <c r="L1193"/>
      <c r="M1193"/>
      <c r="S1193" s="54"/>
    </row>
    <row r="1194" spans="1:19" s="15" customFormat="1" x14ac:dyDescent="0.3">
      <c r="A1194" s="17"/>
      <c r="B1194"/>
      <c r="C1194"/>
      <c r="D1194"/>
      <c r="E1194"/>
      <c r="F1194"/>
      <c r="G1194"/>
      <c r="H1194"/>
      <c r="I1194"/>
      <c r="J1194"/>
      <c r="K1194"/>
      <c r="L1194"/>
      <c r="M1194"/>
      <c r="S1194" s="54"/>
    </row>
    <row r="1195" spans="1:19" s="15" customFormat="1" x14ac:dyDescent="0.3">
      <c r="A1195" s="17"/>
      <c r="B1195"/>
      <c r="C1195"/>
      <c r="D1195"/>
      <c r="E1195"/>
      <c r="F1195"/>
      <c r="G1195"/>
      <c r="H1195"/>
      <c r="I1195"/>
      <c r="J1195"/>
      <c r="K1195"/>
      <c r="L1195"/>
      <c r="M1195"/>
      <c r="S1195" s="54"/>
    </row>
    <row r="1196" spans="1:19" s="15" customFormat="1" x14ac:dyDescent="0.3">
      <c r="A1196" s="17"/>
      <c r="B1196"/>
      <c r="C1196"/>
      <c r="D1196"/>
      <c r="E1196"/>
      <c r="F1196"/>
      <c r="G1196"/>
      <c r="H1196"/>
      <c r="I1196"/>
      <c r="J1196"/>
      <c r="K1196"/>
      <c r="L1196"/>
      <c r="M1196"/>
      <c r="S1196" s="54"/>
    </row>
    <row r="1197" spans="1:19" s="15" customFormat="1" x14ac:dyDescent="0.3">
      <c r="A1197" s="17"/>
      <c r="B1197"/>
      <c r="C1197"/>
      <c r="D1197"/>
      <c r="E1197"/>
      <c r="F1197"/>
      <c r="G1197"/>
      <c r="H1197"/>
      <c r="I1197"/>
      <c r="J1197"/>
      <c r="K1197"/>
      <c r="L1197"/>
      <c r="M1197"/>
      <c r="S1197" s="54"/>
    </row>
    <row r="1198" spans="1:19" s="15" customFormat="1" x14ac:dyDescent="0.3">
      <c r="A1198" s="17"/>
      <c r="B1198"/>
      <c r="C1198"/>
      <c r="D1198"/>
      <c r="E1198"/>
      <c r="F1198"/>
      <c r="G1198"/>
      <c r="H1198"/>
      <c r="I1198"/>
      <c r="J1198"/>
      <c r="K1198"/>
      <c r="L1198"/>
      <c r="M1198"/>
      <c r="S1198" s="54"/>
    </row>
    <row r="1199" spans="1:19" s="15" customFormat="1" x14ac:dyDescent="0.3">
      <c r="A1199" s="17"/>
      <c r="B1199"/>
      <c r="C1199"/>
      <c r="D1199"/>
      <c r="E1199"/>
      <c r="F1199"/>
      <c r="G1199"/>
      <c r="H1199"/>
      <c r="I1199"/>
      <c r="J1199"/>
      <c r="K1199"/>
      <c r="L1199"/>
      <c r="M1199"/>
      <c r="S1199" s="54"/>
    </row>
    <row r="1200" spans="1:19" s="15" customFormat="1" x14ac:dyDescent="0.3">
      <c r="A1200" s="17"/>
      <c r="B1200"/>
      <c r="C1200"/>
      <c r="D1200"/>
      <c r="E1200"/>
      <c r="F1200"/>
      <c r="G1200"/>
      <c r="H1200"/>
      <c r="I1200"/>
      <c r="J1200"/>
      <c r="K1200"/>
      <c r="L1200"/>
      <c r="M1200"/>
      <c r="S1200" s="54"/>
    </row>
    <row r="1201" spans="1:19" s="15" customFormat="1" x14ac:dyDescent="0.3">
      <c r="A1201" s="17"/>
      <c r="B1201"/>
      <c r="C1201"/>
      <c r="D1201"/>
      <c r="E1201"/>
      <c r="F1201"/>
      <c r="G1201"/>
      <c r="H1201"/>
      <c r="I1201"/>
      <c r="J1201"/>
      <c r="K1201"/>
      <c r="L1201"/>
      <c r="M1201"/>
      <c r="S1201" s="54"/>
    </row>
    <row r="1202" spans="1:19" s="15" customFormat="1" x14ac:dyDescent="0.3">
      <c r="A1202" s="17"/>
      <c r="B1202"/>
      <c r="C1202"/>
      <c r="D1202"/>
      <c r="E1202"/>
      <c r="F1202"/>
      <c r="G1202"/>
      <c r="H1202"/>
      <c r="I1202"/>
      <c r="J1202"/>
      <c r="K1202"/>
      <c r="L1202"/>
      <c r="M1202"/>
      <c r="S1202" s="54"/>
    </row>
    <row r="1203" spans="1:19" s="15" customFormat="1" x14ac:dyDescent="0.3">
      <c r="A1203" s="17"/>
      <c r="B1203"/>
      <c r="C1203"/>
      <c r="D1203"/>
      <c r="E1203"/>
      <c r="F1203"/>
      <c r="G1203"/>
      <c r="H1203"/>
      <c r="I1203"/>
      <c r="J1203"/>
      <c r="K1203"/>
      <c r="L1203"/>
      <c r="M1203"/>
      <c r="S1203" s="54"/>
    </row>
    <row r="1204" spans="1:19" s="15" customFormat="1" x14ac:dyDescent="0.3">
      <c r="A1204" s="17"/>
      <c r="B1204"/>
      <c r="C1204"/>
      <c r="D1204"/>
      <c r="E1204"/>
      <c r="F1204"/>
      <c r="G1204"/>
      <c r="H1204"/>
      <c r="I1204"/>
      <c r="J1204"/>
      <c r="K1204"/>
      <c r="L1204"/>
      <c r="M1204"/>
      <c r="S1204" s="54"/>
    </row>
    <row r="1205" spans="1:19" s="15" customFormat="1" x14ac:dyDescent="0.3">
      <c r="A1205" s="17"/>
      <c r="B1205"/>
      <c r="C1205"/>
      <c r="D1205"/>
      <c r="E1205"/>
      <c r="F1205"/>
      <c r="G1205"/>
      <c r="H1205"/>
      <c r="I1205"/>
      <c r="J1205"/>
      <c r="K1205"/>
      <c r="L1205"/>
      <c r="M1205"/>
      <c r="S1205" s="54"/>
    </row>
    <row r="1206" spans="1:19" s="15" customFormat="1" x14ac:dyDescent="0.3">
      <c r="A1206" s="17"/>
      <c r="B1206"/>
      <c r="C1206"/>
      <c r="D1206"/>
      <c r="E1206"/>
      <c r="F1206"/>
      <c r="G1206"/>
      <c r="H1206"/>
      <c r="I1206"/>
      <c r="J1206"/>
      <c r="K1206"/>
      <c r="L1206"/>
      <c r="M1206"/>
      <c r="S1206" s="54"/>
    </row>
    <row r="1207" spans="1:19" s="15" customFormat="1" x14ac:dyDescent="0.3">
      <c r="A1207" s="17"/>
      <c r="B1207"/>
      <c r="C1207"/>
      <c r="D1207"/>
      <c r="E1207"/>
      <c r="F1207"/>
      <c r="G1207"/>
      <c r="H1207"/>
      <c r="I1207"/>
      <c r="J1207"/>
      <c r="K1207"/>
      <c r="L1207"/>
      <c r="M1207"/>
      <c r="S1207" s="54"/>
    </row>
    <row r="1208" spans="1:19" s="15" customFormat="1" x14ac:dyDescent="0.3">
      <c r="A1208" s="17"/>
      <c r="B1208"/>
      <c r="C1208"/>
      <c r="D1208"/>
      <c r="E1208"/>
      <c r="F1208"/>
      <c r="G1208"/>
      <c r="H1208"/>
      <c r="I1208"/>
      <c r="J1208"/>
      <c r="K1208"/>
      <c r="L1208"/>
      <c r="M1208"/>
      <c r="S1208" s="54"/>
    </row>
    <row r="1209" spans="1:19" s="15" customFormat="1" x14ac:dyDescent="0.3">
      <c r="A1209" s="17"/>
      <c r="B1209"/>
      <c r="C1209"/>
      <c r="D1209"/>
      <c r="E1209"/>
      <c r="F1209"/>
      <c r="G1209"/>
      <c r="H1209"/>
      <c r="I1209"/>
      <c r="J1209"/>
      <c r="K1209"/>
      <c r="L1209"/>
      <c r="M1209"/>
      <c r="S1209" s="54"/>
    </row>
    <row r="1210" spans="1:19" s="15" customFormat="1" x14ac:dyDescent="0.3">
      <c r="A1210" s="17"/>
      <c r="B1210"/>
      <c r="C1210"/>
      <c r="D1210"/>
      <c r="E1210"/>
      <c r="F1210"/>
      <c r="G1210"/>
      <c r="H1210"/>
      <c r="I1210"/>
      <c r="J1210"/>
      <c r="K1210"/>
      <c r="L1210"/>
      <c r="M1210"/>
      <c r="S1210" s="54"/>
    </row>
    <row r="1211" spans="1:19" s="15" customFormat="1" x14ac:dyDescent="0.3">
      <c r="A1211" s="17"/>
      <c r="B1211"/>
      <c r="C1211"/>
      <c r="D1211"/>
      <c r="E1211"/>
      <c r="F1211"/>
      <c r="G1211"/>
      <c r="H1211"/>
      <c r="I1211"/>
      <c r="J1211"/>
      <c r="K1211"/>
      <c r="L1211"/>
      <c r="M1211"/>
      <c r="S1211" s="54"/>
    </row>
    <row r="1212" spans="1:19" s="15" customFormat="1" x14ac:dyDescent="0.3">
      <c r="A1212" s="17"/>
      <c r="B1212"/>
      <c r="C1212"/>
      <c r="D1212"/>
      <c r="E1212"/>
      <c r="F1212"/>
      <c r="G1212"/>
      <c r="H1212"/>
      <c r="I1212"/>
      <c r="J1212"/>
      <c r="K1212"/>
      <c r="L1212"/>
      <c r="M1212"/>
      <c r="S1212" s="54"/>
    </row>
    <row r="1213" spans="1:19" s="15" customFormat="1" x14ac:dyDescent="0.3">
      <c r="A1213" s="17"/>
      <c r="B1213"/>
      <c r="C1213"/>
      <c r="D1213"/>
      <c r="E1213"/>
      <c r="F1213"/>
      <c r="G1213"/>
      <c r="H1213"/>
      <c r="I1213"/>
      <c r="J1213"/>
      <c r="K1213"/>
      <c r="L1213"/>
      <c r="M1213"/>
      <c r="S1213" s="54"/>
    </row>
    <row r="1214" spans="1:19" s="15" customFormat="1" x14ac:dyDescent="0.3">
      <c r="A1214" s="17"/>
      <c r="B1214"/>
      <c r="C1214"/>
      <c r="D1214"/>
      <c r="E1214"/>
      <c r="F1214"/>
      <c r="G1214"/>
      <c r="H1214"/>
      <c r="I1214"/>
      <c r="J1214"/>
      <c r="K1214"/>
      <c r="L1214"/>
      <c r="M1214"/>
      <c r="S1214" s="54"/>
    </row>
    <row r="1215" spans="1:19" s="15" customFormat="1" x14ac:dyDescent="0.3">
      <c r="A1215" s="17"/>
      <c r="B1215"/>
      <c r="C1215"/>
      <c r="D1215"/>
      <c r="E1215"/>
      <c r="F1215"/>
      <c r="G1215"/>
      <c r="H1215"/>
      <c r="I1215"/>
      <c r="J1215"/>
      <c r="K1215"/>
      <c r="L1215"/>
      <c r="M1215"/>
      <c r="S1215" s="54"/>
    </row>
    <row r="1216" spans="1:19" s="15" customFormat="1" x14ac:dyDescent="0.3">
      <c r="A1216" s="17"/>
      <c r="B1216"/>
      <c r="C1216"/>
      <c r="D1216"/>
      <c r="E1216"/>
      <c r="F1216"/>
      <c r="G1216"/>
      <c r="H1216"/>
      <c r="I1216"/>
      <c r="J1216"/>
      <c r="K1216"/>
      <c r="L1216"/>
      <c r="M1216"/>
      <c r="S1216" s="54"/>
    </row>
    <row r="1217" spans="1:19" s="15" customFormat="1" x14ac:dyDescent="0.3">
      <c r="A1217" s="17"/>
      <c r="B1217"/>
      <c r="C1217"/>
      <c r="D1217"/>
      <c r="E1217"/>
      <c r="F1217"/>
      <c r="G1217"/>
      <c r="H1217"/>
      <c r="I1217"/>
      <c r="J1217"/>
      <c r="K1217"/>
      <c r="L1217"/>
      <c r="M1217"/>
      <c r="S1217" s="54"/>
    </row>
    <row r="1218" spans="1:19" s="15" customFormat="1" x14ac:dyDescent="0.3">
      <c r="A1218" s="17"/>
      <c r="B1218"/>
      <c r="C1218"/>
      <c r="D1218"/>
      <c r="E1218"/>
      <c r="F1218"/>
      <c r="G1218"/>
      <c r="H1218"/>
      <c r="I1218"/>
      <c r="J1218"/>
      <c r="K1218"/>
      <c r="L1218"/>
      <c r="M1218"/>
      <c r="S1218" s="54"/>
    </row>
    <row r="1219" spans="1:19" s="15" customFormat="1" x14ac:dyDescent="0.3">
      <c r="A1219" s="17"/>
      <c r="B1219"/>
      <c r="C1219"/>
      <c r="D1219"/>
      <c r="E1219"/>
      <c r="F1219"/>
      <c r="G1219"/>
      <c r="H1219"/>
      <c r="I1219"/>
      <c r="J1219"/>
      <c r="K1219"/>
      <c r="L1219"/>
      <c r="M1219"/>
      <c r="S1219" s="54"/>
    </row>
    <row r="1220" spans="1:19" s="15" customFormat="1" x14ac:dyDescent="0.3">
      <c r="A1220" s="17"/>
      <c r="B1220"/>
      <c r="C1220"/>
      <c r="D1220"/>
      <c r="E1220"/>
      <c r="F1220"/>
      <c r="G1220"/>
      <c r="H1220"/>
      <c r="I1220"/>
      <c r="J1220"/>
      <c r="K1220"/>
      <c r="L1220"/>
      <c r="M1220"/>
      <c r="S1220" s="54"/>
    </row>
    <row r="1221" spans="1:19" s="15" customFormat="1" x14ac:dyDescent="0.3">
      <c r="A1221" s="17"/>
      <c r="B1221"/>
      <c r="C1221"/>
      <c r="D1221"/>
      <c r="E1221"/>
      <c r="F1221"/>
      <c r="G1221"/>
      <c r="H1221"/>
      <c r="I1221"/>
      <c r="J1221"/>
      <c r="K1221"/>
      <c r="L1221"/>
      <c r="M1221"/>
      <c r="S1221" s="54"/>
    </row>
    <row r="1222" spans="1:19" s="15" customFormat="1" x14ac:dyDescent="0.3">
      <c r="A1222" s="17"/>
      <c r="B1222"/>
      <c r="C1222"/>
      <c r="D1222"/>
      <c r="E1222"/>
      <c r="F1222"/>
      <c r="G1222"/>
      <c r="H1222"/>
      <c r="I1222"/>
      <c r="J1222"/>
      <c r="K1222"/>
      <c r="L1222"/>
      <c r="M1222"/>
      <c r="S1222" s="54"/>
    </row>
    <row r="1223" spans="1:19" s="15" customFormat="1" x14ac:dyDescent="0.3">
      <c r="A1223" s="17"/>
      <c r="B1223"/>
      <c r="C1223"/>
      <c r="D1223"/>
      <c r="E1223"/>
      <c r="F1223"/>
      <c r="G1223"/>
      <c r="H1223"/>
      <c r="I1223"/>
      <c r="J1223"/>
      <c r="K1223"/>
      <c r="L1223"/>
      <c r="M1223"/>
      <c r="S1223" s="54"/>
    </row>
    <row r="1224" spans="1:19" s="15" customFormat="1" x14ac:dyDescent="0.3">
      <c r="A1224" s="17"/>
      <c r="B1224"/>
      <c r="C1224"/>
      <c r="D1224"/>
      <c r="E1224"/>
      <c r="F1224"/>
      <c r="G1224"/>
      <c r="H1224"/>
      <c r="I1224"/>
      <c r="J1224"/>
      <c r="K1224"/>
      <c r="L1224"/>
      <c r="M1224"/>
      <c r="S1224" s="54"/>
    </row>
    <row r="1225" spans="1:19" s="15" customFormat="1" x14ac:dyDescent="0.3">
      <c r="A1225" s="17"/>
      <c r="B1225"/>
      <c r="C1225"/>
      <c r="D1225"/>
      <c r="E1225"/>
      <c r="F1225"/>
      <c r="G1225"/>
      <c r="H1225"/>
      <c r="I1225"/>
      <c r="J1225"/>
      <c r="K1225"/>
      <c r="L1225"/>
      <c r="M1225"/>
      <c r="S1225" s="54"/>
    </row>
    <row r="1226" spans="1:19" s="15" customFormat="1" x14ac:dyDescent="0.3">
      <c r="A1226" s="17"/>
      <c r="B1226"/>
      <c r="C1226"/>
      <c r="D1226"/>
      <c r="E1226"/>
      <c r="F1226"/>
      <c r="G1226"/>
      <c r="H1226"/>
      <c r="I1226"/>
      <c r="J1226"/>
      <c r="K1226"/>
      <c r="L1226"/>
      <c r="M1226"/>
      <c r="S1226" s="54"/>
    </row>
    <row r="1227" spans="1:19" s="15" customFormat="1" x14ac:dyDescent="0.3">
      <c r="A1227" s="17"/>
      <c r="B1227"/>
      <c r="C1227"/>
      <c r="D1227"/>
      <c r="E1227"/>
      <c r="F1227"/>
      <c r="G1227"/>
      <c r="H1227"/>
      <c r="I1227"/>
      <c r="J1227"/>
      <c r="K1227"/>
      <c r="L1227"/>
      <c r="M1227"/>
      <c r="S1227" s="54"/>
    </row>
    <row r="1228" spans="1:19" s="15" customFormat="1" x14ac:dyDescent="0.3">
      <c r="A1228" s="17"/>
      <c r="B1228"/>
      <c r="C1228"/>
      <c r="D1228"/>
      <c r="E1228"/>
      <c r="F1228"/>
      <c r="G1228"/>
      <c r="H1228"/>
      <c r="I1228"/>
      <c r="J1228"/>
      <c r="K1228"/>
      <c r="L1228"/>
      <c r="M1228"/>
      <c r="S1228" s="54"/>
    </row>
    <row r="1229" spans="1:19" s="15" customFormat="1" x14ac:dyDescent="0.3">
      <c r="A1229" s="17"/>
      <c r="B1229"/>
      <c r="C1229"/>
      <c r="D1229"/>
      <c r="E1229"/>
      <c r="F1229"/>
      <c r="G1229"/>
      <c r="H1229"/>
      <c r="I1229"/>
      <c r="J1229"/>
      <c r="K1229"/>
      <c r="L1229"/>
      <c r="M1229"/>
      <c r="S1229" s="54"/>
    </row>
    <row r="1230" spans="1:19" s="15" customFormat="1" x14ac:dyDescent="0.3">
      <c r="A1230" s="17"/>
      <c r="B1230"/>
      <c r="C1230"/>
      <c r="D1230"/>
      <c r="E1230"/>
      <c r="F1230"/>
      <c r="G1230"/>
      <c r="H1230"/>
      <c r="I1230"/>
      <c r="J1230"/>
      <c r="K1230"/>
      <c r="L1230"/>
      <c r="M1230"/>
      <c r="S1230" s="54"/>
    </row>
    <row r="1231" spans="1:19" s="15" customFormat="1" x14ac:dyDescent="0.3">
      <c r="A1231" s="17"/>
      <c r="B1231"/>
      <c r="C1231"/>
      <c r="D1231"/>
      <c r="E1231"/>
      <c r="F1231"/>
      <c r="G1231"/>
      <c r="H1231"/>
      <c r="I1231"/>
      <c r="J1231"/>
      <c r="K1231"/>
      <c r="L1231"/>
      <c r="M1231"/>
      <c r="S1231" s="54"/>
    </row>
    <row r="1232" spans="1:19" s="15" customFormat="1" x14ac:dyDescent="0.3">
      <c r="A1232" s="17"/>
      <c r="B1232"/>
      <c r="C1232"/>
      <c r="D1232"/>
      <c r="E1232"/>
      <c r="F1232"/>
      <c r="G1232"/>
      <c r="H1232"/>
      <c r="I1232"/>
      <c r="J1232"/>
      <c r="K1232"/>
      <c r="L1232"/>
      <c r="M1232"/>
      <c r="S1232" s="54"/>
    </row>
    <row r="1233" spans="1:19" s="15" customFormat="1" x14ac:dyDescent="0.3">
      <c r="A1233" s="17"/>
      <c r="B1233"/>
      <c r="C1233"/>
      <c r="D1233"/>
      <c r="E1233"/>
      <c r="F1233"/>
      <c r="G1233"/>
      <c r="H1233"/>
      <c r="I1233"/>
      <c r="J1233"/>
      <c r="K1233"/>
      <c r="L1233"/>
      <c r="M1233"/>
      <c r="S1233" s="54"/>
    </row>
    <row r="1234" spans="1:19" s="15" customFormat="1" x14ac:dyDescent="0.3">
      <c r="A1234" s="17"/>
      <c r="B1234"/>
      <c r="C1234"/>
      <c r="D1234"/>
      <c r="E1234"/>
      <c r="F1234"/>
      <c r="G1234"/>
      <c r="H1234"/>
      <c r="I1234"/>
      <c r="J1234"/>
      <c r="K1234"/>
      <c r="L1234"/>
      <c r="M1234"/>
      <c r="S1234" s="54"/>
    </row>
    <row r="1235" spans="1:19" s="15" customFormat="1" x14ac:dyDescent="0.3">
      <c r="A1235" s="17"/>
      <c r="B1235"/>
      <c r="C1235"/>
      <c r="D1235"/>
      <c r="E1235"/>
      <c r="F1235"/>
      <c r="G1235"/>
      <c r="H1235"/>
      <c r="I1235"/>
      <c r="J1235"/>
      <c r="K1235"/>
      <c r="L1235"/>
      <c r="M1235"/>
      <c r="S1235" s="54"/>
    </row>
    <row r="1236" spans="1:19" s="15" customFormat="1" x14ac:dyDescent="0.3">
      <c r="A1236" s="17"/>
      <c r="B1236"/>
      <c r="C1236"/>
      <c r="D1236"/>
      <c r="E1236"/>
      <c r="F1236"/>
      <c r="G1236"/>
      <c r="H1236"/>
      <c r="I1236"/>
      <c r="J1236"/>
      <c r="K1236"/>
      <c r="L1236"/>
      <c r="M1236"/>
      <c r="S1236" s="54"/>
    </row>
    <row r="1237" spans="1:19" s="15" customFormat="1" x14ac:dyDescent="0.3">
      <c r="A1237" s="17"/>
      <c r="B1237"/>
      <c r="C1237"/>
      <c r="D1237"/>
      <c r="E1237"/>
      <c r="F1237"/>
      <c r="G1237"/>
      <c r="H1237"/>
      <c r="I1237"/>
      <c r="J1237"/>
      <c r="K1237"/>
      <c r="L1237"/>
      <c r="M1237"/>
      <c r="S1237" s="54"/>
    </row>
    <row r="1238" spans="1:19" s="15" customFormat="1" x14ac:dyDescent="0.3">
      <c r="A1238" s="17"/>
      <c r="B1238"/>
      <c r="C1238"/>
      <c r="D1238"/>
      <c r="E1238"/>
      <c r="F1238"/>
      <c r="G1238"/>
      <c r="H1238"/>
      <c r="I1238"/>
      <c r="J1238"/>
      <c r="K1238"/>
      <c r="L1238"/>
      <c r="M1238"/>
      <c r="S1238" s="54"/>
    </row>
    <row r="1239" spans="1:19" s="15" customFormat="1" x14ac:dyDescent="0.3">
      <c r="A1239" s="17"/>
      <c r="B1239"/>
      <c r="C1239"/>
      <c r="D1239"/>
      <c r="E1239"/>
      <c r="F1239"/>
      <c r="G1239"/>
      <c r="H1239"/>
      <c r="I1239"/>
      <c r="J1239"/>
      <c r="K1239"/>
      <c r="L1239"/>
      <c r="M1239"/>
      <c r="S1239" s="54"/>
    </row>
    <row r="1240" spans="1:19" s="15" customFormat="1" x14ac:dyDescent="0.3">
      <c r="A1240" s="17"/>
      <c r="B1240"/>
      <c r="C1240"/>
      <c r="D1240"/>
      <c r="E1240"/>
      <c r="F1240"/>
      <c r="G1240"/>
      <c r="H1240"/>
      <c r="I1240"/>
      <c r="J1240"/>
      <c r="K1240"/>
      <c r="L1240"/>
      <c r="M1240"/>
      <c r="S1240" s="54"/>
    </row>
    <row r="1241" spans="1:19" s="15" customFormat="1" x14ac:dyDescent="0.3">
      <c r="A1241" s="17"/>
      <c r="B1241"/>
      <c r="C1241"/>
      <c r="D1241"/>
      <c r="E1241"/>
      <c r="F1241"/>
      <c r="G1241"/>
      <c r="H1241"/>
      <c r="I1241"/>
      <c r="J1241"/>
      <c r="K1241"/>
      <c r="L1241"/>
      <c r="M1241"/>
      <c r="S1241" s="54"/>
    </row>
    <row r="1242" spans="1:19" s="15" customFormat="1" x14ac:dyDescent="0.3">
      <c r="A1242" s="17"/>
      <c r="B1242"/>
      <c r="C1242"/>
      <c r="D1242"/>
      <c r="E1242"/>
      <c r="F1242"/>
      <c r="G1242"/>
      <c r="H1242"/>
      <c r="I1242"/>
      <c r="J1242"/>
      <c r="K1242"/>
      <c r="L1242"/>
      <c r="M1242"/>
      <c r="S1242" s="54"/>
    </row>
    <row r="1243" spans="1:19" s="15" customFormat="1" x14ac:dyDescent="0.3">
      <c r="A1243" s="17"/>
      <c r="B1243"/>
      <c r="C1243"/>
      <c r="D1243"/>
      <c r="E1243"/>
      <c r="F1243"/>
      <c r="G1243"/>
      <c r="H1243"/>
      <c r="I1243"/>
      <c r="J1243"/>
      <c r="K1243"/>
      <c r="L1243"/>
      <c r="M1243"/>
      <c r="S1243" s="54"/>
    </row>
    <row r="1244" spans="1:19" s="15" customFormat="1" x14ac:dyDescent="0.3">
      <c r="A1244" s="17"/>
      <c r="B1244"/>
      <c r="C1244"/>
      <c r="D1244"/>
      <c r="E1244"/>
      <c r="F1244"/>
      <c r="G1244"/>
      <c r="H1244"/>
      <c r="I1244"/>
      <c r="J1244"/>
      <c r="K1244"/>
      <c r="L1244"/>
      <c r="M1244"/>
      <c r="S1244" s="54"/>
    </row>
    <row r="1245" spans="1:19" s="15" customFormat="1" x14ac:dyDescent="0.3">
      <c r="A1245" s="17"/>
      <c r="B1245"/>
      <c r="C1245"/>
      <c r="D1245"/>
      <c r="E1245"/>
      <c r="F1245"/>
      <c r="G1245"/>
      <c r="H1245"/>
      <c r="I1245"/>
      <c r="J1245"/>
      <c r="K1245"/>
      <c r="L1245"/>
      <c r="M1245"/>
      <c r="S1245" s="54"/>
    </row>
    <row r="1246" spans="1:19" s="15" customFormat="1" x14ac:dyDescent="0.3">
      <c r="A1246" s="17"/>
      <c r="B1246"/>
      <c r="C1246"/>
      <c r="D1246"/>
      <c r="E1246"/>
      <c r="F1246"/>
      <c r="G1246"/>
      <c r="H1246"/>
      <c r="I1246"/>
      <c r="J1246"/>
      <c r="K1246"/>
      <c r="L1246"/>
      <c r="M1246"/>
      <c r="S1246" s="54"/>
    </row>
    <row r="1247" spans="1:19" s="15" customFormat="1" x14ac:dyDescent="0.3">
      <c r="A1247" s="17"/>
      <c r="B1247"/>
      <c r="C1247"/>
      <c r="D1247"/>
      <c r="E1247"/>
      <c r="F1247"/>
      <c r="G1247"/>
      <c r="H1247"/>
      <c r="I1247"/>
      <c r="J1247"/>
      <c r="K1247"/>
      <c r="L1247"/>
      <c r="M1247"/>
      <c r="S1247" s="54"/>
    </row>
    <row r="1248" spans="1:19" s="15" customFormat="1" x14ac:dyDescent="0.3">
      <c r="A1248" s="17"/>
      <c r="B1248"/>
      <c r="C1248"/>
      <c r="D1248"/>
      <c r="E1248"/>
      <c r="F1248"/>
      <c r="G1248"/>
      <c r="H1248"/>
      <c r="I1248"/>
      <c r="J1248"/>
      <c r="K1248"/>
      <c r="L1248"/>
      <c r="M1248"/>
      <c r="S1248" s="54"/>
    </row>
    <row r="1249" spans="1:19" s="15" customFormat="1" x14ac:dyDescent="0.3">
      <c r="A1249" s="17"/>
      <c r="B1249"/>
      <c r="C1249"/>
      <c r="D1249"/>
      <c r="E1249"/>
      <c r="F1249"/>
      <c r="G1249"/>
      <c r="H1249"/>
      <c r="I1249"/>
      <c r="J1249"/>
      <c r="K1249"/>
      <c r="L1249"/>
      <c r="M1249"/>
      <c r="S1249" s="54"/>
    </row>
    <row r="1250" spans="1:19" s="15" customFormat="1" x14ac:dyDescent="0.3">
      <c r="A1250" s="17"/>
      <c r="B1250"/>
      <c r="C1250"/>
      <c r="D1250"/>
      <c r="E1250"/>
      <c r="F1250"/>
      <c r="G1250"/>
      <c r="H1250"/>
      <c r="I1250"/>
      <c r="J1250"/>
      <c r="K1250"/>
      <c r="L1250"/>
      <c r="M1250"/>
      <c r="S1250" s="54"/>
    </row>
    <row r="1251" spans="1:19" s="15" customFormat="1" x14ac:dyDescent="0.3">
      <c r="A1251" s="17"/>
      <c r="B1251"/>
      <c r="C1251"/>
      <c r="D1251"/>
      <c r="E1251"/>
      <c r="F1251"/>
      <c r="G1251"/>
      <c r="H1251"/>
      <c r="I1251"/>
      <c r="J1251"/>
      <c r="K1251"/>
      <c r="L1251"/>
      <c r="M1251"/>
      <c r="S1251" s="54"/>
    </row>
    <row r="1252" spans="1:19" s="15" customFormat="1" x14ac:dyDescent="0.3">
      <c r="A1252" s="17"/>
      <c r="B1252"/>
      <c r="C1252"/>
      <c r="D1252"/>
      <c r="E1252"/>
      <c r="F1252"/>
      <c r="G1252"/>
      <c r="H1252"/>
      <c r="I1252"/>
      <c r="J1252"/>
      <c r="K1252"/>
      <c r="L1252"/>
      <c r="M1252"/>
      <c r="S1252" s="54"/>
    </row>
    <row r="1253" spans="1:19" s="15" customFormat="1" x14ac:dyDescent="0.3">
      <c r="A1253" s="17"/>
      <c r="B1253"/>
      <c r="C1253"/>
      <c r="D1253"/>
      <c r="E1253"/>
      <c r="F1253"/>
      <c r="G1253"/>
      <c r="H1253"/>
      <c r="I1253"/>
      <c r="J1253"/>
      <c r="K1253"/>
      <c r="L1253"/>
      <c r="M1253"/>
      <c r="S1253" s="54"/>
    </row>
    <row r="1254" spans="1:19" s="15" customFormat="1" x14ac:dyDescent="0.3">
      <c r="A1254" s="17"/>
      <c r="B1254"/>
      <c r="C1254"/>
      <c r="D1254"/>
      <c r="E1254"/>
      <c r="F1254"/>
      <c r="G1254"/>
      <c r="H1254"/>
      <c r="I1254"/>
      <c r="J1254"/>
      <c r="K1254"/>
      <c r="L1254"/>
      <c r="M1254"/>
      <c r="S1254" s="54"/>
    </row>
    <row r="1255" spans="1:19" s="15" customFormat="1" x14ac:dyDescent="0.3">
      <c r="A1255" s="17"/>
      <c r="B1255"/>
      <c r="C1255"/>
      <c r="D1255"/>
      <c r="E1255"/>
      <c r="F1255"/>
      <c r="G1255"/>
      <c r="H1255"/>
      <c r="I1255"/>
      <c r="J1255"/>
      <c r="K1255"/>
      <c r="L1255"/>
      <c r="M1255"/>
      <c r="S1255" s="54"/>
    </row>
    <row r="1256" spans="1:19" s="15" customFormat="1" x14ac:dyDescent="0.3">
      <c r="A1256" s="17"/>
      <c r="B1256"/>
      <c r="C1256"/>
      <c r="D1256"/>
      <c r="E1256"/>
      <c r="F1256"/>
      <c r="G1256"/>
      <c r="H1256"/>
      <c r="I1256"/>
      <c r="J1256"/>
      <c r="K1256"/>
      <c r="L1256"/>
      <c r="M1256"/>
      <c r="S1256" s="54"/>
    </row>
    <row r="1257" spans="1:19" s="15" customFormat="1" x14ac:dyDescent="0.3">
      <c r="A1257" s="17"/>
      <c r="B1257"/>
      <c r="C1257"/>
      <c r="D1257"/>
      <c r="E1257"/>
      <c r="F1257"/>
      <c r="G1257"/>
      <c r="H1257"/>
      <c r="I1257"/>
      <c r="J1257"/>
      <c r="K1257"/>
      <c r="L1257"/>
      <c r="M1257"/>
      <c r="S1257" s="54"/>
    </row>
    <row r="1258" spans="1:19" s="15" customFormat="1" x14ac:dyDescent="0.3">
      <c r="A1258" s="17"/>
      <c r="B1258"/>
      <c r="C1258"/>
      <c r="D1258"/>
      <c r="E1258"/>
      <c r="F1258"/>
      <c r="G1258"/>
      <c r="H1258"/>
      <c r="I1258"/>
      <c r="J1258"/>
      <c r="K1258"/>
      <c r="L1258"/>
      <c r="M1258"/>
      <c r="S1258" s="54"/>
    </row>
    <row r="1259" spans="1:19" s="15" customFormat="1" x14ac:dyDescent="0.3">
      <c r="A1259" s="17"/>
      <c r="B1259"/>
      <c r="C1259"/>
      <c r="D1259"/>
      <c r="E1259"/>
      <c r="F1259"/>
      <c r="G1259"/>
      <c r="H1259"/>
      <c r="I1259"/>
      <c r="J1259"/>
      <c r="K1259"/>
      <c r="L1259"/>
      <c r="M1259"/>
      <c r="S1259" s="54"/>
    </row>
    <row r="1260" spans="1:19" s="15" customFormat="1" x14ac:dyDescent="0.3">
      <c r="A1260" s="17"/>
      <c r="B1260"/>
      <c r="C1260"/>
      <c r="D1260"/>
      <c r="E1260"/>
      <c r="F1260"/>
      <c r="G1260"/>
      <c r="H1260"/>
      <c r="I1260"/>
      <c r="J1260"/>
      <c r="K1260"/>
      <c r="L1260"/>
      <c r="M1260"/>
      <c r="S1260" s="54"/>
    </row>
    <row r="1261" spans="1:19" s="15" customFormat="1" x14ac:dyDescent="0.3">
      <c r="A1261" s="17"/>
      <c r="B1261"/>
      <c r="C1261"/>
      <c r="D1261"/>
      <c r="E1261"/>
      <c r="F1261"/>
      <c r="G1261"/>
      <c r="H1261"/>
      <c r="I1261"/>
      <c r="J1261"/>
      <c r="K1261"/>
      <c r="L1261"/>
      <c r="M1261"/>
      <c r="S1261" s="54"/>
    </row>
    <row r="1262" spans="1:19" s="15" customFormat="1" x14ac:dyDescent="0.3">
      <c r="A1262" s="17"/>
      <c r="B1262"/>
      <c r="C1262"/>
      <c r="D1262"/>
      <c r="E1262"/>
      <c r="F1262"/>
      <c r="G1262"/>
      <c r="H1262"/>
      <c r="I1262"/>
      <c r="J1262"/>
      <c r="K1262"/>
      <c r="L1262"/>
      <c r="M1262"/>
      <c r="S1262" s="54"/>
    </row>
    <row r="1263" spans="1:19" s="15" customFormat="1" x14ac:dyDescent="0.3">
      <c r="A1263" s="17"/>
      <c r="B1263"/>
      <c r="C1263"/>
      <c r="D1263"/>
      <c r="E1263"/>
      <c r="F1263"/>
      <c r="G1263"/>
      <c r="H1263"/>
      <c r="I1263"/>
      <c r="J1263"/>
      <c r="K1263"/>
      <c r="L1263"/>
      <c r="M1263"/>
      <c r="S1263" s="54"/>
    </row>
    <row r="1264" spans="1:19" s="15" customFormat="1" x14ac:dyDescent="0.3">
      <c r="A1264" s="17"/>
      <c r="B1264"/>
      <c r="C1264"/>
      <c r="D1264"/>
      <c r="E1264"/>
      <c r="F1264"/>
      <c r="G1264"/>
      <c r="H1264"/>
      <c r="I1264"/>
      <c r="J1264"/>
      <c r="K1264"/>
      <c r="L1264"/>
      <c r="M1264"/>
      <c r="S1264" s="54"/>
    </row>
    <row r="1265" spans="1:19" s="15" customFormat="1" x14ac:dyDescent="0.3">
      <c r="A1265" s="17"/>
      <c r="B1265"/>
      <c r="C1265"/>
      <c r="D1265"/>
      <c r="E1265"/>
      <c r="F1265"/>
      <c r="G1265"/>
      <c r="H1265"/>
      <c r="I1265"/>
      <c r="J1265"/>
      <c r="K1265"/>
      <c r="L1265"/>
      <c r="M1265"/>
      <c r="S1265" s="54"/>
    </row>
    <row r="1266" spans="1:19" s="15" customFormat="1" x14ac:dyDescent="0.3">
      <c r="A1266" s="17"/>
      <c r="B1266"/>
      <c r="C1266"/>
      <c r="D1266"/>
      <c r="E1266"/>
      <c r="F1266"/>
      <c r="G1266"/>
      <c r="H1266"/>
      <c r="I1266"/>
      <c r="J1266"/>
      <c r="K1266"/>
      <c r="L1266"/>
      <c r="M1266"/>
      <c r="S1266" s="54"/>
    </row>
    <row r="1267" spans="1:19" s="15" customFormat="1" x14ac:dyDescent="0.3">
      <c r="A1267" s="17"/>
      <c r="B1267"/>
      <c r="C1267"/>
      <c r="D1267"/>
      <c r="E1267"/>
      <c r="F1267"/>
      <c r="G1267"/>
      <c r="H1267"/>
      <c r="I1267"/>
      <c r="J1267"/>
      <c r="K1267"/>
      <c r="L1267"/>
      <c r="M1267"/>
      <c r="S1267" s="54"/>
    </row>
    <row r="1268" spans="1:19" s="15" customFormat="1" x14ac:dyDescent="0.3">
      <c r="A1268" s="17"/>
      <c r="B1268"/>
      <c r="C1268"/>
      <c r="D1268"/>
      <c r="E1268"/>
      <c r="F1268"/>
      <c r="G1268"/>
      <c r="H1268"/>
      <c r="I1268"/>
      <c r="J1268"/>
      <c r="K1268"/>
      <c r="L1268"/>
      <c r="M1268"/>
      <c r="S1268" s="54"/>
    </row>
    <row r="1269" spans="1:19" s="15" customFormat="1" x14ac:dyDescent="0.3">
      <c r="A1269" s="17"/>
      <c r="B1269"/>
      <c r="C1269"/>
      <c r="D1269"/>
      <c r="E1269"/>
      <c r="F1269"/>
      <c r="G1269"/>
      <c r="H1269"/>
      <c r="I1269"/>
      <c r="J1269"/>
      <c r="K1269"/>
      <c r="L1269"/>
      <c r="M1269"/>
      <c r="S1269" s="54"/>
    </row>
    <row r="1270" spans="1:19" s="15" customFormat="1" x14ac:dyDescent="0.3">
      <c r="A1270" s="17"/>
      <c r="B1270"/>
      <c r="C1270"/>
      <c r="D1270"/>
      <c r="E1270"/>
      <c r="F1270"/>
      <c r="G1270"/>
      <c r="H1270"/>
      <c r="I1270"/>
      <c r="J1270"/>
      <c r="K1270"/>
      <c r="L1270"/>
      <c r="M1270"/>
      <c r="S1270" s="54"/>
    </row>
    <row r="1271" spans="1:19" s="15" customFormat="1" x14ac:dyDescent="0.3">
      <c r="A1271" s="17"/>
      <c r="B1271"/>
      <c r="C1271"/>
      <c r="D1271"/>
      <c r="E1271"/>
      <c r="F1271"/>
      <c r="G1271"/>
      <c r="H1271"/>
      <c r="I1271"/>
      <c r="J1271"/>
      <c r="K1271"/>
      <c r="L1271"/>
      <c r="M1271"/>
      <c r="S1271" s="54"/>
    </row>
    <row r="1272" spans="1:19" s="15" customFormat="1" x14ac:dyDescent="0.3">
      <c r="A1272" s="17"/>
      <c r="B1272"/>
      <c r="C1272"/>
      <c r="D1272"/>
      <c r="E1272"/>
      <c r="F1272"/>
      <c r="G1272"/>
      <c r="H1272"/>
      <c r="I1272"/>
      <c r="J1272"/>
      <c r="K1272"/>
      <c r="L1272"/>
      <c r="M1272"/>
      <c r="S1272" s="54"/>
    </row>
    <row r="1273" spans="1:19" s="15" customFormat="1" x14ac:dyDescent="0.3">
      <c r="A1273" s="17"/>
      <c r="B1273"/>
      <c r="C1273"/>
      <c r="D1273"/>
      <c r="E1273"/>
      <c r="F1273"/>
      <c r="G1273"/>
      <c r="H1273"/>
      <c r="I1273"/>
      <c r="J1273"/>
      <c r="K1273"/>
      <c r="L1273"/>
      <c r="M1273"/>
      <c r="S1273" s="54"/>
    </row>
    <row r="1274" spans="1:19" s="15" customFormat="1" x14ac:dyDescent="0.3">
      <c r="A1274" s="17"/>
      <c r="B1274"/>
      <c r="C1274"/>
      <c r="D1274"/>
      <c r="E1274"/>
      <c r="F1274"/>
      <c r="G1274"/>
      <c r="H1274"/>
      <c r="I1274"/>
      <c r="J1274"/>
      <c r="K1274"/>
      <c r="L1274"/>
      <c r="M1274"/>
      <c r="S1274" s="54"/>
    </row>
    <row r="1275" spans="1:19" s="15" customFormat="1" x14ac:dyDescent="0.3">
      <c r="A1275" s="17"/>
      <c r="B1275"/>
      <c r="C1275"/>
      <c r="D1275"/>
      <c r="E1275"/>
      <c r="F1275"/>
      <c r="G1275"/>
      <c r="H1275"/>
      <c r="I1275"/>
      <c r="J1275"/>
      <c r="K1275"/>
      <c r="L1275"/>
      <c r="M1275"/>
      <c r="S1275" s="54"/>
    </row>
    <row r="1276" spans="1:19" s="15" customFormat="1" x14ac:dyDescent="0.3">
      <c r="A1276" s="17"/>
      <c r="B1276"/>
      <c r="C1276"/>
      <c r="D1276"/>
      <c r="E1276"/>
      <c r="F1276"/>
      <c r="G1276"/>
      <c r="H1276"/>
      <c r="I1276"/>
      <c r="J1276"/>
      <c r="K1276"/>
      <c r="L1276"/>
      <c r="M1276"/>
      <c r="S1276" s="54"/>
    </row>
    <row r="1277" spans="1:19" s="15" customFormat="1" x14ac:dyDescent="0.3">
      <c r="A1277" s="17"/>
      <c r="B1277"/>
      <c r="C1277"/>
      <c r="D1277"/>
      <c r="E1277"/>
      <c r="F1277"/>
      <c r="G1277"/>
      <c r="H1277"/>
      <c r="I1277"/>
      <c r="J1277"/>
      <c r="K1277"/>
      <c r="L1277"/>
      <c r="M1277"/>
      <c r="S1277" s="54"/>
    </row>
    <row r="1278" spans="1:19" s="15" customFormat="1" x14ac:dyDescent="0.3">
      <c r="A1278" s="17"/>
      <c r="B1278"/>
      <c r="C1278"/>
      <c r="D1278"/>
      <c r="E1278"/>
      <c r="F1278"/>
      <c r="G1278"/>
      <c r="H1278"/>
      <c r="I1278"/>
      <c r="J1278"/>
      <c r="K1278"/>
      <c r="L1278"/>
      <c r="M1278"/>
      <c r="S1278" s="54"/>
    </row>
    <row r="1279" spans="1:19" s="15" customFormat="1" x14ac:dyDescent="0.3">
      <c r="A1279" s="17"/>
      <c r="B1279"/>
      <c r="C1279"/>
      <c r="D1279"/>
      <c r="E1279"/>
      <c r="F1279"/>
      <c r="G1279"/>
      <c r="H1279"/>
      <c r="I1279"/>
      <c r="J1279"/>
      <c r="K1279"/>
      <c r="L1279"/>
      <c r="M1279"/>
      <c r="S1279" s="54"/>
    </row>
    <row r="1280" spans="1:19" s="15" customFormat="1" x14ac:dyDescent="0.3">
      <c r="A1280" s="17"/>
      <c r="B1280"/>
      <c r="C1280"/>
      <c r="D1280"/>
      <c r="E1280"/>
      <c r="F1280"/>
      <c r="G1280"/>
      <c r="H1280"/>
      <c r="I1280"/>
      <c r="J1280"/>
      <c r="K1280"/>
      <c r="L1280"/>
      <c r="M1280"/>
      <c r="S1280" s="54"/>
    </row>
    <row r="1281" spans="1:19" s="15" customFormat="1" x14ac:dyDescent="0.3">
      <c r="A1281" s="17"/>
      <c r="B1281"/>
      <c r="C1281"/>
      <c r="D1281"/>
      <c r="E1281"/>
      <c r="F1281"/>
      <c r="G1281"/>
      <c r="H1281"/>
      <c r="I1281"/>
      <c r="J1281"/>
      <c r="K1281"/>
      <c r="L1281"/>
      <c r="M1281"/>
      <c r="S1281" s="54"/>
    </row>
    <row r="1282" spans="1:19" s="15" customFormat="1" x14ac:dyDescent="0.3">
      <c r="A1282" s="17"/>
      <c r="B1282"/>
      <c r="C1282"/>
      <c r="D1282"/>
      <c r="E1282"/>
      <c r="F1282"/>
      <c r="G1282"/>
      <c r="H1282"/>
      <c r="I1282"/>
      <c r="J1282"/>
      <c r="K1282"/>
      <c r="L1282"/>
      <c r="M1282"/>
      <c r="S1282" s="54"/>
    </row>
    <row r="1283" spans="1:19" s="15" customFormat="1" x14ac:dyDescent="0.3">
      <c r="A1283" s="17"/>
      <c r="B1283"/>
      <c r="C1283"/>
      <c r="D1283"/>
      <c r="E1283"/>
      <c r="F1283"/>
      <c r="G1283"/>
      <c r="H1283"/>
      <c r="I1283"/>
      <c r="J1283"/>
      <c r="K1283"/>
      <c r="L1283"/>
      <c r="M1283"/>
      <c r="S1283" s="54"/>
    </row>
    <row r="1284" spans="1:19" s="15" customFormat="1" x14ac:dyDescent="0.3">
      <c r="A1284" s="17"/>
      <c r="B1284"/>
      <c r="C1284"/>
      <c r="D1284"/>
      <c r="E1284"/>
      <c r="F1284"/>
      <c r="G1284"/>
      <c r="H1284"/>
      <c r="I1284"/>
      <c r="J1284"/>
      <c r="K1284"/>
      <c r="L1284"/>
      <c r="M1284"/>
      <c r="S1284" s="54"/>
    </row>
    <row r="1285" spans="1:19" s="15" customFormat="1" x14ac:dyDescent="0.3">
      <c r="A1285" s="17"/>
      <c r="B1285"/>
      <c r="C1285"/>
      <c r="D1285"/>
      <c r="E1285"/>
      <c r="F1285"/>
      <c r="G1285"/>
      <c r="H1285"/>
      <c r="I1285"/>
      <c r="J1285"/>
      <c r="K1285"/>
      <c r="L1285"/>
      <c r="M1285"/>
      <c r="S1285" s="54"/>
    </row>
    <row r="1286" spans="1:19" s="15" customFormat="1" x14ac:dyDescent="0.3">
      <c r="A1286" s="17"/>
      <c r="B1286"/>
      <c r="C1286"/>
      <c r="D1286"/>
      <c r="E1286"/>
      <c r="F1286"/>
      <c r="G1286"/>
      <c r="H1286"/>
      <c r="I1286"/>
      <c r="J1286"/>
      <c r="K1286"/>
      <c r="L1286"/>
      <c r="M1286"/>
      <c r="S1286" s="54"/>
    </row>
    <row r="1287" spans="1:19" s="15" customFormat="1" x14ac:dyDescent="0.3">
      <c r="A1287" s="17"/>
      <c r="B1287"/>
      <c r="C1287"/>
      <c r="D1287"/>
      <c r="E1287"/>
      <c r="F1287"/>
      <c r="G1287"/>
      <c r="H1287"/>
      <c r="I1287"/>
      <c r="J1287"/>
      <c r="K1287"/>
      <c r="L1287"/>
      <c r="M1287"/>
      <c r="S1287" s="54"/>
    </row>
    <row r="1288" spans="1:19" s="15" customFormat="1" x14ac:dyDescent="0.3">
      <c r="A1288" s="17"/>
      <c r="B1288"/>
      <c r="C1288"/>
      <c r="D1288"/>
      <c r="E1288"/>
      <c r="F1288"/>
      <c r="G1288"/>
      <c r="H1288"/>
      <c r="I1288"/>
      <c r="J1288"/>
      <c r="K1288"/>
      <c r="L1288"/>
      <c r="M1288"/>
      <c r="S1288" s="54"/>
    </row>
    <row r="1289" spans="1:19" s="15" customFormat="1" x14ac:dyDescent="0.3">
      <c r="A1289" s="17"/>
      <c r="B1289"/>
      <c r="C1289"/>
      <c r="D1289"/>
      <c r="E1289"/>
      <c r="F1289"/>
      <c r="G1289"/>
      <c r="H1289"/>
      <c r="I1289"/>
      <c r="J1289"/>
      <c r="K1289"/>
      <c r="L1289"/>
      <c r="M1289"/>
      <c r="S1289" s="54"/>
    </row>
    <row r="1290" spans="1:19" s="15" customFormat="1" x14ac:dyDescent="0.3">
      <c r="A1290" s="17"/>
      <c r="B1290"/>
      <c r="C1290"/>
      <c r="D1290"/>
      <c r="E1290"/>
      <c r="F1290"/>
      <c r="G1290"/>
      <c r="H1290"/>
      <c r="I1290"/>
      <c r="J1290"/>
      <c r="K1290"/>
      <c r="L1290"/>
      <c r="M1290"/>
      <c r="S1290" s="54"/>
    </row>
    <row r="1291" spans="1:19" s="15" customFormat="1" x14ac:dyDescent="0.3">
      <c r="A1291" s="17"/>
      <c r="B1291"/>
      <c r="C1291"/>
      <c r="D1291"/>
      <c r="E1291"/>
      <c r="F1291"/>
      <c r="G1291"/>
      <c r="H1291"/>
      <c r="I1291"/>
      <c r="J1291"/>
      <c r="K1291"/>
      <c r="L1291"/>
      <c r="M1291"/>
      <c r="S1291" s="54"/>
    </row>
    <row r="1292" spans="1:19" s="15" customFormat="1" x14ac:dyDescent="0.3">
      <c r="A1292" s="17"/>
      <c r="B1292"/>
      <c r="C1292"/>
      <c r="D1292"/>
      <c r="E1292"/>
      <c r="F1292"/>
      <c r="G1292"/>
      <c r="H1292"/>
      <c r="I1292"/>
      <c r="J1292"/>
      <c r="K1292"/>
      <c r="L1292"/>
      <c r="M1292"/>
      <c r="S1292" s="54"/>
    </row>
    <row r="1293" spans="1:19" s="15" customFormat="1" x14ac:dyDescent="0.3">
      <c r="A1293" s="17"/>
      <c r="B1293"/>
      <c r="C1293"/>
      <c r="D1293"/>
      <c r="E1293"/>
      <c r="F1293"/>
      <c r="G1293"/>
      <c r="H1293"/>
      <c r="I1293"/>
      <c r="J1293"/>
      <c r="K1293"/>
      <c r="L1293"/>
      <c r="M1293"/>
      <c r="S1293" s="54"/>
    </row>
    <row r="1294" spans="1:19" s="15" customFormat="1" x14ac:dyDescent="0.3">
      <c r="A1294" s="17"/>
      <c r="B1294"/>
      <c r="C1294"/>
      <c r="D1294"/>
      <c r="E1294"/>
      <c r="F1294"/>
      <c r="G1294"/>
      <c r="H1294"/>
      <c r="I1294"/>
      <c r="J1294"/>
      <c r="K1294"/>
      <c r="L1294"/>
      <c r="M1294"/>
      <c r="S1294" s="54"/>
    </row>
    <row r="1295" spans="1:19" s="15" customFormat="1" x14ac:dyDescent="0.3">
      <c r="A1295" s="17"/>
      <c r="B1295"/>
      <c r="C1295"/>
      <c r="D1295"/>
      <c r="E1295"/>
      <c r="F1295"/>
      <c r="G1295"/>
      <c r="H1295"/>
      <c r="I1295"/>
      <c r="J1295"/>
      <c r="K1295"/>
      <c r="L1295"/>
      <c r="M1295"/>
      <c r="S1295" s="54"/>
    </row>
    <row r="1296" spans="1:19" s="15" customFormat="1" x14ac:dyDescent="0.3">
      <c r="A1296" s="17"/>
      <c r="B1296"/>
      <c r="C1296"/>
      <c r="D1296"/>
      <c r="E1296"/>
      <c r="F1296"/>
      <c r="G1296"/>
      <c r="H1296"/>
      <c r="I1296"/>
      <c r="J1296"/>
      <c r="K1296"/>
      <c r="L1296"/>
      <c r="M1296"/>
      <c r="S1296" s="54"/>
    </row>
    <row r="1297" spans="1:19" s="15" customFormat="1" x14ac:dyDescent="0.3">
      <c r="A1297" s="17"/>
      <c r="B1297"/>
      <c r="C1297"/>
      <c r="D1297"/>
      <c r="E1297"/>
      <c r="F1297"/>
      <c r="G1297"/>
      <c r="H1297"/>
      <c r="I1297"/>
      <c r="J1297"/>
      <c r="K1297"/>
      <c r="L1297"/>
      <c r="M1297"/>
      <c r="S1297" s="54"/>
    </row>
    <row r="1298" spans="1:19" s="15" customFormat="1" x14ac:dyDescent="0.3">
      <c r="A1298" s="17"/>
      <c r="B1298"/>
      <c r="C1298"/>
      <c r="D1298"/>
      <c r="E1298"/>
      <c r="F1298"/>
      <c r="G1298"/>
      <c r="H1298"/>
      <c r="I1298"/>
      <c r="J1298"/>
      <c r="K1298"/>
      <c r="L1298"/>
      <c r="M1298"/>
      <c r="S1298" s="54"/>
    </row>
    <row r="1299" spans="1:19" s="15" customFormat="1" x14ac:dyDescent="0.3">
      <c r="A1299" s="17"/>
      <c r="B1299"/>
      <c r="C1299"/>
      <c r="D1299"/>
      <c r="E1299"/>
      <c r="F1299"/>
      <c r="G1299"/>
      <c r="H1299"/>
      <c r="I1299"/>
      <c r="J1299"/>
      <c r="K1299"/>
      <c r="L1299"/>
      <c r="M1299"/>
      <c r="S1299" s="54"/>
    </row>
    <row r="1300" spans="1:19" s="15" customFormat="1" x14ac:dyDescent="0.3">
      <c r="A1300" s="17"/>
      <c r="B1300"/>
      <c r="C1300"/>
      <c r="D1300"/>
      <c r="E1300"/>
      <c r="F1300"/>
      <c r="G1300"/>
      <c r="H1300"/>
      <c r="I1300"/>
      <c r="J1300"/>
      <c r="K1300"/>
      <c r="L1300"/>
      <c r="M1300"/>
      <c r="S1300" s="54"/>
    </row>
    <row r="1301" spans="1:19" s="15" customFormat="1" x14ac:dyDescent="0.3">
      <c r="A1301" s="17"/>
      <c r="B1301"/>
      <c r="C1301"/>
      <c r="D1301"/>
      <c r="E1301"/>
      <c r="F1301"/>
      <c r="G1301"/>
      <c r="H1301"/>
      <c r="I1301"/>
      <c r="J1301"/>
      <c r="K1301"/>
      <c r="L1301"/>
      <c r="M1301"/>
      <c r="S1301" s="54"/>
    </row>
    <row r="1302" spans="1:19" s="15" customFormat="1" x14ac:dyDescent="0.3">
      <c r="A1302" s="17"/>
      <c r="B1302"/>
      <c r="C1302"/>
      <c r="D1302"/>
      <c r="E1302"/>
      <c r="F1302"/>
      <c r="G1302"/>
      <c r="H1302"/>
      <c r="I1302"/>
      <c r="J1302"/>
      <c r="K1302"/>
      <c r="L1302"/>
      <c r="M1302"/>
      <c r="S1302" s="54"/>
    </row>
    <row r="1303" spans="1:19" s="15" customFormat="1" x14ac:dyDescent="0.3">
      <c r="A1303" s="17"/>
      <c r="B1303"/>
      <c r="C1303"/>
      <c r="D1303"/>
      <c r="E1303"/>
      <c r="F1303"/>
      <c r="G1303"/>
      <c r="H1303"/>
      <c r="I1303"/>
      <c r="J1303"/>
      <c r="K1303"/>
      <c r="L1303"/>
      <c r="M1303"/>
      <c r="S1303" s="54"/>
    </row>
    <row r="1304" spans="1:19" s="15" customFormat="1" x14ac:dyDescent="0.3">
      <c r="A1304" s="17"/>
      <c r="B1304"/>
      <c r="C1304"/>
      <c r="D1304"/>
      <c r="E1304"/>
      <c r="F1304"/>
      <c r="G1304"/>
      <c r="H1304"/>
      <c r="I1304"/>
      <c r="J1304"/>
      <c r="K1304"/>
      <c r="L1304"/>
      <c r="M1304"/>
      <c r="S1304" s="54"/>
    </row>
    <row r="1305" spans="1:19" s="15" customFormat="1" x14ac:dyDescent="0.3">
      <c r="A1305" s="17"/>
      <c r="B1305"/>
      <c r="C1305"/>
      <c r="D1305"/>
      <c r="E1305"/>
      <c r="F1305"/>
      <c r="G1305"/>
      <c r="H1305"/>
      <c r="I1305"/>
      <c r="J1305"/>
      <c r="K1305"/>
      <c r="L1305"/>
      <c r="M1305"/>
      <c r="S1305" s="54"/>
    </row>
    <row r="1306" spans="1:19" s="15" customFormat="1" x14ac:dyDescent="0.3">
      <c r="A1306" s="17"/>
      <c r="B1306"/>
      <c r="C1306"/>
      <c r="D1306"/>
      <c r="E1306"/>
      <c r="F1306"/>
      <c r="G1306"/>
      <c r="H1306"/>
      <c r="I1306"/>
      <c r="J1306"/>
      <c r="K1306"/>
      <c r="L1306"/>
      <c r="M1306"/>
      <c r="S1306" s="54"/>
    </row>
    <row r="1307" spans="1:19" s="15" customFormat="1" x14ac:dyDescent="0.3">
      <c r="A1307" s="17"/>
      <c r="B1307"/>
      <c r="C1307"/>
      <c r="D1307"/>
      <c r="E1307"/>
      <c r="F1307"/>
      <c r="G1307"/>
      <c r="H1307"/>
      <c r="I1307"/>
      <c r="J1307"/>
      <c r="K1307"/>
      <c r="L1307"/>
      <c r="M1307"/>
      <c r="S1307" s="54"/>
    </row>
    <row r="1308" spans="1:19" s="15" customFormat="1" x14ac:dyDescent="0.3">
      <c r="A1308" s="17"/>
      <c r="B1308"/>
      <c r="C1308"/>
      <c r="D1308"/>
      <c r="E1308"/>
      <c r="F1308"/>
      <c r="G1308"/>
      <c r="H1308"/>
      <c r="I1308"/>
      <c r="J1308"/>
      <c r="K1308"/>
      <c r="L1308"/>
      <c r="M1308"/>
      <c r="S1308" s="54"/>
    </row>
    <row r="1309" spans="1:19" s="15" customFormat="1" x14ac:dyDescent="0.3">
      <c r="A1309" s="17"/>
      <c r="B1309"/>
      <c r="C1309"/>
      <c r="D1309"/>
      <c r="E1309"/>
      <c r="F1309"/>
      <c r="G1309"/>
      <c r="H1309"/>
      <c r="I1309"/>
      <c r="J1309"/>
      <c r="K1309"/>
      <c r="L1309"/>
      <c r="M1309"/>
      <c r="S1309" s="54"/>
    </row>
    <row r="1310" spans="1:19" s="15" customFormat="1" x14ac:dyDescent="0.3">
      <c r="A1310" s="17"/>
      <c r="B1310"/>
      <c r="C1310"/>
      <c r="D1310"/>
      <c r="E1310"/>
      <c r="F1310"/>
      <c r="G1310"/>
      <c r="H1310"/>
      <c r="I1310"/>
      <c r="J1310"/>
      <c r="K1310"/>
      <c r="L1310"/>
      <c r="M1310"/>
      <c r="S1310" s="54"/>
    </row>
    <row r="1311" spans="1:19" s="15" customFormat="1" x14ac:dyDescent="0.3">
      <c r="A1311" s="17"/>
      <c r="B1311"/>
      <c r="C1311"/>
      <c r="D1311"/>
      <c r="E1311"/>
      <c r="F1311"/>
      <c r="G1311"/>
      <c r="H1311"/>
      <c r="I1311"/>
      <c r="J1311"/>
      <c r="K1311"/>
      <c r="L1311"/>
      <c r="M1311"/>
      <c r="S1311" s="54"/>
    </row>
    <row r="1312" spans="1:19" s="15" customFormat="1" x14ac:dyDescent="0.3">
      <c r="A1312" s="17"/>
      <c r="B1312"/>
      <c r="C1312"/>
      <c r="D1312"/>
      <c r="E1312"/>
      <c r="F1312"/>
      <c r="G1312"/>
      <c r="H1312"/>
      <c r="I1312"/>
      <c r="J1312"/>
      <c r="K1312"/>
      <c r="L1312"/>
      <c r="M1312"/>
      <c r="S1312" s="54"/>
    </row>
    <row r="1313" spans="1:19" s="15" customFormat="1" x14ac:dyDescent="0.3">
      <c r="A1313" s="17"/>
      <c r="B1313"/>
      <c r="C1313"/>
      <c r="D1313"/>
      <c r="E1313"/>
      <c r="F1313"/>
      <c r="G1313"/>
      <c r="H1313"/>
      <c r="I1313"/>
      <c r="J1313"/>
      <c r="K1313"/>
      <c r="L1313"/>
      <c r="M1313"/>
      <c r="S1313" s="54"/>
    </row>
    <row r="1314" spans="1:19" s="15" customFormat="1" x14ac:dyDescent="0.3">
      <c r="A1314" s="17"/>
      <c r="B1314"/>
      <c r="C1314"/>
      <c r="D1314"/>
      <c r="E1314"/>
      <c r="F1314"/>
      <c r="G1314"/>
      <c r="H1314"/>
      <c r="I1314"/>
      <c r="J1314"/>
      <c r="K1314"/>
      <c r="L1314"/>
      <c r="M1314"/>
      <c r="S1314" s="54"/>
    </row>
    <row r="1315" spans="1:19" s="15" customFormat="1" x14ac:dyDescent="0.3">
      <c r="A1315" s="17"/>
      <c r="B1315"/>
      <c r="C1315"/>
      <c r="D1315"/>
      <c r="E1315"/>
      <c r="F1315"/>
      <c r="G1315"/>
      <c r="H1315"/>
      <c r="I1315"/>
      <c r="J1315"/>
      <c r="K1315"/>
      <c r="L1315"/>
      <c r="M1315"/>
      <c r="S1315" s="54"/>
    </row>
    <row r="1316" spans="1:19" s="15" customFormat="1" x14ac:dyDescent="0.3">
      <c r="A1316" s="17"/>
      <c r="B1316"/>
      <c r="C1316"/>
      <c r="D1316"/>
      <c r="E1316"/>
      <c r="F1316"/>
      <c r="G1316"/>
      <c r="H1316"/>
      <c r="I1316"/>
      <c r="J1316"/>
      <c r="K1316"/>
      <c r="L1316"/>
      <c r="M1316"/>
      <c r="S1316" s="54"/>
    </row>
    <row r="1317" spans="1:19" s="15" customFormat="1" x14ac:dyDescent="0.3">
      <c r="A1317" s="17"/>
      <c r="B1317"/>
      <c r="C1317"/>
      <c r="D1317"/>
      <c r="E1317"/>
      <c r="F1317"/>
      <c r="G1317"/>
      <c r="H1317"/>
      <c r="I1317"/>
      <c r="J1317"/>
      <c r="K1317"/>
      <c r="L1317"/>
      <c r="M1317"/>
      <c r="S1317" s="54"/>
    </row>
    <row r="1318" spans="1:19" s="15" customFormat="1" x14ac:dyDescent="0.3">
      <c r="A1318" s="17"/>
      <c r="B1318"/>
      <c r="C1318"/>
      <c r="D1318"/>
      <c r="E1318"/>
      <c r="F1318"/>
      <c r="G1318"/>
      <c r="H1318"/>
      <c r="I1318"/>
      <c r="J1318"/>
      <c r="K1318"/>
      <c r="L1318"/>
      <c r="M1318"/>
      <c r="S1318" s="54"/>
    </row>
    <row r="1319" spans="1:19" s="15" customFormat="1" x14ac:dyDescent="0.3">
      <c r="A1319" s="17"/>
      <c r="B1319"/>
      <c r="C1319"/>
      <c r="D1319"/>
      <c r="E1319"/>
      <c r="F1319"/>
      <c r="G1319"/>
      <c r="H1319"/>
      <c r="I1319"/>
      <c r="J1319"/>
      <c r="K1319"/>
      <c r="L1319"/>
      <c r="M1319"/>
      <c r="S1319" s="54"/>
    </row>
    <row r="1320" spans="1:19" s="15" customFormat="1" x14ac:dyDescent="0.3">
      <c r="A1320" s="17"/>
      <c r="B1320"/>
      <c r="C1320"/>
      <c r="D1320"/>
      <c r="E1320"/>
      <c r="F1320"/>
      <c r="G1320"/>
      <c r="H1320"/>
      <c r="I1320"/>
      <c r="J1320"/>
      <c r="K1320"/>
      <c r="L1320"/>
      <c r="M1320"/>
      <c r="S1320" s="54"/>
    </row>
    <row r="1321" spans="1:19" s="15" customFormat="1" x14ac:dyDescent="0.3">
      <c r="A1321" s="17"/>
      <c r="B1321"/>
      <c r="C1321"/>
      <c r="D1321"/>
      <c r="E1321"/>
      <c r="F1321"/>
      <c r="G1321"/>
      <c r="H1321"/>
      <c r="I1321"/>
      <c r="J1321"/>
      <c r="K1321"/>
      <c r="L1321"/>
      <c r="M1321"/>
      <c r="S1321" s="54"/>
    </row>
    <row r="1322" spans="1:19" s="15" customFormat="1" x14ac:dyDescent="0.3">
      <c r="A1322" s="17"/>
      <c r="B1322"/>
      <c r="C1322"/>
      <c r="D1322"/>
      <c r="E1322"/>
      <c r="F1322"/>
      <c r="G1322"/>
      <c r="H1322"/>
      <c r="I1322"/>
      <c r="J1322"/>
      <c r="K1322"/>
      <c r="L1322"/>
      <c r="M1322"/>
      <c r="S1322" s="54"/>
    </row>
    <row r="1323" spans="1:19" s="15" customFormat="1" x14ac:dyDescent="0.3">
      <c r="A1323" s="17"/>
      <c r="B1323"/>
      <c r="C1323"/>
      <c r="D1323"/>
      <c r="E1323"/>
      <c r="F1323"/>
      <c r="G1323"/>
      <c r="H1323"/>
      <c r="I1323"/>
      <c r="J1323"/>
      <c r="K1323"/>
      <c r="L1323"/>
      <c r="M1323"/>
      <c r="S1323" s="54"/>
    </row>
    <row r="1324" spans="1:19" s="15" customFormat="1" x14ac:dyDescent="0.3">
      <c r="A1324" s="17"/>
      <c r="B1324"/>
      <c r="C1324"/>
      <c r="D1324"/>
      <c r="E1324"/>
      <c r="F1324"/>
      <c r="G1324"/>
      <c r="H1324"/>
      <c r="I1324"/>
      <c r="J1324"/>
      <c r="K1324"/>
      <c r="L1324"/>
      <c r="M1324"/>
      <c r="S1324" s="54"/>
    </row>
    <row r="1325" spans="1:19" s="15" customFormat="1" x14ac:dyDescent="0.3">
      <c r="A1325" s="17"/>
      <c r="B1325"/>
      <c r="C1325"/>
      <c r="D1325"/>
      <c r="E1325"/>
      <c r="F1325"/>
      <c r="G1325"/>
      <c r="H1325"/>
      <c r="I1325"/>
      <c r="J1325"/>
      <c r="K1325"/>
      <c r="L1325"/>
      <c r="M1325"/>
      <c r="S1325" s="54"/>
    </row>
    <row r="1326" spans="1:19" s="15" customFormat="1" x14ac:dyDescent="0.3">
      <c r="A1326" s="17"/>
      <c r="B1326"/>
      <c r="C1326"/>
      <c r="D1326"/>
      <c r="E1326"/>
      <c r="F1326"/>
      <c r="G1326"/>
      <c r="H1326"/>
      <c r="I1326"/>
      <c r="J1326"/>
      <c r="K1326"/>
      <c r="L1326"/>
      <c r="M1326"/>
      <c r="S1326" s="54"/>
    </row>
    <row r="1327" spans="1:19" s="15" customFormat="1" x14ac:dyDescent="0.3">
      <c r="A1327" s="17"/>
      <c r="B1327"/>
      <c r="C1327"/>
      <c r="D1327"/>
      <c r="E1327"/>
      <c r="F1327"/>
      <c r="G1327"/>
      <c r="H1327"/>
      <c r="I1327"/>
      <c r="J1327"/>
      <c r="K1327"/>
      <c r="L1327"/>
      <c r="M1327"/>
      <c r="S1327" s="54"/>
    </row>
    <row r="1328" spans="1:19" s="15" customFormat="1" x14ac:dyDescent="0.3">
      <c r="A1328" s="17"/>
      <c r="B1328"/>
      <c r="C1328"/>
      <c r="D1328"/>
      <c r="E1328"/>
      <c r="F1328"/>
      <c r="G1328"/>
      <c r="H1328"/>
      <c r="I1328"/>
      <c r="J1328"/>
      <c r="K1328"/>
      <c r="L1328"/>
      <c r="M1328"/>
      <c r="S1328" s="54"/>
    </row>
    <row r="1329" spans="1:19" s="15" customFormat="1" x14ac:dyDescent="0.3">
      <c r="A1329" s="17"/>
      <c r="B1329"/>
      <c r="C1329"/>
      <c r="D1329"/>
      <c r="E1329"/>
      <c r="F1329"/>
      <c r="G1329"/>
      <c r="H1329"/>
      <c r="I1329"/>
      <c r="J1329"/>
      <c r="K1329"/>
      <c r="L1329"/>
      <c r="M1329"/>
      <c r="S1329" s="54"/>
    </row>
    <row r="1330" spans="1:19" s="15" customFormat="1" x14ac:dyDescent="0.3">
      <c r="A1330" s="17"/>
      <c r="B1330"/>
      <c r="C1330"/>
      <c r="D1330"/>
      <c r="E1330"/>
      <c r="F1330"/>
      <c r="G1330"/>
      <c r="H1330"/>
      <c r="I1330"/>
      <c r="J1330"/>
      <c r="K1330"/>
      <c r="L1330"/>
      <c r="M1330"/>
      <c r="S1330" s="54"/>
    </row>
    <row r="1331" spans="1:19" s="15" customFormat="1" x14ac:dyDescent="0.3">
      <c r="A1331" s="17"/>
      <c r="B1331"/>
      <c r="C1331"/>
      <c r="D1331"/>
      <c r="E1331"/>
      <c r="F1331"/>
      <c r="G1331"/>
      <c r="H1331"/>
      <c r="I1331"/>
      <c r="J1331"/>
      <c r="K1331"/>
      <c r="L1331"/>
      <c r="M1331"/>
      <c r="S1331" s="54"/>
    </row>
    <row r="1332" spans="1:19" s="15" customFormat="1" x14ac:dyDescent="0.3">
      <c r="A1332" s="17"/>
      <c r="B1332"/>
      <c r="C1332"/>
      <c r="D1332"/>
      <c r="E1332"/>
      <c r="F1332"/>
      <c r="G1332"/>
      <c r="H1332"/>
      <c r="I1332"/>
      <c r="J1332"/>
      <c r="K1332"/>
      <c r="L1332"/>
      <c r="M1332"/>
      <c r="S1332" s="54"/>
    </row>
    <row r="1333" spans="1:19" s="15" customFormat="1" x14ac:dyDescent="0.3">
      <c r="A1333" s="17"/>
      <c r="B1333"/>
      <c r="C1333"/>
      <c r="D1333"/>
      <c r="E1333"/>
      <c r="F1333"/>
      <c r="G1333"/>
      <c r="H1333"/>
      <c r="I1333"/>
      <c r="J1333"/>
      <c r="K1333"/>
      <c r="L1333"/>
      <c r="M1333"/>
      <c r="S1333" s="54"/>
    </row>
    <row r="1334" spans="1:19" s="15" customFormat="1" x14ac:dyDescent="0.3">
      <c r="A1334" s="17"/>
      <c r="B1334"/>
      <c r="C1334"/>
      <c r="D1334"/>
      <c r="E1334"/>
      <c r="F1334"/>
      <c r="G1334"/>
      <c r="H1334"/>
      <c r="I1334"/>
      <c r="J1334"/>
      <c r="K1334"/>
      <c r="L1334"/>
      <c r="M1334"/>
      <c r="S1334" s="54"/>
    </row>
    <row r="1335" spans="1:19" s="15" customFormat="1" x14ac:dyDescent="0.3">
      <c r="A1335" s="17"/>
      <c r="B1335"/>
      <c r="C1335"/>
      <c r="D1335"/>
      <c r="E1335"/>
      <c r="F1335"/>
      <c r="G1335"/>
      <c r="H1335"/>
      <c r="I1335"/>
      <c r="J1335"/>
      <c r="K1335"/>
      <c r="L1335"/>
      <c r="M1335"/>
      <c r="S1335" s="54"/>
    </row>
    <row r="1336" spans="1:19" s="15" customFormat="1" x14ac:dyDescent="0.3">
      <c r="A1336" s="17"/>
      <c r="B1336"/>
      <c r="C1336"/>
      <c r="D1336"/>
      <c r="E1336"/>
      <c r="F1336"/>
      <c r="G1336"/>
      <c r="H1336"/>
      <c r="I1336"/>
      <c r="J1336"/>
      <c r="K1336"/>
      <c r="L1336"/>
      <c r="M1336"/>
      <c r="S1336" s="54"/>
    </row>
    <row r="1337" spans="1:19" s="15" customFormat="1" x14ac:dyDescent="0.3">
      <c r="A1337" s="17"/>
      <c r="B1337"/>
      <c r="C1337"/>
      <c r="D1337"/>
      <c r="E1337"/>
      <c r="F1337"/>
      <c r="G1337"/>
      <c r="H1337"/>
      <c r="I1337"/>
      <c r="J1337"/>
      <c r="K1337"/>
      <c r="L1337"/>
      <c r="M1337"/>
      <c r="S1337" s="54"/>
    </row>
    <row r="1338" spans="1:19" s="15" customFormat="1" x14ac:dyDescent="0.3">
      <c r="A1338" s="17"/>
      <c r="B1338"/>
      <c r="C1338"/>
      <c r="D1338"/>
      <c r="E1338"/>
      <c r="F1338"/>
      <c r="G1338"/>
      <c r="H1338"/>
      <c r="I1338"/>
      <c r="J1338"/>
      <c r="K1338"/>
      <c r="L1338"/>
      <c r="M1338"/>
      <c r="S1338" s="54"/>
    </row>
    <row r="1339" spans="1:19" s="15" customFormat="1" x14ac:dyDescent="0.3">
      <c r="A1339" s="17"/>
      <c r="B1339"/>
      <c r="C1339"/>
      <c r="D1339"/>
      <c r="E1339"/>
      <c r="F1339"/>
      <c r="G1339"/>
      <c r="H1339"/>
      <c r="I1339"/>
      <c r="J1339"/>
      <c r="K1339"/>
      <c r="L1339"/>
      <c r="M1339"/>
      <c r="S1339" s="54"/>
    </row>
    <row r="1340" spans="1:19" s="15" customFormat="1" x14ac:dyDescent="0.3">
      <c r="A1340" s="17"/>
      <c r="B1340"/>
      <c r="C1340"/>
      <c r="D1340"/>
      <c r="E1340"/>
      <c r="F1340"/>
      <c r="G1340"/>
      <c r="H1340"/>
      <c r="I1340"/>
      <c r="J1340"/>
      <c r="K1340"/>
      <c r="L1340"/>
      <c r="M1340"/>
      <c r="S1340" s="54"/>
    </row>
    <row r="1341" spans="1:19" s="15" customFormat="1" x14ac:dyDescent="0.3">
      <c r="A1341" s="17"/>
      <c r="B1341"/>
      <c r="C1341"/>
      <c r="D1341"/>
      <c r="E1341"/>
      <c r="F1341"/>
      <c r="G1341"/>
      <c r="H1341"/>
      <c r="I1341"/>
      <c r="J1341"/>
      <c r="K1341"/>
      <c r="L1341"/>
      <c r="M1341"/>
      <c r="S1341" s="54"/>
    </row>
    <row r="1342" spans="1:19" s="15" customFormat="1" x14ac:dyDescent="0.3">
      <c r="A1342" s="17"/>
      <c r="B1342"/>
      <c r="C1342"/>
      <c r="D1342"/>
      <c r="E1342"/>
      <c r="F1342"/>
      <c r="G1342"/>
      <c r="H1342"/>
      <c r="I1342"/>
      <c r="J1342"/>
      <c r="K1342"/>
      <c r="L1342"/>
      <c r="M1342"/>
      <c r="S1342" s="54"/>
    </row>
    <row r="1343" spans="1:19" s="15" customFormat="1" x14ac:dyDescent="0.3">
      <c r="A1343" s="17"/>
      <c r="B1343"/>
      <c r="C1343"/>
      <c r="D1343"/>
      <c r="E1343"/>
      <c r="F1343"/>
      <c r="G1343"/>
      <c r="H1343"/>
      <c r="I1343"/>
      <c r="J1343"/>
      <c r="K1343"/>
      <c r="L1343"/>
      <c r="M1343"/>
      <c r="S1343" s="54"/>
    </row>
    <row r="1344" spans="1:19" s="15" customFormat="1" x14ac:dyDescent="0.3">
      <c r="A1344" s="17"/>
      <c r="B1344"/>
      <c r="C1344"/>
      <c r="D1344"/>
      <c r="E1344"/>
      <c r="F1344"/>
      <c r="G1344"/>
      <c r="H1344"/>
      <c r="I1344"/>
      <c r="J1344"/>
      <c r="K1344"/>
      <c r="L1344"/>
      <c r="M1344"/>
      <c r="S1344" s="54"/>
    </row>
    <row r="1345" spans="1:19" s="15" customFormat="1" x14ac:dyDescent="0.3">
      <c r="A1345" s="17"/>
      <c r="B1345"/>
      <c r="C1345"/>
      <c r="D1345"/>
      <c r="E1345"/>
      <c r="F1345"/>
      <c r="G1345"/>
      <c r="H1345"/>
      <c r="I1345"/>
      <c r="J1345"/>
      <c r="K1345"/>
      <c r="L1345"/>
      <c r="M1345"/>
      <c r="S1345" s="54"/>
    </row>
    <row r="1346" spans="1:19" s="15" customFormat="1" x14ac:dyDescent="0.3">
      <c r="A1346" s="17"/>
      <c r="B1346"/>
      <c r="C1346"/>
      <c r="D1346"/>
      <c r="E1346"/>
      <c r="F1346"/>
      <c r="G1346"/>
      <c r="H1346"/>
      <c r="I1346"/>
      <c r="J1346"/>
      <c r="K1346"/>
      <c r="L1346"/>
      <c r="M1346"/>
      <c r="S1346" s="54"/>
    </row>
    <row r="1347" spans="1:19" s="15" customFormat="1" x14ac:dyDescent="0.3">
      <c r="A1347" s="17"/>
      <c r="B1347"/>
      <c r="C1347"/>
      <c r="D1347"/>
      <c r="E1347"/>
      <c r="F1347"/>
      <c r="G1347"/>
      <c r="H1347"/>
      <c r="I1347"/>
      <c r="J1347"/>
      <c r="K1347"/>
      <c r="L1347"/>
      <c r="M1347"/>
      <c r="S1347" s="54"/>
    </row>
    <row r="1348" spans="1:19" s="15" customFormat="1" x14ac:dyDescent="0.3">
      <c r="A1348" s="17"/>
      <c r="B1348"/>
      <c r="C1348"/>
      <c r="D1348"/>
      <c r="E1348"/>
      <c r="F1348"/>
      <c r="G1348"/>
      <c r="H1348"/>
      <c r="I1348"/>
      <c r="J1348"/>
      <c r="K1348"/>
      <c r="L1348"/>
      <c r="M1348"/>
      <c r="S1348" s="54"/>
    </row>
    <row r="1349" spans="1:19" s="15" customFormat="1" x14ac:dyDescent="0.3">
      <c r="A1349" s="17"/>
      <c r="B1349"/>
      <c r="C1349"/>
      <c r="D1349"/>
      <c r="E1349"/>
      <c r="F1349"/>
      <c r="G1349"/>
      <c r="H1349"/>
      <c r="I1349"/>
      <c r="J1349"/>
      <c r="K1349"/>
      <c r="L1349"/>
      <c r="M1349"/>
      <c r="S1349" s="54"/>
    </row>
    <row r="1350" spans="1:19" s="15" customFormat="1" x14ac:dyDescent="0.3">
      <c r="A1350" s="17"/>
      <c r="B1350"/>
      <c r="C1350"/>
      <c r="D1350"/>
      <c r="E1350"/>
      <c r="F1350"/>
      <c r="G1350"/>
      <c r="H1350"/>
      <c r="I1350"/>
      <c r="J1350"/>
      <c r="K1350"/>
      <c r="L1350"/>
      <c r="M1350"/>
      <c r="S1350" s="54"/>
    </row>
    <row r="1351" spans="1:19" s="15" customFormat="1" x14ac:dyDescent="0.3">
      <c r="A1351" s="17"/>
      <c r="B1351"/>
      <c r="C1351"/>
      <c r="D1351"/>
      <c r="E1351"/>
      <c r="F1351"/>
      <c r="G1351"/>
      <c r="H1351"/>
      <c r="I1351"/>
      <c r="J1351"/>
      <c r="K1351"/>
      <c r="L1351"/>
      <c r="M1351"/>
      <c r="S1351" s="54"/>
    </row>
    <row r="1352" spans="1:19" s="15" customFormat="1" x14ac:dyDescent="0.3">
      <c r="A1352" s="17"/>
      <c r="B1352"/>
      <c r="C1352"/>
      <c r="D1352"/>
      <c r="E1352"/>
      <c r="F1352"/>
      <c r="G1352"/>
      <c r="H1352"/>
      <c r="I1352"/>
      <c r="J1352"/>
      <c r="K1352"/>
      <c r="L1352"/>
      <c r="M1352"/>
      <c r="S1352" s="54"/>
    </row>
    <row r="1353" spans="1:19" s="15" customFormat="1" x14ac:dyDescent="0.3">
      <c r="A1353" s="17"/>
      <c r="B1353"/>
      <c r="C1353"/>
      <c r="D1353"/>
      <c r="E1353"/>
      <c r="F1353"/>
      <c r="G1353"/>
      <c r="H1353"/>
      <c r="I1353"/>
      <c r="J1353"/>
      <c r="K1353"/>
      <c r="L1353"/>
      <c r="M1353"/>
      <c r="S1353" s="54"/>
    </row>
    <row r="1354" spans="1:19" s="15" customFormat="1" x14ac:dyDescent="0.3">
      <c r="A1354" s="17"/>
      <c r="B1354"/>
      <c r="C1354"/>
      <c r="D1354"/>
      <c r="E1354"/>
      <c r="F1354"/>
      <c r="G1354"/>
      <c r="H1354"/>
      <c r="I1354"/>
      <c r="J1354"/>
      <c r="K1354"/>
      <c r="L1354"/>
      <c r="M1354"/>
      <c r="S1354" s="54"/>
    </row>
    <row r="1355" spans="1:19" s="15" customFormat="1" x14ac:dyDescent="0.3">
      <c r="A1355" s="17"/>
      <c r="B1355"/>
      <c r="C1355"/>
      <c r="D1355"/>
      <c r="E1355"/>
      <c r="F1355"/>
      <c r="G1355"/>
      <c r="H1355"/>
      <c r="I1355"/>
      <c r="J1355"/>
      <c r="K1355"/>
      <c r="L1355"/>
      <c r="M1355"/>
      <c r="S1355" s="54"/>
    </row>
    <row r="1356" spans="1:19" s="15" customFormat="1" x14ac:dyDescent="0.3">
      <c r="A1356" s="17"/>
      <c r="B1356"/>
      <c r="C1356"/>
      <c r="D1356"/>
      <c r="E1356"/>
      <c r="F1356"/>
      <c r="G1356"/>
      <c r="H1356"/>
      <c r="I1356"/>
      <c r="J1356"/>
      <c r="K1356"/>
      <c r="L1356"/>
      <c r="M1356"/>
      <c r="S1356" s="54"/>
    </row>
    <row r="1357" spans="1:19" s="15" customFormat="1" x14ac:dyDescent="0.3">
      <c r="A1357" s="17"/>
      <c r="B1357"/>
      <c r="C1357"/>
      <c r="D1357"/>
      <c r="E1357"/>
      <c r="F1357"/>
      <c r="G1357"/>
      <c r="H1357"/>
      <c r="I1357"/>
      <c r="J1357"/>
      <c r="K1357"/>
      <c r="L1357"/>
      <c r="M1357"/>
      <c r="S1357" s="54"/>
    </row>
    <row r="1358" spans="1:19" s="15" customFormat="1" x14ac:dyDescent="0.3">
      <c r="A1358" s="17"/>
      <c r="B1358"/>
      <c r="C1358"/>
      <c r="D1358"/>
      <c r="E1358"/>
      <c r="F1358"/>
      <c r="G1358"/>
      <c r="H1358"/>
      <c r="I1358"/>
      <c r="J1358"/>
      <c r="K1358"/>
      <c r="L1358"/>
      <c r="M1358"/>
      <c r="S1358" s="54"/>
    </row>
    <row r="1359" spans="1:19" s="15" customFormat="1" x14ac:dyDescent="0.3">
      <c r="A1359" s="17"/>
      <c r="B1359"/>
      <c r="C1359"/>
      <c r="D1359"/>
      <c r="E1359"/>
      <c r="F1359"/>
      <c r="G1359"/>
      <c r="H1359"/>
      <c r="I1359"/>
      <c r="J1359"/>
      <c r="K1359"/>
      <c r="L1359"/>
      <c r="M1359"/>
      <c r="S1359" s="54"/>
    </row>
    <row r="1360" spans="1:19" s="15" customFormat="1" x14ac:dyDescent="0.3">
      <c r="A1360" s="17"/>
      <c r="B1360"/>
      <c r="C1360"/>
      <c r="D1360"/>
      <c r="E1360"/>
      <c r="F1360"/>
      <c r="G1360"/>
      <c r="H1360"/>
      <c r="I1360"/>
      <c r="J1360"/>
      <c r="K1360"/>
      <c r="L1360"/>
      <c r="M1360"/>
      <c r="S1360" s="54"/>
    </row>
    <row r="1361" spans="1:19" s="15" customFormat="1" x14ac:dyDescent="0.3">
      <c r="A1361" s="17"/>
      <c r="B1361"/>
      <c r="C1361"/>
      <c r="D1361"/>
      <c r="E1361"/>
      <c r="F1361"/>
      <c r="G1361"/>
      <c r="H1361"/>
      <c r="I1361"/>
      <c r="J1361"/>
      <c r="K1361"/>
      <c r="L1361"/>
      <c r="M1361"/>
      <c r="S1361" s="54"/>
    </row>
    <row r="1362" spans="1:19" s="15" customFormat="1" x14ac:dyDescent="0.3">
      <c r="A1362" s="17"/>
      <c r="B1362"/>
      <c r="C1362"/>
      <c r="D1362"/>
      <c r="E1362"/>
      <c r="F1362"/>
      <c r="G1362"/>
      <c r="H1362"/>
      <c r="I1362"/>
      <c r="J1362"/>
      <c r="K1362"/>
      <c r="L1362"/>
      <c r="M1362"/>
      <c r="S1362" s="54"/>
    </row>
    <row r="1363" spans="1:19" s="15" customFormat="1" x14ac:dyDescent="0.3">
      <c r="A1363" s="17"/>
      <c r="B1363"/>
      <c r="C1363"/>
      <c r="D1363"/>
      <c r="E1363"/>
      <c r="F1363"/>
      <c r="G1363"/>
      <c r="H1363"/>
      <c r="I1363"/>
      <c r="J1363"/>
      <c r="K1363"/>
      <c r="L1363"/>
      <c r="M1363"/>
      <c r="S1363" s="54"/>
    </row>
    <row r="1364" spans="1:19" s="15" customFormat="1" x14ac:dyDescent="0.3">
      <c r="A1364" s="17"/>
      <c r="B1364"/>
      <c r="C1364"/>
      <c r="D1364"/>
      <c r="E1364"/>
      <c r="F1364"/>
      <c r="G1364"/>
      <c r="H1364"/>
      <c r="I1364"/>
      <c r="J1364"/>
      <c r="K1364"/>
      <c r="L1364"/>
      <c r="M1364"/>
      <c r="S1364" s="54"/>
    </row>
    <row r="1365" spans="1:19" s="15" customFormat="1" x14ac:dyDescent="0.3">
      <c r="A1365" s="17"/>
      <c r="B1365"/>
      <c r="C1365"/>
      <c r="D1365"/>
      <c r="E1365"/>
      <c r="F1365"/>
      <c r="G1365"/>
      <c r="H1365"/>
      <c r="I1365"/>
      <c r="J1365"/>
      <c r="K1365"/>
      <c r="L1365"/>
      <c r="M1365"/>
      <c r="S1365" s="54"/>
    </row>
    <row r="1366" spans="1:19" s="15" customFormat="1" x14ac:dyDescent="0.3">
      <c r="A1366" s="17"/>
      <c r="B1366"/>
      <c r="C1366"/>
      <c r="D1366"/>
      <c r="E1366"/>
      <c r="F1366"/>
      <c r="G1366"/>
      <c r="H1366"/>
      <c r="I1366"/>
      <c r="J1366"/>
      <c r="K1366"/>
      <c r="L1366"/>
      <c r="M1366"/>
      <c r="S1366" s="54"/>
    </row>
    <row r="1367" spans="1:19" s="15" customFormat="1" x14ac:dyDescent="0.3">
      <c r="A1367" s="17"/>
      <c r="B1367"/>
      <c r="C1367"/>
      <c r="D1367"/>
      <c r="E1367"/>
      <c r="F1367"/>
      <c r="G1367"/>
      <c r="H1367"/>
      <c r="I1367"/>
      <c r="J1367"/>
      <c r="K1367"/>
      <c r="L1367"/>
      <c r="M1367"/>
      <c r="S1367" s="54"/>
    </row>
    <row r="1368" spans="1:19" s="15" customFormat="1" x14ac:dyDescent="0.3">
      <c r="A1368" s="17"/>
      <c r="B1368"/>
      <c r="C1368"/>
      <c r="D1368"/>
      <c r="E1368"/>
      <c r="F1368"/>
      <c r="G1368"/>
      <c r="H1368"/>
      <c r="I1368"/>
      <c r="J1368"/>
      <c r="K1368"/>
      <c r="L1368"/>
      <c r="M1368"/>
      <c r="S1368" s="54"/>
    </row>
    <row r="1369" spans="1:19" s="15" customFormat="1" x14ac:dyDescent="0.3">
      <c r="A1369" s="17"/>
      <c r="B1369"/>
      <c r="C1369"/>
      <c r="D1369"/>
      <c r="E1369"/>
      <c r="F1369"/>
      <c r="G1369"/>
      <c r="H1369"/>
      <c r="I1369"/>
      <c r="J1369"/>
      <c r="K1369"/>
      <c r="L1369"/>
      <c r="M1369"/>
      <c r="S1369" s="54"/>
    </row>
    <row r="1370" spans="1:19" s="15" customFormat="1" x14ac:dyDescent="0.3">
      <c r="A1370" s="17"/>
      <c r="B1370"/>
      <c r="C1370"/>
      <c r="D1370"/>
      <c r="E1370"/>
      <c r="F1370"/>
      <c r="G1370"/>
      <c r="H1370"/>
      <c r="I1370"/>
      <c r="J1370"/>
      <c r="K1370"/>
      <c r="L1370"/>
      <c r="M1370"/>
      <c r="S1370" s="54"/>
    </row>
    <row r="1371" spans="1:19" s="15" customFormat="1" x14ac:dyDescent="0.3">
      <c r="A1371" s="17"/>
      <c r="B1371"/>
      <c r="C1371"/>
      <c r="D1371"/>
      <c r="E1371"/>
      <c r="F1371"/>
      <c r="G1371"/>
      <c r="H1371"/>
      <c r="I1371"/>
      <c r="J1371"/>
      <c r="K1371"/>
      <c r="L1371"/>
      <c r="M1371"/>
      <c r="S1371" s="54"/>
    </row>
    <row r="1372" spans="1:19" s="15" customFormat="1" x14ac:dyDescent="0.3">
      <c r="A1372" s="17"/>
      <c r="B1372"/>
      <c r="C1372"/>
      <c r="D1372"/>
      <c r="E1372"/>
      <c r="F1372"/>
      <c r="G1372"/>
      <c r="H1372"/>
      <c r="I1372"/>
      <c r="J1372"/>
      <c r="K1372"/>
      <c r="L1372"/>
      <c r="M1372"/>
      <c r="S1372" s="54"/>
    </row>
    <row r="1373" spans="1:19" s="15" customFormat="1" x14ac:dyDescent="0.3">
      <c r="A1373" s="17"/>
      <c r="B1373"/>
      <c r="C1373"/>
      <c r="D1373"/>
      <c r="E1373"/>
      <c r="F1373"/>
      <c r="G1373"/>
      <c r="H1373"/>
      <c r="I1373"/>
      <c r="J1373"/>
      <c r="K1373"/>
      <c r="L1373"/>
      <c r="M1373"/>
      <c r="S1373" s="54"/>
    </row>
    <row r="1374" spans="1:19" s="15" customFormat="1" x14ac:dyDescent="0.3">
      <c r="A1374" s="17"/>
      <c r="B1374"/>
      <c r="C1374"/>
      <c r="D1374"/>
      <c r="E1374"/>
      <c r="F1374"/>
      <c r="G1374"/>
      <c r="H1374"/>
      <c r="I1374"/>
      <c r="J1374"/>
      <c r="K1374"/>
      <c r="L1374"/>
      <c r="M1374"/>
      <c r="S1374" s="54"/>
    </row>
    <row r="1375" spans="1:19" s="15" customFormat="1" x14ac:dyDescent="0.3">
      <c r="A1375" s="17"/>
      <c r="B1375"/>
      <c r="C1375"/>
      <c r="D1375"/>
      <c r="E1375"/>
      <c r="F1375"/>
      <c r="G1375"/>
      <c r="H1375"/>
      <c r="I1375"/>
      <c r="J1375"/>
      <c r="K1375"/>
      <c r="L1375"/>
      <c r="M1375"/>
      <c r="S1375" s="54"/>
    </row>
    <row r="1376" spans="1:19" s="15" customFormat="1" x14ac:dyDescent="0.3">
      <c r="A1376" s="17"/>
      <c r="B1376"/>
      <c r="C1376"/>
      <c r="D1376"/>
      <c r="E1376"/>
      <c r="F1376"/>
      <c r="G1376"/>
      <c r="H1376"/>
      <c r="I1376"/>
      <c r="J1376"/>
      <c r="K1376"/>
      <c r="L1376"/>
      <c r="M1376"/>
      <c r="S1376" s="54"/>
    </row>
    <row r="1377" spans="1:19" s="15" customFormat="1" x14ac:dyDescent="0.3">
      <c r="A1377" s="17"/>
      <c r="B1377"/>
      <c r="C1377"/>
      <c r="D1377"/>
      <c r="E1377"/>
      <c r="F1377"/>
      <c r="G1377"/>
      <c r="H1377"/>
      <c r="I1377"/>
      <c r="J1377"/>
      <c r="K1377"/>
      <c r="L1377"/>
      <c r="M1377"/>
      <c r="S1377" s="54"/>
    </row>
    <row r="1378" spans="1:19" s="15" customFormat="1" x14ac:dyDescent="0.3">
      <c r="A1378" s="17"/>
      <c r="B1378"/>
      <c r="C1378"/>
      <c r="D1378"/>
      <c r="E1378"/>
      <c r="F1378"/>
      <c r="G1378"/>
      <c r="H1378"/>
      <c r="I1378"/>
      <c r="J1378"/>
      <c r="K1378"/>
      <c r="L1378"/>
      <c r="M1378"/>
      <c r="S1378" s="54"/>
    </row>
    <row r="1379" spans="1:19" s="15" customFormat="1" x14ac:dyDescent="0.3">
      <c r="A1379" s="17"/>
      <c r="B1379"/>
      <c r="C1379"/>
      <c r="D1379"/>
      <c r="E1379"/>
      <c r="F1379"/>
      <c r="G1379"/>
      <c r="H1379"/>
      <c r="I1379"/>
      <c r="J1379"/>
      <c r="K1379"/>
      <c r="L1379"/>
      <c r="M1379"/>
      <c r="S1379" s="54"/>
    </row>
    <row r="1380" spans="1:19" s="15" customFormat="1" x14ac:dyDescent="0.3">
      <c r="A1380" s="17"/>
      <c r="B1380"/>
      <c r="C1380"/>
      <c r="D1380"/>
      <c r="E1380"/>
      <c r="F1380"/>
      <c r="G1380"/>
      <c r="H1380"/>
      <c r="I1380"/>
      <c r="J1380"/>
      <c r="K1380"/>
      <c r="L1380"/>
      <c r="M1380"/>
      <c r="S1380" s="54"/>
    </row>
    <row r="1381" spans="1:19" s="15" customFormat="1" x14ac:dyDescent="0.3">
      <c r="A1381" s="17"/>
      <c r="B1381"/>
      <c r="C1381"/>
      <c r="D1381"/>
      <c r="E1381"/>
      <c r="F1381"/>
      <c r="G1381"/>
      <c r="H1381"/>
      <c r="I1381"/>
      <c r="J1381"/>
      <c r="K1381"/>
      <c r="L1381"/>
      <c r="M1381"/>
      <c r="S1381" s="54"/>
    </row>
    <row r="1382" spans="1:19" s="15" customFormat="1" x14ac:dyDescent="0.3">
      <c r="A1382" s="17"/>
      <c r="B1382"/>
      <c r="C1382"/>
      <c r="D1382"/>
      <c r="E1382"/>
      <c r="F1382"/>
      <c r="G1382"/>
      <c r="H1382"/>
      <c r="I1382"/>
      <c r="J1382"/>
      <c r="K1382"/>
      <c r="L1382"/>
      <c r="M1382"/>
      <c r="S1382" s="54"/>
    </row>
    <row r="1383" spans="1:19" s="15" customFormat="1" x14ac:dyDescent="0.3">
      <c r="A1383" s="17"/>
      <c r="B1383"/>
      <c r="C1383"/>
      <c r="D1383"/>
      <c r="E1383"/>
      <c r="F1383"/>
      <c r="G1383"/>
      <c r="H1383"/>
      <c r="I1383"/>
      <c r="J1383"/>
      <c r="K1383"/>
      <c r="L1383"/>
      <c r="M1383"/>
      <c r="S1383" s="54"/>
    </row>
    <row r="1384" spans="1:19" s="15" customFormat="1" x14ac:dyDescent="0.3">
      <c r="A1384" s="17"/>
      <c r="B1384"/>
      <c r="C1384"/>
      <c r="D1384"/>
      <c r="E1384"/>
      <c r="F1384"/>
      <c r="G1384"/>
      <c r="H1384"/>
      <c r="I1384"/>
      <c r="J1384"/>
      <c r="K1384"/>
      <c r="L1384"/>
      <c r="M1384"/>
      <c r="S1384" s="54"/>
    </row>
    <row r="1385" spans="1:19" s="15" customFormat="1" x14ac:dyDescent="0.3">
      <c r="A1385" s="17"/>
      <c r="B1385"/>
      <c r="C1385"/>
      <c r="D1385"/>
      <c r="E1385"/>
      <c r="F1385"/>
      <c r="G1385"/>
      <c r="H1385"/>
      <c r="I1385"/>
      <c r="J1385"/>
      <c r="K1385"/>
      <c r="L1385"/>
      <c r="M1385"/>
      <c r="S1385" s="54"/>
    </row>
    <row r="1386" spans="1:19" s="15" customFormat="1" x14ac:dyDescent="0.3">
      <c r="A1386" s="17"/>
      <c r="B1386"/>
      <c r="C1386"/>
      <c r="D1386"/>
      <c r="E1386"/>
      <c r="F1386"/>
      <c r="G1386"/>
      <c r="H1386"/>
      <c r="I1386"/>
      <c r="J1386"/>
      <c r="K1386"/>
      <c r="L1386"/>
      <c r="M1386"/>
      <c r="S1386" s="54"/>
    </row>
    <row r="1387" spans="1:19" s="15" customFormat="1" x14ac:dyDescent="0.3">
      <c r="A1387" s="17"/>
      <c r="B1387"/>
      <c r="C1387"/>
      <c r="D1387"/>
      <c r="E1387"/>
      <c r="F1387"/>
      <c r="G1387"/>
      <c r="H1387"/>
      <c r="I1387"/>
      <c r="J1387"/>
      <c r="K1387"/>
      <c r="L1387"/>
      <c r="M1387"/>
      <c r="S1387" s="54"/>
    </row>
    <row r="1388" spans="1:19" s="15" customFormat="1" x14ac:dyDescent="0.3">
      <c r="A1388" s="17"/>
      <c r="B1388"/>
      <c r="C1388"/>
      <c r="D1388"/>
      <c r="E1388"/>
      <c r="F1388"/>
      <c r="G1388"/>
      <c r="H1388"/>
      <c r="I1388"/>
      <c r="J1388"/>
      <c r="K1388"/>
      <c r="L1388"/>
      <c r="M1388"/>
      <c r="S1388" s="54"/>
    </row>
    <row r="1389" spans="1:19" s="15" customFormat="1" x14ac:dyDescent="0.3">
      <c r="A1389" s="17"/>
      <c r="B1389"/>
      <c r="C1389"/>
      <c r="D1389"/>
      <c r="E1389"/>
      <c r="F1389"/>
      <c r="G1389"/>
      <c r="H1389"/>
      <c r="I1389"/>
      <c r="J1389"/>
      <c r="K1389"/>
      <c r="L1389"/>
      <c r="M1389"/>
      <c r="S1389" s="54"/>
    </row>
    <row r="1390" spans="1:19" s="15" customFormat="1" x14ac:dyDescent="0.3">
      <c r="A1390" s="17"/>
      <c r="B1390"/>
      <c r="C1390"/>
      <c r="D1390"/>
      <c r="E1390"/>
      <c r="F1390"/>
      <c r="G1390"/>
      <c r="H1390"/>
      <c r="I1390"/>
      <c r="J1390"/>
      <c r="K1390"/>
      <c r="L1390"/>
      <c r="M1390"/>
      <c r="S1390" s="54"/>
    </row>
    <row r="1391" spans="1:19" s="15" customFormat="1" x14ac:dyDescent="0.3">
      <c r="A1391" s="17"/>
      <c r="B1391"/>
      <c r="C1391"/>
      <c r="D1391"/>
      <c r="E1391"/>
      <c r="F1391"/>
      <c r="G1391"/>
      <c r="H1391"/>
      <c r="I1391"/>
      <c r="J1391"/>
      <c r="K1391"/>
      <c r="L1391"/>
      <c r="M1391"/>
      <c r="S1391" s="54"/>
    </row>
    <row r="1392" spans="1:19" s="15" customFormat="1" x14ac:dyDescent="0.3">
      <c r="A1392" s="17"/>
      <c r="B1392"/>
      <c r="C1392"/>
      <c r="D1392"/>
      <c r="E1392"/>
      <c r="F1392"/>
      <c r="G1392"/>
      <c r="H1392"/>
      <c r="I1392"/>
      <c r="J1392"/>
      <c r="K1392"/>
      <c r="L1392"/>
      <c r="M1392"/>
      <c r="S1392" s="54"/>
    </row>
    <row r="1393" spans="1:19" s="15" customFormat="1" x14ac:dyDescent="0.3">
      <c r="A1393" s="17"/>
      <c r="B1393"/>
      <c r="C1393"/>
      <c r="D1393"/>
      <c r="E1393"/>
      <c r="F1393"/>
      <c r="G1393"/>
      <c r="H1393"/>
      <c r="I1393"/>
      <c r="J1393"/>
      <c r="K1393"/>
      <c r="L1393"/>
      <c r="M1393"/>
      <c r="S1393" s="54"/>
    </row>
    <row r="1394" spans="1:19" s="15" customFormat="1" x14ac:dyDescent="0.3">
      <c r="A1394" s="17"/>
      <c r="B1394"/>
      <c r="C1394"/>
      <c r="D1394"/>
      <c r="E1394"/>
      <c r="F1394"/>
      <c r="G1394"/>
      <c r="H1394"/>
      <c r="I1394"/>
      <c r="J1394"/>
      <c r="K1394"/>
      <c r="L1394"/>
      <c r="M1394"/>
      <c r="S1394" s="54"/>
    </row>
    <row r="1395" spans="1:19" s="15" customFormat="1" x14ac:dyDescent="0.3">
      <c r="A1395" s="17"/>
      <c r="B1395"/>
      <c r="C1395"/>
      <c r="D1395"/>
      <c r="E1395"/>
      <c r="F1395"/>
      <c r="G1395"/>
      <c r="H1395"/>
      <c r="I1395"/>
      <c r="J1395"/>
      <c r="K1395"/>
      <c r="L1395"/>
      <c r="M1395"/>
      <c r="S1395" s="54"/>
    </row>
    <row r="1396" spans="1:19" s="15" customFormat="1" x14ac:dyDescent="0.3">
      <c r="A1396" s="17"/>
      <c r="B1396"/>
      <c r="C1396"/>
      <c r="D1396"/>
      <c r="E1396"/>
      <c r="F1396"/>
      <c r="G1396"/>
      <c r="H1396"/>
      <c r="I1396"/>
      <c r="J1396"/>
      <c r="K1396"/>
      <c r="L1396"/>
      <c r="M1396"/>
      <c r="S1396" s="54"/>
    </row>
    <row r="1397" spans="1:19" s="15" customFormat="1" x14ac:dyDescent="0.3">
      <c r="A1397" s="17"/>
      <c r="B1397"/>
      <c r="C1397"/>
      <c r="D1397"/>
      <c r="E1397"/>
      <c r="F1397"/>
      <c r="G1397"/>
      <c r="H1397"/>
      <c r="I1397"/>
      <c r="J1397"/>
      <c r="K1397"/>
      <c r="L1397"/>
      <c r="M1397"/>
      <c r="S1397" s="54"/>
    </row>
    <row r="1398" spans="1:19" s="15" customFormat="1" x14ac:dyDescent="0.3">
      <c r="A1398" s="17"/>
      <c r="B1398"/>
      <c r="C1398"/>
      <c r="D1398"/>
      <c r="E1398"/>
      <c r="F1398"/>
      <c r="G1398"/>
      <c r="H1398"/>
      <c r="I1398"/>
      <c r="J1398"/>
      <c r="K1398"/>
      <c r="L1398"/>
      <c r="M1398"/>
      <c r="S1398" s="54"/>
    </row>
    <row r="1399" spans="1:19" s="15" customFormat="1" x14ac:dyDescent="0.3">
      <c r="A1399" s="17"/>
      <c r="B1399"/>
      <c r="C1399"/>
      <c r="D1399"/>
      <c r="E1399"/>
      <c r="F1399"/>
      <c r="G1399"/>
      <c r="H1399"/>
      <c r="I1399"/>
      <c r="J1399"/>
      <c r="K1399"/>
      <c r="L1399"/>
      <c r="M1399"/>
      <c r="S1399" s="54"/>
    </row>
    <row r="1400" spans="1:19" s="15" customFormat="1" x14ac:dyDescent="0.3">
      <c r="A1400" s="17"/>
      <c r="B1400"/>
      <c r="C1400"/>
      <c r="D1400"/>
      <c r="E1400"/>
      <c r="F1400"/>
      <c r="G1400"/>
      <c r="H1400"/>
      <c r="I1400"/>
      <c r="J1400"/>
      <c r="K1400"/>
      <c r="L1400"/>
      <c r="M1400"/>
      <c r="S1400" s="54"/>
    </row>
    <row r="1401" spans="1:19" s="15" customFormat="1" x14ac:dyDescent="0.3">
      <c r="A1401" s="17"/>
      <c r="B1401"/>
      <c r="C1401"/>
      <c r="D1401"/>
      <c r="E1401"/>
      <c r="F1401"/>
      <c r="G1401"/>
      <c r="H1401"/>
      <c r="I1401"/>
      <c r="J1401"/>
      <c r="K1401"/>
      <c r="L1401"/>
      <c r="M1401"/>
      <c r="S1401" s="54"/>
    </row>
    <row r="1402" spans="1:19" s="15" customFormat="1" x14ac:dyDescent="0.3">
      <c r="A1402" s="17"/>
      <c r="B1402"/>
      <c r="C1402"/>
      <c r="D1402"/>
      <c r="E1402"/>
      <c r="F1402"/>
      <c r="G1402"/>
      <c r="H1402"/>
      <c r="I1402"/>
      <c r="J1402"/>
      <c r="K1402"/>
      <c r="L1402"/>
      <c r="M1402"/>
      <c r="S1402" s="54"/>
    </row>
    <row r="1403" spans="1:19" s="15" customFormat="1" x14ac:dyDescent="0.3">
      <c r="A1403" s="17"/>
      <c r="B1403"/>
      <c r="C1403"/>
      <c r="D1403"/>
      <c r="E1403"/>
      <c r="F1403"/>
      <c r="G1403"/>
      <c r="H1403"/>
      <c r="I1403"/>
      <c r="J1403"/>
      <c r="K1403"/>
      <c r="L1403"/>
      <c r="M1403"/>
      <c r="S1403" s="54"/>
    </row>
    <row r="1404" spans="1:19" s="15" customFormat="1" x14ac:dyDescent="0.3">
      <c r="A1404" s="17"/>
      <c r="B1404"/>
      <c r="C1404"/>
      <c r="D1404"/>
      <c r="E1404"/>
      <c r="F1404"/>
      <c r="G1404"/>
      <c r="H1404"/>
      <c r="I1404"/>
      <c r="J1404"/>
      <c r="K1404"/>
      <c r="L1404"/>
      <c r="M1404"/>
      <c r="S1404" s="54"/>
    </row>
    <row r="1405" spans="1:19" s="15" customFormat="1" x14ac:dyDescent="0.3">
      <c r="A1405" s="17"/>
      <c r="B1405"/>
      <c r="C1405"/>
      <c r="D1405"/>
      <c r="E1405"/>
      <c r="F1405"/>
      <c r="G1405"/>
      <c r="H1405"/>
      <c r="I1405"/>
      <c r="J1405"/>
      <c r="K1405"/>
      <c r="L1405"/>
      <c r="M1405"/>
      <c r="S1405" s="54"/>
    </row>
    <row r="1406" spans="1:19" s="15" customFormat="1" x14ac:dyDescent="0.3">
      <c r="A1406" s="17"/>
      <c r="B1406"/>
      <c r="C1406"/>
      <c r="D1406"/>
      <c r="E1406"/>
      <c r="F1406"/>
      <c r="G1406"/>
      <c r="H1406"/>
      <c r="I1406"/>
      <c r="J1406"/>
      <c r="K1406"/>
      <c r="L1406"/>
      <c r="M1406"/>
      <c r="S1406" s="54"/>
    </row>
    <row r="1407" spans="1:19" s="15" customFormat="1" x14ac:dyDescent="0.3">
      <c r="A1407" s="17"/>
      <c r="B1407"/>
      <c r="C1407"/>
      <c r="D1407"/>
      <c r="E1407"/>
      <c r="F1407"/>
      <c r="G1407"/>
      <c r="H1407"/>
      <c r="I1407"/>
      <c r="J1407"/>
      <c r="K1407"/>
      <c r="L1407"/>
      <c r="M1407"/>
      <c r="S1407" s="54"/>
    </row>
    <row r="1408" spans="1:19" s="15" customFormat="1" x14ac:dyDescent="0.3">
      <c r="A1408" s="17"/>
      <c r="B1408"/>
      <c r="C1408"/>
      <c r="D1408"/>
      <c r="E1408"/>
      <c r="F1408"/>
      <c r="G1408"/>
      <c r="H1408"/>
      <c r="I1408"/>
      <c r="J1408"/>
      <c r="K1408"/>
      <c r="L1408"/>
      <c r="M1408"/>
      <c r="S1408" s="54"/>
    </row>
    <row r="1409" spans="1:19" s="15" customFormat="1" x14ac:dyDescent="0.3">
      <c r="A1409" s="17"/>
      <c r="B1409"/>
      <c r="C1409"/>
      <c r="D1409"/>
      <c r="E1409"/>
      <c r="F1409"/>
      <c r="G1409"/>
      <c r="H1409"/>
      <c r="I1409"/>
      <c r="J1409"/>
      <c r="K1409"/>
      <c r="L1409"/>
      <c r="M1409"/>
      <c r="S1409" s="54"/>
    </row>
    <row r="1410" spans="1:19" s="15" customFormat="1" x14ac:dyDescent="0.3">
      <c r="A1410" s="17"/>
      <c r="B1410"/>
      <c r="C1410"/>
      <c r="D1410"/>
      <c r="E1410"/>
      <c r="F1410"/>
      <c r="G1410"/>
      <c r="H1410"/>
      <c r="I1410"/>
      <c r="J1410"/>
      <c r="K1410"/>
      <c r="L1410"/>
      <c r="M1410"/>
      <c r="S1410" s="54"/>
    </row>
    <row r="1411" spans="1:19" s="15" customFormat="1" x14ac:dyDescent="0.3">
      <c r="A1411" s="17"/>
      <c r="B1411"/>
      <c r="C1411"/>
      <c r="D1411"/>
      <c r="E1411"/>
      <c r="F1411"/>
      <c r="G1411"/>
      <c r="H1411"/>
      <c r="I1411"/>
      <c r="J1411"/>
      <c r="K1411"/>
      <c r="L1411"/>
      <c r="M1411"/>
      <c r="S1411" s="54"/>
    </row>
    <row r="1412" spans="1:19" s="15" customFormat="1" x14ac:dyDescent="0.3">
      <c r="A1412" s="17"/>
      <c r="B1412"/>
      <c r="C1412"/>
      <c r="D1412"/>
      <c r="E1412"/>
      <c r="F1412"/>
      <c r="G1412"/>
      <c r="H1412"/>
      <c r="I1412"/>
      <c r="J1412"/>
      <c r="K1412"/>
      <c r="L1412"/>
      <c r="M1412"/>
      <c r="S1412" s="54"/>
    </row>
    <row r="1413" spans="1:19" s="15" customFormat="1" x14ac:dyDescent="0.3">
      <c r="A1413" s="17"/>
      <c r="B1413"/>
      <c r="C1413"/>
      <c r="D1413"/>
      <c r="E1413"/>
      <c r="F1413"/>
      <c r="G1413"/>
      <c r="H1413"/>
      <c r="I1413"/>
      <c r="J1413"/>
      <c r="K1413"/>
      <c r="L1413"/>
      <c r="M1413"/>
      <c r="S1413" s="54"/>
    </row>
    <row r="1414" spans="1:19" s="15" customFormat="1" x14ac:dyDescent="0.3">
      <c r="A1414" s="17"/>
      <c r="B1414"/>
      <c r="C1414"/>
      <c r="D1414"/>
      <c r="E1414"/>
      <c r="F1414"/>
      <c r="G1414"/>
      <c r="H1414"/>
      <c r="I1414"/>
      <c r="J1414"/>
      <c r="K1414"/>
      <c r="L1414"/>
      <c r="M1414"/>
      <c r="S1414" s="54"/>
    </row>
    <row r="1415" spans="1:19" s="15" customFormat="1" x14ac:dyDescent="0.3">
      <c r="A1415" s="17"/>
      <c r="B1415"/>
      <c r="C1415"/>
      <c r="D1415"/>
      <c r="E1415"/>
      <c r="F1415"/>
      <c r="G1415"/>
      <c r="H1415"/>
      <c r="I1415"/>
      <c r="J1415"/>
      <c r="K1415"/>
      <c r="L1415"/>
      <c r="M1415"/>
      <c r="S1415" s="54"/>
    </row>
    <row r="1416" spans="1:19" s="15" customFormat="1" x14ac:dyDescent="0.3">
      <c r="A1416" s="17"/>
      <c r="B1416"/>
      <c r="C1416"/>
      <c r="D1416"/>
      <c r="E1416"/>
      <c r="F1416"/>
      <c r="G1416"/>
      <c r="H1416"/>
      <c r="I1416"/>
      <c r="J1416"/>
      <c r="K1416"/>
      <c r="L1416"/>
      <c r="M1416"/>
      <c r="S1416" s="54"/>
    </row>
    <row r="1417" spans="1:19" s="15" customFormat="1" x14ac:dyDescent="0.3">
      <c r="A1417" s="17"/>
      <c r="B1417"/>
      <c r="C1417"/>
      <c r="D1417"/>
      <c r="E1417"/>
      <c r="F1417"/>
      <c r="G1417"/>
      <c r="H1417"/>
      <c r="I1417"/>
      <c r="J1417"/>
      <c r="K1417"/>
      <c r="L1417"/>
      <c r="M1417"/>
      <c r="S1417" s="54"/>
    </row>
    <row r="1418" spans="1:19" s="15" customFormat="1" x14ac:dyDescent="0.3">
      <c r="A1418" s="17"/>
      <c r="B1418"/>
      <c r="C1418"/>
      <c r="D1418"/>
      <c r="E1418"/>
      <c r="F1418"/>
      <c r="G1418"/>
      <c r="H1418"/>
      <c r="I1418"/>
      <c r="J1418"/>
      <c r="K1418"/>
      <c r="L1418"/>
      <c r="M1418"/>
      <c r="S1418" s="54"/>
    </row>
    <row r="1419" spans="1:19" s="15" customFormat="1" x14ac:dyDescent="0.3">
      <c r="A1419" s="17"/>
      <c r="B1419"/>
      <c r="C1419"/>
      <c r="D1419"/>
      <c r="E1419"/>
      <c r="F1419"/>
      <c r="G1419"/>
      <c r="H1419"/>
      <c r="I1419"/>
      <c r="J1419"/>
      <c r="K1419"/>
      <c r="L1419"/>
      <c r="M1419"/>
      <c r="S1419" s="54"/>
    </row>
    <row r="1420" spans="1:19" s="15" customFormat="1" x14ac:dyDescent="0.3">
      <c r="A1420" s="17"/>
      <c r="B1420"/>
      <c r="C1420"/>
      <c r="D1420"/>
      <c r="E1420"/>
      <c r="F1420"/>
      <c r="G1420"/>
      <c r="H1420"/>
      <c r="I1420"/>
      <c r="J1420"/>
      <c r="K1420"/>
      <c r="L1420"/>
      <c r="M1420"/>
      <c r="S1420" s="54"/>
    </row>
    <row r="1421" spans="1:19" s="15" customFormat="1" x14ac:dyDescent="0.3">
      <c r="A1421" s="17"/>
      <c r="B1421"/>
      <c r="C1421"/>
      <c r="D1421"/>
      <c r="E1421"/>
      <c r="F1421"/>
      <c r="G1421"/>
      <c r="H1421"/>
      <c r="I1421"/>
      <c r="J1421"/>
      <c r="K1421"/>
      <c r="L1421"/>
      <c r="M1421"/>
      <c r="S1421" s="54"/>
    </row>
    <row r="1422" spans="1:19" s="15" customFormat="1" x14ac:dyDescent="0.3">
      <c r="A1422" s="17"/>
      <c r="B1422"/>
      <c r="C1422"/>
      <c r="D1422"/>
      <c r="E1422"/>
      <c r="F1422"/>
      <c r="G1422"/>
      <c r="H1422"/>
      <c r="I1422"/>
      <c r="J1422"/>
      <c r="K1422"/>
      <c r="L1422"/>
      <c r="M1422"/>
      <c r="S1422" s="54"/>
    </row>
    <row r="1423" spans="1:19" s="15" customFormat="1" x14ac:dyDescent="0.3">
      <c r="A1423" s="17"/>
      <c r="B1423"/>
      <c r="C1423"/>
      <c r="D1423"/>
      <c r="E1423"/>
      <c r="F1423"/>
      <c r="G1423"/>
      <c r="H1423"/>
      <c r="I1423"/>
      <c r="J1423"/>
      <c r="K1423"/>
      <c r="L1423"/>
      <c r="M1423"/>
      <c r="S1423" s="54"/>
    </row>
    <row r="1424" spans="1:19" s="15" customFormat="1" x14ac:dyDescent="0.3">
      <c r="A1424" s="17"/>
      <c r="B1424"/>
      <c r="C1424"/>
      <c r="D1424"/>
      <c r="E1424"/>
      <c r="F1424"/>
      <c r="G1424"/>
      <c r="H1424"/>
      <c r="I1424"/>
      <c r="J1424"/>
      <c r="K1424"/>
      <c r="L1424"/>
      <c r="M1424"/>
      <c r="S1424" s="54"/>
    </row>
    <row r="1425" spans="1:19" s="15" customFormat="1" x14ac:dyDescent="0.3">
      <c r="A1425" s="17"/>
      <c r="B1425"/>
      <c r="C1425"/>
      <c r="D1425"/>
      <c r="E1425"/>
      <c r="F1425"/>
      <c r="G1425"/>
      <c r="H1425"/>
      <c r="I1425"/>
      <c r="J1425"/>
      <c r="K1425"/>
      <c r="L1425"/>
      <c r="M1425"/>
      <c r="S1425" s="54"/>
    </row>
    <row r="1426" spans="1:19" s="15" customFormat="1" x14ac:dyDescent="0.3">
      <c r="A1426" s="17"/>
      <c r="B1426"/>
      <c r="C1426"/>
      <c r="D1426"/>
      <c r="E1426"/>
      <c r="F1426"/>
      <c r="G1426"/>
      <c r="H1426"/>
      <c r="I1426"/>
      <c r="J1426"/>
      <c r="K1426"/>
      <c r="L1426"/>
      <c r="M1426"/>
      <c r="S1426" s="54"/>
    </row>
    <row r="1427" spans="1:19" s="15" customFormat="1" x14ac:dyDescent="0.3">
      <c r="A1427" s="17"/>
      <c r="B1427"/>
      <c r="C1427"/>
      <c r="D1427"/>
      <c r="E1427"/>
      <c r="F1427"/>
      <c r="G1427"/>
      <c r="H1427"/>
      <c r="I1427"/>
      <c r="J1427"/>
      <c r="K1427"/>
      <c r="L1427"/>
      <c r="M1427"/>
      <c r="S1427" s="54"/>
    </row>
    <row r="1428" spans="1:19" s="15" customFormat="1" x14ac:dyDescent="0.3">
      <c r="A1428" s="17"/>
      <c r="B1428"/>
      <c r="C1428"/>
      <c r="D1428"/>
      <c r="E1428"/>
      <c r="F1428"/>
      <c r="G1428"/>
      <c r="H1428"/>
      <c r="I1428"/>
      <c r="J1428"/>
      <c r="K1428"/>
      <c r="L1428"/>
      <c r="M1428"/>
      <c r="S1428" s="54"/>
    </row>
    <row r="1429" spans="1:19" s="15" customFormat="1" x14ac:dyDescent="0.3">
      <c r="A1429" s="17"/>
      <c r="B1429"/>
      <c r="C1429"/>
      <c r="D1429"/>
      <c r="E1429"/>
      <c r="F1429"/>
      <c r="G1429"/>
      <c r="H1429"/>
      <c r="I1429"/>
      <c r="J1429"/>
      <c r="K1429"/>
      <c r="L1429"/>
      <c r="M1429"/>
      <c r="S1429" s="54"/>
    </row>
    <row r="1430" spans="1:19" s="15" customFormat="1" x14ac:dyDescent="0.3">
      <c r="A1430" s="17"/>
      <c r="B1430"/>
      <c r="C1430"/>
      <c r="D1430"/>
      <c r="E1430"/>
      <c r="F1430"/>
      <c r="G1430"/>
      <c r="H1430"/>
      <c r="I1430"/>
      <c r="J1430"/>
      <c r="K1430"/>
      <c r="L1430"/>
      <c r="M1430"/>
      <c r="S1430" s="54"/>
    </row>
    <row r="1431" spans="1:19" s="15" customFormat="1" x14ac:dyDescent="0.3">
      <c r="A1431" s="17"/>
      <c r="B1431"/>
      <c r="C1431"/>
      <c r="D1431"/>
      <c r="E1431"/>
      <c r="F1431"/>
      <c r="G1431"/>
      <c r="H1431"/>
      <c r="I1431"/>
      <c r="J1431"/>
      <c r="K1431"/>
      <c r="L1431"/>
      <c r="M1431"/>
      <c r="S1431" s="54"/>
    </row>
    <row r="1432" spans="1:19" s="15" customFormat="1" x14ac:dyDescent="0.3">
      <c r="A1432" s="17"/>
      <c r="B1432"/>
      <c r="C1432"/>
      <c r="D1432"/>
      <c r="E1432"/>
      <c r="F1432"/>
      <c r="G1432"/>
      <c r="H1432"/>
      <c r="I1432"/>
      <c r="J1432"/>
      <c r="K1432"/>
      <c r="L1432"/>
      <c r="M1432"/>
      <c r="S1432" s="54"/>
    </row>
    <row r="1433" spans="1:19" s="15" customFormat="1" x14ac:dyDescent="0.3">
      <c r="A1433" s="17"/>
      <c r="B1433"/>
      <c r="C1433"/>
      <c r="D1433"/>
      <c r="E1433"/>
      <c r="F1433"/>
      <c r="G1433"/>
      <c r="H1433"/>
      <c r="I1433"/>
      <c r="J1433"/>
      <c r="K1433"/>
      <c r="L1433"/>
      <c r="M1433"/>
      <c r="S1433" s="54"/>
    </row>
    <row r="1434" spans="1:19" s="15" customFormat="1" x14ac:dyDescent="0.3">
      <c r="A1434" s="17"/>
      <c r="B1434"/>
      <c r="C1434"/>
      <c r="D1434"/>
      <c r="E1434"/>
      <c r="F1434"/>
      <c r="G1434"/>
      <c r="H1434"/>
      <c r="I1434"/>
      <c r="J1434"/>
      <c r="K1434"/>
      <c r="L1434"/>
      <c r="M1434"/>
      <c r="S1434" s="54"/>
    </row>
    <row r="1435" spans="1:19" s="15" customFormat="1" x14ac:dyDescent="0.3">
      <c r="A1435" s="17"/>
      <c r="B1435"/>
      <c r="C1435"/>
      <c r="D1435"/>
      <c r="E1435"/>
      <c r="F1435"/>
      <c r="G1435"/>
      <c r="H1435"/>
      <c r="I1435"/>
      <c r="J1435"/>
      <c r="K1435"/>
      <c r="L1435"/>
      <c r="M1435"/>
      <c r="S1435" s="54"/>
    </row>
    <row r="1436" spans="1:19" s="15" customFormat="1" x14ac:dyDescent="0.3">
      <c r="A1436" s="17"/>
      <c r="B1436"/>
      <c r="C1436"/>
      <c r="D1436"/>
      <c r="E1436"/>
      <c r="F1436"/>
      <c r="G1436"/>
      <c r="H1436"/>
      <c r="I1436"/>
      <c r="J1436"/>
      <c r="K1436"/>
      <c r="L1436"/>
      <c r="M1436"/>
      <c r="S1436" s="54"/>
    </row>
    <row r="1437" spans="1:19" s="15" customFormat="1" x14ac:dyDescent="0.3">
      <c r="A1437" s="17"/>
      <c r="B1437"/>
      <c r="C1437"/>
      <c r="D1437"/>
      <c r="E1437"/>
      <c r="F1437"/>
      <c r="G1437"/>
      <c r="H1437"/>
      <c r="I1437"/>
      <c r="J1437"/>
      <c r="K1437"/>
      <c r="L1437"/>
      <c r="M1437"/>
      <c r="S1437" s="54"/>
    </row>
    <row r="1438" spans="1:19" s="15" customFormat="1" x14ac:dyDescent="0.3">
      <c r="A1438" s="17"/>
      <c r="B1438"/>
      <c r="C1438"/>
      <c r="D1438"/>
      <c r="E1438"/>
      <c r="F1438"/>
      <c r="G1438"/>
      <c r="H1438"/>
      <c r="I1438"/>
      <c r="J1438"/>
      <c r="K1438"/>
      <c r="L1438"/>
      <c r="M1438"/>
      <c r="S1438" s="54"/>
    </row>
    <row r="1439" spans="1:19" s="15" customFormat="1" x14ac:dyDescent="0.3">
      <c r="A1439" s="17"/>
      <c r="B1439"/>
      <c r="C1439"/>
      <c r="D1439"/>
      <c r="E1439"/>
      <c r="F1439"/>
      <c r="G1439"/>
      <c r="H1439"/>
      <c r="I1439"/>
      <c r="J1439"/>
      <c r="K1439"/>
      <c r="L1439"/>
      <c r="M1439"/>
      <c r="S1439" s="54"/>
    </row>
    <row r="1440" spans="1:19" s="15" customFormat="1" x14ac:dyDescent="0.3">
      <c r="A1440" s="17"/>
      <c r="B1440"/>
      <c r="C1440"/>
      <c r="D1440"/>
      <c r="E1440"/>
      <c r="F1440"/>
      <c r="G1440"/>
      <c r="H1440"/>
      <c r="I1440"/>
      <c r="J1440"/>
      <c r="K1440"/>
      <c r="L1440"/>
      <c r="M1440"/>
      <c r="S1440" s="54"/>
    </row>
    <row r="1441" spans="1:19" s="15" customFormat="1" x14ac:dyDescent="0.3">
      <c r="A1441" s="17"/>
      <c r="B1441"/>
      <c r="C1441"/>
      <c r="D1441"/>
      <c r="E1441"/>
      <c r="F1441"/>
      <c r="G1441"/>
      <c r="H1441"/>
      <c r="I1441"/>
      <c r="J1441"/>
      <c r="K1441"/>
      <c r="L1441"/>
      <c r="M1441"/>
      <c r="S1441" s="54"/>
    </row>
    <row r="1442" spans="1:19" s="15" customFormat="1" x14ac:dyDescent="0.3">
      <c r="A1442" s="17"/>
      <c r="B1442"/>
      <c r="C1442"/>
      <c r="D1442"/>
      <c r="E1442"/>
      <c r="F1442"/>
      <c r="G1442"/>
      <c r="H1442"/>
      <c r="I1442"/>
      <c r="J1442"/>
      <c r="K1442"/>
      <c r="L1442"/>
      <c r="M1442"/>
      <c r="S1442" s="54"/>
    </row>
    <row r="1443" spans="1:19" s="15" customFormat="1" x14ac:dyDescent="0.3">
      <c r="A1443" s="17"/>
      <c r="B1443"/>
      <c r="C1443"/>
      <c r="D1443"/>
      <c r="E1443"/>
      <c r="F1443"/>
      <c r="G1443"/>
      <c r="H1443"/>
      <c r="I1443"/>
      <c r="J1443"/>
      <c r="K1443"/>
      <c r="L1443"/>
      <c r="M1443"/>
      <c r="S1443" s="54"/>
    </row>
    <row r="1444" spans="1:19" s="15" customFormat="1" x14ac:dyDescent="0.3">
      <c r="A1444" s="17"/>
      <c r="B1444"/>
      <c r="C1444"/>
      <c r="D1444"/>
      <c r="E1444"/>
      <c r="F1444"/>
      <c r="G1444"/>
      <c r="H1444"/>
      <c r="I1444"/>
      <c r="J1444"/>
      <c r="K1444"/>
      <c r="L1444"/>
      <c r="M1444"/>
      <c r="S1444" s="54"/>
    </row>
    <row r="1445" spans="1:19" s="15" customFormat="1" x14ac:dyDescent="0.3">
      <c r="A1445" s="17"/>
      <c r="B1445"/>
      <c r="C1445"/>
      <c r="D1445"/>
      <c r="E1445"/>
      <c r="F1445"/>
      <c r="G1445"/>
      <c r="H1445"/>
      <c r="I1445"/>
      <c r="J1445"/>
      <c r="K1445"/>
      <c r="L1445"/>
      <c r="M1445"/>
      <c r="S1445" s="54"/>
    </row>
    <row r="1446" spans="1:19" s="15" customFormat="1" x14ac:dyDescent="0.3">
      <c r="A1446" s="17"/>
      <c r="B1446"/>
      <c r="C1446"/>
      <c r="D1446"/>
      <c r="E1446"/>
      <c r="F1446"/>
      <c r="G1446"/>
      <c r="H1446"/>
      <c r="I1446"/>
      <c r="J1446"/>
      <c r="K1446"/>
      <c r="L1446"/>
      <c r="M1446"/>
      <c r="S1446" s="54"/>
    </row>
    <row r="1447" spans="1:19" s="15" customFormat="1" x14ac:dyDescent="0.3">
      <c r="A1447" s="17"/>
      <c r="B1447"/>
      <c r="C1447"/>
      <c r="D1447"/>
      <c r="E1447"/>
      <c r="F1447"/>
      <c r="G1447"/>
      <c r="H1447"/>
      <c r="I1447"/>
      <c r="J1447"/>
      <c r="K1447"/>
      <c r="L1447"/>
      <c r="M1447"/>
      <c r="S1447" s="54"/>
    </row>
    <row r="1448" spans="1:19" s="15" customFormat="1" x14ac:dyDescent="0.3">
      <c r="A1448" s="17"/>
      <c r="B1448"/>
      <c r="C1448"/>
      <c r="D1448"/>
      <c r="E1448"/>
      <c r="F1448"/>
      <c r="G1448"/>
      <c r="H1448"/>
      <c r="I1448"/>
      <c r="J1448"/>
      <c r="K1448"/>
      <c r="L1448"/>
      <c r="M1448"/>
      <c r="S1448" s="54"/>
    </row>
    <row r="1449" spans="1:19" s="15" customFormat="1" x14ac:dyDescent="0.3">
      <c r="A1449" s="17"/>
      <c r="B1449"/>
      <c r="C1449"/>
      <c r="D1449"/>
      <c r="E1449"/>
      <c r="F1449"/>
      <c r="G1449"/>
      <c r="H1449"/>
      <c r="I1449"/>
      <c r="J1449"/>
      <c r="K1449"/>
      <c r="L1449"/>
      <c r="M1449"/>
      <c r="S1449" s="54"/>
    </row>
    <row r="1450" spans="1:19" s="15" customFormat="1" x14ac:dyDescent="0.3">
      <c r="A1450" s="17"/>
      <c r="B1450"/>
      <c r="C1450"/>
      <c r="D1450"/>
      <c r="E1450"/>
      <c r="F1450"/>
      <c r="G1450"/>
      <c r="H1450"/>
      <c r="I1450"/>
      <c r="J1450"/>
      <c r="K1450"/>
      <c r="L1450"/>
      <c r="M1450"/>
      <c r="S1450" s="54"/>
    </row>
    <row r="1451" spans="1:19" s="15" customFormat="1" x14ac:dyDescent="0.3">
      <c r="A1451" s="17"/>
      <c r="B1451"/>
      <c r="C1451"/>
      <c r="D1451"/>
      <c r="E1451"/>
      <c r="F1451"/>
      <c r="G1451"/>
      <c r="H1451"/>
      <c r="I1451"/>
      <c r="J1451"/>
      <c r="K1451"/>
      <c r="L1451"/>
      <c r="M1451"/>
      <c r="S1451" s="54"/>
    </row>
    <row r="1452" spans="1:19" s="15" customFormat="1" x14ac:dyDescent="0.3">
      <c r="A1452" s="17"/>
      <c r="B1452"/>
      <c r="C1452"/>
      <c r="D1452"/>
      <c r="E1452"/>
      <c r="F1452"/>
      <c r="G1452"/>
      <c r="H1452"/>
      <c r="I1452"/>
      <c r="J1452"/>
      <c r="K1452"/>
      <c r="L1452"/>
      <c r="M1452"/>
      <c r="S1452" s="54"/>
    </row>
    <row r="1453" spans="1:19" s="15" customFormat="1" x14ac:dyDescent="0.3">
      <c r="A1453" s="17"/>
      <c r="B1453"/>
      <c r="C1453"/>
      <c r="D1453"/>
      <c r="E1453"/>
      <c r="F1453"/>
      <c r="G1453"/>
      <c r="H1453"/>
      <c r="I1453"/>
      <c r="J1453"/>
      <c r="K1453"/>
      <c r="L1453"/>
      <c r="M1453"/>
      <c r="S1453" s="54"/>
    </row>
    <row r="1454" spans="1:19" s="15" customFormat="1" x14ac:dyDescent="0.3">
      <c r="A1454" s="17"/>
      <c r="B1454"/>
      <c r="C1454"/>
      <c r="D1454"/>
      <c r="E1454"/>
      <c r="F1454"/>
      <c r="G1454"/>
      <c r="H1454"/>
      <c r="I1454"/>
      <c r="J1454"/>
      <c r="K1454"/>
      <c r="L1454"/>
      <c r="M1454"/>
      <c r="S1454" s="54"/>
    </row>
    <row r="1455" spans="1:19" s="15" customFormat="1" x14ac:dyDescent="0.3">
      <c r="A1455" s="17"/>
      <c r="B1455"/>
      <c r="C1455"/>
      <c r="D1455"/>
      <c r="E1455"/>
      <c r="F1455"/>
      <c r="G1455"/>
      <c r="H1455"/>
      <c r="I1455"/>
      <c r="J1455"/>
      <c r="K1455"/>
      <c r="L1455"/>
      <c r="M1455"/>
      <c r="S1455" s="54"/>
    </row>
    <row r="1456" spans="1:19" s="15" customFormat="1" x14ac:dyDescent="0.3">
      <c r="A1456" s="17"/>
      <c r="B1456"/>
      <c r="C1456"/>
      <c r="D1456"/>
      <c r="E1456"/>
      <c r="F1456"/>
      <c r="G1456"/>
      <c r="H1456"/>
      <c r="I1456"/>
      <c r="J1456"/>
      <c r="K1456"/>
      <c r="L1456"/>
      <c r="M1456"/>
      <c r="S1456" s="54"/>
    </row>
    <row r="1457" spans="1:19" s="15" customFormat="1" x14ac:dyDescent="0.3">
      <c r="A1457" s="17"/>
      <c r="B1457"/>
      <c r="C1457"/>
      <c r="D1457"/>
      <c r="E1457"/>
      <c r="F1457"/>
      <c r="G1457"/>
      <c r="H1457"/>
      <c r="I1457"/>
      <c r="J1457"/>
      <c r="K1457"/>
      <c r="L1457"/>
      <c r="M1457"/>
      <c r="S1457" s="54"/>
    </row>
    <row r="1458" spans="1:19" s="15" customFormat="1" x14ac:dyDescent="0.3">
      <c r="A1458" s="17"/>
      <c r="B1458"/>
      <c r="C1458"/>
      <c r="D1458"/>
      <c r="E1458"/>
      <c r="F1458"/>
      <c r="G1458"/>
      <c r="H1458"/>
      <c r="I1458"/>
      <c r="J1458"/>
      <c r="K1458"/>
      <c r="L1458"/>
      <c r="M1458"/>
      <c r="S1458" s="54"/>
    </row>
    <row r="1459" spans="1:19" s="15" customFormat="1" x14ac:dyDescent="0.3">
      <c r="A1459" s="17"/>
      <c r="B1459"/>
      <c r="C1459"/>
      <c r="D1459"/>
      <c r="E1459"/>
      <c r="F1459"/>
      <c r="G1459"/>
      <c r="H1459"/>
      <c r="I1459"/>
      <c r="J1459"/>
      <c r="K1459"/>
      <c r="L1459"/>
      <c r="M1459"/>
      <c r="S1459" s="54"/>
    </row>
    <row r="1460" spans="1:19" s="15" customFormat="1" x14ac:dyDescent="0.3">
      <c r="A1460" s="17"/>
      <c r="B1460"/>
      <c r="C1460"/>
      <c r="D1460"/>
      <c r="E1460"/>
      <c r="F1460"/>
      <c r="G1460"/>
      <c r="H1460"/>
      <c r="I1460"/>
      <c r="J1460"/>
      <c r="K1460"/>
      <c r="L1460"/>
      <c r="M1460"/>
      <c r="S1460" s="54"/>
    </row>
    <row r="1461" spans="1:19" s="15" customFormat="1" x14ac:dyDescent="0.3">
      <c r="A1461" s="17"/>
      <c r="B1461"/>
      <c r="C1461"/>
      <c r="D1461"/>
      <c r="E1461"/>
      <c r="F1461"/>
      <c r="G1461"/>
      <c r="H1461"/>
      <c r="I1461"/>
      <c r="J1461"/>
      <c r="K1461"/>
      <c r="L1461"/>
      <c r="M1461"/>
      <c r="S1461" s="54"/>
    </row>
    <row r="1462" spans="1:19" s="15" customFormat="1" x14ac:dyDescent="0.3">
      <c r="A1462" s="17"/>
      <c r="B1462"/>
      <c r="C1462"/>
      <c r="D1462"/>
      <c r="E1462"/>
      <c r="F1462"/>
      <c r="G1462"/>
      <c r="H1462"/>
      <c r="I1462"/>
      <c r="J1462"/>
      <c r="K1462"/>
      <c r="L1462"/>
      <c r="M1462"/>
      <c r="S1462" s="54"/>
    </row>
    <row r="1463" spans="1:19" s="15" customFormat="1" x14ac:dyDescent="0.3">
      <c r="A1463" s="17"/>
      <c r="B1463"/>
      <c r="C1463"/>
      <c r="D1463"/>
      <c r="E1463"/>
      <c r="F1463"/>
      <c r="G1463"/>
      <c r="H1463"/>
      <c r="I1463"/>
      <c r="J1463"/>
      <c r="K1463"/>
      <c r="L1463"/>
      <c r="M1463"/>
      <c r="S1463" s="54"/>
    </row>
    <row r="1464" spans="1:19" s="15" customFormat="1" x14ac:dyDescent="0.3">
      <c r="A1464" s="17"/>
      <c r="B1464"/>
      <c r="C1464"/>
      <c r="D1464"/>
      <c r="E1464"/>
      <c r="F1464"/>
      <c r="G1464"/>
      <c r="H1464"/>
      <c r="I1464"/>
      <c r="J1464"/>
      <c r="K1464"/>
      <c r="L1464"/>
      <c r="M1464"/>
      <c r="S1464" s="54"/>
    </row>
    <row r="1465" spans="1:19" s="15" customFormat="1" x14ac:dyDescent="0.3">
      <c r="A1465" s="17"/>
      <c r="B1465"/>
      <c r="C1465"/>
      <c r="D1465"/>
      <c r="E1465"/>
      <c r="F1465"/>
      <c r="G1465"/>
      <c r="H1465"/>
      <c r="I1465"/>
      <c r="J1465"/>
      <c r="K1465"/>
      <c r="L1465"/>
      <c r="M1465"/>
      <c r="S1465" s="54"/>
    </row>
    <row r="1466" spans="1:19" s="15" customFormat="1" x14ac:dyDescent="0.3">
      <c r="A1466" s="17"/>
      <c r="B1466"/>
      <c r="C1466"/>
      <c r="D1466"/>
      <c r="E1466"/>
      <c r="F1466"/>
      <c r="G1466"/>
      <c r="H1466"/>
      <c r="I1466"/>
      <c r="J1466"/>
      <c r="K1466"/>
      <c r="L1466"/>
      <c r="M1466"/>
      <c r="S1466" s="54"/>
    </row>
    <row r="1467" spans="1:19" s="15" customFormat="1" x14ac:dyDescent="0.3">
      <c r="A1467" s="17"/>
      <c r="B1467"/>
      <c r="C1467"/>
      <c r="D1467"/>
      <c r="E1467"/>
      <c r="F1467"/>
      <c r="G1467"/>
      <c r="H1467"/>
      <c r="I1467"/>
      <c r="J1467"/>
      <c r="K1467"/>
      <c r="L1467"/>
      <c r="M1467"/>
      <c r="S1467" s="54"/>
    </row>
    <row r="1468" spans="1:19" s="15" customFormat="1" x14ac:dyDescent="0.3">
      <c r="A1468" s="17"/>
      <c r="B1468"/>
      <c r="C1468"/>
      <c r="D1468"/>
      <c r="E1468"/>
      <c r="F1468"/>
      <c r="G1468"/>
      <c r="H1468"/>
      <c r="I1468"/>
      <c r="J1468"/>
      <c r="K1468"/>
      <c r="L1468"/>
      <c r="M1468"/>
      <c r="S1468" s="54"/>
    </row>
    <row r="1469" spans="1:19" s="15" customFormat="1" x14ac:dyDescent="0.3">
      <c r="A1469" s="17"/>
      <c r="B1469"/>
      <c r="C1469"/>
      <c r="D1469"/>
      <c r="E1469"/>
      <c r="F1469"/>
      <c r="G1469"/>
      <c r="H1469"/>
      <c r="I1469"/>
      <c r="J1469"/>
      <c r="K1469"/>
      <c r="L1469"/>
      <c r="M1469"/>
      <c r="S1469" s="54"/>
    </row>
    <row r="1470" spans="1:19" s="15" customFormat="1" x14ac:dyDescent="0.3">
      <c r="A1470" s="17"/>
      <c r="B1470"/>
      <c r="C1470"/>
      <c r="D1470"/>
      <c r="E1470"/>
      <c r="F1470"/>
      <c r="G1470"/>
      <c r="H1470"/>
      <c r="I1470"/>
      <c r="J1470"/>
      <c r="K1470"/>
      <c r="L1470"/>
      <c r="M1470"/>
      <c r="S1470" s="54"/>
    </row>
    <row r="1471" spans="1:19" s="15" customFormat="1" x14ac:dyDescent="0.3">
      <c r="A1471" s="17"/>
      <c r="B1471"/>
      <c r="C1471"/>
      <c r="D1471"/>
      <c r="E1471"/>
      <c r="F1471"/>
      <c r="G1471"/>
      <c r="H1471"/>
      <c r="I1471"/>
      <c r="J1471"/>
      <c r="K1471"/>
      <c r="L1471"/>
      <c r="M1471"/>
      <c r="S1471" s="54"/>
    </row>
    <row r="1472" spans="1:19" s="15" customFormat="1" x14ac:dyDescent="0.3">
      <c r="A1472" s="17"/>
      <c r="B1472"/>
      <c r="C1472"/>
      <c r="D1472"/>
      <c r="E1472"/>
      <c r="F1472"/>
      <c r="G1472"/>
      <c r="H1472"/>
      <c r="I1472"/>
      <c r="J1472"/>
      <c r="K1472"/>
      <c r="L1472"/>
      <c r="M1472"/>
      <c r="S1472" s="54"/>
    </row>
    <row r="1473" spans="1:19" s="15" customFormat="1" x14ac:dyDescent="0.3">
      <c r="A1473" s="17"/>
      <c r="B1473"/>
      <c r="C1473"/>
      <c r="D1473"/>
      <c r="E1473"/>
      <c r="F1473"/>
      <c r="G1473"/>
      <c r="H1473"/>
      <c r="I1473"/>
      <c r="J1473"/>
      <c r="K1473"/>
      <c r="L1473"/>
      <c r="M1473"/>
      <c r="S1473" s="54"/>
    </row>
    <row r="1474" spans="1:19" s="15" customFormat="1" x14ac:dyDescent="0.3">
      <c r="A1474" s="17"/>
      <c r="B1474"/>
      <c r="C1474"/>
      <c r="D1474"/>
      <c r="E1474"/>
      <c r="F1474"/>
      <c r="G1474"/>
      <c r="H1474"/>
      <c r="I1474"/>
      <c r="J1474"/>
      <c r="K1474"/>
      <c r="L1474"/>
      <c r="M1474"/>
      <c r="S1474" s="54"/>
    </row>
    <row r="1475" spans="1:19" s="15" customFormat="1" x14ac:dyDescent="0.3">
      <c r="A1475" s="17"/>
      <c r="B1475"/>
      <c r="C1475"/>
      <c r="D1475"/>
      <c r="E1475"/>
      <c r="F1475"/>
      <c r="G1475"/>
      <c r="H1475"/>
      <c r="I1475"/>
      <c r="J1475"/>
      <c r="K1475"/>
      <c r="L1475"/>
      <c r="M1475"/>
      <c r="S1475" s="54"/>
    </row>
    <row r="1476" spans="1:19" s="15" customFormat="1" x14ac:dyDescent="0.3">
      <c r="A1476" s="17"/>
      <c r="B1476"/>
      <c r="C1476"/>
      <c r="D1476"/>
      <c r="E1476"/>
      <c r="F1476"/>
      <c r="G1476"/>
      <c r="H1476"/>
      <c r="I1476"/>
      <c r="J1476"/>
      <c r="K1476"/>
      <c r="L1476"/>
      <c r="M1476"/>
      <c r="S1476" s="54"/>
    </row>
    <row r="1477" spans="1:19" s="15" customFormat="1" x14ac:dyDescent="0.3">
      <c r="A1477" s="17"/>
      <c r="B1477"/>
      <c r="C1477"/>
      <c r="D1477"/>
      <c r="E1477"/>
      <c r="F1477"/>
      <c r="G1477"/>
      <c r="H1477"/>
      <c r="I1477"/>
      <c r="J1477"/>
      <c r="K1477"/>
      <c r="L1477"/>
      <c r="M1477"/>
      <c r="S1477" s="54"/>
    </row>
    <row r="1478" spans="1:19" s="15" customFormat="1" x14ac:dyDescent="0.3">
      <c r="A1478" s="17"/>
      <c r="B1478"/>
      <c r="C1478"/>
      <c r="D1478"/>
      <c r="E1478"/>
      <c r="F1478"/>
      <c r="G1478"/>
      <c r="H1478"/>
      <c r="I1478"/>
      <c r="J1478"/>
      <c r="K1478"/>
      <c r="L1478"/>
      <c r="M1478"/>
      <c r="S1478" s="54"/>
    </row>
    <row r="1479" spans="1:19" s="15" customFormat="1" x14ac:dyDescent="0.3">
      <c r="A1479" s="17"/>
      <c r="B1479"/>
      <c r="C1479"/>
      <c r="D1479"/>
      <c r="E1479"/>
      <c r="F1479"/>
      <c r="G1479"/>
      <c r="H1479"/>
      <c r="I1479"/>
      <c r="J1479"/>
      <c r="K1479"/>
      <c r="L1479"/>
      <c r="M1479"/>
      <c r="S1479" s="54"/>
    </row>
    <row r="1480" spans="1:19" s="15" customFormat="1" x14ac:dyDescent="0.3">
      <c r="A1480" s="17"/>
      <c r="B1480"/>
      <c r="C1480"/>
      <c r="D1480"/>
      <c r="E1480"/>
      <c r="F1480"/>
      <c r="G1480"/>
      <c r="H1480"/>
      <c r="I1480"/>
      <c r="J1480"/>
      <c r="K1480"/>
      <c r="L1480"/>
      <c r="M1480"/>
      <c r="S1480" s="54"/>
    </row>
    <row r="1481" spans="1:19" s="15" customFormat="1" x14ac:dyDescent="0.3">
      <c r="A1481" s="17"/>
      <c r="B1481"/>
      <c r="C1481"/>
      <c r="D1481"/>
      <c r="E1481"/>
      <c r="F1481"/>
      <c r="G1481"/>
      <c r="H1481"/>
      <c r="I1481"/>
      <c r="J1481"/>
      <c r="K1481"/>
      <c r="L1481"/>
      <c r="M1481"/>
      <c r="S1481" s="54"/>
    </row>
    <row r="1482" spans="1:19" s="15" customFormat="1" x14ac:dyDescent="0.3">
      <c r="A1482" s="17"/>
      <c r="B1482"/>
      <c r="C1482"/>
      <c r="D1482"/>
      <c r="E1482"/>
      <c r="F1482"/>
      <c r="G1482"/>
      <c r="H1482"/>
      <c r="I1482"/>
      <c r="J1482"/>
      <c r="K1482"/>
      <c r="L1482"/>
      <c r="M1482"/>
      <c r="S1482" s="54"/>
    </row>
    <row r="1483" spans="1:19" s="15" customFormat="1" x14ac:dyDescent="0.3">
      <c r="A1483" s="17"/>
      <c r="B1483"/>
      <c r="C1483"/>
      <c r="D1483"/>
      <c r="E1483"/>
      <c r="F1483"/>
      <c r="G1483"/>
      <c r="H1483"/>
      <c r="I1483"/>
      <c r="J1483"/>
      <c r="K1483"/>
      <c r="L1483"/>
      <c r="M1483"/>
      <c r="S1483" s="54"/>
    </row>
    <row r="1484" spans="1:19" s="15" customFormat="1" x14ac:dyDescent="0.3">
      <c r="A1484" s="17"/>
      <c r="B1484"/>
      <c r="C1484"/>
      <c r="D1484"/>
      <c r="E1484"/>
      <c r="F1484"/>
      <c r="G1484"/>
      <c r="H1484"/>
      <c r="I1484"/>
      <c r="J1484"/>
      <c r="K1484"/>
      <c r="L1484"/>
      <c r="M1484"/>
      <c r="S1484" s="54"/>
    </row>
    <row r="1485" spans="1:19" s="15" customFormat="1" x14ac:dyDescent="0.3">
      <c r="A1485" s="17"/>
      <c r="B1485"/>
      <c r="C1485"/>
      <c r="D1485"/>
      <c r="E1485"/>
      <c r="F1485"/>
      <c r="G1485"/>
      <c r="H1485"/>
      <c r="I1485"/>
      <c r="J1485"/>
      <c r="K1485"/>
      <c r="L1485"/>
      <c r="M1485"/>
      <c r="S1485" s="54"/>
    </row>
    <row r="1486" spans="1:19" s="15" customFormat="1" x14ac:dyDescent="0.3">
      <c r="A1486" s="17"/>
      <c r="B1486"/>
      <c r="C1486"/>
      <c r="D1486"/>
      <c r="E1486"/>
      <c r="F1486"/>
      <c r="G1486"/>
      <c r="H1486"/>
      <c r="I1486"/>
      <c r="J1486"/>
      <c r="K1486"/>
      <c r="L1486"/>
      <c r="M1486"/>
      <c r="S1486" s="54"/>
    </row>
    <row r="1487" spans="1:19" s="15" customFormat="1" x14ac:dyDescent="0.3">
      <c r="A1487" s="17"/>
      <c r="B1487"/>
      <c r="C1487"/>
      <c r="D1487"/>
      <c r="E1487"/>
      <c r="F1487"/>
      <c r="G1487"/>
      <c r="H1487"/>
      <c r="I1487"/>
      <c r="J1487"/>
      <c r="K1487"/>
      <c r="L1487"/>
      <c r="M1487"/>
      <c r="S1487" s="54"/>
    </row>
    <row r="1488" spans="1:19" s="15" customFormat="1" x14ac:dyDescent="0.3">
      <c r="A1488" s="17"/>
      <c r="B1488"/>
      <c r="C1488"/>
      <c r="D1488"/>
      <c r="E1488"/>
      <c r="F1488"/>
      <c r="G1488"/>
      <c r="H1488"/>
      <c r="I1488"/>
      <c r="J1488"/>
      <c r="K1488"/>
      <c r="L1488"/>
      <c r="M1488"/>
      <c r="S1488" s="54"/>
    </row>
    <row r="1489" spans="1:19" s="15" customFormat="1" x14ac:dyDescent="0.3">
      <c r="A1489" s="17"/>
      <c r="B1489"/>
      <c r="C1489"/>
      <c r="D1489"/>
      <c r="E1489"/>
      <c r="F1489"/>
      <c r="G1489"/>
      <c r="H1489"/>
      <c r="I1489"/>
      <c r="J1489"/>
      <c r="K1489"/>
      <c r="L1489"/>
      <c r="M1489"/>
      <c r="S1489" s="54"/>
    </row>
    <row r="1490" spans="1:19" s="15" customFormat="1" x14ac:dyDescent="0.3">
      <c r="A1490" s="17"/>
      <c r="B1490"/>
      <c r="C1490"/>
      <c r="D1490"/>
      <c r="E1490"/>
      <c r="F1490"/>
      <c r="G1490"/>
      <c r="H1490"/>
      <c r="I1490"/>
      <c r="J1490"/>
      <c r="K1490"/>
      <c r="L1490"/>
      <c r="M1490"/>
      <c r="S1490" s="54"/>
    </row>
    <row r="1491" spans="1:19" s="15" customFormat="1" x14ac:dyDescent="0.3">
      <c r="A1491" s="17"/>
      <c r="B1491"/>
      <c r="C1491"/>
      <c r="D1491"/>
      <c r="E1491"/>
      <c r="F1491"/>
      <c r="G1491"/>
      <c r="H1491"/>
      <c r="I1491"/>
      <c r="J1491"/>
      <c r="K1491"/>
      <c r="L1491"/>
      <c r="M1491"/>
      <c r="S1491" s="54"/>
    </row>
    <row r="1492" spans="1:19" s="15" customFormat="1" x14ac:dyDescent="0.3">
      <c r="A1492" s="17"/>
      <c r="B1492"/>
      <c r="C1492"/>
      <c r="D1492"/>
      <c r="E1492"/>
      <c r="F1492"/>
      <c r="G1492"/>
      <c r="H1492"/>
      <c r="I1492"/>
      <c r="J1492"/>
      <c r="K1492"/>
      <c r="L1492"/>
      <c r="M1492"/>
      <c r="S1492" s="54"/>
    </row>
    <row r="1493" spans="1:19" s="15" customFormat="1" x14ac:dyDescent="0.3">
      <c r="A1493" s="17"/>
      <c r="B1493"/>
      <c r="C1493"/>
      <c r="D1493"/>
      <c r="E1493"/>
      <c r="F1493"/>
      <c r="G1493"/>
      <c r="H1493"/>
      <c r="I1493"/>
      <c r="J1493"/>
      <c r="K1493"/>
      <c r="L1493"/>
      <c r="M1493"/>
      <c r="S1493" s="54"/>
    </row>
    <row r="1494" spans="1:19" s="15" customFormat="1" x14ac:dyDescent="0.3">
      <c r="A1494" s="17"/>
      <c r="B1494"/>
      <c r="C1494"/>
      <c r="D1494"/>
      <c r="E1494"/>
      <c r="F1494"/>
      <c r="G1494"/>
      <c r="H1494"/>
      <c r="I1494"/>
      <c r="J1494"/>
      <c r="K1494"/>
      <c r="L1494"/>
      <c r="M1494"/>
      <c r="S1494" s="54"/>
    </row>
    <row r="1495" spans="1:19" s="15" customFormat="1" x14ac:dyDescent="0.3">
      <c r="A1495" s="17"/>
      <c r="B1495"/>
      <c r="C1495"/>
      <c r="D1495"/>
      <c r="E1495"/>
      <c r="F1495"/>
      <c r="G1495"/>
      <c r="H1495"/>
      <c r="I1495"/>
      <c r="J1495"/>
      <c r="K1495"/>
      <c r="L1495"/>
      <c r="M1495"/>
      <c r="S1495" s="54"/>
    </row>
    <row r="1496" spans="1:19" s="15" customFormat="1" x14ac:dyDescent="0.3">
      <c r="A1496" s="17"/>
      <c r="B1496"/>
      <c r="C1496"/>
      <c r="D1496"/>
      <c r="E1496"/>
      <c r="F1496"/>
      <c r="G1496"/>
      <c r="H1496"/>
      <c r="I1496"/>
      <c r="J1496"/>
      <c r="K1496"/>
      <c r="L1496"/>
      <c r="M1496"/>
      <c r="S1496" s="54"/>
    </row>
    <row r="1497" spans="1:19" s="15" customFormat="1" x14ac:dyDescent="0.3">
      <c r="A1497" s="17"/>
      <c r="B1497"/>
      <c r="C1497"/>
      <c r="D1497"/>
      <c r="E1497"/>
      <c r="F1497"/>
      <c r="G1497"/>
      <c r="H1497"/>
      <c r="I1497"/>
      <c r="J1497"/>
      <c r="K1497"/>
      <c r="L1497"/>
      <c r="M1497"/>
      <c r="S1497" s="54"/>
    </row>
    <row r="1498" spans="1:19" s="15" customFormat="1" x14ac:dyDescent="0.3">
      <c r="A1498" s="17"/>
      <c r="B1498"/>
      <c r="C1498"/>
      <c r="D1498"/>
      <c r="E1498"/>
      <c r="F1498"/>
      <c r="G1498"/>
      <c r="H1498"/>
      <c r="I1498"/>
      <c r="J1498"/>
      <c r="K1498"/>
      <c r="L1498"/>
      <c r="M1498"/>
      <c r="S1498" s="54"/>
    </row>
    <row r="1499" spans="1:19" s="15" customFormat="1" x14ac:dyDescent="0.3">
      <c r="A1499" s="17"/>
      <c r="B1499"/>
      <c r="C1499"/>
      <c r="D1499"/>
      <c r="E1499"/>
      <c r="F1499"/>
      <c r="G1499"/>
      <c r="H1499"/>
      <c r="I1499"/>
      <c r="J1499"/>
      <c r="K1499"/>
      <c r="L1499"/>
      <c r="M1499"/>
      <c r="S1499" s="54"/>
    </row>
    <row r="1500" spans="1:19" s="15" customFormat="1" x14ac:dyDescent="0.3">
      <c r="A1500" s="17"/>
      <c r="B1500"/>
      <c r="C1500"/>
      <c r="D1500"/>
      <c r="E1500"/>
      <c r="F1500"/>
      <c r="G1500"/>
      <c r="H1500"/>
      <c r="I1500"/>
      <c r="J1500"/>
      <c r="K1500"/>
      <c r="L1500"/>
      <c r="M1500"/>
      <c r="S1500" s="54"/>
    </row>
    <row r="1501" spans="1:19" s="15" customFormat="1" x14ac:dyDescent="0.3">
      <c r="A1501" s="17"/>
      <c r="B1501"/>
      <c r="C1501"/>
      <c r="D1501"/>
      <c r="E1501"/>
      <c r="F1501"/>
      <c r="G1501"/>
      <c r="H1501"/>
      <c r="I1501"/>
      <c r="J1501"/>
      <c r="K1501"/>
      <c r="L1501"/>
      <c r="M1501"/>
      <c r="S1501" s="54"/>
    </row>
    <row r="1502" spans="1:19" s="15" customFormat="1" x14ac:dyDescent="0.3">
      <c r="A1502" s="17"/>
      <c r="B1502"/>
      <c r="C1502"/>
      <c r="D1502"/>
      <c r="E1502"/>
      <c r="F1502"/>
      <c r="G1502"/>
      <c r="H1502"/>
      <c r="I1502"/>
      <c r="J1502"/>
      <c r="K1502"/>
      <c r="L1502"/>
      <c r="M1502"/>
      <c r="S1502" s="54"/>
    </row>
    <row r="1503" spans="1:19" s="15" customFormat="1" x14ac:dyDescent="0.3">
      <c r="A1503" s="17"/>
      <c r="B1503"/>
      <c r="C1503"/>
      <c r="D1503"/>
      <c r="E1503"/>
      <c r="F1503"/>
      <c r="G1503"/>
      <c r="H1503"/>
      <c r="I1503"/>
      <c r="J1503"/>
      <c r="K1503"/>
      <c r="L1503"/>
      <c r="M1503"/>
      <c r="S1503" s="54"/>
    </row>
    <row r="1504" spans="1:19" s="15" customFormat="1" x14ac:dyDescent="0.3">
      <c r="A1504" s="17"/>
      <c r="B1504"/>
      <c r="C1504"/>
      <c r="D1504"/>
      <c r="E1504"/>
      <c r="F1504"/>
      <c r="G1504"/>
      <c r="H1504"/>
      <c r="I1504"/>
      <c r="J1504"/>
      <c r="K1504"/>
      <c r="L1504"/>
      <c r="M1504"/>
      <c r="S1504" s="54"/>
    </row>
    <row r="1505" spans="1:19" s="15" customFormat="1" x14ac:dyDescent="0.3">
      <c r="A1505" s="17"/>
      <c r="B1505"/>
      <c r="C1505"/>
      <c r="D1505"/>
      <c r="E1505"/>
      <c r="F1505"/>
      <c r="G1505"/>
      <c r="H1505"/>
      <c r="I1505"/>
      <c r="J1505"/>
      <c r="K1505"/>
      <c r="L1505"/>
      <c r="M1505"/>
      <c r="S1505" s="54"/>
    </row>
    <row r="1506" spans="1:19" s="15" customFormat="1" x14ac:dyDescent="0.3">
      <c r="A1506" s="17"/>
      <c r="B1506"/>
      <c r="C1506"/>
      <c r="D1506"/>
      <c r="E1506"/>
      <c r="F1506"/>
      <c r="G1506"/>
      <c r="H1506"/>
      <c r="I1506"/>
      <c r="J1506"/>
      <c r="K1506"/>
      <c r="L1506"/>
      <c r="M1506"/>
      <c r="S1506" s="54"/>
    </row>
    <row r="1507" spans="1:19" s="15" customFormat="1" x14ac:dyDescent="0.3">
      <c r="A1507" s="17"/>
      <c r="B1507"/>
      <c r="C1507"/>
      <c r="D1507"/>
      <c r="E1507"/>
      <c r="F1507"/>
      <c r="G1507"/>
      <c r="H1507"/>
      <c r="I1507"/>
      <c r="J1507"/>
      <c r="K1507"/>
      <c r="L1507"/>
      <c r="M1507"/>
      <c r="S1507" s="54"/>
    </row>
    <row r="1508" spans="1:19" s="15" customFormat="1" x14ac:dyDescent="0.3">
      <c r="A1508" s="17"/>
      <c r="B1508"/>
      <c r="C1508"/>
      <c r="D1508"/>
      <c r="E1508"/>
      <c r="F1508"/>
      <c r="G1508"/>
      <c r="H1508"/>
      <c r="I1508"/>
      <c r="J1508"/>
      <c r="K1508"/>
      <c r="L1508"/>
      <c r="M1508"/>
      <c r="S1508" s="54"/>
    </row>
    <row r="1509" spans="1:19" s="15" customFormat="1" x14ac:dyDescent="0.3">
      <c r="A1509" s="17"/>
      <c r="B1509"/>
      <c r="C1509"/>
      <c r="D1509"/>
      <c r="E1509"/>
      <c r="F1509"/>
      <c r="G1509"/>
      <c r="H1509"/>
      <c r="I1509"/>
      <c r="J1509"/>
      <c r="K1509"/>
      <c r="L1509"/>
      <c r="M1509"/>
      <c r="S1509" s="54"/>
    </row>
    <row r="1510" spans="1:19" s="15" customFormat="1" x14ac:dyDescent="0.3">
      <c r="A1510" s="17"/>
      <c r="B1510"/>
      <c r="C1510"/>
      <c r="D1510"/>
      <c r="E1510"/>
      <c r="F1510"/>
      <c r="G1510"/>
      <c r="H1510"/>
      <c r="I1510"/>
      <c r="J1510"/>
      <c r="K1510"/>
      <c r="L1510"/>
      <c r="M1510"/>
      <c r="S1510" s="54"/>
    </row>
    <row r="1511" spans="1:19" s="15" customFormat="1" x14ac:dyDescent="0.3">
      <c r="A1511" s="17"/>
      <c r="B1511"/>
      <c r="C1511"/>
      <c r="D1511"/>
      <c r="E1511"/>
      <c r="F1511"/>
      <c r="G1511"/>
      <c r="H1511"/>
      <c r="I1511"/>
      <c r="J1511"/>
      <c r="K1511"/>
      <c r="L1511"/>
      <c r="M1511"/>
      <c r="S1511" s="54"/>
    </row>
    <row r="1512" spans="1:19" s="15" customFormat="1" x14ac:dyDescent="0.3">
      <c r="A1512" s="17"/>
      <c r="B1512"/>
      <c r="C1512"/>
      <c r="D1512"/>
      <c r="E1512"/>
      <c r="F1512"/>
      <c r="G1512"/>
      <c r="H1512"/>
      <c r="I1512"/>
      <c r="J1512"/>
      <c r="K1512"/>
      <c r="L1512"/>
      <c r="M1512"/>
      <c r="S1512" s="54"/>
    </row>
    <row r="1513" spans="1:19" s="15" customFormat="1" x14ac:dyDescent="0.3">
      <c r="A1513" s="17"/>
      <c r="B1513"/>
      <c r="C1513"/>
      <c r="D1513"/>
      <c r="E1513"/>
      <c r="F1513"/>
      <c r="G1513"/>
      <c r="H1513"/>
      <c r="I1513"/>
      <c r="J1513"/>
      <c r="K1513"/>
      <c r="L1513"/>
      <c r="M1513"/>
      <c r="S1513" s="54"/>
    </row>
    <row r="1514" spans="1:19" s="15" customFormat="1" x14ac:dyDescent="0.3">
      <c r="A1514" s="17"/>
      <c r="B1514"/>
      <c r="C1514"/>
      <c r="D1514"/>
      <c r="E1514"/>
      <c r="F1514"/>
      <c r="G1514"/>
      <c r="H1514"/>
      <c r="I1514"/>
      <c r="J1514"/>
      <c r="K1514"/>
      <c r="L1514"/>
      <c r="M1514"/>
      <c r="S1514" s="54"/>
    </row>
    <row r="1515" spans="1:19" s="15" customFormat="1" x14ac:dyDescent="0.3">
      <c r="A1515" s="17"/>
      <c r="B1515"/>
      <c r="C1515"/>
      <c r="D1515"/>
      <c r="E1515"/>
      <c r="F1515"/>
      <c r="G1515"/>
      <c r="H1515"/>
      <c r="I1515"/>
      <c r="J1515"/>
      <c r="K1515"/>
      <c r="L1515"/>
      <c r="M1515"/>
      <c r="S1515" s="54"/>
    </row>
    <row r="1516" spans="1:19" s="15" customFormat="1" x14ac:dyDescent="0.3">
      <c r="A1516" s="17"/>
      <c r="B1516"/>
      <c r="C1516"/>
      <c r="D1516"/>
      <c r="E1516"/>
      <c r="F1516"/>
      <c r="G1516"/>
      <c r="H1516"/>
      <c r="I1516"/>
      <c r="J1516"/>
      <c r="K1516"/>
      <c r="L1516"/>
      <c r="M1516"/>
      <c r="S1516" s="54"/>
    </row>
    <row r="1517" spans="1:19" s="15" customFormat="1" x14ac:dyDescent="0.3">
      <c r="A1517" s="17"/>
      <c r="B1517"/>
      <c r="C1517"/>
      <c r="D1517"/>
      <c r="E1517"/>
      <c r="F1517"/>
      <c r="G1517"/>
      <c r="H1517"/>
      <c r="I1517"/>
      <c r="J1517"/>
      <c r="K1517"/>
      <c r="L1517"/>
      <c r="M1517"/>
      <c r="S1517" s="54"/>
    </row>
    <row r="1518" spans="1:19" s="15" customFormat="1" x14ac:dyDescent="0.3">
      <c r="A1518" s="17"/>
      <c r="B1518"/>
      <c r="C1518"/>
      <c r="D1518"/>
      <c r="E1518"/>
      <c r="F1518"/>
      <c r="G1518"/>
      <c r="H1518"/>
      <c r="I1518"/>
      <c r="J1518"/>
      <c r="K1518"/>
      <c r="L1518"/>
      <c r="M1518"/>
      <c r="S1518" s="54"/>
    </row>
    <row r="1519" spans="1:19" s="15" customFormat="1" x14ac:dyDescent="0.3">
      <c r="A1519" s="17"/>
      <c r="B1519"/>
      <c r="C1519"/>
      <c r="D1519"/>
      <c r="E1519"/>
      <c r="F1519"/>
      <c r="G1519"/>
      <c r="H1519"/>
      <c r="I1519"/>
      <c r="J1519"/>
      <c r="K1519"/>
      <c r="L1519"/>
      <c r="M1519"/>
      <c r="S1519" s="54"/>
    </row>
    <row r="1520" spans="1:19" s="15" customFormat="1" x14ac:dyDescent="0.3">
      <c r="A1520" s="17"/>
      <c r="B1520"/>
      <c r="C1520"/>
      <c r="D1520"/>
      <c r="E1520"/>
      <c r="F1520"/>
      <c r="G1520"/>
      <c r="H1520"/>
      <c r="I1520"/>
      <c r="J1520"/>
      <c r="K1520"/>
      <c r="L1520"/>
      <c r="M1520"/>
      <c r="S1520" s="54"/>
    </row>
    <row r="1521" spans="1:19" s="15" customFormat="1" x14ac:dyDescent="0.3">
      <c r="A1521" s="17"/>
      <c r="B1521"/>
      <c r="C1521"/>
      <c r="D1521"/>
      <c r="E1521"/>
      <c r="F1521"/>
      <c r="G1521"/>
      <c r="H1521"/>
      <c r="I1521"/>
      <c r="J1521"/>
      <c r="K1521"/>
      <c r="L1521"/>
      <c r="M1521"/>
      <c r="S1521" s="54"/>
    </row>
    <row r="1522" spans="1:19" s="15" customFormat="1" x14ac:dyDescent="0.3">
      <c r="A1522" s="17"/>
      <c r="B1522"/>
      <c r="C1522"/>
      <c r="D1522"/>
      <c r="E1522"/>
      <c r="F1522"/>
      <c r="G1522"/>
      <c r="H1522"/>
      <c r="I1522"/>
      <c r="J1522"/>
      <c r="K1522"/>
      <c r="L1522"/>
      <c r="M1522"/>
      <c r="S1522" s="54"/>
    </row>
    <row r="1523" spans="1:19" s="15" customFormat="1" x14ac:dyDescent="0.3">
      <c r="A1523" s="17"/>
      <c r="B1523"/>
      <c r="C1523"/>
      <c r="D1523"/>
      <c r="E1523"/>
      <c r="F1523"/>
      <c r="G1523"/>
      <c r="H1523"/>
      <c r="I1523"/>
      <c r="J1523"/>
      <c r="K1523"/>
      <c r="L1523"/>
      <c r="M1523"/>
      <c r="S1523" s="54"/>
    </row>
    <row r="1524" spans="1:19" s="15" customFormat="1" x14ac:dyDescent="0.3">
      <c r="A1524" s="17"/>
      <c r="B1524"/>
      <c r="C1524"/>
      <c r="D1524"/>
      <c r="E1524"/>
      <c r="F1524"/>
      <c r="G1524"/>
      <c r="H1524"/>
      <c r="I1524"/>
      <c r="J1524"/>
      <c r="K1524"/>
      <c r="L1524"/>
      <c r="M1524"/>
      <c r="S1524" s="54"/>
    </row>
    <row r="1525" spans="1:19" s="15" customFormat="1" x14ac:dyDescent="0.3">
      <c r="A1525" s="17"/>
      <c r="B1525"/>
      <c r="C1525"/>
      <c r="D1525"/>
      <c r="E1525"/>
      <c r="F1525"/>
      <c r="G1525"/>
      <c r="H1525"/>
      <c r="I1525"/>
      <c r="J1525"/>
      <c r="K1525"/>
      <c r="L1525"/>
      <c r="M1525"/>
      <c r="S1525" s="54"/>
    </row>
    <row r="1526" spans="1:19" s="15" customFormat="1" x14ac:dyDescent="0.3">
      <c r="A1526" s="17"/>
      <c r="B1526"/>
      <c r="C1526"/>
      <c r="D1526"/>
      <c r="E1526"/>
      <c r="F1526"/>
      <c r="G1526"/>
      <c r="H1526"/>
      <c r="I1526"/>
      <c r="J1526"/>
      <c r="K1526"/>
      <c r="L1526"/>
      <c r="M1526"/>
      <c r="S1526" s="54"/>
    </row>
    <row r="1527" spans="1:19" s="15" customFormat="1" x14ac:dyDescent="0.3">
      <c r="A1527" s="17"/>
      <c r="B1527"/>
      <c r="C1527"/>
      <c r="D1527"/>
      <c r="E1527"/>
      <c r="F1527"/>
      <c r="G1527"/>
      <c r="H1527"/>
      <c r="I1527"/>
      <c r="J1527"/>
      <c r="K1527"/>
      <c r="L1527"/>
      <c r="M1527"/>
      <c r="S1527" s="54"/>
    </row>
    <row r="1528" spans="1:19" s="15" customFormat="1" x14ac:dyDescent="0.3">
      <c r="A1528" s="17"/>
      <c r="B1528"/>
      <c r="C1528"/>
      <c r="D1528"/>
      <c r="E1528"/>
      <c r="F1528"/>
      <c r="G1528"/>
      <c r="H1528"/>
      <c r="I1528"/>
      <c r="J1528"/>
      <c r="K1528"/>
      <c r="L1528"/>
      <c r="M1528"/>
      <c r="S1528" s="54"/>
    </row>
    <row r="1529" spans="1:19" s="15" customFormat="1" x14ac:dyDescent="0.3">
      <c r="A1529" s="17"/>
      <c r="B1529"/>
      <c r="C1529"/>
      <c r="D1529"/>
      <c r="E1529"/>
      <c r="F1529"/>
      <c r="G1529"/>
      <c r="H1529"/>
      <c r="I1529"/>
      <c r="J1529"/>
      <c r="K1529"/>
      <c r="L1529"/>
      <c r="M1529"/>
      <c r="S1529" s="54"/>
    </row>
    <row r="1530" spans="1:19" s="15" customFormat="1" x14ac:dyDescent="0.3">
      <c r="A1530" s="17"/>
      <c r="B1530"/>
      <c r="C1530"/>
      <c r="D1530"/>
      <c r="E1530"/>
      <c r="F1530"/>
      <c r="G1530"/>
      <c r="H1530"/>
      <c r="I1530"/>
      <c r="J1530"/>
      <c r="K1530"/>
      <c r="L1530"/>
      <c r="M1530"/>
      <c r="S1530" s="54"/>
    </row>
    <row r="1531" spans="1:19" s="15" customFormat="1" x14ac:dyDescent="0.3">
      <c r="A1531" s="17"/>
      <c r="B1531"/>
      <c r="C1531"/>
      <c r="D1531"/>
      <c r="E1531"/>
      <c r="F1531"/>
      <c r="G1531"/>
      <c r="H1531"/>
      <c r="I1531"/>
      <c r="J1531"/>
      <c r="K1531"/>
      <c r="L1531"/>
      <c r="M1531"/>
      <c r="S1531" s="54"/>
    </row>
    <row r="1532" spans="1:19" s="15" customFormat="1" x14ac:dyDescent="0.3">
      <c r="A1532" s="17"/>
      <c r="B1532"/>
      <c r="C1532"/>
      <c r="D1532"/>
      <c r="E1532"/>
      <c r="F1532"/>
      <c r="G1532"/>
      <c r="H1532"/>
      <c r="I1532"/>
      <c r="J1532"/>
      <c r="K1532"/>
      <c r="L1532"/>
      <c r="M1532"/>
      <c r="S1532" s="54"/>
    </row>
    <row r="1533" spans="1:19" s="15" customFormat="1" x14ac:dyDescent="0.3">
      <c r="A1533" s="17"/>
      <c r="B1533"/>
      <c r="C1533"/>
      <c r="D1533"/>
      <c r="E1533"/>
      <c r="F1533"/>
      <c r="G1533"/>
      <c r="H1533"/>
      <c r="I1533"/>
      <c r="J1533"/>
      <c r="K1533"/>
      <c r="L1533"/>
      <c r="M1533"/>
      <c r="S1533" s="54"/>
    </row>
    <row r="1534" spans="1:19" s="15" customFormat="1" x14ac:dyDescent="0.3">
      <c r="A1534" s="17"/>
      <c r="B1534"/>
      <c r="C1534"/>
      <c r="D1534"/>
      <c r="E1534"/>
      <c r="F1534"/>
      <c r="G1534"/>
      <c r="H1534"/>
      <c r="I1534"/>
      <c r="J1534"/>
      <c r="K1534"/>
      <c r="L1534"/>
      <c r="M1534"/>
      <c r="S1534" s="54"/>
    </row>
    <row r="1535" spans="1:19" s="15" customFormat="1" x14ac:dyDescent="0.3">
      <c r="A1535" s="17"/>
      <c r="B1535"/>
      <c r="C1535"/>
      <c r="D1535"/>
      <c r="E1535"/>
      <c r="F1535"/>
      <c r="G1535"/>
      <c r="H1535"/>
      <c r="I1535"/>
      <c r="J1535"/>
      <c r="K1535"/>
      <c r="L1535"/>
      <c r="M1535"/>
      <c r="S1535" s="54"/>
    </row>
    <row r="1536" spans="1:19" s="15" customFormat="1" x14ac:dyDescent="0.3">
      <c r="A1536" s="17"/>
      <c r="B1536"/>
      <c r="C1536"/>
      <c r="D1536"/>
      <c r="E1536"/>
      <c r="F1536"/>
      <c r="G1536"/>
      <c r="H1536"/>
      <c r="I1536"/>
      <c r="J1536"/>
      <c r="K1536"/>
      <c r="L1536"/>
      <c r="M1536"/>
      <c r="S1536" s="54"/>
    </row>
    <row r="1537" spans="1:19" s="15" customFormat="1" x14ac:dyDescent="0.3">
      <c r="A1537" s="17"/>
      <c r="B1537"/>
      <c r="C1537"/>
      <c r="D1537"/>
      <c r="E1537"/>
      <c r="F1537"/>
      <c r="G1537"/>
      <c r="H1537"/>
      <c r="I1537"/>
      <c r="J1537"/>
      <c r="K1537"/>
      <c r="L1537"/>
      <c r="M1537"/>
      <c r="S1537" s="54"/>
    </row>
    <row r="1538" spans="1:19" s="15" customFormat="1" x14ac:dyDescent="0.3">
      <c r="A1538" s="17"/>
      <c r="B1538"/>
      <c r="C1538"/>
      <c r="D1538"/>
      <c r="E1538"/>
      <c r="F1538"/>
      <c r="G1538"/>
      <c r="H1538"/>
      <c r="I1538"/>
      <c r="J1538"/>
      <c r="K1538"/>
      <c r="L1538"/>
      <c r="M1538"/>
      <c r="S1538" s="54"/>
    </row>
    <row r="1539" spans="1:19" s="15" customFormat="1" x14ac:dyDescent="0.3">
      <c r="A1539" s="17"/>
      <c r="B1539"/>
      <c r="C1539"/>
      <c r="D1539"/>
      <c r="E1539"/>
      <c r="F1539"/>
      <c r="G1539"/>
      <c r="H1539"/>
      <c r="I1539"/>
      <c r="J1539"/>
      <c r="K1539"/>
      <c r="L1539"/>
      <c r="M1539"/>
      <c r="S1539" s="54"/>
    </row>
    <row r="1540" spans="1:19" s="15" customFormat="1" x14ac:dyDescent="0.3">
      <c r="A1540" s="17"/>
      <c r="B1540"/>
      <c r="C1540"/>
      <c r="D1540"/>
      <c r="E1540"/>
      <c r="F1540"/>
      <c r="G1540"/>
      <c r="H1540"/>
      <c r="I1540"/>
      <c r="J1540"/>
      <c r="K1540"/>
      <c r="L1540"/>
      <c r="M1540"/>
      <c r="S1540" s="54"/>
    </row>
    <row r="1541" spans="1:19" s="15" customFormat="1" x14ac:dyDescent="0.3">
      <c r="A1541" s="17"/>
      <c r="B1541"/>
      <c r="C1541"/>
      <c r="D1541"/>
      <c r="E1541"/>
      <c r="F1541"/>
      <c r="G1541"/>
      <c r="H1541"/>
      <c r="I1541"/>
      <c r="J1541"/>
      <c r="K1541"/>
      <c r="L1541"/>
      <c r="M1541"/>
      <c r="S1541" s="54"/>
    </row>
    <row r="1542" spans="1:19" s="15" customFormat="1" x14ac:dyDescent="0.3">
      <c r="A1542" s="17"/>
      <c r="B1542"/>
      <c r="C1542"/>
      <c r="D1542"/>
      <c r="E1542"/>
      <c r="F1542"/>
      <c r="G1542"/>
      <c r="H1542"/>
      <c r="I1542"/>
      <c r="J1542"/>
      <c r="K1542"/>
      <c r="L1542"/>
      <c r="M1542"/>
      <c r="S1542" s="54"/>
    </row>
    <row r="1543" spans="1:19" s="15" customFormat="1" x14ac:dyDescent="0.3">
      <c r="A1543" s="17"/>
      <c r="B1543"/>
      <c r="C1543"/>
      <c r="D1543"/>
      <c r="E1543"/>
      <c r="F1543"/>
      <c r="G1543"/>
      <c r="H1543"/>
      <c r="I1543"/>
      <c r="J1543"/>
      <c r="K1543"/>
      <c r="L1543"/>
      <c r="M1543"/>
      <c r="S1543" s="54"/>
    </row>
    <row r="1544" spans="1:19" s="15" customFormat="1" x14ac:dyDescent="0.3">
      <c r="A1544" s="17"/>
      <c r="B1544"/>
      <c r="C1544"/>
      <c r="D1544"/>
      <c r="E1544"/>
      <c r="F1544"/>
      <c r="G1544"/>
      <c r="H1544"/>
      <c r="I1544"/>
      <c r="J1544"/>
      <c r="K1544"/>
      <c r="L1544"/>
      <c r="M1544"/>
      <c r="S1544" s="54"/>
    </row>
    <row r="1545" spans="1:19" s="15" customFormat="1" x14ac:dyDescent="0.3">
      <c r="A1545" s="17"/>
      <c r="B1545"/>
      <c r="C1545"/>
      <c r="D1545"/>
      <c r="E1545"/>
      <c r="F1545"/>
      <c r="G1545"/>
      <c r="H1545"/>
      <c r="I1545"/>
      <c r="J1545"/>
      <c r="K1545"/>
      <c r="L1545"/>
      <c r="M1545"/>
      <c r="S1545" s="54"/>
    </row>
    <row r="1546" spans="1:19" s="15" customFormat="1" x14ac:dyDescent="0.3">
      <c r="A1546" s="17"/>
      <c r="B1546"/>
      <c r="C1546"/>
      <c r="D1546"/>
      <c r="E1546"/>
      <c r="F1546"/>
      <c r="G1546"/>
      <c r="H1546"/>
      <c r="I1546"/>
      <c r="J1546"/>
      <c r="K1546"/>
      <c r="L1546"/>
      <c r="M1546"/>
      <c r="S1546" s="54"/>
    </row>
    <row r="1547" spans="1:19" s="15" customFormat="1" x14ac:dyDescent="0.3">
      <c r="A1547" s="17"/>
      <c r="B1547"/>
      <c r="C1547"/>
      <c r="D1547"/>
      <c r="E1547"/>
      <c r="F1547"/>
      <c r="G1547"/>
      <c r="H1547"/>
      <c r="I1547"/>
      <c r="J1547"/>
      <c r="K1547"/>
      <c r="L1547"/>
      <c r="M1547"/>
      <c r="S1547" s="54"/>
    </row>
    <row r="1548" spans="1:19" s="15" customFormat="1" x14ac:dyDescent="0.3">
      <c r="A1548" s="17"/>
      <c r="B1548"/>
      <c r="C1548"/>
      <c r="D1548"/>
      <c r="E1548"/>
      <c r="F1548"/>
      <c r="G1548"/>
      <c r="H1548"/>
      <c r="I1548"/>
      <c r="J1548"/>
      <c r="K1548"/>
      <c r="L1548"/>
      <c r="M1548"/>
      <c r="S1548" s="54"/>
    </row>
    <row r="1549" spans="1:19" s="15" customFormat="1" x14ac:dyDescent="0.3">
      <c r="A1549" s="17"/>
      <c r="B1549"/>
      <c r="C1549"/>
      <c r="D1549"/>
      <c r="E1549"/>
      <c r="F1549"/>
      <c r="G1549"/>
      <c r="H1549"/>
      <c r="I1549"/>
      <c r="J1549"/>
      <c r="K1549"/>
      <c r="L1549"/>
      <c r="M1549"/>
      <c r="S1549" s="54"/>
    </row>
    <row r="1550" spans="1:19" s="15" customFormat="1" x14ac:dyDescent="0.3">
      <c r="A1550" s="17"/>
      <c r="B1550"/>
      <c r="C1550"/>
      <c r="D1550"/>
      <c r="E1550"/>
      <c r="F1550"/>
      <c r="G1550"/>
      <c r="H1550"/>
      <c r="I1550"/>
      <c r="J1550"/>
      <c r="K1550"/>
      <c r="L1550"/>
      <c r="M1550"/>
      <c r="S1550" s="54"/>
    </row>
    <row r="1551" spans="1:19" s="15" customFormat="1" x14ac:dyDescent="0.3">
      <c r="A1551" s="17"/>
      <c r="B1551"/>
      <c r="C1551"/>
      <c r="D1551"/>
      <c r="E1551"/>
      <c r="F1551"/>
      <c r="G1551"/>
      <c r="H1551"/>
      <c r="I1551"/>
      <c r="J1551"/>
      <c r="K1551"/>
      <c r="L1551"/>
      <c r="M1551"/>
      <c r="S1551" s="54"/>
    </row>
    <row r="1552" spans="1:19" s="15" customFormat="1" x14ac:dyDescent="0.3">
      <c r="A1552" s="17"/>
      <c r="B1552"/>
      <c r="C1552"/>
      <c r="D1552"/>
      <c r="E1552"/>
      <c r="F1552"/>
      <c r="G1552"/>
      <c r="H1552"/>
      <c r="I1552"/>
      <c r="J1552"/>
      <c r="K1552"/>
      <c r="L1552"/>
      <c r="M1552"/>
      <c r="S1552" s="54"/>
    </row>
    <row r="1553" spans="1:19" s="15" customFormat="1" x14ac:dyDescent="0.3">
      <c r="A1553" s="17"/>
      <c r="B1553"/>
      <c r="C1553"/>
      <c r="D1553"/>
      <c r="E1553"/>
      <c r="F1553"/>
      <c r="G1553"/>
      <c r="H1553"/>
      <c r="I1553"/>
      <c r="J1553"/>
      <c r="K1553"/>
      <c r="L1553"/>
      <c r="M1553"/>
      <c r="S1553" s="54"/>
    </row>
    <row r="1554" spans="1:19" s="15" customFormat="1" x14ac:dyDescent="0.3">
      <c r="A1554" s="17"/>
      <c r="B1554"/>
      <c r="C1554"/>
      <c r="D1554"/>
      <c r="E1554"/>
      <c r="F1554"/>
      <c r="G1554"/>
      <c r="H1554"/>
      <c r="I1554"/>
      <c r="J1554"/>
      <c r="K1554"/>
      <c r="L1554"/>
      <c r="M1554"/>
      <c r="S1554" s="54"/>
    </row>
    <row r="1555" spans="1:19" s="15" customFormat="1" x14ac:dyDescent="0.3">
      <c r="A1555" s="17"/>
      <c r="B1555"/>
      <c r="C1555"/>
      <c r="D1555"/>
      <c r="E1555"/>
      <c r="F1555"/>
      <c r="G1555"/>
      <c r="H1555"/>
      <c r="I1555"/>
      <c r="J1555"/>
      <c r="K1555"/>
      <c r="L1555"/>
      <c r="M1555"/>
      <c r="S1555" s="54"/>
    </row>
    <row r="1556" spans="1:19" s="15" customFormat="1" x14ac:dyDescent="0.3">
      <c r="A1556" s="17"/>
      <c r="B1556"/>
      <c r="C1556"/>
      <c r="D1556"/>
      <c r="E1556"/>
      <c r="F1556"/>
      <c r="G1556"/>
      <c r="H1556"/>
      <c r="I1556"/>
      <c r="J1556"/>
      <c r="K1556"/>
      <c r="L1556"/>
      <c r="M1556"/>
      <c r="S1556" s="54"/>
    </row>
    <row r="1557" spans="1:19" s="15" customFormat="1" x14ac:dyDescent="0.3">
      <c r="A1557" s="17"/>
      <c r="B1557"/>
      <c r="C1557"/>
      <c r="D1557"/>
      <c r="E1557"/>
      <c r="F1557"/>
      <c r="G1557"/>
      <c r="H1557"/>
      <c r="I1557"/>
      <c r="J1557"/>
      <c r="K1557"/>
      <c r="L1557"/>
      <c r="M1557"/>
      <c r="S1557" s="54"/>
    </row>
    <row r="1558" spans="1:19" s="15" customFormat="1" x14ac:dyDescent="0.3">
      <c r="A1558" s="17"/>
      <c r="B1558"/>
      <c r="C1558"/>
      <c r="D1558"/>
      <c r="E1558"/>
      <c r="F1558"/>
      <c r="G1558"/>
      <c r="H1558"/>
      <c r="I1558"/>
      <c r="J1558"/>
      <c r="K1558"/>
      <c r="L1558"/>
      <c r="M1558"/>
      <c r="S1558" s="54"/>
    </row>
    <row r="1559" spans="1:19" s="15" customFormat="1" x14ac:dyDescent="0.3">
      <c r="A1559" s="17"/>
      <c r="B1559"/>
      <c r="C1559"/>
      <c r="D1559"/>
      <c r="E1559"/>
      <c r="F1559"/>
      <c r="G1559"/>
      <c r="H1559"/>
      <c r="I1559"/>
      <c r="J1559"/>
      <c r="K1559"/>
      <c r="L1559"/>
      <c r="M1559"/>
      <c r="S1559" s="54"/>
    </row>
    <row r="1560" spans="1:19" s="15" customFormat="1" x14ac:dyDescent="0.3">
      <c r="A1560" s="17"/>
      <c r="B1560"/>
      <c r="C1560"/>
      <c r="D1560"/>
      <c r="E1560"/>
      <c r="F1560"/>
      <c r="G1560"/>
      <c r="H1560"/>
      <c r="I1560"/>
      <c r="J1560"/>
      <c r="K1560"/>
      <c r="L1560"/>
      <c r="M1560"/>
      <c r="S1560" s="54"/>
    </row>
    <row r="1561" spans="1:19" s="15" customFormat="1" x14ac:dyDescent="0.3">
      <c r="A1561" s="17"/>
      <c r="B1561"/>
      <c r="C1561"/>
      <c r="D1561"/>
      <c r="E1561"/>
      <c r="F1561"/>
      <c r="G1561"/>
      <c r="H1561"/>
      <c r="I1561"/>
      <c r="J1561"/>
      <c r="K1561"/>
      <c r="L1561"/>
      <c r="M1561"/>
      <c r="S1561" s="54"/>
    </row>
    <row r="1562" spans="1:19" s="15" customFormat="1" x14ac:dyDescent="0.3">
      <c r="A1562" s="17"/>
      <c r="B1562"/>
      <c r="C1562"/>
      <c r="D1562"/>
      <c r="E1562"/>
      <c r="F1562"/>
      <c r="G1562"/>
      <c r="H1562"/>
      <c r="I1562"/>
      <c r="J1562"/>
      <c r="K1562"/>
      <c r="L1562"/>
      <c r="M1562"/>
      <c r="S1562" s="54"/>
    </row>
    <row r="1563" spans="1:19" s="15" customFormat="1" x14ac:dyDescent="0.3">
      <c r="A1563" s="17"/>
      <c r="B1563"/>
      <c r="C1563"/>
      <c r="D1563"/>
      <c r="E1563"/>
      <c r="F1563"/>
      <c r="G1563"/>
      <c r="H1563"/>
      <c r="I1563"/>
      <c r="J1563"/>
      <c r="K1563"/>
      <c r="L1563"/>
      <c r="M1563"/>
      <c r="S1563" s="54"/>
    </row>
    <row r="1564" spans="1:19" s="15" customFormat="1" x14ac:dyDescent="0.3">
      <c r="A1564" s="17"/>
      <c r="B1564"/>
      <c r="C1564"/>
      <c r="D1564"/>
      <c r="E1564"/>
      <c r="F1564"/>
      <c r="G1564"/>
      <c r="H1564"/>
      <c r="I1564"/>
      <c r="J1564"/>
      <c r="K1564"/>
      <c r="L1564"/>
      <c r="M1564"/>
      <c r="S1564" s="54"/>
    </row>
    <row r="1565" spans="1:19" s="15" customFormat="1" x14ac:dyDescent="0.3">
      <c r="A1565" s="17"/>
      <c r="B1565"/>
      <c r="C1565"/>
      <c r="D1565"/>
      <c r="E1565"/>
      <c r="F1565"/>
      <c r="G1565"/>
      <c r="H1565"/>
      <c r="I1565"/>
      <c r="J1565"/>
      <c r="K1565"/>
      <c r="L1565"/>
      <c r="M1565"/>
      <c r="S1565" s="54"/>
    </row>
    <row r="1566" spans="1:19" s="15" customFormat="1" x14ac:dyDescent="0.3">
      <c r="A1566" s="17"/>
      <c r="B1566"/>
      <c r="C1566"/>
      <c r="D1566"/>
      <c r="E1566"/>
      <c r="F1566"/>
      <c r="G1566"/>
      <c r="H1566"/>
      <c r="I1566"/>
      <c r="J1566"/>
      <c r="K1566"/>
      <c r="L1566"/>
      <c r="M1566"/>
      <c r="S1566" s="54"/>
    </row>
    <row r="1567" spans="1:19" s="15" customFormat="1" x14ac:dyDescent="0.3">
      <c r="A1567" s="17"/>
      <c r="B1567"/>
      <c r="C1567"/>
      <c r="D1567"/>
      <c r="E1567"/>
      <c r="F1567"/>
      <c r="G1567"/>
      <c r="H1567"/>
      <c r="I1567"/>
      <c r="J1567"/>
      <c r="K1567"/>
      <c r="L1567"/>
      <c r="M1567"/>
      <c r="S1567" s="54"/>
    </row>
    <row r="1568" spans="1:19" s="15" customFormat="1" x14ac:dyDescent="0.3">
      <c r="A1568" s="17"/>
      <c r="B1568"/>
      <c r="C1568"/>
      <c r="D1568"/>
      <c r="E1568"/>
      <c r="F1568"/>
      <c r="G1568"/>
      <c r="H1568"/>
      <c r="I1568"/>
      <c r="J1568"/>
      <c r="K1568"/>
      <c r="L1568"/>
      <c r="M1568"/>
      <c r="S1568" s="54"/>
    </row>
    <row r="1569" spans="1:19" s="15" customFormat="1" x14ac:dyDescent="0.3">
      <c r="A1569" s="17"/>
      <c r="B1569"/>
      <c r="C1569"/>
      <c r="D1569"/>
      <c r="E1569"/>
      <c r="F1569"/>
      <c r="G1569"/>
      <c r="H1569"/>
      <c r="I1569"/>
      <c r="J1569"/>
      <c r="K1569"/>
      <c r="L1569"/>
      <c r="M1569"/>
      <c r="S1569" s="54"/>
    </row>
    <row r="1570" spans="1:19" s="15" customFormat="1" x14ac:dyDescent="0.3">
      <c r="A1570" s="17"/>
      <c r="B1570"/>
      <c r="C1570"/>
      <c r="D1570"/>
      <c r="E1570"/>
      <c r="F1570"/>
      <c r="G1570"/>
      <c r="H1570"/>
      <c r="I1570"/>
      <c r="J1570"/>
      <c r="K1570"/>
      <c r="L1570"/>
      <c r="M1570"/>
      <c r="S1570" s="54"/>
    </row>
    <row r="1571" spans="1:19" s="15" customFormat="1" x14ac:dyDescent="0.3">
      <c r="A1571" s="17"/>
      <c r="B1571"/>
      <c r="C1571"/>
      <c r="D1571"/>
      <c r="E1571"/>
      <c r="F1571"/>
      <c r="G1571"/>
      <c r="H1571"/>
      <c r="I1571"/>
      <c r="J1571"/>
      <c r="K1571"/>
      <c r="L1571"/>
      <c r="M1571"/>
      <c r="S1571" s="54"/>
    </row>
    <row r="1572" spans="1:19" s="15" customFormat="1" x14ac:dyDescent="0.3">
      <c r="A1572" s="17"/>
      <c r="B1572"/>
      <c r="C1572"/>
      <c r="D1572"/>
      <c r="E1572"/>
      <c r="F1572"/>
      <c r="G1572"/>
      <c r="H1572"/>
      <c r="I1572"/>
      <c r="J1572"/>
      <c r="K1572"/>
      <c r="L1572"/>
      <c r="M1572"/>
      <c r="S1572" s="54"/>
    </row>
    <row r="1573" spans="1:19" s="15" customFormat="1" x14ac:dyDescent="0.3">
      <c r="A1573" s="17"/>
      <c r="B1573"/>
      <c r="C1573"/>
      <c r="D1573"/>
      <c r="E1573"/>
      <c r="F1573"/>
      <c r="G1573"/>
      <c r="H1573"/>
      <c r="I1573"/>
      <c r="J1573"/>
      <c r="K1573"/>
      <c r="L1573"/>
      <c r="M1573"/>
      <c r="S1573" s="54"/>
    </row>
    <row r="1574" spans="1:19" s="15" customFormat="1" x14ac:dyDescent="0.3">
      <c r="A1574" s="17"/>
      <c r="B1574"/>
      <c r="C1574"/>
      <c r="D1574"/>
      <c r="E1574"/>
      <c r="F1574"/>
      <c r="G1574"/>
      <c r="H1574"/>
      <c r="I1574"/>
      <c r="J1574"/>
      <c r="K1574"/>
      <c r="L1574"/>
      <c r="M1574"/>
      <c r="S1574" s="54"/>
    </row>
    <row r="1575" spans="1:19" s="15" customFormat="1" x14ac:dyDescent="0.3">
      <c r="A1575" s="17"/>
      <c r="B1575"/>
      <c r="C1575"/>
      <c r="D1575"/>
      <c r="E1575"/>
      <c r="F1575"/>
      <c r="G1575"/>
      <c r="H1575"/>
      <c r="I1575"/>
      <c r="J1575"/>
      <c r="K1575"/>
      <c r="L1575"/>
      <c r="M1575"/>
      <c r="S1575" s="54"/>
    </row>
    <row r="1576" spans="1:19" s="15" customFormat="1" x14ac:dyDescent="0.3">
      <c r="A1576" s="17"/>
      <c r="B1576"/>
      <c r="C1576"/>
      <c r="D1576"/>
      <c r="E1576"/>
      <c r="F1576"/>
      <c r="G1576"/>
      <c r="H1576"/>
      <c r="I1576"/>
      <c r="J1576"/>
      <c r="K1576"/>
      <c r="L1576"/>
      <c r="M1576"/>
      <c r="S1576" s="54"/>
    </row>
    <row r="1577" spans="1:19" s="15" customFormat="1" x14ac:dyDescent="0.3">
      <c r="A1577" s="17"/>
      <c r="B1577"/>
      <c r="C1577"/>
      <c r="D1577"/>
      <c r="E1577"/>
      <c r="F1577"/>
      <c r="G1577"/>
      <c r="H1577"/>
      <c r="I1577"/>
      <c r="J1577"/>
      <c r="K1577"/>
      <c r="L1577"/>
      <c r="M1577"/>
      <c r="S1577" s="54"/>
    </row>
    <row r="1578" spans="1:19" s="15" customFormat="1" x14ac:dyDescent="0.3">
      <c r="A1578" s="17"/>
      <c r="B1578"/>
      <c r="C1578"/>
      <c r="D1578"/>
      <c r="E1578"/>
      <c r="F1578"/>
      <c r="G1578"/>
      <c r="H1578"/>
      <c r="I1578"/>
      <c r="J1578"/>
      <c r="K1578"/>
      <c r="L1578"/>
      <c r="M1578"/>
      <c r="S1578" s="54"/>
    </row>
    <row r="1579" spans="1:19" s="15" customFormat="1" x14ac:dyDescent="0.3">
      <c r="A1579" s="17"/>
      <c r="B1579"/>
      <c r="C1579"/>
      <c r="D1579"/>
      <c r="E1579"/>
      <c r="F1579"/>
      <c r="G1579"/>
      <c r="H1579"/>
      <c r="I1579"/>
      <c r="J1579"/>
      <c r="K1579"/>
      <c r="L1579"/>
      <c r="M1579"/>
      <c r="S1579" s="54"/>
    </row>
    <row r="1580" spans="1:19" s="15" customFormat="1" x14ac:dyDescent="0.3">
      <c r="A1580" s="17"/>
      <c r="B1580"/>
      <c r="C1580"/>
      <c r="D1580"/>
      <c r="E1580"/>
      <c r="F1580"/>
      <c r="G1580"/>
      <c r="H1580"/>
      <c r="I1580"/>
      <c r="J1580"/>
      <c r="K1580"/>
      <c r="L1580"/>
      <c r="M1580"/>
      <c r="S1580" s="54"/>
    </row>
    <row r="1581" spans="1:19" s="15" customFormat="1" x14ac:dyDescent="0.3">
      <c r="A1581" s="17"/>
      <c r="B1581"/>
      <c r="C1581"/>
      <c r="D1581"/>
      <c r="E1581"/>
      <c r="F1581"/>
      <c r="G1581"/>
      <c r="H1581"/>
      <c r="I1581"/>
      <c r="J1581"/>
      <c r="K1581"/>
      <c r="L1581"/>
      <c r="M1581"/>
      <c r="S1581" s="54"/>
    </row>
    <row r="1582" spans="1:19" s="15" customFormat="1" x14ac:dyDescent="0.3">
      <c r="A1582" s="17"/>
      <c r="B1582"/>
      <c r="C1582"/>
      <c r="D1582"/>
      <c r="E1582"/>
      <c r="F1582"/>
      <c r="G1582"/>
      <c r="H1582"/>
      <c r="I1582"/>
      <c r="J1582"/>
      <c r="K1582"/>
      <c r="L1582"/>
      <c r="M1582"/>
      <c r="S1582" s="54"/>
    </row>
    <row r="1583" spans="1:19" s="15" customFormat="1" x14ac:dyDescent="0.3">
      <c r="A1583" s="17"/>
      <c r="B1583"/>
      <c r="C1583"/>
      <c r="D1583"/>
      <c r="E1583"/>
      <c r="F1583"/>
      <c r="G1583"/>
      <c r="H1583"/>
      <c r="I1583"/>
      <c r="J1583"/>
      <c r="K1583"/>
      <c r="L1583"/>
      <c r="M1583"/>
      <c r="S1583" s="54"/>
    </row>
    <row r="1584" spans="1:19" s="15" customFormat="1" x14ac:dyDescent="0.3">
      <c r="A1584" s="17"/>
      <c r="B1584"/>
      <c r="C1584"/>
      <c r="D1584"/>
      <c r="E1584"/>
      <c r="F1584"/>
      <c r="G1584"/>
      <c r="H1584"/>
      <c r="I1584"/>
      <c r="J1584"/>
      <c r="K1584"/>
      <c r="L1584"/>
      <c r="M1584"/>
      <c r="S1584" s="54"/>
    </row>
    <row r="1585" spans="1:19" s="15" customFormat="1" x14ac:dyDescent="0.3">
      <c r="A1585" s="17"/>
      <c r="B1585"/>
      <c r="C1585"/>
      <c r="D1585"/>
      <c r="E1585"/>
      <c r="F1585"/>
      <c r="G1585"/>
      <c r="H1585"/>
      <c r="I1585"/>
      <c r="J1585"/>
      <c r="K1585"/>
      <c r="L1585"/>
      <c r="M1585"/>
      <c r="S1585" s="54"/>
    </row>
    <row r="1586" spans="1:19" s="15" customFormat="1" x14ac:dyDescent="0.3">
      <c r="A1586" s="17"/>
      <c r="B1586"/>
      <c r="C1586"/>
      <c r="D1586"/>
      <c r="E1586"/>
      <c r="F1586"/>
      <c r="G1586"/>
      <c r="H1586"/>
      <c r="I1586"/>
      <c r="J1586"/>
      <c r="K1586"/>
      <c r="L1586"/>
      <c r="M1586"/>
      <c r="S1586" s="54"/>
    </row>
    <row r="1587" spans="1:19" s="15" customFormat="1" x14ac:dyDescent="0.3">
      <c r="A1587" s="17"/>
      <c r="B1587"/>
      <c r="C1587"/>
      <c r="D1587"/>
      <c r="E1587"/>
      <c r="F1587"/>
      <c r="G1587"/>
      <c r="H1587"/>
      <c r="I1587"/>
      <c r="J1587"/>
      <c r="K1587"/>
      <c r="L1587"/>
      <c r="M1587"/>
      <c r="S1587" s="54"/>
    </row>
    <row r="1588" spans="1:19" s="15" customFormat="1" x14ac:dyDescent="0.3">
      <c r="A1588" s="17"/>
      <c r="B1588"/>
      <c r="C1588"/>
      <c r="D1588"/>
      <c r="E1588"/>
      <c r="F1588"/>
      <c r="G1588"/>
      <c r="H1588"/>
      <c r="I1588"/>
      <c r="J1588"/>
      <c r="K1588"/>
      <c r="L1588"/>
      <c r="M1588"/>
      <c r="S1588" s="54"/>
    </row>
    <row r="1589" spans="1:19" s="15" customFormat="1" x14ac:dyDescent="0.3">
      <c r="A1589" s="17"/>
      <c r="B1589"/>
      <c r="C1589"/>
      <c r="D1589"/>
      <c r="E1589"/>
      <c r="F1589"/>
      <c r="G1589"/>
      <c r="H1589"/>
      <c r="I1589"/>
      <c r="J1589"/>
      <c r="K1589"/>
      <c r="L1589"/>
      <c r="M1589"/>
      <c r="S1589" s="54"/>
    </row>
    <row r="1590" spans="1:19" s="15" customFormat="1" x14ac:dyDescent="0.3">
      <c r="A1590" s="17"/>
      <c r="B1590"/>
      <c r="C1590"/>
      <c r="D1590"/>
      <c r="E1590"/>
      <c r="F1590"/>
      <c r="G1590"/>
      <c r="H1590"/>
      <c r="I1590"/>
      <c r="J1590"/>
      <c r="K1590"/>
      <c r="L1590"/>
      <c r="M1590"/>
      <c r="S1590" s="54"/>
    </row>
    <row r="1591" spans="1:19" s="15" customFormat="1" x14ac:dyDescent="0.3">
      <c r="A1591" s="17"/>
      <c r="B1591"/>
      <c r="C1591"/>
      <c r="D1591"/>
      <c r="E1591"/>
      <c r="F1591"/>
      <c r="G1591"/>
      <c r="H1591"/>
      <c r="I1591"/>
      <c r="J1591"/>
      <c r="K1591"/>
      <c r="L1591"/>
      <c r="M1591"/>
      <c r="S1591" s="54"/>
    </row>
    <row r="1592" spans="1:19" s="15" customFormat="1" x14ac:dyDescent="0.3">
      <c r="A1592" s="17"/>
      <c r="B1592"/>
      <c r="C1592"/>
      <c r="D1592"/>
      <c r="E1592"/>
      <c r="F1592"/>
      <c r="G1592"/>
      <c r="H1592"/>
      <c r="I1592"/>
      <c r="J1592"/>
      <c r="K1592"/>
      <c r="L1592"/>
      <c r="M1592"/>
      <c r="S1592" s="54"/>
    </row>
    <row r="1593" spans="1:19" s="15" customFormat="1" x14ac:dyDescent="0.3">
      <c r="A1593" s="17"/>
      <c r="B1593"/>
      <c r="C1593"/>
      <c r="D1593"/>
      <c r="E1593"/>
      <c r="F1593"/>
      <c r="G1593"/>
      <c r="H1593"/>
      <c r="I1593"/>
      <c r="J1593"/>
      <c r="K1593"/>
      <c r="L1593"/>
      <c r="M1593"/>
      <c r="S1593" s="54"/>
    </row>
    <row r="1594" spans="1:19" s="15" customFormat="1" x14ac:dyDescent="0.3">
      <c r="A1594" s="17"/>
      <c r="B1594"/>
      <c r="C1594"/>
      <c r="D1594"/>
      <c r="E1594"/>
      <c r="F1594"/>
      <c r="G1594"/>
      <c r="H1594"/>
      <c r="I1594"/>
      <c r="J1594"/>
      <c r="K1594"/>
      <c r="L1594"/>
      <c r="M1594"/>
      <c r="S1594" s="54"/>
    </row>
    <row r="1595" spans="1:19" s="15" customFormat="1" x14ac:dyDescent="0.3">
      <c r="A1595" s="17"/>
      <c r="B1595"/>
      <c r="C1595"/>
      <c r="D1595"/>
      <c r="E1595"/>
      <c r="F1595"/>
      <c r="G1595"/>
      <c r="H1595"/>
      <c r="I1595"/>
      <c r="J1595"/>
      <c r="K1595"/>
      <c r="L1595"/>
      <c r="M1595"/>
      <c r="S1595" s="54"/>
    </row>
    <row r="1596" spans="1:19" s="15" customFormat="1" x14ac:dyDescent="0.3">
      <c r="A1596" s="17"/>
      <c r="B1596"/>
      <c r="C1596"/>
      <c r="D1596"/>
      <c r="E1596"/>
      <c r="F1596"/>
      <c r="G1596"/>
      <c r="H1596"/>
      <c r="I1596"/>
      <c r="J1596"/>
      <c r="K1596"/>
      <c r="L1596"/>
      <c r="M1596"/>
      <c r="S1596" s="54"/>
    </row>
    <row r="1597" spans="1:19" s="15" customFormat="1" x14ac:dyDescent="0.3">
      <c r="A1597" s="17"/>
      <c r="B1597"/>
      <c r="C1597"/>
      <c r="D1597"/>
      <c r="E1597"/>
      <c r="F1597"/>
      <c r="G1597"/>
      <c r="H1597"/>
      <c r="I1597"/>
      <c r="J1597"/>
      <c r="K1597"/>
      <c r="L1597"/>
      <c r="M1597"/>
      <c r="S1597" s="54"/>
    </row>
    <row r="1598" spans="1:19" s="15" customFormat="1" x14ac:dyDescent="0.3">
      <c r="A1598" s="17"/>
      <c r="B1598"/>
      <c r="C1598"/>
      <c r="D1598"/>
      <c r="E1598"/>
      <c r="F1598"/>
      <c r="G1598"/>
      <c r="H1598"/>
      <c r="I1598"/>
      <c r="J1598"/>
      <c r="K1598"/>
      <c r="L1598"/>
      <c r="M1598"/>
      <c r="S1598" s="54"/>
    </row>
    <row r="1599" spans="1:19" s="15" customFormat="1" x14ac:dyDescent="0.3">
      <c r="A1599" s="17"/>
      <c r="B1599"/>
      <c r="C1599"/>
      <c r="D1599"/>
      <c r="E1599"/>
      <c r="F1599"/>
      <c r="G1599"/>
      <c r="H1599"/>
      <c r="I1599"/>
      <c r="J1599"/>
      <c r="K1599"/>
      <c r="L1599"/>
      <c r="M1599"/>
      <c r="S1599" s="54"/>
    </row>
    <row r="1600" spans="1:19" s="15" customFormat="1" x14ac:dyDescent="0.3">
      <c r="A1600" s="17"/>
      <c r="B1600"/>
      <c r="C1600"/>
      <c r="D1600"/>
      <c r="E1600"/>
      <c r="F1600"/>
      <c r="G1600"/>
      <c r="H1600"/>
      <c r="I1600"/>
      <c r="J1600"/>
      <c r="K1600"/>
      <c r="L1600"/>
      <c r="M1600"/>
      <c r="S1600" s="54"/>
    </row>
    <row r="1601" spans="1:19" s="15" customFormat="1" x14ac:dyDescent="0.3">
      <c r="A1601" s="17"/>
      <c r="B1601"/>
      <c r="C1601"/>
      <c r="D1601"/>
      <c r="E1601"/>
      <c r="F1601"/>
      <c r="G1601"/>
      <c r="H1601"/>
      <c r="I1601"/>
      <c r="J1601"/>
      <c r="K1601"/>
      <c r="L1601"/>
      <c r="M1601"/>
      <c r="S1601" s="54"/>
    </row>
    <row r="1602" spans="1:19" s="15" customFormat="1" x14ac:dyDescent="0.3">
      <c r="A1602" s="17"/>
      <c r="B1602"/>
      <c r="C1602"/>
      <c r="D1602"/>
      <c r="E1602"/>
      <c r="F1602"/>
      <c r="G1602"/>
      <c r="H1602"/>
      <c r="I1602"/>
      <c r="J1602"/>
      <c r="K1602"/>
      <c r="L1602"/>
      <c r="M1602"/>
      <c r="S1602" s="54"/>
    </row>
    <row r="1603" spans="1:19" s="15" customFormat="1" x14ac:dyDescent="0.3">
      <c r="A1603" s="17"/>
      <c r="B1603"/>
      <c r="C1603"/>
      <c r="D1603"/>
      <c r="E1603"/>
      <c r="F1603"/>
      <c r="G1603"/>
      <c r="H1603"/>
      <c r="I1603"/>
      <c r="J1603"/>
      <c r="K1603"/>
      <c r="L1603"/>
      <c r="M1603"/>
      <c r="S1603" s="54"/>
    </row>
    <row r="1604" spans="1:19" s="15" customFormat="1" x14ac:dyDescent="0.3">
      <c r="A1604" s="17"/>
      <c r="B1604"/>
      <c r="C1604"/>
      <c r="D1604"/>
      <c r="E1604"/>
      <c r="F1604"/>
      <c r="G1604"/>
      <c r="H1604"/>
      <c r="I1604"/>
      <c r="J1604"/>
      <c r="K1604"/>
      <c r="L1604"/>
      <c r="M1604"/>
      <c r="S1604" s="54"/>
    </row>
    <row r="1605" spans="1:19" s="15" customFormat="1" x14ac:dyDescent="0.3">
      <c r="A1605" s="17"/>
      <c r="B1605"/>
      <c r="C1605"/>
      <c r="D1605"/>
      <c r="E1605"/>
      <c r="F1605"/>
      <c r="G1605"/>
      <c r="H1605"/>
      <c r="I1605"/>
      <c r="J1605"/>
      <c r="K1605"/>
      <c r="L1605"/>
      <c r="M1605"/>
      <c r="S1605" s="54"/>
    </row>
    <row r="1606" spans="1:19" s="15" customFormat="1" x14ac:dyDescent="0.3">
      <c r="A1606" s="17"/>
      <c r="B1606"/>
      <c r="C1606"/>
      <c r="D1606"/>
      <c r="E1606"/>
      <c r="F1606"/>
      <c r="G1606"/>
      <c r="H1606"/>
      <c r="I1606"/>
      <c r="J1606"/>
      <c r="K1606"/>
      <c r="L1606"/>
      <c r="M1606"/>
      <c r="S1606" s="54"/>
    </row>
    <row r="1607" spans="1:19" s="15" customFormat="1" x14ac:dyDescent="0.3">
      <c r="A1607" s="17"/>
      <c r="B1607"/>
      <c r="C1607"/>
      <c r="D1607"/>
      <c r="E1607"/>
      <c r="F1607"/>
      <c r="G1607"/>
      <c r="H1607"/>
      <c r="I1607"/>
      <c r="J1607"/>
      <c r="K1607"/>
      <c r="L1607"/>
      <c r="M1607"/>
      <c r="S1607" s="54"/>
    </row>
    <row r="1608" spans="1:19" s="15" customFormat="1" x14ac:dyDescent="0.3">
      <c r="A1608" s="17"/>
      <c r="B1608"/>
      <c r="C1608"/>
      <c r="D1608"/>
      <c r="E1608"/>
      <c r="F1608"/>
      <c r="G1608"/>
      <c r="H1608"/>
      <c r="I1608"/>
      <c r="J1608"/>
      <c r="K1608"/>
      <c r="L1608"/>
      <c r="M1608"/>
      <c r="S1608" s="54"/>
    </row>
    <row r="1609" spans="1:19" s="15" customFormat="1" x14ac:dyDescent="0.3">
      <c r="A1609" s="17"/>
      <c r="B1609"/>
      <c r="C1609"/>
      <c r="D1609"/>
      <c r="E1609"/>
      <c r="F1609"/>
      <c r="G1609"/>
      <c r="H1609"/>
      <c r="I1609"/>
      <c r="J1609"/>
      <c r="K1609"/>
      <c r="L1609"/>
      <c r="M1609"/>
      <c r="S1609" s="54"/>
    </row>
    <row r="1610" spans="1:19" s="15" customFormat="1" x14ac:dyDescent="0.3">
      <c r="A1610" s="17"/>
      <c r="B1610"/>
      <c r="C1610"/>
      <c r="D1610"/>
      <c r="E1610"/>
      <c r="F1610"/>
      <c r="G1610"/>
      <c r="H1610"/>
      <c r="I1610"/>
      <c r="J1610"/>
      <c r="K1610"/>
      <c r="L1610"/>
      <c r="M1610"/>
      <c r="S1610" s="54"/>
    </row>
    <row r="1611" spans="1:19" s="15" customFormat="1" x14ac:dyDescent="0.3">
      <c r="A1611" s="17"/>
      <c r="B1611"/>
      <c r="C1611"/>
      <c r="D1611"/>
      <c r="E1611"/>
      <c r="F1611"/>
      <c r="G1611"/>
      <c r="H1611"/>
      <c r="I1611"/>
      <c r="J1611"/>
      <c r="K1611"/>
      <c r="L1611"/>
      <c r="M1611"/>
      <c r="S1611" s="54"/>
    </row>
    <row r="1612" spans="1:19" s="15" customFormat="1" x14ac:dyDescent="0.3">
      <c r="A1612" s="17"/>
      <c r="B1612"/>
      <c r="C1612"/>
      <c r="D1612"/>
      <c r="E1612"/>
      <c r="F1612"/>
      <c r="G1612"/>
      <c r="H1612"/>
      <c r="I1612"/>
      <c r="J1612"/>
      <c r="K1612"/>
      <c r="L1612"/>
      <c r="M1612"/>
      <c r="S1612" s="54"/>
    </row>
    <row r="1613" spans="1:19" s="15" customFormat="1" x14ac:dyDescent="0.3">
      <c r="A1613" s="17"/>
      <c r="B1613"/>
      <c r="C1613"/>
      <c r="D1613"/>
      <c r="E1613"/>
      <c r="F1613"/>
      <c r="G1613"/>
      <c r="H1613"/>
      <c r="I1613"/>
      <c r="J1613"/>
      <c r="K1613"/>
      <c r="L1613"/>
      <c r="M1613"/>
      <c r="S1613" s="54"/>
    </row>
    <row r="1614" spans="1:19" s="15" customFormat="1" x14ac:dyDescent="0.3">
      <c r="A1614" s="17"/>
      <c r="B1614"/>
      <c r="C1614"/>
      <c r="D1614"/>
      <c r="E1614"/>
      <c r="F1614"/>
      <c r="G1614"/>
      <c r="H1614"/>
      <c r="I1614"/>
      <c r="J1614"/>
      <c r="K1614"/>
      <c r="L1614"/>
      <c r="M1614"/>
      <c r="S1614" s="54"/>
    </row>
    <row r="1615" spans="1:19" s="15" customFormat="1" x14ac:dyDescent="0.3">
      <c r="A1615" s="17"/>
      <c r="B1615"/>
      <c r="C1615"/>
      <c r="D1615"/>
      <c r="E1615"/>
      <c r="F1615"/>
      <c r="G1615"/>
      <c r="H1615"/>
      <c r="I1615"/>
      <c r="J1615"/>
      <c r="K1615"/>
      <c r="L1615"/>
      <c r="M1615"/>
      <c r="S1615" s="54"/>
    </row>
    <row r="1616" spans="1:19" s="15" customFormat="1" x14ac:dyDescent="0.3">
      <c r="A1616" s="17"/>
      <c r="B1616"/>
      <c r="C1616"/>
      <c r="D1616"/>
      <c r="E1616"/>
      <c r="F1616"/>
      <c r="G1616"/>
      <c r="H1616"/>
      <c r="I1616"/>
      <c r="J1616"/>
      <c r="K1616"/>
      <c r="L1616"/>
      <c r="M1616"/>
      <c r="S1616" s="54"/>
    </row>
    <row r="1617" spans="1:19" s="15" customFormat="1" x14ac:dyDescent="0.3">
      <c r="A1617" s="17"/>
      <c r="B1617"/>
      <c r="C1617"/>
      <c r="D1617"/>
      <c r="E1617"/>
      <c r="F1617"/>
      <c r="G1617"/>
      <c r="H1617"/>
      <c r="I1617"/>
      <c r="J1617"/>
      <c r="K1617"/>
      <c r="L1617"/>
      <c r="M1617"/>
      <c r="S1617" s="54"/>
    </row>
    <row r="1618" spans="1:19" s="15" customFormat="1" x14ac:dyDescent="0.3">
      <c r="A1618" s="17"/>
      <c r="B1618"/>
      <c r="C1618"/>
      <c r="D1618"/>
      <c r="E1618"/>
      <c r="F1618"/>
      <c r="G1618"/>
      <c r="H1618"/>
      <c r="I1618"/>
      <c r="J1618"/>
      <c r="K1618"/>
      <c r="L1618"/>
      <c r="M1618"/>
      <c r="S1618" s="54"/>
    </row>
    <row r="1619" spans="1:19" s="15" customFormat="1" x14ac:dyDescent="0.3">
      <c r="A1619" s="17"/>
      <c r="B1619"/>
      <c r="C1619"/>
      <c r="D1619"/>
      <c r="E1619"/>
      <c r="F1619"/>
      <c r="G1619"/>
      <c r="H1619"/>
      <c r="I1619"/>
      <c r="J1619"/>
      <c r="K1619"/>
      <c r="L1619"/>
      <c r="M1619"/>
      <c r="S1619" s="54"/>
    </row>
    <row r="1620" spans="1:19" s="15" customFormat="1" x14ac:dyDescent="0.3">
      <c r="A1620" s="17"/>
      <c r="B1620"/>
      <c r="C1620"/>
      <c r="D1620"/>
      <c r="E1620"/>
      <c r="F1620"/>
      <c r="G1620"/>
      <c r="H1620"/>
      <c r="I1620"/>
      <c r="J1620"/>
      <c r="K1620"/>
      <c r="L1620"/>
      <c r="M1620"/>
      <c r="S1620" s="54"/>
    </row>
    <row r="1621" spans="1:19" s="15" customFormat="1" x14ac:dyDescent="0.3">
      <c r="A1621" s="17"/>
      <c r="B1621"/>
      <c r="C1621"/>
      <c r="D1621"/>
      <c r="E1621"/>
      <c r="F1621"/>
      <c r="G1621"/>
      <c r="H1621"/>
      <c r="I1621"/>
      <c r="J1621"/>
      <c r="K1621"/>
      <c r="L1621"/>
      <c r="M1621"/>
      <c r="S1621" s="54"/>
    </row>
    <row r="1622" spans="1:19" s="15" customFormat="1" x14ac:dyDescent="0.3">
      <c r="A1622" s="17"/>
      <c r="B1622"/>
      <c r="C1622"/>
      <c r="D1622"/>
      <c r="E1622"/>
      <c r="F1622"/>
      <c r="G1622"/>
      <c r="H1622"/>
      <c r="I1622"/>
      <c r="J1622"/>
      <c r="K1622"/>
      <c r="L1622"/>
      <c r="M1622"/>
      <c r="S1622" s="54"/>
    </row>
    <row r="1623" spans="1:19" s="15" customFormat="1" x14ac:dyDescent="0.3">
      <c r="A1623" s="17"/>
      <c r="B1623"/>
      <c r="C1623"/>
      <c r="D1623"/>
      <c r="E1623"/>
      <c r="F1623"/>
      <c r="G1623"/>
      <c r="H1623"/>
      <c r="I1623"/>
      <c r="J1623"/>
      <c r="K1623"/>
      <c r="L1623"/>
      <c r="M1623"/>
      <c r="S1623" s="54"/>
    </row>
    <row r="1624" spans="1:19" s="15" customFormat="1" x14ac:dyDescent="0.3">
      <c r="A1624" s="17"/>
      <c r="B1624"/>
      <c r="C1624"/>
      <c r="D1624"/>
      <c r="E1624"/>
      <c r="F1624"/>
      <c r="G1624"/>
      <c r="H1624"/>
      <c r="I1624"/>
      <c r="J1624"/>
      <c r="K1624"/>
      <c r="L1624"/>
      <c r="M1624"/>
      <c r="S1624" s="54"/>
    </row>
    <row r="1625" spans="1:19" s="15" customFormat="1" x14ac:dyDescent="0.3">
      <c r="A1625" s="17"/>
      <c r="B1625"/>
      <c r="C1625"/>
      <c r="D1625"/>
      <c r="E1625"/>
      <c r="F1625"/>
      <c r="G1625"/>
      <c r="H1625"/>
      <c r="I1625"/>
      <c r="J1625"/>
      <c r="K1625"/>
      <c r="L1625"/>
      <c r="M1625"/>
      <c r="S1625" s="54"/>
    </row>
    <row r="1626" spans="1:19" s="15" customFormat="1" x14ac:dyDescent="0.3">
      <c r="A1626" s="17"/>
      <c r="B1626"/>
      <c r="C1626"/>
      <c r="D1626"/>
      <c r="E1626"/>
      <c r="F1626"/>
      <c r="G1626"/>
      <c r="H1626"/>
      <c r="I1626"/>
      <c r="J1626"/>
      <c r="K1626"/>
      <c r="L1626"/>
      <c r="M1626"/>
      <c r="S1626" s="54"/>
    </row>
    <row r="1627" spans="1:19" s="15" customFormat="1" x14ac:dyDescent="0.3">
      <c r="A1627" s="17"/>
      <c r="B1627"/>
      <c r="C1627"/>
      <c r="D1627"/>
      <c r="E1627"/>
      <c r="F1627"/>
      <c r="G1627"/>
      <c r="H1627"/>
      <c r="I1627"/>
      <c r="J1627"/>
      <c r="K1627"/>
      <c r="L1627"/>
      <c r="M1627"/>
      <c r="S1627" s="54"/>
    </row>
    <row r="1628" spans="1:19" s="15" customFormat="1" x14ac:dyDescent="0.3">
      <c r="A1628" s="17"/>
      <c r="B1628"/>
      <c r="C1628"/>
      <c r="D1628"/>
      <c r="E1628"/>
      <c r="F1628"/>
      <c r="G1628"/>
      <c r="H1628"/>
      <c r="I1628"/>
      <c r="J1628"/>
      <c r="K1628"/>
      <c r="L1628"/>
      <c r="M1628"/>
      <c r="S1628" s="54"/>
    </row>
    <row r="1629" spans="1:19" s="15" customFormat="1" x14ac:dyDescent="0.3">
      <c r="A1629" s="17"/>
      <c r="B1629"/>
      <c r="C1629"/>
      <c r="D1629"/>
      <c r="E1629"/>
      <c r="F1629"/>
      <c r="G1629"/>
      <c r="H1629"/>
      <c r="I1629"/>
      <c r="J1629"/>
      <c r="K1629"/>
      <c r="L1629"/>
      <c r="M1629"/>
      <c r="S1629" s="54"/>
    </row>
    <row r="1630" spans="1:19" s="15" customFormat="1" x14ac:dyDescent="0.3">
      <c r="A1630" s="17"/>
      <c r="B1630"/>
      <c r="C1630"/>
      <c r="D1630"/>
      <c r="E1630"/>
      <c r="F1630"/>
      <c r="G1630"/>
      <c r="H1630"/>
      <c r="I1630"/>
      <c r="J1630"/>
      <c r="K1630"/>
      <c r="L1630"/>
      <c r="M1630"/>
      <c r="S1630" s="54"/>
    </row>
    <row r="1631" spans="1:19" s="15" customFormat="1" x14ac:dyDescent="0.3">
      <c r="A1631" s="17"/>
      <c r="B1631"/>
      <c r="C1631"/>
      <c r="D1631"/>
      <c r="E1631"/>
      <c r="F1631"/>
      <c r="G1631"/>
      <c r="H1631"/>
      <c r="I1631"/>
      <c r="J1631"/>
      <c r="K1631"/>
      <c r="L1631"/>
      <c r="M1631"/>
      <c r="S1631" s="54"/>
    </row>
    <row r="1632" spans="1:19" s="15" customFormat="1" x14ac:dyDescent="0.3">
      <c r="A1632" s="17"/>
      <c r="B1632"/>
      <c r="C1632"/>
      <c r="D1632"/>
      <c r="E1632"/>
      <c r="F1632"/>
      <c r="G1632"/>
      <c r="H1632"/>
      <c r="I1632"/>
      <c r="J1632"/>
      <c r="K1632"/>
      <c r="L1632"/>
      <c r="M1632"/>
      <c r="S1632" s="54"/>
    </row>
    <row r="1633" spans="1:19" s="15" customFormat="1" x14ac:dyDescent="0.3">
      <c r="A1633" s="17"/>
      <c r="B1633"/>
      <c r="C1633"/>
      <c r="D1633"/>
      <c r="E1633"/>
      <c r="F1633"/>
      <c r="G1633"/>
      <c r="H1633"/>
      <c r="I1633"/>
      <c r="J1633"/>
      <c r="K1633"/>
      <c r="L1633"/>
      <c r="M1633"/>
      <c r="S1633" s="54"/>
    </row>
    <row r="1634" spans="1:19" s="15" customFormat="1" x14ac:dyDescent="0.3">
      <c r="A1634" s="17"/>
      <c r="B1634"/>
      <c r="C1634"/>
      <c r="D1634"/>
      <c r="E1634"/>
      <c r="F1634"/>
      <c r="G1634"/>
      <c r="H1634"/>
      <c r="I1634"/>
      <c r="J1634"/>
      <c r="K1634"/>
      <c r="L1634"/>
      <c r="M1634"/>
      <c r="S1634" s="54"/>
    </row>
    <row r="1635" spans="1:19" s="15" customFormat="1" x14ac:dyDescent="0.3">
      <c r="A1635" s="17"/>
      <c r="B1635"/>
      <c r="C1635"/>
      <c r="D1635"/>
      <c r="E1635"/>
      <c r="F1635"/>
      <c r="G1635"/>
      <c r="H1635"/>
      <c r="I1635"/>
      <c r="J1635"/>
      <c r="K1635"/>
      <c r="L1635"/>
      <c r="M1635"/>
      <c r="S1635" s="54"/>
    </row>
    <row r="1636" spans="1:19" s="15" customFormat="1" x14ac:dyDescent="0.3">
      <c r="A1636" s="17"/>
      <c r="B1636"/>
      <c r="C1636"/>
      <c r="D1636"/>
      <c r="E1636"/>
      <c r="F1636"/>
      <c r="G1636"/>
      <c r="H1636"/>
      <c r="I1636"/>
      <c r="J1636"/>
      <c r="K1636"/>
      <c r="L1636"/>
      <c r="M1636"/>
      <c r="S1636" s="54"/>
    </row>
    <row r="1637" spans="1:19" s="15" customFormat="1" x14ac:dyDescent="0.3">
      <c r="A1637" s="17"/>
      <c r="B1637"/>
      <c r="C1637"/>
      <c r="D1637"/>
      <c r="E1637"/>
      <c r="F1637"/>
      <c r="G1637"/>
      <c r="H1637"/>
      <c r="I1637"/>
      <c r="J1637"/>
      <c r="K1637"/>
      <c r="L1637"/>
      <c r="M1637"/>
      <c r="S1637" s="54"/>
    </row>
    <row r="1638" spans="1:19" s="15" customFormat="1" x14ac:dyDescent="0.3">
      <c r="A1638" s="17"/>
      <c r="B1638"/>
      <c r="C1638"/>
      <c r="D1638"/>
      <c r="E1638"/>
      <c r="F1638"/>
      <c r="G1638"/>
      <c r="H1638"/>
      <c r="I1638"/>
      <c r="J1638"/>
      <c r="K1638"/>
      <c r="L1638"/>
      <c r="M1638"/>
      <c r="S1638" s="54"/>
    </row>
    <row r="1639" spans="1:19" s="15" customFormat="1" x14ac:dyDescent="0.3">
      <c r="A1639" s="17"/>
      <c r="B1639"/>
      <c r="C1639"/>
      <c r="D1639"/>
      <c r="E1639"/>
      <c r="F1639"/>
      <c r="G1639"/>
      <c r="H1639"/>
      <c r="I1639"/>
      <c r="J1639"/>
      <c r="K1639"/>
      <c r="L1639"/>
      <c r="M1639"/>
      <c r="S1639" s="54"/>
    </row>
    <row r="1640" spans="1:19" s="15" customFormat="1" x14ac:dyDescent="0.3">
      <c r="A1640" s="17"/>
      <c r="B1640"/>
      <c r="C1640"/>
      <c r="D1640"/>
      <c r="E1640"/>
      <c r="F1640"/>
      <c r="G1640"/>
      <c r="H1640"/>
      <c r="I1640"/>
      <c r="J1640"/>
      <c r="K1640"/>
      <c r="L1640"/>
      <c r="M1640"/>
      <c r="S1640" s="54"/>
    </row>
    <row r="1641" spans="1:19" s="15" customFormat="1" x14ac:dyDescent="0.3">
      <c r="A1641" s="17"/>
      <c r="B1641"/>
      <c r="C1641"/>
      <c r="D1641"/>
      <c r="E1641"/>
      <c r="F1641"/>
      <c r="G1641"/>
      <c r="H1641"/>
      <c r="I1641"/>
      <c r="J1641"/>
      <c r="K1641"/>
      <c r="L1641"/>
      <c r="M1641"/>
      <c r="S1641" s="54"/>
    </row>
    <row r="1642" spans="1:19" s="15" customFormat="1" x14ac:dyDescent="0.3">
      <c r="A1642" s="17"/>
      <c r="B1642"/>
      <c r="C1642"/>
      <c r="D1642"/>
      <c r="E1642"/>
      <c r="F1642"/>
      <c r="G1642"/>
      <c r="H1642"/>
      <c r="I1642"/>
      <c r="J1642"/>
      <c r="K1642"/>
      <c r="L1642"/>
      <c r="M1642"/>
      <c r="S1642" s="54"/>
    </row>
    <row r="1643" spans="1:19" s="15" customFormat="1" x14ac:dyDescent="0.3">
      <c r="A1643" s="17"/>
      <c r="B1643"/>
      <c r="C1643"/>
      <c r="D1643"/>
      <c r="E1643"/>
      <c r="F1643"/>
      <c r="G1643"/>
      <c r="H1643"/>
      <c r="I1643"/>
      <c r="J1643"/>
      <c r="K1643"/>
      <c r="L1643"/>
      <c r="M1643"/>
      <c r="S1643" s="54"/>
    </row>
    <row r="1644" spans="1:19" s="15" customFormat="1" x14ac:dyDescent="0.3">
      <c r="A1644" s="17"/>
      <c r="B1644"/>
      <c r="C1644"/>
      <c r="D1644"/>
      <c r="E1644"/>
      <c r="F1644"/>
      <c r="G1644"/>
      <c r="H1644"/>
      <c r="I1644"/>
      <c r="J1644"/>
      <c r="K1644"/>
      <c r="L1644"/>
      <c r="M1644"/>
      <c r="S1644" s="54"/>
    </row>
    <row r="1645" spans="1:19" s="15" customFormat="1" x14ac:dyDescent="0.3">
      <c r="A1645" s="17"/>
      <c r="B1645"/>
      <c r="C1645"/>
      <c r="D1645"/>
      <c r="E1645"/>
      <c r="F1645"/>
      <c r="G1645"/>
      <c r="H1645"/>
      <c r="I1645"/>
      <c r="J1645"/>
      <c r="K1645"/>
      <c r="L1645"/>
      <c r="M1645"/>
      <c r="S1645" s="54"/>
    </row>
    <row r="1646" spans="1:19" s="15" customFormat="1" x14ac:dyDescent="0.3">
      <c r="A1646" s="17"/>
      <c r="B1646"/>
      <c r="C1646"/>
      <c r="D1646"/>
      <c r="E1646"/>
      <c r="F1646"/>
      <c r="G1646"/>
      <c r="H1646"/>
      <c r="I1646"/>
      <c r="J1646"/>
      <c r="K1646"/>
      <c r="L1646"/>
      <c r="M1646"/>
      <c r="S1646" s="54"/>
    </row>
    <row r="1647" spans="1:19" s="15" customFormat="1" x14ac:dyDescent="0.3">
      <c r="A1647" s="17"/>
      <c r="B1647"/>
      <c r="C1647"/>
      <c r="D1647"/>
      <c r="E1647"/>
      <c r="F1647"/>
      <c r="G1647"/>
      <c r="H1647"/>
      <c r="I1647"/>
      <c r="J1647"/>
      <c r="K1647"/>
      <c r="L1647"/>
      <c r="M1647"/>
      <c r="S1647" s="54"/>
    </row>
    <row r="1648" spans="1:19" s="15" customFormat="1" x14ac:dyDescent="0.3">
      <c r="A1648" s="17"/>
      <c r="B1648"/>
      <c r="C1648"/>
      <c r="D1648"/>
      <c r="E1648"/>
      <c r="F1648"/>
      <c r="G1648"/>
      <c r="H1648"/>
      <c r="I1648"/>
      <c r="J1648"/>
      <c r="K1648"/>
      <c r="L1648"/>
      <c r="M1648"/>
      <c r="S1648" s="54"/>
    </row>
    <row r="1649" spans="1:19" s="15" customFormat="1" x14ac:dyDescent="0.3">
      <c r="A1649" s="17"/>
      <c r="B1649"/>
      <c r="C1649"/>
      <c r="D1649"/>
      <c r="E1649"/>
      <c r="F1649"/>
      <c r="G1649"/>
      <c r="H1649"/>
      <c r="I1649"/>
      <c r="J1649"/>
      <c r="K1649"/>
      <c r="L1649"/>
      <c r="M1649"/>
      <c r="S1649" s="54"/>
    </row>
    <row r="1650" spans="1:19" s="15" customFormat="1" x14ac:dyDescent="0.3">
      <c r="A1650" s="17"/>
      <c r="B1650"/>
      <c r="C1650"/>
      <c r="D1650"/>
      <c r="E1650"/>
      <c r="F1650"/>
      <c r="G1650"/>
      <c r="H1650"/>
      <c r="I1650"/>
      <c r="J1650"/>
      <c r="K1650"/>
      <c r="L1650"/>
      <c r="M1650"/>
      <c r="S1650" s="54"/>
    </row>
    <row r="1651" spans="1:19" s="15" customFormat="1" x14ac:dyDescent="0.3">
      <c r="A1651" s="17"/>
      <c r="B1651"/>
      <c r="C1651"/>
      <c r="D1651"/>
      <c r="E1651"/>
      <c r="F1651"/>
      <c r="G1651"/>
      <c r="H1651"/>
      <c r="I1651"/>
      <c r="J1651"/>
      <c r="K1651"/>
      <c r="L1651"/>
      <c r="M1651"/>
      <c r="S1651" s="54"/>
    </row>
    <row r="1652" spans="1:19" s="15" customFormat="1" x14ac:dyDescent="0.3">
      <c r="A1652" s="17"/>
      <c r="B1652"/>
      <c r="C1652"/>
      <c r="D1652"/>
      <c r="E1652"/>
      <c r="F1652"/>
      <c r="G1652"/>
      <c r="H1652"/>
      <c r="I1652"/>
      <c r="J1652"/>
      <c r="K1652"/>
      <c r="L1652"/>
      <c r="M1652"/>
      <c r="S1652" s="54"/>
    </row>
    <row r="1653" spans="1:19" s="15" customFormat="1" x14ac:dyDescent="0.3">
      <c r="A1653" s="17"/>
      <c r="B1653"/>
      <c r="C1653"/>
      <c r="D1653"/>
      <c r="E1653"/>
      <c r="F1653"/>
      <c r="G1653"/>
      <c r="H1653"/>
      <c r="I1653"/>
      <c r="J1653"/>
      <c r="K1653"/>
      <c r="L1653"/>
      <c r="M1653"/>
      <c r="S1653" s="54"/>
    </row>
    <row r="1654" spans="1:19" s="15" customFormat="1" x14ac:dyDescent="0.3">
      <c r="A1654" s="17"/>
      <c r="B1654"/>
      <c r="C1654"/>
      <c r="D1654"/>
      <c r="E1654"/>
      <c r="F1654"/>
      <c r="G1654"/>
      <c r="H1654"/>
      <c r="I1654"/>
      <c r="J1654"/>
      <c r="K1654"/>
      <c r="L1654"/>
      <c r="M1654"/>
      <c r="S1654" s="54"/>
    </row>
    <row r="1655" spans="1:19" s="15" customFormat="1" x14ac:dyDescent="0.3">
      <c r="A1655" s="17"/>
      <c r="B1655"/>
      <c r="C1655"/>
      <c r="D1655"/>
      <c r="E1655"/>
      <c r="F1655"/>
      <c r="G1655"/>
      <c r="H1655"/>
      <c r="I1655"/>
      <c r="J1655"/>
      <c r="K1655"/>
      <c r="L1655"/>
      <c r="M1655"/>
      <c r="S1655" s="54"/>
    </row>
    <row r="1656" spans="1:19" s="15" customFormat="1" x14ac:dyDescent="0.3">
      <c r="A1656" s="17"/>
      <c r="B1656"/>
      <c r="C1656"/>
      <c r="D1656"/>
      <c r="E1656"/>
      <c r="F1656"/>
      <c r="G1656"/>
      <c r="H1656"/>
      <c r="I1656"/>
      <c r="J1656"/>
      <c r="K1656"/>
      <c r="L1656"/>
      <c r="M1656"/>
      <c r="S1656" s="54"/>
    </row>
    <row r="1657" spans="1:19" s="15" customFormat="1" x14ac:dyDescent="0.3">
      <c r="A1657" s="17"/>
      <c r="B1657"/>
      <c r="C1657"/>
      <c r="D1657"/>
      <c r="E1657"/>
      <c r="F1657"/>
      <c r="G1657"/>
      <c r="H1657"/>
      <c r="I1657"/>
      <c r="J1657"/>
      <c r="K1657"/>
      <c r="L1657"/>
      <c r="M1657"/>
      <c r="S1657" s="54"/>
    </row>
    <row r="1658" spans="1:19" s="15" customFormat="1" x14ac:dyDescent="0.3">
      <c r="A1658" s="17"/>
      <c r="B1658"/>
      <c r="C1658"/>
      <c r="D1658"/>
      <c r="E1658"/>
      <c r="F1658"/>
      <c r="G1658"/>
      <c r="H1658"/>
      <c r="I1658"/>
      <c r="J1658"/>
      <c r="K1658"/>
      <c r="L1658"/>
      <c r="M1658"/>
      <c r="S1658" s="54"/>
    </row>
    <row r="1659" spans="1:19" s="15" customFormat="1" x14ac:dyDescent="0.3">
      <c r="A1659" s="17"/>
      <c r="B1659"/>
      <c r="C1659"/>
      <c r="D1659"/>
      <c r="E1659"/>
      <c r="F1659"/>
      <c r="G1659"/>
      <c r="H1659"/>
      <c r="I1659"/>
      <c r="J1659"/>
      <c r="K1659"/>
      <c r="L1659"/>
      <c r="M1659"/>
      <c r="S1659" s="54"/>
    </row>
    <row r="1660" spans="1:19" s="15" customFormat="1" x14ac:dyDescent="0.3">
      <c r="A1660" s="17"/>
      <c r="B1660"/>
      <c r="C1660"/>
      <c r="D1660"/>
      <c r="E1660"/>
      <c r="F1660"/>
      <c r="G1660"/>
      <c r="H1660"/>
      <c r="I1660"/>
      <c r="J1660"/>
      <c r="K1660"/>
      <c r="L1660"/>
      <c r="M1660"/>
      <c r="S1660" s="54"/>
    </row>
    <row r="1661" spans="1:19" s="15" customFormat="1" x14ac:dyDescent="0.3">
      <c r="A1661" s="17"/>
      <c r="B1661"/>
      <c r="C1661"/>
      <c r="D1661"/>
      <c r="E1661"/>
      <c r="F1661"/>
      <c r="G1661"/>
      <c r="H1661"/>
      <c r="I1661"/>
      <c r="J1661"/>
      <c r="K1661"/>
      <c r="L1661"/>
      <c r="M1661"/>
      <c r="S1661" s="54"/>
    </row>
    <row r="1662" spans="1:19" s="15" customFormat="1" x14ac:dyDescent="0.3">
      <c r="A1662" s="17"/>
      <c r="B1662"/>
      <c r="C1662"/>
      <c r="D1662"/>
      <c r="E1662"/>
      <c r="F1662"/>
      <c r="G1662"/>
      <c r="H1662"/>
      <c r="I1662"/>
      <c r="J1662"/>
      <c r="K1662"/>
      <c r="L1662"/>
      <c r="M1662"/>
      <c r="S1662" s="54"/>
    </row>
    <row r="1663" spans="1:19" s="15" customFormat="1" x14ac:dyDescent="0.3">
      <c r="A1663" s="17"/>
      <c r="B1663"/>
      <c r="C1663"/>
      <c r="D1663"/>
      <c r="E1663"/>
      <c r="F1663"/>
      <c r="G1663"/>
      <c r="H1663"/>
      <c r="I1663"/>
      <c r="J1663"/>
      <c r="K1663"/>
      <c r="L1663"/>
      <c r="M1663"/>
      <c r="S1663" s="54"/>
    </row>
    <row r="1664" spans="1:19" s="15" customFormat="1" x14ac:dyDescent="0.3">
      <c r="A1664" s="17"/>
      <c r="B1664"/>
      <c r="C1664"/>
      <c r="D1664"/>
      <c r="E1664"/>
      <c r="F1664"/>
      <c r="G1664"/>
      <c r="H1664"/>
      <c r="I1664"/>
      <c r="J1664"/>
      <c r="K1664"/>
      <c r="L1664"/>
      <c r="M1664"/>
      <c r="S1664" s="54"/>
    </row>
    <row r="1665" spans="1:19" s="15" customFormat="1" x14ac:dyDescent="0.3">
      <c r="A1665" s="17"/>
      <c r="B1665"/>
      <c r="C1665"/>
      <c r="D1665"/>
      <c r="E1665"/>
      <c r="F1665"/>
      <c r="G1665"/>
      <c r="H1665"/>
      <c r="I1665"/>
      <c r="J1665"/>
      <c r="K1665"/>
      <c r="L1665"/>
      <c r="M1665"/>
      <c r="S1665" s="54"/>
    </row>
    <row r="1666" spans="1:19" s="15" customFormat="1" x14ac:dyDescent="0.3">
      <c r="A1666" s="17"/>
      <c r="B1666"/>
      <c r="C1666"/>
      <c r="D1666"/>
      <c r="E1666"/>
      <c r="F1666"/>
      <c r="G1666"/>
      <c r="H1666"/>
      <c r="I1666"/>
      <c r="J1666"/>
      <c r="K1666"/>
      <c r="L1666"/>
      <c r="M1666"/>
      <c r="S1666" s="54"/>
    </row>
    <row r="1667" spans="1:19" s="15" customFormat="1" x14ac:dyDescent="0.3">
      <c r="A1667" s="17"/>
      <c r="B1667"/>
      <c r="C1667"/>
      <c r="D1667"/>
      <c r="E1667"/>
      <c r="F1667"/>
      <c r="G1667"/>
      <c r="H1667"/>
      <c r="I1667"/>
      <c r="J1667"/>
      <c r="K1667"/>
      <c r="L1667"/>
      <c r="M1667"/>
      <c r="S1667" s="54"/>
    </row>
    <row r="1668" spans="1:19" s="15" customFormat="1" x14ac:dyDescent="0.3">
      <c r="A1668" s="17"/>
      <c r="B1668"/>
      <c r="C1668"/>
      <c r="D1668"/>
      <c r="E1668"/>
      <c r="F1668"/>
      <c r="G1668"/>
      <c r="H1668"/>
      <c r="I1668"/>
      <c r="J1668"/>
      <c r="K1668"/>
      <c r="L1668"/>
      <c r="M1668"/>
      <c r="S1668" s="54"/>
    </row>
    <row r="1669" spans="1:19" s="15" customFormat="1" x14ac:dyDescent="0.3">
      <c r="A1669" s="17"/>
      <c r="B1669"/>
      <c r="C1669"/>
      <c r="D1669"/>
      <c r="E1669"/>
      <c r="F1669"/>
      <c r="G1669"/>
      <c r="H1669"/>
      <c r="I1669"/>
      <c r="J1669"/>
      <c r="K1669"/>
      <c r="L1669"/>
      <c r="M1669"/>
      <c r="S1669" s="54"/>
    </row>
    <row r="1670" spans="1:19" s="15" customFormat="1" x14ac:dyDescent="0.3">
      <c r="A1670" s="17"/>
      <c r="B1670"/>
      <c r="C1670"/>
      <c r="D1670"/>
      <c r="E1670"/>
      <c r="F1670"/>
      <c r="G1670"/>
      <c r="H1670"/>
      <c r="I1670"/>
      <c r="J1670"/>
      <c r="K1670"/>
      <c r="L1670"/>
      <c r="M1670"/>
      <c r="S1670" s="54"/>
    </row>
    <row r="1671" spans="1:19" s="15" customFormat="1" x14ac:dyDescent="0.3">
      <c r="A1671" s="17"/>
      <c r="B1671"/>
      <c r="C1671"/>
      <c r="D1671"/>
      <c r="E1671"/>
      <c r="F1671"/>
      <c r="G1671"/>
      <c r="H1671"/>
      <c r="I1671"/>
      <c r="J1671"/>
      <c r="K1671"/>
      <c r="L1671"/>
      <c r="M1671"/>
      <c r="S1671" s="54"/>
    </row>
    <row r="1672" spans="1:19" s="15" customFormat="1" x14ac:dyDescent="0.3">
      <c r="A1672" s="17"/>
      <c r="B1672"/>
      <c r="C1672"/>
      <c r="D1672"/>
      <c r="E1672"/>
      <c r="F1672"/>
      <c r="G1672"/>
      <c r="H1672"/>
      <c r="I1672"/>
      <c r="J1672"/>
      <c r="K1672"/>
      <c r="L1672"/>
      <c r="M1672"/>
      <c r="S1672" s="54"/>
    </row>
    <row r="1673" spans="1:19" s="15" customFormat="1" x14ac:dyDescent="0.3">
      <c r="A1673" s="17"/>
      <c r="B1673"/>
      <c r="C1673"/>
      <c r="D1673"/>
      <c r="E1673"/>
      <c r="F1673"/>
      <c r="G1673"/>
      <c r="H1673"/>
      <c r="I1673"/>
      <c r="J1673"/>
      <c r="K1673"/>
      <c r="L1673"/>
      <c r="M1673"/>
      <c r="S1673" s="54"/>
    </row>
    <row r="1674" spans="1:19" s="15" customFormat="1" x14ac:dyDescent="0.3">
      <c r="A1674" s="17"/>
      <c r="B1674"/>
      <c r="C1674"/>
      <c r="D1674"/>
      <c r="E1674"/>
      <c r="F1674"/>
      <c r="G1674"/>
      <c r="H1674"/>
      <c r="I1674"/>
      <c r="J1674"/>
      <c r="K1674"/>
      <c r="L1674"/>
      <c r="M1674"/>
      <c r="S1674" s="54"/>
    </row>
    <row r="1675" spans="1:19" s="15" customFormat="1" x14ac:dyDescent="0.3">
      <c r="A1675" s="17"/>
      <c r="B1675"/>
      <c r="C1675"/>
      <c r="D1675"/>
      <c r="E1675"/>
      <c r="F1675"/>
      <c r="G1675"/>
      <c r="H1675"/>
      <c r="I1675"/>
      <c r="J1675"/>
      <c r="K1675"/>
      <c r="L1675"/>
      <c r="M1675"/>
      <c r="S1675" s="54"/>
    </row>
    <row r="1676" spans="1:19" s="15" customFormat="1" x14ac:dyDescent="0.3">
      <c r="A1676" s="17"/>
      <c r="B1676"/>
      <c r="C1676"/>
      <c r="D1676"/>
      <c r="E1676"/>
      <c r="F1676"/>
      <c r="G1676"/>
      <c r="H1676"/>
      <c r="I1676"/>
      <c r="J1676"/>
      <c r="K1676"/>
      <c r="L1676"/>
      <c r="M1676"/>
      <c r="S1676" s="54"/>
    </row>
    <row r="1677" spans="1:19" s="15" customFormat="1" x14ac:dyDescent="0.3">
      <c r="A1677" s="17"/>
      <c r="B1677"/>
      <c r="C1677"/>
      <c r="D1677"/>
      <c r="E1677"/>
      <c r="F1677"/>
      <c r="G1677"/>
      <c r="H1677"/>
      <c r="I1677"/>
      <c r="J1677"/>
      <c r="K1677"/>
      <c r="L1677"/>
      <c r="M1677"/>
      <c r="S1677" s="54"/>
    </row>
    <row r="1678" spans="1:19" s="15" customFormat="1" x14ac:dyDescent="0.3">
      <c r="A1678" s="17"/>
      <c r="B1678"/>
      <c r="C1678"/>
      <c r="D1678"/>
      <c r="E1678"/>
      <c r="F1678"/>
      <c r="G1678"/>
      <c r="H1678"/>
      <c r="I1678"/>
      <c r="J1678"/>
      <c r="K1678"/>
      <c r="L1678"/>
      <c r="M1678"/>
      <c r="S1678" s="54"/>
    </row>
    <row r="1679" spans="1:19" s="15" customFormat="1" x14ac:dyDescent="0.3">
      <c r="A1679" s="17"/>
      <c r="B1679"/>
      <c r="C1679"/>
      <c r="D1679"/>
      <c r="E1679"/>
      <c r="F1679"/>
      <c r="G1679"/>
      <c r="H1679"/>
      <c r="I1679"/>
      <c r="J1679"/>
      <c r="K1679"/>
      <c r="L1679"/>
      <c r="M1679"/>
      <c r="S1679" s="54"/>
    </row>
    <row r="1680" spans="1:19" s="15" customFormat="1" x14ac:dyDescent="0.3">
      <c r="A1680" s="17"/>
      <c r="B1680"/>
      <c r="C1680"/>
      <c r="D1680"/>
      <c r="E1680"/>
      <c r="F1680"/>
      <c r="G1680"/>
      <c r="H1680"/>
      <c r="I1680"/>
      <c r="J1680"/>
      <c r="K1680"/>
      <c r="L1680"/>
      <c r="M1680"/>
      <c r="S1680" s="54"/>
    </row>
    <row r="1681" spans="1:19" s="15" customFormat="1" x14ac:dyDescent="0.3">
      <c r="A1681" s="17"/>
      <c r="B1681"/>
      <c r="C1681"/>
      <c r="D1681"/>
      <c r="E1681"/>
      <c r="F1681"/>
      <c r="G1681"/>
      <c r="H1681"/>
      <c r="I1681"/>
      <c r="J1681"/>
      <c r="K1681"/>
      <c r="L1681"/>
      <c r="M1681"/>
      <c r="S1681" s="54"/>
    </row>
    <row r="1682" spans="1:19" s="15" customFormat="1" x14ac:dyDescent="0.3">
      <c r="A1682" s="17"/>
      <c r="B1682"/>
      <c r="C1682"/>
      <c r="D1682"/>
      <c r="E1682"/>
      <c r="F1682"/>
      <c r="G1682"/>
      <c r="H1682"/>
      <c r="I1682"/>
      <c r="J1682"/>
      <c r="K1682"/>
      <c r="L1682"/>
      <c r="M1682"/>
      <c r="S1682" s="54"/>
    </row>
    <row r="1683" spans="1:19" s="15" customFormat="1" x14ac:dyDescent="0.3">
      <c r="A1683" s="17"/>
      <c r="B1683"/>
      <c r="C1683"/>
      <c r="D1683"/>
      <c r="E1683"/>
      <c r="F1683"/>
      <c r="G1683"/>
      <c r="H1683"/>
      <c r="I1683"/>
      <c r="J1683"/>
      <c r="K1683"/>
      <c r="L1683"/>
      <c r="M1683"/>
      <c r="S1683" s="54"/>
    </row>
    <row r="1684" spans="1:19" s="15" customFormat="1" x14ac:dyDescent="0.3">
      <c r="A1684" s="17"/>
      <c r="B1684"/>
      <c r="C1684"/>
      <c r="D1684"/>
      <c r="E1684"/>
      <c r="F1684"/>
      <c r="G1684"/>
      <c r="H1684"/>
      <c r="I1684"/>
      <c r="J1684"/>
      <c r="K1684"/>
      <c r="L1684"/>
      <c r="M1684"/>
      <c r="S1684" s="54"/>
    </row>
    <row r="1685" spans="1:19" s="15" customFormat="1" x14ac:dyDescent="0.3">
      <c r="A1685" s="17"/>
      <c r="B1685"/>
      <c r="C1685"/>
      <c r="D1685"/>
      <c r="E1685"/>
      <c r="F1685"/>
      <c r="G1685"/>
      <c r="H1685"/>
      <c r="I1685"/>
      <c r="J1685"/>
      <c r="K1685"/>
      <c r="L1685"/>
      <c r="M1685"/>
      <c r="S1685" s="54"/>
    </row>
    <row r="1686" spans="1:19" s="15" customFormat="1" x14ac:dyDescent="0.3">
      <c r="A1686" s="17"/>
      <c r="B1686"/>
      <c r="C1686"/>
      <c r="D1686"/>
      <c r="E1686"/>
      <c r="F1686"/>
      <c r="G1686"/>
      <c r="H1686"/>
      <c r="I1686"/>
      <c r="J1686"/>
      <c r="K1686"/>
      <c r="L1686"/>
      <c r="M1686"/>
      <c r="S1686" s="54"/>
    </row>
    <row r="1687" spans="1:19" s="15" customFormat="1" x14ac:dyDescent="0.3">
      <c r="A1687" s="17"/>
      <c r="B1687"/>
      <c r="C1687"/>
      <c r="D1687"/>
      <c r="E1687"/>
      <c r="F1687"/>
      <c r="G1687"/>
      <c r="H1687"/>
      <c r="I1687"/>
      <c r="J1687"/>
      <c r="K1687"/>
      <c r="L1687"/>
      <c r="M1687"/>
      <c r="S1687" s="54"/>
    </row>
    <row r="1688" spans="1:19" s="15" customFormat="1" x14ac:dyDescent="0.3">
      <c r="A1688" s="17"/>
      <c r="B1688"/>
      <c r="C1688"/>
      <c r="D1688"/>
      <c r="E1688"/>
      <c r="F1688"/>
      <c r="G1688"/>
      <c r="H1688"/>
      <c r="I1688"/>
      <c r="J1688"/>
      <c r="K1688"/>
      <c r="L1688"/>
      <c r="M1688"/>
      <c r="S1688" s="54"/>
    </row>
    <row r="1689" spans="1:19" s="15" customFormat="1" x14ac:dyDescent="0.3">
      <c r="A1689" s="17"/>
      <c r="B1689"/>
      <c r="C1689"/>
      <c r="D1689"/>
      <c r="E1689"/>
      <c r="F1689"/>
      <c r="G1689"/>
      <c r="H1689"/>
      <c r="I1689"/>
      <c r="J1689"/>
      <c r="K1689"/>
      <c r="L1689"/>
      <c r="M1689"/>
      <c r="S1689" s="54"/>
    </row>
    <row r="1690" spans="1:19" s="15" customFormat="1" x14ac:dyDescent="0.3">
      <c r="A1690" s="17"/>
      <c r="B1690"/>
      <c r="C1690"/>
      <c r="D1690"/>
      <c r="E1690"/>
      <c r="F1690"/>
      <c r="G1690"/>
      <c r="H1690"/>
      <c r="I1690"/>
      <c r="J1690"/>
      <c r="K1690"/>
      <c r="L1690"/>
      <c r="M1690"/>
      <c r="S1690" s="54"/>
    </row>
    <row r="1691" spans="1:19" s="15" customFormat="1" x14ac:dyDescent="0.3">
      <c r="A1691" s="17"/>
      <c r="B1691"/>
      <c r="C1691"/>
      <c r="D1691"/>
      <c r="E1691"/>
      <c r="F1691"/>
      <c r="G1691"/>
      <c r="H1691"/>
      <c r="I1691"/>
      <c r="J1691"/>
      <c r="K1691"/>
      <c r="L1691"/>
      <c r="M1691"/>
      <c r="S1691" s="54"/>
    </row>
    <row r="1692" spans="1:19" s="15" customFormat="1" x14ac:dyDescent="0.3">
      <c r="A1692" s="17"/>
      <c r="B1692"/>
      <c r="C1692"/>
      <c r="D1692"/>
      <c r="E1692"/>
      <c r="F1692"/>
      <c r="G1692"/>
      <c r="H1692"/>
      <c r="I1692"/>
      <c r="J1692"/>
      <c r="K1692"/>
      <c r="L1692"/>
      <c r="M1692"/>
      <c r="S1692" s="54"/>
    </row>
    <row r="1693" spans="1:19" s="15" customFormat="1" x14ac:dyDescent="0.3">
      <c r="A1693" s="17"/>
      <c r="B1693"/>
      <c r="C1693"/>
      <c r="D1693"/>
      <c r="E1693"/>
      <c r="F1693"/>
      <c r="G1693"/>
      <c r="H1693"/>
      <c r="I1693"/>
      <c r="J1693"/>
      <c r="K1693"/>
      <c r="L1693"/>
      <c r="M1693"/>
      <c r="S1693" s="54"/>
    </row>
    <row r="1694" spans="1:19" s="15" customFormat="1" x14ac:dyDescent="0.3">
      <c r="A1694" s="17"/>
      <c r="B1694"/>
      <c r="C1694"/>
      <c r="D1694"/>
      <c r="E1694"/>
      <c r="F1694"/>
      <c r="G1694"/>
      <c r="H1694"/>
      <c r="I1694"/>
      <c r="J1694"/>
      <c r="K1694"/>
      <c r="L1694"/>
      <c r="M1694"/>
      <c r="S1694" s="54"/>
    </row>
    <row r="1695" spans="1:19" s="15" customFormat="1" x14ac:dyDescent="0.3">
      <c r="A1695" s="17"/>
      <c r="B1695"/>
      <c r="C1695"/>
      <c r="D1695"/>
      <c r="E1695"/>
      <c r="F1695"/>
      <c r="G1695"/>
      <c r="H1695"/>
      <c r="I1695"/>
      <c r="J1695"/>
      <c r="K1695"/>
      <c r="L1695"/>
      <c r="M1695"/>
      <c r="S1695" s="54"/>
    </row>
    <row r="1696" spans="1:19" s="15" customFormat="1" x14ac:dyDescent="0.3">
      <c r="A1696" s="17"/>
      <c r="B1696"/>
      <c r="C1696"/>
      <c r="D1696"/>
      <c r="E1696"/>
      <c r="F1696"/>
      <c r="G1696"/>
      <c r="H1696"/>
      <c r="I1696"/>
      <c r="J1696"/>
      <c r="K1696"/>
      <c r="L1696"/>
      <c r="M1696"/>
      <c r="S1696" s="54"/>
    </row>
    <row r="1697" spans="1:19" s="15" customFormat="1" x14ac:dyDescent="0.3">
      <c r="A1697" s="17"/>
      <c r="B1697"/>
      <c r="C1697"/>
      <c r="D1697"/>
      <c r="E1697"/>
      <c r="F1697"/>
      <c r="G1697"/>
      <c r="H1697"/>
      <c r="I1697"/>
      <c r="J1697"/>
      <c r="K1697"/>
      <c r="L1697"/>
      <c r="M1697"/>
      <c r="S1697" s="54"/>
    </row>
    <row r="1698" spans="1:19" s="15" customFormat="1" x14ac:dyDescent="0.3">
      <c r="A1698" s="17"/>
      <c r="B1698"/>
      <c r="C1698"/>
      <c r="D1698"/>
      <c r="E1698"/>
      <c r="F1698"/>
      <c r="G1698"/>
      <c r="H1698"/>
      <c r="I1698"/>
      <c r="J1698"/>
      <c r="K1698"/>
      <c r="L1698"/>
      <c r="M1698"/>
      <c r="S1698" s="54"/>
    </row>
    <row r="1699" spans="1:19" s="15" customFormat="1" x14ac:dyDescent="0.3">
      <c r="A1699" s="17"/>
      <c r="B1699"/>
      <c r="C1699"/>
      <c r="D1699"/>
      <c r="E1699"/>
      <c r="F1699"/>
      <c r="G1699"/>
      <c r="H1699"/>
      <c r="I1699"/>
      <c r="J1699"/>
      <c r="K1699"/>
      <c r="L1699"/>
      <c r="M1699"/>
      <c r="S1699" s="54"/>
    </row>
    <row r="1700" spans="1:19" s="15" customFormat="1" x14ac:dyDescent="0.3">
      <c r="A1700" s="17"/>
      <c r="B1700"/>
      <c r="C1700"/>
      <c r="D1700"/>
      <c r="E1700"/>
      <c r="F1700"/>
      <c r="G1700"/>
      <c r="H1700"/>
      <c r="I1700"/>
      <c r="J1700"/>
      <c r="K1700"/>
      <c r="L1700"/>
      <c r="M1700"/>
      <c r="S1700" s="54"/>
    </row>
    <row r="1701" spans="1:19" s="15" customFormat="1" x14ac:dyDescent="0.3">
      <c r="A1701" s="17"/>
      <c r="B1701"/>
      <c r="C1701"/>
      <c r="D1701"/>
      <c r="E1701"/>
      <c r="F1701"/>
      <c r="G1701"/>
      <c r="H1701"/>
      <c r="I1701"/>
      <c r="J1701"/>
      <c r="K1701"/>
      <c r="L1701"/>
      <c r="M1701"/>
      <c r="S1701" s="54"/>
    </row>
    <row r="1702" spans="1:19" s="15" customFormat="1" x14ac:dyDescent="0.3">
      <c r="A1702" s="17"/>
      <c r="B1702"/>
      <c r="C1702"/>
      <c r="D1702"/>
      <c r="E1702"/>
      <c r="F1702"/>
      <c r="G1702"/>
      <c r="H1702"/>
      <c r="I1702"/>
      <c r="J1702"/>
      <c r="K1702"/>
      <c r="L1702"/>
      <c r="M1702"/>
      <c r="S1702" s="54"/>
    </row>
    <row r="1703" spans="1:19" s="15" customFormat="1" x14ac:dyDescent="0.3">
      <c r="A1703" s="17"/>
      <c r="B1703"/>
      <c r="C1703"/>
      <c r="D1703"/>
      <c r="E1703"/>
      <c r="F1703"/>
      <c r="G1703"/>
      <c r="H1703"/>
      <c r="I1703"/>
      <c r="J1703"/>
      <c r="K1703"/>
      <c r="L1703"/>
      <c r="M1703"/>
      <c r="S1703" s="54"/>
    </row>
    <row r="1704" spans="1:19" s="15" customFormat="1" x14ac:dyDescent="0.3">
      <c r="A1704" s="17"/>
      <c r="B1704"/>
      <c r="C1704"/>
      <c r="D1704"/>
      <c r="E1704"/>
      <c r="F1704"/>
      <c r="G1704"/>
      <c r="H1704"/>
      <c r="I1704"/>
      <c r="J1704"/>
      <c r="K1704"/>
      <c r="L1704"/>
      <c r="M1704"/>
      <c r="S1704" s="54"/>
    </row>
    <row r="1705" spans="1:19" s="15" customFormat="1" x14ac:dyDescent="0.3">
      <c r="A1705" s="17"/>
      <c r="B1705"/>
      <c r="C1705"/>
      <c r="D1705"/>
      <c r="E1705"/>
      <c r="F1705"/>
      <c r="G1705"/>
      <c r="H1705"/>
      <c r="I1705"/>
      <c r="J1705"/>
      <c r="K1705"/>
      <c r="L1705"/>
      <c r="M1705"/>
      <c r="S1705" s="54"/>
    </row>
    <row r="1706" spans="1:19" s="15" customFormat="1" x14ac:dyDescent="0.3">
      <c r="A1706" s="17"/>
      <c r="B1706"/>
      <c r="C1706"/>
      <c r="D1706"/>
      <c r="E1706"/>
      <c r="F1706"/>
      <c r="G1706"/>
      <c r="H1706"/>
      <c r="I1706"/>
      <c r="J1706"/>
      <c r="K1706"/>
      <c r="L1706"/>
      <c r="M1706"/>
      <c r="S1706" s="54"/>
    </row>
    <row r="1707" spans="1:19" s="15" customFormat="1" x14ac:dyDescent="0.3">
      <c r="A1707" s="17"/>
      <c r="B1707"/>
      <c r="C1707"/>
      <c r="D1707"/>
      <c r="E1707"/>
      <c r="F1707"/>
      <c r="G1707"/>
      <c r="H1707"/>
      <c r="I1707"/>
      <c r="J1707"/>
      <c r="K1707"/>
      <c r="L1707"/>
      <c r="M1707"/>
      <c r="S1707" s="54"/>
    </row>
    <row r="1708" spans="1:19" s="15" customFormat="1" x14ac:dyDescent="0.3">
      <c r="A1708" s="17"/>
      <c r="B1708"/>
      <c r="C1708"/>
      <c r="D1708"/>
      <c r="E1708"/>
      <c r="F1708"/>
      <c r="G1708"/>
      <c r="H1708"/>
      <c r="I1708"/>
      <c r="J1708"/>
      <c r="K1708"/>
      <c r="L1708"/>
      <c r="M1708"/>
      <c r="S1708" s="54"/>
    </row>
    <row r="1709" spans="1:19" s="15" customFormat="1" x14ac:dyDescent="0.3">
      <c r="A1709" s="17"/>
      <c r="B1709"/>
      <c r="C1709"/>
      <c r="D1709"/>
      <c r="E1709"/>
      <c r="F1709"/>
      <c r="G1709"/>
      <c r="H1709"/>
      <c r="I1709"/>
      <c r="J1709"/>
      <c r="K1709"/>
      <c r="L1709"/>
      <c r="M1709"/>
      <c r="S1709" s="54"/>
    </row>
    <row r="1710" spans="1:19" s="15" customFormat="1" x14ac:dyDescent="0.3">
      <c r="A1710" s="17"/>
      <c r="B1710"/>
      <c r="C1710"/>
      <c r="D1710"/>
      <c r="E1710"/>
      <c r="F1710"/>
      <c r="G1710"/>
      <c r="H1710"/>
      <c r="I1710"/>
      <c r="J1710"/>
      <c r="K1710"/>
      <c r="L1710"/>
      <c r="M1710"/>
      <c r="S1710" s="54"/>
    </row>
    <row r="1711" spans="1:19" s="15" customFormat="1" x14ac:dyDescent="0.3">
      <c r="A1711" s="17"/>
      <c r="B1711"/>
      <c r="C1711"/>
      <c r="D1711"/>
      <c r="E1711"/>
      <c r="F1711"/>
      <c r="G1711"/>
      <c r="H1711"/>
      <c r="I1711"/>
      <c r="J1711"/>
      <c r="K1711"/>
      <c r="L1711"/>
      <c r="M1711"/>
      <c r="S1711" s="54"/>
    </row>
    <row r="1712" spans="1:19" s="15" customFormat="1" x14ac:dyDescent="0.3">
      <c r="A1712" s="17"/>
      <c r="B1712"/>
      <c r="C1712"/>
      <c r="D1712"/>
      <c r="E1712"/>
      <c r="F1712"/>
      <c r="G1712"/>
      <c r="H1712"/>
      <c r="I1712"/>
      <c r="J1712"/>
      <c r="K1712"/>
      <c r="L1712"/>
      <c r="M1712"/>
      <c r="S1712" s="54"/>
    </row>
    <row r="1713" spans="1:19" s="15" customFormat="1" x14ac:dyDescent="0.3">
      <c r="A1713" s="17"/>
      <c r="B1713"/>
      <c r="C1713"/>
      <c r="D1713"/>
      <c r="E1713"/>
      <c r="F1713"/>
      <c r="G1713"/>
      <c r="H1713"/>
      <c r="I1713"/>
      <c r="J1713"/>
      <c r="K1713"/>
      <c r="L1713"/>
      <c r="M1713"/>
      <c r="S1713" s="54"/>
    </row>
    <row r="1714" spans="1:19" s="15" customFormat="1" x14ac:dyDescent="0.3">
      <c r="A1714" s="17"/>
      <c r="B1714"/>
      <c r="C1714"/>
      <c r="D1714"/>
      <c r="E1714"/>
      <c r="F1714"/>
      <c r="G1714"/>
      <c r="H1714"/>
      <c r="I1714"/>
      <c r="J1714"/>
      <c r="K1714"/>
      <c r="L1714"/>
      <c r="M1714"/>
      <c r="S1714" s="54"/>
    </row>
    <row r="1715" spans="1:19" s="15" customFormat="1" x14ac:dyDescent="0.3">
      <c r="A1715" s="17"/>
      <c r="B1715"/>
      <c r="C1715"/>
      <c r="D1715"/>
      <c r="E1715"/>
      <c r="F1715"/>
      <c r="G1715"/>
      <c r="H1715"/>
      <c r="I1715"/>
      <c r="J1715"/>
      <c r="K1715"/>
      <c r="L1715"/>
      <c r="M1715"/>
      <c r="S1715" s="54"/>
    </row>
    <row r="1716" spans="1:19" s="15" customFormat="1" x14ac:dyDescent="0.3">
      <c r="A1716" s="17"/>
      <c r="B1716"/>
      <c r="C1716"/>
      <c r="D1716"/>
      <c r="E1716"/>
      <c r="F1716"/>
      <c r="G1716"/>
      <c r="H1716"/>
      <c r="I1716"/>
      <c r="J1716"/>
      <c r="K1716"/>
      <c r="L1716"/>
      <c r="M1716"/>
      <c r="S1716" s="54"/>
    </row>
    <row r="1717" spans="1:19" s="15" customFormat="1" x14ac:dyDescent="0.3">
      <c r="A1717" s="17"/>
      <c r="B1717"/>
      <c r="C1717"/>
      <c r="D1717"/>
      <c r="E1717"/>
      <c r="F1717"/>
      <c r="G1717"/>
      <c r="H1717"/>
      <c r="I1717"/>
      <c r="J1717"/>
      <c r="K1717"/>
      <c r="L1717"/>
      <c r="M1717"/>
      <c r="S1717" s="54"/>
    </row>
    <row r="1718" spans="1:19" s="15" customFormat="1" x14ac:dyDescent="0.3">
      <c r="A1718" s="17"/>
      <c r="B1718"/>
      <c r="C1718"/>
      <c r="D1718"/>
      <c r="E1718"/>
      <c r="F1718"/>
      <c r="G1718"/>
      <c r="H1718"/>
      <c r="I1718"/>
      <c r="J1718"/>
      <c r="K1718"/>
      <c r="L1718"/>
      <c r="M1718"/>
      <c r="S1718" s="54"/>
    </row>
    <row r="1719" spans="1:19" s="15" customFormat="1" x14ac:dyDescent="0.3">
      <c r="A1719" s="17"/>
      <c r="B1719"/>
      <c r="C1719"/>
      <c r="D1719"/>
      <c r="E1719"/>
      <c r="F1719"/>
      <c r="G1719"/>
      <c r="H1719"/>
      <c r="I1719"/>
      <c r="J1719"/>
      <c r="K1719"/>
      <c r="L1719"/>
      <c r="M1719"/>
      <c r="S1719" s="54"/>
    </row>
    <row r="1720" spans="1:19" s="15" customFormat="1" x14ac:dyDescent="0.3">
      <c r="A1720" s="17"/>
      <c r="B1720"/>
      <c r="C1720"/>
      <c r="D1720"/>
      <c r="E1720"/>
      <c r="F1720"/>
      <c r="G1720"/>
      <c r="H1720"/>
      <c r="I1720"/>
      <c r="J1720"/>
      <c r="K1720"/>
      <c r="L1720"/>
      <c r="M1720"/>
      <c r="S1720" s="54"/>
    </row>
    <row r="1721" spans="1:19" s="15" customFormat="1" x14ac:dyDescent="0.3">
      <c r="A1721" s="17"/>
      <c r="B1721"/>
      <c r="C1721"/>
      <c r="D1721"/>
      <c r="E1721"/>
      <c r="F1721"/>
      <c r="G1721"/>
      <c r="H1721"/>
      <c r="I1721"/>
      <c r="J1721"/>
      <c r="K1721"/>
      <c r="L1721"/>
      <c r="M1721"/>
      <c r="S1721" s="54"/>
    </row>
    <row r="1722" spans="1:19" s="15" customFormat="1" x14ac:dyDescent="0.3">
      <c r="A1722" s="17"/>
      <c r="B1722"/>
      <c r="C1722"/>
      <c r="D1722"/>
      <c r="E1722"/>
      <c r="F1722"/>
      <c r="G1722"/>
      <c r="H1722"/>
      <c r="I1722"/>
      <c r="J1722"/>
      <c r="K1722"/>
      <c r="L1722"/>
      <c r="M1722"/>
      <c r="S1722" s="54"/>
    </row>
    <row r="1723" spans="1:19" s="15" customFormat="1" x14ac:dyDescent="0.3">
      <c r="A1723" s="17"/>
      <c r="B1723"/>
      <c r="C1723"/>
      <c r="D1723"/>
      <c r="E1723"/>
      <c r="F1723"/>
      <c r="G1723"/>
      <c r="H1723"/>
      <c r="I1723"/>
      <c r="J1723"/>
      <c r="K1723"/>
      <c r="L1723"/>
      <c r="M1723"/>
      <c r="S1723" s="54"/>
    </row>
    <row r="1724" spans="1:19" s="15" customFormat="1" x14ac:dyDescent="0.3">
      <c r="A1724" s="17"/>
      <c r="B1724"/>
      <c r="C1724"/>
      <c r="D1724"/>
      <c r="E1724"/>
      <c r="F1724"/>
      <c r="G1724"/>
      <c r="H1724"/>
      <c r="I1724"/>
      <c r="J1724"/>
      <c r="K1724"/>
      <c r="L1724"/>
      <c r="M1724"/>
      <c r="S1724" s="54"/>
    </row>
    <row r="1725" spans="1:19" s="15" customFormat="1" x14ac:dyDescent="0.3">
      <c r="A1725" s="17"/>
      <c r="B1725"/>
      <c r="C1725"/>
      <c r="D1725"/>
      <c r="E1725"/>
      <c r="F1725"/>
      <c r="G1725"/>
      <c r="H1725"/>
      <c r="I1725"/>
      <c r="J1725"/>
      <c r="K1725"/>
      <c r="L1725"/>
      <c r="M1725"/>
      <c r="S1725" s="54"/>
    </row>
    <row r="1726" spans="1:19" s="15" customFormat="1" x14ac:dyDescent="0.3">
      <c r="A1726" s="17"/>
      <c r="B1726"/>
      <c r="C1726"/>
      <c r="D1726"/>
      <c r="E1726"/>
      <c r="F1726"/>
      <c r="G1726"/>
      <c r="H1726"/>
      <c r="I1726"/>
      <c r="J1726"/>
      <c r="K1726"/>
      <c r="L1726"/>
      <c r="M1726"/>
      <c r="S1726" s="54"/>
    </row>
    <row r="1727" spans="1:19" s="15" customFormat="1" x14ac:dyDescent="0.3">
      <c r="A1727" s="17"/>
      <c r="B1727"/>
      <c r="C1727"/>
      <c r="D1727"/>
      <c r="E1727"/>
      <c r="F1727"/>
      <c r="G1727"/>
      <c r="H1727"/>
      <c r="I1727"/>
      <c r="J1727"/>
      <c r="K1727"/>
      <c r="L1727"/>
      <c r="M1727"/>
      <c r="S1727" s="54"/>
    </row>
    <row r="1728" spans="1:19" s="15" customFormat="1" x14ac:dyDescent="0.3">
      <c r="A1728" s="17"/>
      <c r="B1728"/>
      <c r="C1728"/>
      <c r="D1728"/>
      <c r="E1728"/>
      <c r="F1728"/>
      <c r="G1728"/>
      <c r="H1728"/>
      <c r="I1728"/>
      <c r="J1728"/>
      <c r="K1728"/>
      <c r="L1728"/>
      <c r="M1728"/>
      <c r="S1728" s="54"/>
    </row>
    <row r="1729" spans="1:19" s="15" customFormat="1" x14ac:dyDescent="0.3">
      <c r="A1729" s="17"/>
      <c r="B1729"/>
      <c r="C1729"/>
      <c r="D1729"/>
      <c r="E1729"/>
      <c r="F1729"/>
      <c r="G1729"/>
      <c r="H1729"/>
      <c r="I1729"/>
      <c r="J1729"/>
      <c r="K1729"/>
      <c r="L1729"/>
      <c r="M1729"/>
      <c r="S1729" s="54"/>
    </row>
    <row r="1730" spans="1:19" s="15" customFormat="1" x14ac:dyDescent="0.3">
      <c r="A1730" s="17"/>
      <c r="B1730"/>
      <c r="C1730"/>
      <c r="D1730"/>
      <c r="E1730"/>
      <c r="F1730"/>
      <c r="G1730"/>
      <c r="H1730"/>
      <c r="I1730"/>
      <c r="J1730"/>
      <c r="K1730"/>
      <c r="L1730"/>
      <c r="M1730"/>
      <c r="S1730" s="54"/>
    </row>
    <row r="1731" spans="1:19" s="15" customFormat="1" x14ac:dyDescent="0.3">
      <c r="A1731" s="17"/>
      <c r="B1731"/>
      <c r="C1731"/>
      <c r="D1731"/>
      <c r="E1731"/>
      <c r="F1731"/>
      <c r="G1731"/>
      <c r="H1731"/>
      <c r="I1731"/>
      <c r="J1731"/>
      <c r="K1731"/>
      <c r="L1731"/>
      <c r="M1731"/>
      <c r="S1731" s="54"/>
    </row>
    <row r="1732" spans="1:19" s="15" customFormat="1" x14ac:dyDescent="0.3">
      <c r="A1732" s="17"/>
      <c r="B1732"/>
      <c r="C1732"/>
      <c r="D1732"/>
      <c r="E1732"/>
      <c r="F1732"/>
      <c r="G1732"/>
      <c r="H1732"/>
      <c r="I1732"/>
      <c r="J1732"/>
      <c r="K1732"/>
      <c r="L1732"/>
      <c r="M1732"/>
      <c r="S1732" s="54"/>
    </row>
    <row r="1733" spans="1:19" s="15" customFormat="1" x14ac:dyDescent="0.3">
      <c r="A1733" s="17"/>
      <c r="B1733"/>
      <c r="C1733"/>
      <c r="D1733"/>
      <c r="E1733"/>
      <c r="F1733"/>
      <c r="G1733"/>
      <c r="H1733"/>
      <c r="I1733"/>
      <c r="J1733"/>
      <c r="K1733"/>
      <c r="L1733"/>
      <c r="M1733"/>
      <c r="S1733" s="54"/>
    </row>
    <row r="1734" spans="1:19" s="15" customFormat="1" x14ac:dyDescent="0.3">
      <c r="A1734" s="17"/>
      <c r="B1734"/>
      <c r="C1734"/>
      <c r="D1734"/>
      <c r="E1734"/>
      <c r="F1734"/>
      <c r="G1734"/>
      <c r="H1734"/>
      <c r="I1734"/>
      <c r="J1734"/>
      <c r="K1734"/>
      <c r="L1734"/>
      <c r="M1734"/>
      <c r="S1734" s="54"/>
    </row>
    <row r="1735" spans="1:19" s="15" customFormat="1" x14ac:dyDescent="0.3">
      <c r="A1735" s="17"/>
      <c r="B1735"/>
      <c r="C1735"/>
      <c r="D1735"/>
      <c r="E1735"/>
      <c r="F1735"/>
      <c r="G1735"/>
      <c r="H1735"/>
      <c r="I1735"/>
      <c r="J1735"/>
      <c r="K1735"/>
      <c r="L1735"/>
      <c r="M1735"/>
      <c r="S1735" s="54"/>
    </row>
    <row r="1736" spans="1:19" s="15" customFormat="1" x14ac:dyDescent="0.3">
      <c r="A1736" s="17"/>
      <c r="B1736"/>
      <c r="C1736"/>
      <c r="D1736"/>
      <c r="E1736"/>
      <c r="F1736"/>
      <c r="G1736"/>
      <c r="H1736"/>
      <c r="I1736"/>
      <c r="J1736"/>
      <c r="K1736"/>
      <c r="L1736"/>
      <c r="M1736"/>
      <c r="S1736" s="54"/>
    </row>
    <row r="1737" spans="1:19" s="15" customFormat="1" x14ac:dyDescent="0.3">
      <c r="A1737" s="17"/>
      <c r="B1737"/>
      <c r="C1737"/>
      <c r="D1737"/>
      <c r="E1737"/>
      <c r="F1737"/>
      <c r="G1737"/>
      <c r="H1737"/>
      <c r="I1737"/>
      <c r="J1737"/>
      <c r="K1737"/>
      <c r="L1737"/>
      <c r="M1737"/>
      <c r="S1737" s="54"/>
    </row>
    <row r="1738" spans="1:19" s="15" customFormat="1" x14ac:dyDescent="0.3">
      <c r="A1738" s="17"/>
      <c r="B1738"/>
      <c r="C1738"/>
      <c r="D1738"/>
      <c r="E1738"/>
      <c r="F1738"/>
      <c r="G1738"/>
      <c r="H1738"/>
      <c r="I1738"/>
      <c r="J1738"/>
      <c r="K1738"/>
      <c r="L1738"/>
      <c r="M1738"/>
      <c r="S1738" s="54"/>
    </row>
    <row r="1739" spans="1:19" s="15" customFormat="1" x14ac:dyDescent="0.3">
      <c r="A1739" s="17"/>
      <c r="B1739"/>
      <c r="C1739"/>
      <c r="D1739"/>
      <c r="E1739"/>
      <c r="F1739"/>
      <c r="G1739"/>
      <c r="H1739"/>
      <c r="I1739"/>
      <c r="J1739"/>
      <c r="K1739"/>
      <c r="L1739"/>
      <c r="M1739"/>
      <c r="S1739" s="54"/>
    </row>
    <row r="1740" spans="1:19" s="15" customFormat="1" x14ac:dyDescent="0.3">
      <c r="A1740" s="17"/>
      <c r="B1740"/>
      <c r="C1740"/>
      <c r="D1740"/>
      <c r="E1740"/>
      <c r="F1740"/>
      <c r="G1740"/>
      <c r="H1740"/>
      <c r="I1740"/>
      <c r="J1740"/>
      <c r="K1740"/>
      <c r="L1740"/>
      <c r="M1740"/>
      <c r="S1740" s="54"/>
    </row>
    <row r="1741" spans="1:19" s="15" customFormat="1" x14ac:dyDescent="0.3">
      <c r="A1741" s="17"/>
      <c r="B1741"/>
      <c r="C1741"/>
      <c r="D1741"/>
      <c r="E1741"/>
      <c r="F1741"/>
      <c r="G1741"/>
      <c r="H1741"/>
      <c r="I1741"/>
      <c r="J1741"/>
      <c r="K1741"/>
      <c r="L1741"/>
      <c r="M1741"/>
      <c r="S1741" s="54"/>
    </row>
    <row r="1742" spans="1:19" s="15" customFormat="1" x14ac:dyDescent="0.3">
      <c r="A1742" s="17"/>
      <c r="B1742"/>
      <c r="C1742"/>
      <c r="D1742"/>
      <c r="E1742"/>
      <c r="F1742"/>
      <c r="G1742"/>
      <c r="H1742"/>
      <c r="I1742"/>
      <c r="J1742"/>
      <c r="K1742"/>
      <c r="L1742"/>
      <c r="M1742"/>
      <c r="S1742" s="54"/>
    </row>
    <row r="1743" spans="1:19" s="15" customFormat="1" x14ac:dyDescent="0.3">
      <c r="A1743" s="17"/>
      <c r="B1743"/>
      <c r="C1743"/>
      <c r="D1743"/>
      <c r="E1743"/>
      <c r="F1743"/>
      <c r="G1743"/>
      <c r="H1743"/>
      <c r="I1743"/>
      <c r="J1743"/>
      <c r="K1743"/>
      <c r="L1743"/>
      <c r="M1743"/>
      <c r="S1743" s="54"/>
    </row>
    <row r="1744" spans="1:19" s="15" customFormat="1" x14ac:dyDescent="0.3">
      <c r="A1744" s="17"/>
      <c r="B1744"/>
      <c r="C1744"/>
      <c r="D1744"/>
      <c r="E1744"/>
      <c r="F1744"/>
      <c r="G1744"/>
      <c r="H1744"/>
      <c r="I1744"/>
      <c r="J1744"/>
      <c r="K1744"/>
      <c r="L1744"/>
      <c r="M1744"/>
      <c r="S1744" s="54"/>
    </row>
    <row r="1745" spans="1:19" s="15" customFormat="1" x14ac:dyDescent="0.3">
      <c r="A1745" s="17"/>
      <c r="B1745"/>
      <c r="C1745"/>
      <c r="D1745"/>
      <c r="E1745"/>
      <c r="F1745"/>
      <c r="G1745"/>
      <c r="H1745"/>
      <c r="I1745"/>
      <c r="J1745"/>
      <c r="K1745"/>
      <c r="L1745"/>
      <c r="M1745"/>
      <c r="S1745" s="54"/>
    </row>
    <row r="1746" spans="1:19" s="15" customFormat="1" x14ac:dyDescent="0.3">
      <c r="A1746" s="17"/>
      <c r="B1746"/>
      <c r="C1746"/>
      <c r="D1746"/>
      <c r="E1746"/>
      <c r="F1746"/>
      <c r="G1746"/>
      <c r="H1746"/>
      <c r="I1746"/>
      <c r="J1746"/>
      <c r="K1746"/>
      <c r="L1746"/>
      <c r="M1746"/>
      <c r="S1746" s="54"/>
    </row>
    <row r="1747" spans="1:19" s="15" customFormat="1" x14ac:dyDescent="0.3">
      <c r="A1747" s="17"/>
      <c r="B1747"/>
      <c r="C1747"/>
      <c r="D1747"/>
      <c r="E1747"/>
      <c r="F1747"/>
      <c r="G1747"/>
      <c r="H1747"/>
      <c r="I1747"/>
      <c r="J1747"/>
      <c r="K1747"/>
      <c r="L1747"/>
      <c r="M1747"/>
      <c r="S1747" s="54"/>
    </row>
    <row r="1748" spans="1:19" s="15" customFormat="1" x14ac:dyDescent="0.3">
      <c r="A1748" s="17"/>
      <c r="B1748"/>
      <c r="C1748"/>
      <c r="D1748"/>
      <c r="E1748"/>
      <c r="F1748"/>
      <c r="G1748"/>
      <c r="H1748"/>
      <c r="I1748"/>
      <c r="J1748"/>
      <c r="K1748"/>
      <c r="L1748"/>
      <c r="M1748"/>
      <c r="S1748" s="54"/>
    </row>
    <row r="1749" spans="1:19" s="15" customFormat="1" x14ac:dyDescent="0.3">
      <c r="A1749" s="17"/>
      <c r="B1749"/>
      <c r="C1749"/>
      <c r="D1749"/>
      <c r="E1749"/>
      <c r="F1749"/>
      <c r="G1749"/>
      <c r="H1749"/>
      <c r="I1749"/>
      <c r="J1749"/>
      <c r="K1749"/>
      <c r="L1749"/>
      <c r="M1749"/>
      <c r="S1749" s="54"/>
    </row>
    <row r="1750" spans="1:19" s="15" customFormat="1" x14ac:dyDescent="0.3">
      <c r="A1750" s="17"/>
      <c r="B1750"/>
      <c r="C1750"/>
      <c r="D1750"/>
      <c r="E1750"/>
      <c r="F1750"/>
      <c r="G1750"/>
      <c r="H1750"/>
      <c r="I1750"/>
      <c r="J1750"/>
      <c r="K1750"/>
      <c r="L1750"/>
      <c r="M1750"/>
      <c r="S1750" s="54"/>
    </row>
    <row r="1751" spans="1:19" s="15" customFormat="1" x14ac:dyDescent="0.3">
      <c r="A1751" s="17"/>
      <c r="B1751"/>
      <c r="C1751"/>
      <c r="D1751"/>
      <c r="E1751"/>
      <c r="F1751"/>
      <c r="G1751"/>
      <c r="H1751"/>
      <c r="I1751"/>
      <c r="J1751"/>
      <c r="K1751"/>
      <c r="L1751"/>
      <c r="M1751"/>
      <c r="S1751" s="54"/>
    </row>
    <row r="1752" spans="1:19" s="15" customFormat="1" x14ac:dyDescent="0.3">
      <c r="A1752" s="17"/>
      <c r="B1752"/>
      <c r="C1752"/>
      <c r="D1752"/>
      <c r="E1752"/>
      <c r="F1752"/>
      <c r="G1752"/>
      <c r="H1752"/>
      <c r="I1752"/>
      <c r="J1752"/>
      <c r="K1752"/>
      <c r="L1752"/>
      <c r="M1752"/>
      <c r="S1752" s="54"/>
    </row>
    <row r="1753" spans="1:19" s="15" customFormat="1" x14ac:dyDescent="0.3">
      <c r="A1753" s="17"/>
      <c r="B1753"/>
      <c r="C1753"/>
      <c r="D1753"/>
      <c r="E1753"/>
      <c r="F1753"/>
      <c r="G1753"/>
      <c r="H1753"/>
      <c r="I1753"/>
      <c r="J1753"/>
      <c r="K1753"/>
      <c r="L1753"/>
      <c r="M1753"/>
      <c r="S1753" s="54"/>
    </row>
    <row r="1754" spans="1:19" s="15" customFormat="1" x14ac:dyDescent="0.3">
      <c r="A1754" s="17"/>
      <c r="B1754"/>
      <c r="C1754"/>
      <c r="D1754"/>
      <c r="E1754"/>
      <c r="F1754"/>
      <c r="G1754"/>
      <c r="H1754"/>
      <c r="I1754"/>
      <c r="J1754"/>
      <c r="K1754"/>
      <c r="L1754"/>
      <c r="M1754"/>
      <c r="S1754" s="54"/>
    </row>
    <row r="1755" spans="1:19" s="15" customFormat="1" x14ac:dyDescent="0.3">
      <c r="A1755" s="17"/>
      <c r="B1755"/>
      <c r="C1755"/>
      <c r="D1755"/>
      <c r="E1755"/>
      <c r="F1755"/>
      <c r="G1755"/>
      <c r="H1755"/>
      <c r="I1755"/>
      <c r="J1755"/>
      <c r="K1755"/>
      <c r="L1755"/>
      <c r="M1755"/>
      <c r="S1755" s="54"/>
    </row>
    <row r="1756" spans="1:19" s="15" customFormat="1" x14ac:dyDescent="0.3">
      <c r="A1756" s="17"/>
      <c r="B1756"/>
      <c r="C1756"/>
      <c r="D1756"/>
      <c r="E1756"/>
      <c r="F1756"/>
      <c r="G1756"/>
      <c r="H1756"/>
      <c r="I1756"/>
      <c r="J1756"/>
      <c r="K1756"/>
      <c r="L1756"/>
      <c r="M1756"/>
      <c r="S1756" s="54"/>
    </row>
    <row r="1757" spans="1:19" s="15" customFormat="1" x14ac:dyDescent="0.3">
      <c r="A1757" s="17"/>
      <c r="B1757"/>
      <c r="C1757"/>
      <c r="D1757"/>
      <c r="E1757"/>
      <c r="F1757"/>
      <c r="G1757"/>
      <c r="H1757"/>
      <c r="I1757"/>
      <c r="J1757"/>
      <c r="K1757"/>
      <c r="L1757"/>
      <c r="M1757"/>
      <c r="S1757" s="54"/>
    </row>
    <row r="1758" spans="1:19" s="15" customFormat="1" x14ac:dyDescent="0.3">
      <c r="A1758" s="17"/>
      <c r="B1758"/>
      <c r="C1758"/>
      <c r="D1758"/>
      <c r="E1758"/>
      <c r="F1758"/>
      <c r="G1758"/>
      <c r="H1758"/>
      <c r="I1758"/>
      <c r="J1758"/>
      <c r="K1758"/>
      <c r="L1758"/>
      <c r="M1758"/>
      <c r="S1758" s="54"/>
    </row>
    <row r="1759" spans="1:19" s="15" customFormat="1" x14ac:dyDescent="0.3">
      <c r="A1759" s="17"/>
      <c r="B1759"/>
      <c r="C1759"/>
      <c r="D1759"/>
      <c r="E1759"/>
      <c r="F1759"/>
      <c r="G1759"/>
      <c r="H1759"/>
      <c r="I1759"/>
      <c r="J1759"/>
      <c r="K1759"/>
      <c r="L1759"/>
      <c r="M1759"/>
      <c r="S1759" s="54"/>
    </row>
    <row r="1760" spans="1:19" s="15" customFormat="1" x14ac:dyDescent="0.3">
      <c r="A1760" s="17"/>
      <c r="B1760"/>
      <c r="C1760"/>
      <c r="D1760"/>
      <c r="E1760"/>
      <c r="F1760"/>
      <c r="G1760"/>
      <c r="H1760"/>
      <c r="I1760"/>
      <c r="J1760"/>
      <c r="K1760"/>
      <c r="L1760"/>
      <c r="M1760"/>
      <c r="S1760" s="54"/>
    </row>
    <row r="1761" spans="1:19" s="15" customFormat="1" x14ac:dyDescent="0.3">
      <c r="A1761" s="17"/>
      <c r="B1761"/>
      <c r="C1761"/>
      <c r="D1761"/>
      <c r="E1761"/>
      <c r="F1761"/>
      <c r="G1761"/>
      <c r="H1761"/>
      <c r="I1761"/>
      <c r="J1761"/>
      <c r="K1761"/>
      <c r="L1761"/>
      <c r="M1761"/>
      <c r="S1761" s="54"/>
    </row>
    <row r="1762" spans="1:19" s="15" customFormat="1" x14ac:dyDescent="0.3">
      <c r="A1762" s="17"/>
      <c r="B1762"/>
      <c r="C1762"/>
      <c r="D1762"/>
      <c r="E1762"/>
      <c r="F1762"/>
      <c r="G1762"/>
      <c r="H1762"/>
      <c r="I1762"/>
      <c r="J1762"/>
      <c r="K1762"/>
      <c r="L1762"/>
      <c r="M1762"/>
      <c r="S1762" s="54"/>
    </row>
    <row r="1763" spans="1:19" s="15" customFormat="1" x14ac:dyDescent="0.3">
      <c r="A1763" s="17"/>
      <c r="B1763"/>
      <c r="C1763"/>
      <c r="D1763"/>
      <c r="E1763"/>
      <c r="F1763"/>
      <c r="G1763"/>
      <c r="H1763"/>
      <c r="I1763"/>
      <c r="J1763"/>
      <c r="K1763"/>
      <c r="L1763"/>
      <c r="M1763"/>
      <c r="S1763" s="54"/>
    </row>
    <row r="1764" spans="1:19" s="15" customFormat="1" x14ac:dyDescent="0.3">
      <c r="A1764" s="17"/>
      <c r="B1764"/>
      <c r="C1764"/>
      <c r="D1764"/>
      <c r="E1764"/>
      <c r="F1764"/>
      <c r="G1764"/>
      <c r="H1764"/>
      <c r="I1764"/>
      <c r="J1764"/>
      <c r="K1764"/>
      <c r="L1764"/>
      <c r="M1764"/>
      <c r="S1764" s="54"/>
    </row>
    <row r="1765" spans="1:19" s="15" customFormat="1" x14ac:dyDescent="0.3">
      <c r="A1765" s="17"/>
      <c r="B1765"/>
      <c r="C1765"/>
      <c r="D1765"/>
      <c r="E1765"/>
      <c r="F1765"/>
      <c r="G1765"/>
      <c r="H1765"/>
      <c r="I1765"/>
      <c r="J1765"/>
      <c r="K1765"/>
      <c r="L1765"/>
      <c r="M1765"/>
      <c r="S1765" s="54"/>
    </row>
    <row r="1766" spans="1:19" s="15" customFormat="1" x14ac:dyDescent="0.3">
      <c r="A1766" s="17"/>
      <c r="B1766"/>
      <c r="C1766"/>
      <c r="D1766"/>
      <c r="E1766"/>
      <c r="F1766"/>
      <c r="G1766"/>
      <c r="H1766"/>
      <c r="I1766"/>
      <c r="J1766"/>
      <c r="K1766"/>
      <c r="L1766"/>
      <c r="M1766"/>
      <c r="S1766" s="54"/>
    </row>
    <row r="1767" spans="1:19" s="15" customFormat="1" x14ac:dyDescent="0.3">
      <c r="A1767" s="17"/>
      <c r="B1767"/>
      <c r="C1767"/>
      <c r="D1767"/>
      <c r="E1767"/>
      <c r="F1767"/>
      <c r="G1767"/>
      <c r="H1767"/>
      <c r="I1767"/>
      <c r="J1767"/>
      <c r="K1767"/>
      <c r="L1767"/>
      <c r="M1767"/>
      <c r="S1767" s="54"/>
    </row>
    <row r="1768" spans="1:19" s="15" customFormat="1" x14ac:dyDescent="0.3">
      <c r="A1768" s="17"/>
      <c r="B1768"/>
      <c r="C1768"/>
      <c r="D1768"/>
      <c r="E1768"/>
      <c r="F1768"/>
      <c r="G1768"/>
      <c r="H1768"/>
      <c r="I1768"/>
      <c r="J1768"/>
      <c r="K1768"/>
      <c r="L1768"/>
      <c r="M1768"/>
      <c r="S1768" s="54"/>
    </row>
    <row r="1769" spans="1:19" s="15" customFormat="1" x14ac:dyDescent="0.3">
      <c r="A1769" s="17"/>
      <c r="B1769"/>
      <c r="C1769"/>
      <c r="D1769"/>
      <c r="E1769"/>
      <c r="F1769"/>
      <c r="G1769"/>
      <c r="H1769"/>
      <c r="I1769"/>
      <c r="J1769"/>
      <c r="K1769"/>
      <c r="L1769"/>
      <c r="M1769"/>
      <c r="S1769" s="54"/>
    </row>
    <row r="1770" spans="1:19" s="15" customFormat="1" x14ac:dyDescent="0.3">
      <c r="A1770" s="17"/>
      <c r="B1770"/>
      <c r="C1770"/>
      <c r="D1770"/>
      <c r="E1770"/>
      <c r="F1770"/>
      <c r="G1770"/>
      <c r="H1770"/>
      <c r="I1770"/>
      <c r="J1770"/>
      <c r="K1770"/>
      <c r="L1770"/>
      <c r="M1770"/>
      <c r="S1770" s="54"/>
    </row>
    <row r="1771" spans="1:19" s="15" customFormat="1" x14ac:dyDescent="0.3">
      <c r="A1771" s="17"/>
      <c r="B1771"/>
      <c r="C1771"/>
      <c r="D1771"/>
      <c r="E1771"/>
      <c r="F1771"/>
      <c r="G1771"/>
      <c r="H1771"/>
      <c r="I1771"/>
      <c r="J1771"/>
      <c r="K1771"/>
      <c r="L1771"/>
      <c r="M1771"/>
      <c r="S1771" s="54"/>
    </row>
    <row r="1772" spans="1:19" s="15" customFormat="1" x14ac:dyDescent="0.3">
      <c r="A1772" s="17"/>
      <c r="B1772"/>
      <c r="C1772"/>
      <c r="D1772"/>
      <c r="E1772"/>
      <c r="F1772"/>
      <c r="G1772"/>
      <c r="H1772"/>
      <c r="I1772"/>
      <c r="J1772"/>
      <c r="K1772"/>
      <c r="L1772"/>
      <c r="M1772"/>
      <c r="S1772" s="54"/>
    </row>
    <row r="1773" spans="1:19" s="15" customFormat="1" x14ac:dyDescent="0.3">
      <c r="A1773" s="17"/>
      <c r="B1773"/>
      <c r="C1773"/>
      <c r="D1773"/>
      <c r="E1773"/>
      <c r="F1773"/>
      <c r="G1773"/>
      <c r="H1773"/>
      <c r="I1773"/>
      <c r="J1773"/>
      <c r="K1773"/>
      <c r="L1773"/>
      <c r="M1773"/>
      <c r="S1773" s="54"/>
    </row>
    <row r="1774" spans="1:19" s="15" customFormat="1" x14ac:dyDescent="0.3">
      <c r="A1774" s="17"/>
      <c r="B1774"/>
      <c r="C1774"/>
      <c r="D1774"/>
      <c r="E1774"/>
      <c r="F1774"/>
      <c r="G1774"/>
      <c r="H1774"/>
      <c r="I1774"/>
      <c r="J1774"/>
      <c r="K1774"/>
      <c r="L1774"/>
      <c r="M1774"/>
      <c r="S1774" s="54"/>
    </row>
    <row r="1775" spans="1:19" s="15" customFormat="1" x14ac:dyDescent="0.3">
      <c r="A1775" s="17"/>
      <c r="B1775"/>
      <c r="C1775"/>
      <c r="D1775"/>
      <c r="E1775"/>
      <c r="F1775"/>
      <c r="G1775"/>
      <c r="H1775"/>
      <c r="I1775"/>
      <c r="J1775"/>
      <c r="K1775"/>
      <c r="L1775"/>
      <c r="M1775"/>
      <c r="S1775" s="54"/>
    </row>
    <row r="1776" spans="1:19" s="15" customFormat="1" x14ac:dyDescent="0.3">
      <c r="A1776" s="17"/>
      <c r="B1776"/>
      <c r="C1776"/>
      <c r="D1776"/>
      <c r="E1776"/>
      <c r="F1776"/>
      <c r="G1776"/>
      <c r="H1776"/>
      <c r="I1776"/>
      <c r="J1776"/>
      <c r="K1776"/>
      <c r="L1776"/>
      <c r="M1776"/>
      <c r="S1776" s="54"/>
    </row>
    <row r="1777" spans="1:19" s="15" customFormat="1" x14ac:dyDescent="0.3">
      <c r="A1777" s="17"/>
      <c r="B1777"/>
      <c r="C1777"/>
      <c r="D1777"/>
      <c r="E1777"/>
      <c r="F1777"/>
      <c r="G1777"/>
      <c r="H1777"/>
      <c r="I1777"/>
      <c r="J1777"/>
      <c r="K1777"/>
      <c r="L1777"/>
      <c r="M1777"/>
      <c r="S1777" s="54"/>
    </row>
    <row r="1778" spans="1:19" s="15" customFormat="1" x14ac:dyDescent="0.3">
      <c r="A1778" s="17"/>
      <c r="B1778"/>
      <c r="C1778"/>
      <c r="D1778"/>
      <c r="E1778"/>
      <c r="F1778"/>
      <c r="G1778"/>
      <c r="H1778"/>
      <c r="I1778"/>
      <c r="J1778"/>
      <c r="K1778"/>
      <c r="L1778"/>
      <c r="M1778"/>
      <c r="S1778" s="54"/>
    </row>
    <row r="1779" spans="1:19" s="15" customFormat="1" x14ac:dyDescent="0.3">
      <c r="A1779" s="17"/>
      <c r="B1779"/>
      <c r="C1779"/>
      <c r="D1779"/>
      <c r="E1779"/>
      <c r="F1779"/>
      <c r="G1779"/>
      <c r="H1779"/>
      <c r="I1779"/>
      <c r="J1779"/>
      <c r="K1779"/>
      <c r="L1779"/>
      <c r="M1779"/>
      <c r="S1779" s="54"/>
    </row>
    <row r="1780" spans="1:19" s="15" customFormat="1" x14ac:dyDescent="0.3">
      <c r="A1780" s="17"/>
      <c r="B1780"/>
      <c r="C1780"/>
      <c r="D1780"/>
      <c r="E1780"/>
      <c r="F1780"/>
      <c r="G1780"/>
      <c r="H1780"/>
      <c r="I1780"/>
      <c r="J1780"/>
      <c r="K1780"/>
      <c r="L1780"/>
      <c r="M1780"/>
      <c r="S1780" s="54"/>
    </row>
    <row r="1781" spans="1:19" s="15" customFormat="1" x14ac:dyDescent="0.3">
      <c r="A1781" s="17"/>
      <c r="B1781"/>
      <c r="C1781"/>
      <c r="D1781"/>
      <c r="E1781"/>
      <c r="F1781"/>
      <c r="G1781"/>
      <c r="H1781"/>
      <c r="I1781"/>
      <c r="J1781"/>
      <c r="K1781"/>
      <c r="L1781"/>
      <c r="M1781"/>
      <c r="S1781" s="54"/>
    </row>
    <row r="1782" spans="1:19" s="15" customFormat="1" x14ac:dyDescent="0.3">
      <c r="A1782" s="17"/>
      <c r="B1782"/>
      <c r="C1782"/>
      <c r="D1782"/>
      <c r="E1782"/>
      <c r="F1782"/>
      <c r="G1782"/>
      <c r="H1782"/>
      <c r="I1782"/>
      <c r="J1782"/>
      <c r="K1782"/>
      <c r="L1782"/>
      <c r="M1782"/>
      <c r="S1782" s="54"/>
    </row>
    <row r="1783" spans="1:19" s="15" customFormat="1" x14ac:dyDescent="0.3">
      <c r="A1783" s="17"/>
      <c r="B1783"/>
      <c r="C1783"/>
      <c r="D1783"/>
      <c r="E1783"/>
      <c r="F1783"/>
      <c r="G1783"/>
      <c r="H1783"/>
      <c r="I1783"/>
      <c r="J1783"/>
      <c r="K1783"/>
      <c r="L1783"/>
      <c r="M1783"/>
      <c r="S1783" s="54"/>
    </row>
    <row r="1784" spans="1:19" s="15" customFormat="1" x14ac:dyDescent="0.3">
      <c r="A1784" s="17"/>
      <c r="B1784"/>
      <c r="C1784"/>
      <c r="D1784"/>
      <c r="E1784"/>
      <c r="F1784"/>
      <c r="G1784"/>
      <c r="H1784"/>
      <c r="I1784"/>
      <c r="J1784"/>
      <c r="K1784"/>
      <c r="L1784"/>
      <c r="M1784"/>
      <c r="S1784" s="54"/>
    </row>
    <row r="1785" spans="1:19" s="15" customFormat="1" x14ac:dyDescent="0.3">
      <c r="A1785" s="17"/>
      <c r="B1785"/>
      <c r="C1785"/>
      <c r="D1785"/>
      <c r="E1785"/>
      <c r="F1785"/>
      <c r="G1785"/>
      <c r="H1785"/>
      <c r="I1785"/>
      <c r="J1785"/>
      <c r="K1785"/>
      <c r="L1785"/>
      <c r="M1785"/>
      <c r="S1785" s="54"/>
    </row>
    <row r="1786" spans="1:19" s="15" customFormat="1" x14ac:dyDescent="0.3">
      <c r="A1786" s="17"/>
      <c r="B1786"/>
      <c r="C1786"/>
      <c r="D1786"/>
      <c r="E1786"/>
      <c r="F1786"/>
      <c r="G1786"/>
      <c r="H1786"/>
      <c r="I1786"/>
      <c r="J1786"/>
      <c r="K1786"/>
      <c r="L1786"/>
      <c r="M1786"/>
      <c r="S1786" s="54"/>
    </row>
    <row r="1787" spans="1:19" s="15" customFormat="1" x14ac:dyDescent="0.3">
      <c r="A1787" s="17"/>
      <c r="B1787"/>
      <c r="C1787"/>
      <c r="D1787"/>
      <c r="E1787"/>
      <c r="F1787"/>
      <c r="G1787"/>
      <c r="H1787"/>
      <c r="I1787"/>
      <c r="J1787"/>
      <c r="K1787"/>
      <c r="L1787"/>
      <c r="M1787"/>
      <c r="S1787" s="54"/>
    </row>
    <row r="1788" spans="1:19" s="15" customFormat="1" x14ac:dyDescent="0.3">
      <c r="A1788" s="17"/>
      <c r="B1788"/>
      <c r="C1788"/>
      <c r="D1788"/>
      <c r="E1788"/>
      <c r="F1788"/>
      <c r="G1788"/>
      <c r="H1788"/>
      <c r="I1788"/>
      <c r="J1788"/>
      <c r="K1788"/>
      <c r="L1788"/>
      <c r="M1788"/>
      <c r="S1788" s="54"/>
    </row>
    <row r="1789" spans="1:19" s="15" customFormat="1" x14ac:dyDescent="0.3">
      <c r="A1789" s="17"/>
      <c r="B1789"/>
      <c r="C1789"/>
      <c r="D1789"/>
      <c r="E1789"/>
      <c r="F1789"/>
      <c r="G1789"/>
      <c r="H1789"/>
      <c r="I1789"/>
      <c r="J1789"/>
      <c r="K1789"/>
      <c r="L1789"/>
      <c r="M1789"/>
      <c r="S1789" s="54"/>
    </row>
    <row r="1790" spans="1:19" s="15" customFormat="1" x14ac:dyDescent="0.3">
      <c r="A1790" s="17"/>
      <c r="B1790"/>
      <c r="C1790"/>
      <c r="D1790"/>
      <c r="E1790"/>
      <c r="F1790"/>
      <c r="G1790"/>
      <c r="H1790"/>
      <c r="I1790"/>
      <c r="J1790"/>
      <c r="K1790"/>
      <c r="L1790"/>
      <c r="M1790"/>
      <c r="S1790" s="54"/>
    </row>
    <row r="1791" spans="1:19" s="15" customFormat="1" x14ac:dyDescent="0.3">
      <c r="A1791" s="17"/>
      <c r="B1791"/>
      <c r="C1791"/>
      <c r="D1791"/>
      <c r="E1791"/>
      <c r="F1791"/>
      <c r="G1791"/>
      <c r="H1791"/>
      <c r="I1791"/>
      <c r="J1791"/>
      <c r="K1791"/>
      <c r="L1791"/>
      <c r="M1791"/>
      <c r="S1791" s="54"/>
    </row>
    <row r="1792" spans="1:19" s="15" customFormat="1" x14ac:dyDescent="0.3">
      <c r="A1792" s="17"/>
      <c r="B1792"/>
      <c r="C1792"/>
      <c r="D1792"/>
      <c r="E1792"/>
      <c r="F1792"/>
      <c r="G1792"/>
      <c r="H1792"/>
      <c r="I1792"/>
      <c r="J1792"/>
      <c r="K1792"/>
      <c r="L1792"/>
      <c r="M1792"/>
      <c r="S1792" s="54"/>
    </row>
    <row r="1793" spans="1:19" s="15" customFormat="1" x14ac:dyDescent="0.3">
      <c r="A1793" s="17"/>
      <c r="B1793"/>
      <c r="C1793"/>
      <c r="D1793"/>
      <c r="E1793"/>
      <c r="F1793"/>
      <c r="G1793"/>
      <c r="H1793"/>
      <c r="I1793"/>
      <c r="J1793"/>
      <c r="K1793"/>
      <c r="L1793"/>
      <c r="M1793"/>
      <c r="S1793" s="54"/>
    </row>
    <row r="1794" spans="1:19" s="15" customFormat="1" x14ac:dyDescent="0.3">
      <c r="A1794" s="17"/>
      <c r="B1794"/>
      <c r="C1794"/>
      <c r="D1794"/>
      <c r="E1794"/>
      <c r="F1794"/>
      <c r="G1794"/>
      <c r="H1794"/>
      <c r="I1794"/>
      <c r="J1794"/>
      <c r="K1794"/>
      <c r="L1794"/>
      <c r="M1794"/>
      <c r="S1794" s="54"/>
    </row>
    <row r="1795" spans="1:19" s="15" customFormat="1" x14ac:dyDescent="0.3">
      <c r="A1795" s="17"/>
      <c r="B1795"/>
      <c r="C1795"/>
      <c r="D1795"/>
      <c r="E1795"/>
      <c r="F1795"/>
      <c r="G1795"/>
      <c r="H1795"/>
      <c r="I1795"/>
      <c r="J1795"/>
      <c r="K1795"/>
      <c r="L1795"/>
      <c r="M1795"/>
      <c r="S1795" s="54"/>
    </row>
    <row r="1796" spans="1:19" s="15" customFormat="1" x14ac:dyDescent="0.3">
      <c r="A1796" s="17"/>
      <c r="B1796"/>
      <c r="C1796"/>
      <c r="D1796"/>
      <c r="E1796"/>
      <c r="F1796"/>
      <c r="G1796"/>
      <c r="H1796"/>
      <c r="I1796"/>
      <c r="J1796"/>
      <c r="K1796"/>
      <c r="L1796"/>
      <c r="M1796"/>
      <c r="S1796" s="54"/>
    </row>
    <row r="1797" spans="1:19" s="15" customFormat="1" x14ac:dyDescent="0.3">
      <c r="A1797" s="17"/>
      <c r="B1797"/>
      <c r="C1797"/>
      <c r="D1797"/>
      <c r="E1797"/>
      <c r="F1797"/>
      <c r="G1797"/>
      <c r="H1797"/>
      <c r="I1797"/>
      <c r="J1797"/>
      <c r="K1797"/>
      <c r="L1797"/>
      <c r="M1797"/>
      <c r="S1797" s="54"/>
    </row>
    <row r="1798" spans="1:19" s="15" customFormat="1" x14ac:dyDescent="0.3">
      <c r="A1798" s="17"/>
      <c r="B1798"/>
      <c r="C1798"/>
      <c r="D1798"/>
      <c r="E1798"/>
      <c r="F1798"/>
      <c r="G1798"/>
      <c r="H1798"/>
      <c r="I1798"/>
      <c r="J1798"/>
      <c r="K1798"/>
      <c r="L1798"/>
      <c r="M1798"/>
      <c r="S1798" s="54"/>
    </row>
    <row r="1799" spans="1:19" s="15" customFormat="1" x14ac:dyDescent="0.3">
      <c r="A1799" s="17"/>
      <c r="B1799"/>
      <c r="C1799"/>
      <c r="D1799"/>
      <c r="E1799"/>
      <c r="F1799"/>
      <c r="G1799"/>
      <c r="H1799"/>
      <c r="I1799"/>
      <c r="J1799"/>
      <c r="K1799"/>
      <c r="L1799"/>
      <c r="M1799"/>
      <c r="S1799" s="54"/>
    </row>
    <row r="1800" spans="1:19" s="15" customFormat="1" x14ac:dyDescent="0.3">
      <c r="A1800" s="17"/>
      <c r="B1800"/>
      <c r="C1800"/>
      <c r="D1800"/>
      <c r="E1800"/>
      <c r="F1800"/>
      <c r="G1800"/>
      <c r="H1800"/>
      <c r="I1800"/>
      <c r="J1800"/>
      <c r="K1800"/>
      <c r="L1800"/>
      <c r="M1800"/>
      <c r="S1800" s="54"/>
    </row>
    <row r="1801" spans="1:19" s="15" customFormat="1" x14ac:dyDescent="0.3">
      <c r="A1801" s="17"/>
      <c r="B1801"/>
      <c r="C1801"/>
      <c r="D1801"/>
      <c r="E1801"/>
      <c r="F1801"/>
      <c r="G1801"/>
      <c r="H1801"/>
      <c r="I1801"/>
      <c r="J1801"/>
      <c r="K1801"/>
      <c r="L1801"/>
      <c r="M1801"/>
      <c r="S1801" s="54"/>
    </row>
    <row r="1802" spans="1:19" s="15" customFormat="1" x14ac:dyDescent="0.3">
      <c r="A1802" s="17"/>
      <c r="B1802"/>
      <c r="C1802"/>
      <c r="D1802"/>
      <c r="E1802"/>
      <c r="F1802"/>
      <c r="G1802"/>
      <c r="H1802"/>
      <c r="I1802"/>
      <c r="J1802"/>
      <c r="K1802"/>
      <c r="L1802"/>
      <c r="M1802"/>
      <c r="S1802" s="54"/>
    </row>
    <row r="1803" spans="1:19" s="15" customFormat="1" x14ac:dyDescent="0.3">
      <c r="A1803" s="17"/>
      <c r="B1803"/>
      <c r="C1803"/>
      <c r="D1803"/>
      <c r="E1803"/>
      <c r="F1803"/>
      <c r="G1803"/>
      <c r="H1803"/>
      <c r="I1803"/>
      <c r="J1803"/>
      <c r="K1803"/>
      <c r="L1803"/>
      <c r="M1803"/>
      <c r="S1803" s="54"/>
    </row>
    <row r="1804" spans="1:19" s="15" customFormat="1" x14ac:dyDescent="0.3">
      <c r="A1804" s="17"/>
      <c r="B1804"/>
      <c r="C1804"/>
      <c r="D1804"/>
      <c r="E1804"/>
      <c r="F1804"/>
      <c r="G1804"/>
      <c r="H1804"/>
      <c r="I1804"/>
      <c r="J1804"/>
      <c r="K1804"/>
      <c r="L1804"/>
      <c r="M1804"/>
      <c r="S1804" s="54"/>
    </row>
    <row r="1805" spans="1:19" s="15" customFormat="1" x14ac:dyDescent="0.3">
      <c r="A1805" s="17"/>
      <c r="B1805"/>
      <c r="C1805"/>
      <c r="D1805"/>
      <c r="E1805"/>
      <c r="F1805"/>
      <c r="G1805"/>
      <c r="H1805"/>
      <c r="I1805"/>
      <c r="J1805"/>
      <c r="K1805"/>
      <c r="L1805"/>
      <c r="M1805"/>
      <c r="S1805" s="54"/>
    </row>
    <row r="1806" spans="1:19" s="15" customFormat="1" x14ac:dyDescent="0.3">
      <c r="A1806" s="17"/>
      <c r="B1806"/>
      <c r="C1806"/>
      <c r="D1806"/>
      <c r="E1806"/>
      <c r="F1806"/>
      <c r="G1806"/>
      <c r="H1806"/>
      <c r="I1806"/>
      <c r="J1806"/>
      <c r="K1806"/>
      <c r="L1806"/>
      <c r="M1806"/>
      <c r="S1806" s="54"/>
    </row>
    <row r="1807" spans="1:19" s="15" customFormat="1" x14ac:dyDescent="0.3">
      <c r="A1807" s="17"/>
      <c r="B1807"/>
      <c r="C1807"/>
      <c r="D1807"/>
      <c r="E1807"/>
      <c r="F1807"/>
      <c r="G1807"/>
      <c r="H1807"/>
      <c r="I1807"/>
      <c r="J1807"/>
      <c r="K1807"/>
      <c r="L1807"/>
      <c r="M1807"/>
      <c r="S1807" s="54"/>
    </row>
    <row r="1808" spans="1:19" s="15" customFormat="1" x14ac:dyDescent="0.3">
      <c r="A1808" s="17"/>
      <c r="B1808"/>
      <c r="C1808"/>
      <c r="D1808"/>
      <c r="E1808"/>
      <c r="F1808"/>
      <c r="G1808"/>
      <c r="H1808"/>
      <c r="I1808"/>
      <c r="J1808"/>
      <c r="K1808"/>
      <c r="L1808"/>
      <c r="M1808"/>
      <c r="S1808" s="54"/>
    </row>
    <row r="1809" spans="1:19" s="15" customFormat="1" x14ac:dyDescent="0.3">
      <c r="A1809" s="17"/>
      <c r="B1809"/>
      <c r="C1809"/>
      <c r="D1809"/>
      <c r="E1809"/>
      <c r="F1809"/>
      <c r="G1809"/>
      <c r="H1809"/>
      <c r="I1809"/>
      <c r="J1809"/>
      <c r="K1809"/>
      <c r="L1809"/>
      <c r="M1809"/>
      <c r="S1809" s="54"/>
    </row>
    <row r="1810" spans="1:19" s="15" customFormat="1" x14ac:dyDescent="0.3">
      <c r="A1810" s="17"/>
      <c r="B1810"/>
      <c r="C1810"/>
      <c r="D1810"/>
      <c r="E1810"/>
      <c r="F1810"/>
      <c r="G1810"/>
      <c r="H1810"/>
      <c r="I1810"/>
      <c r="J1810"/>
      <c r="K1810"/>
      <c r="L1810"/>
      <c r="M1810"/>
      <c r="S1810" s="54"/>
    </row>
    <row r="1811" spans="1:19" s="15" customFormat="1" x14ac:dyDescent="0.3">
      <c r="A1811" s="17"/>
      <c r="B1811"/>
      <c r="C1811"/>
      <c r="D1811"/>
      <c r="E1811"/>
      <c r="F1811"/>
      <c r="G1811"/>
      <c r="H1811"/>
      <c r="I1811"/>
      <c r="J1811"/>
      <c r="K1811"/>
      <c r="L1811"/>
      <c r="M1811"/>
      <c r="S1811" s="54"/>
    </row>
    <row r="1812" spans="1:19" s="15" customFormat="1" x14ac:dyDescent="0.3">
      <c r="A1812" s="17"/>
      <c r="B1812"/>
      <c r="C1812"/>
      <c r="D1812"/>
      <c r="E1812"/>
      <c r="F1812"/>
      <c r="G1812"/>
      <c r="H1812"/>
      <c r="I1812"/>
      <c r="J1812"/>
      <c r="K1812"/>
      <c r="L1812"/>
      <c r="M1812"/>
      <c r="S1812" s="54"/>
    </row>
    <row r="1813" spans="1:19" s="15" customFormat="1" x14ac:dyDescent="0.3">
      <c r="A1813" s="17"/>
      <c r="B1813"/>
      <c r="C1813"/>
      <c r="D1813"/>
      <c r="E1813"/>
      <c r="F1813"/>
      <c r="G1813"/>
      <c r="H1813"/>
      <c r="I1813"/>
      <c r="J1813"/>
      <c r="K1813"/>
      <c r="L1813"/>
      <c r="M1813"/>
      <c r="S1813" s="54"/>
    </row>
    <row r="1814" spans="1:19" s="15" customFormat="1" x14ac:dyDescent="0.3">
      <c r="A1814" s="17"/>
      <c r="B1814"/>
      <c r="C1814"/>
      <c r="D1814"/>
      <c r="E1814"/>
      <c r="F1814"/>
      <c r="G1814"/>
      <c r="H1814"/>
      <c r="I1814"/>
      <c r="J1814"/>
      <c r="K1814"/>
      <c r="L1814"/>
      <c r="M1814"/>
      <c r="S1814" s="54"/>
    </row>
    <row r="1815" spans="1:19" s="15" customFormat="1" x14ac:dyDescent="0.3">
      <c r="A1815" s="17"/>
      <c r="B1815"/>
      <c r="C1815"/>
      <c r="D1815"/>
      <c r="E1815"/>
      <c r="F1815"/>
      <c r="G1815"/>
      <c r="H1815"/>
      <c r="I1815"/>
      <c r="J1815"/>
      <c r="K1815"/>
      <c r="L1815"/>
      <c r="M1815"/>
      <c r="S1815" s="54"/>
    </row>
    <row r="1816" spans="1:19" s="15" customFormat="1" x14ac:dyDescent="0.3">
      <c r="A1816" s="17"/>
      <c r="B1816"/>
      <c r="C1816"/>
      <c r="D1816"/>
      <c r="E1816"/>
      <c r="F1816"/>
      <c r="G1816"/>
      <c r="H1816"/>
      <c r="I1816"/>
      <c r="J1816"/>
      <c r="K1816"/>
      <c r="L1816"/>
      <c r="M1816"/>
      <c r="S1816" s="54"/>
    </row>
    <row r="1817" spans="1:19" s="15" customFormat="1" x14ac:dyDescent="0.3">
      <c r="A1817" s="17"/>
      <c r="B1817"/>
      <c r="C1817"/>
      <c r="D1817"/>
      <c r="E1817"/>
      <c r="F1817"/>
      <c r="G1817"/>
      <c r="H1817"/>
      <c r="I1817"/>
      <c r="J1817"/>
      <c r="K1817"/>
      <c r="L1817"/>
      <c r="M1817"/>
      <c r="S1817" s="54"/>
    </row>
    <row r="1818" spans="1:19" s="15" customFormat="1" x14ac:dyDescent="0.3">
      <c r="A1818" s="17"/>
      <c r="B1818"/>
      <c r="C1818"/>
      <c r="D1818"/>
      <c r="E1818"/>
      <c r="F1818"/>
      <c r="G1818"/>
      <c r="H1818"/>
      <c r="I1818"/>
      <c r="J1818"/>
      <c r="K1818"/>
      <c r="L1818"/>
      <c r="M1818"/>
      <c r="S1818" s="54"/>
    </row>
    <row r="1819" spans="1:19" s="15" customFormat="1" x14ac:dyDescent="0.3">
      <c r="A1819" s="17"/>
      <c r="B1819"/>
      <c r="C1819"/>
      <c r="D1819"/>
      <c r="E1819"/>
      <c r="F1819"/>
      <c r="G1819"/>
      <c r="H1819"/>
      <c r="I1819"/>
      <c r="J1819"/>
      <c r="K1819"/>
      <c r="L1819"/>
      <c r="M1819"/>
      <c r="S1819" s="54"/>
    </row>
    <row r="1820" spans="1:19" s="15" customFormat="1" x14ac:dyDescent="0.3">
      <c r="A1820" s="17"/>
      <c r="B1820"/>
      <c r="C1820"/>
      <c r="D1820"/>
      <c r="E1820"/>
      <c r="F1820"/>
      <c r="G1820"/>
      <c r="H1820"/>
      <c r="I1820"/>
      <c r="J1820"/>
      <c r="K1820"/>
      <c r="L1820"/>
      <c r="M1820"/>
      <c r="S1820" s="54"/>
    </row>
    <row r="1821" spans="1:19" s="15" customFormat="1" x14ac:dyDescent="0.3">
      <c r="A1821" s="17"/>
      <c r="B1821"/>
      <c r="C1821"/>
      <c r="D1821"/>
      <c r="E1821"/>
      <c r="F1821"/>
      <c r="G1821"/>
      <c r="H1821"/>
      <c r="I1821"/>
      <c r="J1821"/>
      <c r="K1821"/>
      <c r="L1821"/>
      <c r="M1821"/>
      <c r="S1821" s="54"/>
    </row>
    <row r="1822" spans="1:19" s="15" customFormat="1" x14ac:dyDescent="0.3">
      <c r="A1822" s="17"/>
      <c r="B1822"/>
      <c r="C1822"/>
      <c r="D1822"/>
      <c r="E1822"/>
      <c r="F1822"/>
      <c r="G1822"/>
      <c r="H1822"/>
      <c r="I1822"/>
      <c r="J1822"/>
      <c r="K1822"/>
      <c r="L1822"/>
      <c r="M1822"/>
      <c r="S1822" s="54"/>
    </row>
    <row r="1823" spans="1:19" s="15" customFormat="1" x14ac:dyDescent="0.3">
      <c r="A1823" s="17"/>
      <c r="B1823"/>
      <c r="C1823"/>
      <c r="D1823"/>
      <c r="E1823"/>
      <c r="F1823"/>
      <c r="G1823"/>
      <c r="H1823"/>
      <c r="I1823"/>
      <c r="J1823"/>
      <c r="K1823"/>
      <c r="L1823"/>
      <c r="M1823"/>
      <c r="S1823" s="54"/>
    </row>
    <row r="1824" spans="1:19" s="15" customFormat="1" x14ac:dyDescent="0.3">
      <c r="A1824" s="17"/>
      <c r="B1824"/>
      <c r="C1824"/>
      <c r="D1824"/>
      <c r="E1824"/>
      <c r="F1824"/>
      <c r="G1824"/>
      <c r="H1824"/>
      <c r="I1824"/>
      <c r="J1824"/>
      <c r="K1824"/>
      <c r="L1824"/>
      <c r="M1824"/>
      <c r="S1824" s="54"/>
    </row>
    <row r="1825" spans="1:19" s="15" customFormat="1" x14ac:dyDescent="0.3">
      <c r="A1825" s="17"/>
      <c r="B1825"/>
      <c r="C1825"/>
      <c r="D1825"/>
      <c r="E1825"/>
      <c r="F1825"/>
      <c r="G1825"/>
      <c r="H1825"/>
      <c r="I1825"/>
      <c r="J1825"/>
      <c r="K1825"/>
      <c r="L1825"/>
      <c r="M1825"/>
      <c r="S1825" s="54"/>
    </row>
    <row r="1826" spans="1:19" s="15" customFormat="1" x14ac:dyDescent="0.3">
      <c r="A1826" s="17"/>
      <c r="B1826"/>
      <c r="C1826"/>
      <c r="D1826"/>
      <c r="E1826"/>
      <c r="F1826"/>
      <c r="G1826"/>
      <c r="H1826"/>
      <c r="I1826"/>
      <c r="J1826"/>
      <c r="K1826"/>
      <c r="L1826"/>
      <c r="M1826"/>
      <c r="S1826" s="54"/>
    </row>
    <row r="1827" spans="1:19" s="15" customFormat="1" x14ac:dyDescent="0.3">
      <c r="A1827" s="17"/>
      <c r="B1827"/>
      <c r="C1827"/>
      <c r="D1827"/>
      <c r="E1827"/>
      <c r="F1827"/>
      <c r="G1827"/>
      <c r="H1827"/>
      <c r="I1827"/>
      <c r="J1827"/>
      <c r="K1827"/>
      <c r="L1827"/>
      <c r="M1827"/>
      <c r="S1827" s="54"/>
    </row>
    <row r="1828" spans="1:19" s="15" customFormat="1" x14ac:dyDescent="0.3">
      <c r="A1828" s="17"/>
      <c r="B1828"/>
      <c r="C1828"/>
      <c r="D1828"/>
      <c r="E1828"/>
      <c r="F1828"/>
      <c r="G1828"/>
      <c r="H1828"/>
      <c r="I1828"/>
      <c r="J1828"/>
      <c r="K1828"/>
      <c r="L1828"/>
      <c r="M1828"/>
      <c r="S1828" s="54"/>
    </row>
    <row r="1829" spans="1:19" s="15" customFormat="1" x14ac:dyDescent="0.3">
      <c r="A1829" s="17"/>
      <c r="B1829"/>
      <c r="C1829"/>
      <c r="D1829"/>
      <c r="E1829"/>
      <c r="F1829"/>
      <c r="G1829"/>
      <c r="H1829"/>
      <c r="I1829"/>
      <c r="J1829"/>
      <c r="K1829"/>
      <c r="L1829"/>
      <c r="M1829"/>
      <c r="S1829" s="54"/>
    </row>
    <row r="1830" spans="1:19" s="15" customFormat="1" x14ac:dyDescent="0.3">
      <c r="A1830" s="17"/>
      <c r="B1830"/>
      <c r="C1830"/>
      <c r="D1830"/>
      <c r="E1830"/>
      <c r="F1830"/>
      <c r="G1830"/>
      <c r="H1830"/>
      <c r="I1830"/>
      <c r="J1830"/>
      <c r="K1830"/>
      <c r="L1830"/>
      <c r="M1830"/>
      <c r="S1830" s="54"/>
    </row>
    <row r="1831" spans="1:19" s="15" customFormat="1" x14ac:dyDescent="0.3">
      <c r="A1831" s="17"/>
      <c r="B1831"/>
      <c r="C1831"/>
      <c r="D1831"/>
      <c r="E1831"/>
      <c r="F1831"/>
      <c r="G1831"/>
      <c r="H1831"/>
      <c r="I1831"/>
      <c r="J1831"/>
      <c r="K1831"/>
      <c r="L1831"/>
      <c r="M1831"/>
      <c r="S1831" s="54"/>
    </row>
    <row r="1832" spans="1:19" s="15" customFormat="1" x14ac:dyDescent="0.3">
      <c r="A1832" s="17"/>
      <c r="B1832"/>
      <c r="C1832"/>
      <c r="D1832"/>
      <c r="E1832"/>
      <c r="F1832"/>
      <c r="G1832"/>
      <c r="H1832"/>
      <c r="I1832"/>
      <c r="J1832"/>
      <c r="K1832"/>
      <c r="L1832"/>
      <c r="M1832"/>
      <c r="S1832" s="54"/>
    </row>
    <row r="1833" spans="1:19" s="15" customFormat="1" x14ac:dyDescent="0.3">
      <c r="A1833" s="17"/>
      <c r="B1833"/>
      <c r="C1833"/>
      <c r="D1833"/>
      <c r="E1833"/>
      <c r="F1833"/>
      <c r="G1833"/>
      <c r="H1833"/>
      <c r="I1833"/>
      <c r="J1833"/>
      <c r="K1833"/>
      <c r="L1833"/>
      <c r="M1833"/>
      <c r="S1833" s="54"/>
    </row>
    <row r="1834" spans="1:19" s="15" customFormat="1" x14ac:dyDescent="0.3">
      <c r="A1834" s="17"/>
      <c r="B1834"/>
      <c r="C1834"/>
      <c r="D1834"/>
      <c r="E1834"/>
      <c r="F1834"/>
      <c r="G1834"/>
      <c r="H1834"/>
      <c r="I1834"/>
      <c r="J1834"/>
      <c r="K1834"/>
      <c r="L1834"/>
      <c r="M1834"/>
      <c r="S1834" s="54"/>
    </row>
    <row r="1835" spans="1:19" s="15" customFormat="1" x14ac:dyDescent="0.3">
      <c r="A1835" s="17"/>
      <c r="B1835"/>
      <c r="C1835"/>
      <c r="D1835"/>
      <c r="E1835"/>
      <c r="F1835"/>
      <c r="G1835"/>
      <c r="H1835"/>
      <c r="I1835"/>
      <c r="J1835"/>
      <c r="K1835"/>
      <c r="L1835"/>
      <c r="M1835"/>
      <c r="S1835" s="54"/>
    </row>
    <row r="1836" spans="1:19" s="15" customFormat="1" x14ac:dyDescent="0.3">
      <c r="A1836" s="17"/>
      <c r="B1836"/>
      <c r="C1836"/>
      <c r="D1836"/>
      <c r="E1836"/>
      <c r="F1836"/>
      <c r="G1836"/>
      <c r="H1836"/>
      <c r="I1836"/>
      <c r="J1836"/>
      <c r="K1836"/>
      <c r="L1836"/>
      <c r="M1836"/>
      <c r="S1836" s="54"/>
    </row>
    <row r="1837" spans="1:19" s="15" customFormat="1" x14ac:dyDescent="0.3">
      <c r="A1837" s="17"/>
      <c r="B1837"/>
      <c r="C1837"/>
      <c r="D1837"/>
      <c r="E1837"/>
      <c r="F1837"/>
      <c r="G1837"/>
      <c r="H1837"/>
      <c r="I1837"/>
      <c r="J1837"/>
      <c r="K1837"/>
      <c r="L1837"/>
      <c r="M1837"/>
      <c r="S1837" s="54"/>
    </row>
    <row r="1838" spans="1:19" s="15" customFormat="1" x14ac:dyDescent="0.3">
      <c r="A1838" s="17"/>
      <c r="B1838"/>
      <c r="C1838"/>
      <c r="D1838"/>
      <c r="E1838"/>
      <c r="F1838"/>
      <c r="G1838"/>
      <c r="H1838"/>
      <c r="I1838"/>
      <c r="J1838"/>
      <c r="K1838"/>
      <c r="L1838"/>
      <c r="M1838"/>
      <c r="S1838" s="54"/>
    </row>
    <row r="1839" spans="1:19" s="15" customFormat="1" x14ac:dyDescent="0.3">
      <c r="A1839" s="17"/>
      <c r="B1839"/>
      <c r="C1839"/>
      <c r="D1839"/>
      <c r="E1839"/>
      <c r="F1839"/>
      <c r="G1839"/>
      <c r="H1839"/>
      <c r="I1839"/>
      <c r="J1839"/>
      <c r="K1839"/>
      <c r="L1839"/>
      <c r="M1839"/>
      <c r="S1839" s="54"/>
    </row>
    <row r="1840" spans="1:19" s="15" customFormat="1" x14ac:dyDescent="0.3">
      <c r="A1840" s="17"/>
      <c r="B1840"/>
      <c r="C1840"/>
      <c r="D1840"/>
      <c r="E1840"/>
      <c r="F1840"/>
      <c r="G1840"/>
      <c r="H1840"/>
      <c r="I1840"/>
      <c r="J1840"/>
      <c r="K1840"/>
      <c r="L1840"/>
      <c r="M1840"/>
      <c r="S1840" s="54"/>
    </row>
    <row r="1841" spans="1:19" s="15" customFormat="1" x14ac:dyDescent="0.3">
      <c r="A1841" s="17"/>
      <c r="B1841"/>
      <c r="C1841"/>
      <c r="D1841"/>
      <c r="E1841"/>
      <c r="F1841"/>
      <c r="G1841"/>
      <c r="H1841"/>
      <c r="I1841"/>
      <c r="J1841"/>
      <c r="K1841"/>
      <c r="L1841"/>
      <c r="M1841"/>
      <c r="S1841" s="54"/>
    </row>
    <row r="1842" spans="1:19" s="15" customFormat="1" x14ac:dyDescent="0.3">
      <c r="A1842" s="17"/>
      <c r="B1842"/>
      <c r="C1842"/>
      <c r="D1842"/>
      <c r="E1842"/>
      <c r="F1842"/>
      <c r="G1842"/>
      <c r="H1842"/>
      <c r="I1842"/>
      <c r="J1842"/>
      <c r="K1842"/>
      <c r="L1842"/>
      <c r="M1842"/>
      <c r="S1842" s="54"/>
    </row>
    <row r="1843" spans="1:19" s="15" customFormat="1" x14ac:dyDescent="0.3">
      <c r="A1843" s="17"/>
      <c r="B1843"/>
      <c r="C1843"/>
      <c r="D1843"/>
      <c r="E1843"/>
      <c r="F1843"/>
      <c r="G1843"/>
      <c r="H1843"/>
      <c r="I1843"/>
      <c r="J1843"/>
      <c r="K1843"/>
      <c r="L1843"/>
      <c r="M1843"/>
      <c r="S1843" s="54"/>
    </row>
    <row r="1844" spans="1:19" s="15" customFormat="1" x14ac:dyDescent="0.3">
      <c r="A1844" s="17"/>
      <c r="B1844"/>
      <c r="C1844"/>
      <c r="D1844"/>
      <c r="E1844"/>
      <c r="F1844"/>
      <c r="G1844"/>
      <c r="H1844"/>
      <c r="I1844"/>
      <c r="J1844"/>
      <c r="K1844"/>
      <c r="L1844"/>
      <c r="M1844"/>
      <c r="S1844" s="54"/>
    </row>
    <row r="1845" spans="1:19" s="15" customFormat="1" x14ac:dyDescent="0.3">
      <c r="A1845" s="17"/>
      <c r="B1845"/>
      <c r="C1845"/>
      <c r="D1845"/>
      <c r="E1845"/>
      <c r="F1845"/>
      <c r="G1845"/>
      <c r="H1845"/>
      <c r="I1845"/>
      <c r="J1845"/>
      <c r="K1845"/>
      <c r="L1845"/>
      <c r="M1845"/>
      <c r="S1845" s="54"/>
    </row>
    <row r="1846" spans="1:19" s="15" customFormat="1" x14ac:dyDescent="0.3">
      <c r="A1846" s="17"/>
      <c r="B1846"/>
      <c r="C1846"/>
      <c r="D1846"/>
      <c r="E1846"/>
      <c r="F1846"/>
      <c r="G1846"/>
      <c r="H1846"/>
      <c r="I1846"/>
      <c r="J1846"/>
      <c r="K1846"/>
      <c r="L1846"/>
      <c r="M1846"/>
      <c r="S1846" s="54"/>
    </row>
    <row r="1847" spans="1:19" s="15" customFormat="1" x14ac:dyDescent="0.3">
      <c r="A1847" s="17"/>
      <c r="B1847"/>
      <c r="C1847"/>
      <c r="D1847"/>
      <c r="E1847"/>
      <c r="F1847"/>
      <c r="G1847"/>
      <c r="H1847"/>
      <c r="I1847"/>
      <c r="J1847"/>
      <c r="K1847"/>
      <c r="L1847"/>
      <c r="M1847"/>
      <c r="S1847" s="54"/>
    </row>
    <row r="1848" spans="1:19" s="15" customFormat="1" x14ac:dyDescent="0.3">
      <c r="A1848" s="17"/>
      <c r="B1848"/>
      <c r="C1848"/>
      <c r="D1848"/>
      <c r="E1848"/>
      <c r="F1848"/>
      <c r="G1848"/>
      <c r="H1848"/>
      <c r="I1848"/>
      <c r="J1848"/>
      <c r="K1848"/>
      <c r="L1848"/>
      <c r="M1848"/>
      <c r="S1848" s="54"/>
    </row>
    <row r="1849" spans="1:19" s="15" customFormat="1" x14ac:dyDescent="0.3">
      <c r="A1849" s="17"/>
      <c r="B1849"/>
      <c r="C1849"/>
      <c r="D1849"/>
      <c r="E1849"/>
      <c r="F1849"/>
      <c r="G1849"/>
      <c r="H1849"/>
      <c r="I1849"/>
      <c r="J1849"/>
      <c r="K1849"/>
      <c r="L1849"/>
      <c r="M1849"/>
      <c r="S1849" s="54"/>
    </row>
    <row r="1850" spans="1:19" s="15" customFormat="1" x14ac:dyDescent="0.3">
      <c r="A1850" s="17"/>
      <c r="B1850"/>
      <c r="C1850"/>
      <c r="D1850"/>
      <c r="E1850"/>
      <c r="F1850"/>
      <c r="G1850"/>
      <c r="H1850"/>
      <c r="I1850"/>
      <c r="J1850"/>
      <c r="K1850"/>
      <c r="L1850"/>
      <c r="M1850"/>
      <c r="S1850" s="54"/>
    </row>
    <row r="1851" spans="1:19" s="15" customFormat="1" x14ac:dyDescent="0.3">
      <c r="A1851" s="17"/>
      <c r="B1851"/>
      <c r="C1851"/>
      <c r="D1851"/>
      <c r="E1851"/>
      <c r="F1851"/>
      <c r="G1851"/>
      <c r="H1851"/>
      <c r="I1851"/>
      <c r="J1851"/>
      <c r="K1851"/>
      <c r="L1851"/>
      <c r="M1851"/>
      <c r="S1851" s="54"/>
    </row>
    <row r="1852" spans="1:19" s="15" customFormat="1" x14ac:dyDescent="0.3">
      <c r="A1852" s="17"/>
      <c r="B1852"/>
      <c r="C1852"/>
      <c r="D1852"/>
      <c r="E1852"/>
      <c r="F1852"/>
      <c r="G1852"/>
      <c r="H1852"/>
      <c r="I1852"/>
      <c r="J1852"/>
      <c r="K1852"/>
      <c r="L1852"/>
      <c r="M1852"/>
      <c r="S1852" s="54"/>
    </row>
    <row r="1853" spans="1:19" s="15" customFormat="1" x14ac:dyDescent="0.3">
      <c r="A1853" s="17"/>
      <c r="B1853"/>
      <c r="C1853"/>
      <c r="D1853"/>
      <c r="E1853"/>
      <c r="F1853"/>
      <c r="G1853"/>
      <c r="H1853"/>
      <c r="I1853"/>
      <c r="J1853"/>
      <c r="K1853"/>
      <c r="L1853"/>
      <c r="M1853"/>
      <c r="S1853" s="54"/>
    </row>
    <row r="1854" spans="1:19" s="15" customFormat="1" x14ac:dyDescent="0.3">
      <c r="A1854" s="17"/>
      <c r="B1854"/>
      <c r="C1854"/>
      <c r="D1854"/>
      <c r="E1854"/>
      <c r="F1854"/>
      <c r="G1854"/>
      <c r="H1854"/>
      <c r="I1854"/>
      <c r="J1854"/>
      <c r="K1854"/>
      <c r="L1854"/>
      <c r="M1854"/>
      <c r="S1854" s="54"/>
    </row>
    <row r="1855" spans="1:19" s="15" customFormat="1" x14ac:dyDescent="0.3">
      <c r="A1855" s="17"/>
      <c r="B1855"/>
      <c r="C1855"/>
      <c r="D1855"/>
      <c r="E1855"/>
      <c r="F1855"/>
      <c r="G1855"/>
      <c r="H1855"/>
      <c r="I1855"/>
      <c r="J1855"/>
      <c r="K1855"/>
      <c r="L1855"/>
      <c r="M1855"/>
      <c r="S1855" s="54"/>
    </row>
    <row r="1856" spans="1:19" s="15" customFormat="1" x14ac:dyDescent="0.3">
      <c r="A1856" s="17"/>
      <c r="B1856"/>
      <c r="C1856"/>
      <c r="D1856"/>
      <c r="E1856"/>
      <c r="F1856"/>
      <c r="G1856"/>
      <c r="H1856"/>
      <c r="I1856"/>
      <c r="J1856"/>
      <c r="K1856"/>
      <c r="L1856"/>
      <c r="M1856"/>
      <c r="S1856" s="54"/>
    </row>
    <row r="1857" spans="1:19" s="15" customFormat="1" x14ac:dyDescent="0.3">
      <c r="A1857" s="17"/>
      <c r="B1857"/>
      <c r="C1857"/>
      <c r="D1857"/>
      <c r="E1857"/>
      <c r="F1857"/>
      <c r="G1857"/>
      <c r="H1857"/>
      <c r="I1857"/>
      <c r="J1857"/>
      <c r="K1857"/>
      <c r="L1857"/>
      <c r="M1857"/>
      <c r="S1857" s="54"/>
    </row>
    <row r="1858" spans="1:19" s="15" customFormat="1" x14ac:dyDescent="0.3">
      <c r="A1858" s="17"/>
      <c r="B1858"/>
      <c r="C1858"/>
      <c r="D1858"/>
      <c r="E1858"/>
      <c r="F1858"/>
      <c r="G1858"/>
      <c r="H1858"/>
      <c r="I1858"/>
      <c r="J1858"/>
      <c r="K1858"/>
      <c r="L1858"/>
      <c r="M1858"/>
      <c r="S1858" s="54"/>
    </row>
    <row r="1859" spans="1:19" s="15" customFormat="1" x14ac:dyDescent="0.3">
      <c r="A1859" s="17"/>
      <c r="B1859"/>
      <c r="C1859"/>
      <c r="D1859"/>
      <c r="E1859"/>
      <c r="F1859"/>
      <c r="G1859"/>
      <c r="H1859"/>
      <c r="I1859"/>
      <c r="J1859"/>
      <c r="K1859"/>
      <c r="L1859"/>
      <c r="M1859"/>
      <c r="S1859" s="54"/>
    </row>
    <row r="1860" spans="1:19" s="15" customFormat="1" x14ac:dyDescent="0.3">
      <c r="A1860" s="17"/>
      <c r="B1860"/>
      <c r="C1860"/>
      <c r="D1860"/>
      <c r="E1860"/>
      <c r="F1860"/>
      <c r="G1860"/>
      <c r="H1860"/>
      <c r="I1860"/>
      <c r="J1860"/>
      <c r="K1860"/>
      <c r="L1860"/>
      <c r="M1860"/>
      <c r="S1860" s="54"/>
    </row>
    <row r="1861" spans="1:19" s="15" customFormat="1" x14ac:dyDescent="0.3">
      <c r="A1861" s="17"/>
      <c r="B1861"/>
      <c r="C1861"/>
      <c r="D1861"/>
      <c r="E1861"/>
      <c r="F1861"/>
      <c r="G1861"/>
      <c r="H1861"/>
      <c r="I1861"/>
      <c r="J1861"/>
      <c r="K1861"/>
      <c r="L1861"/>
      <c r="M1861"/>
      <c r="S1861" s="54"/>
    </row>
    <row r="1862" spans="1:19" s="15" customFormat="1" x14ac:dyDescent="0.3">
      <c r="A1862" s="17"/>
      <c r="B1862"/>
      <c r="C1862"/>
      <c r="D1862"/>
      <c r="E1862"/>
      <c r="F1862"/>
      <c r="G1862"/>
      <c r="H1862"/>
      <c r="I1862"/>
      <c r="J1862"/>
      <c r="K1862"/>
      <c r="L1862"/>
      <c r="M1862"/>
      <c r="S1862" s="54"/>
    </row>
    <row r="1863" spans="1:19" s="15" customFormat="1" x14ac:dyDescent="0.3">
      <c r="A1863" s="17"/>
      <c r="B1863"/>
      <c r="C1863"/>
      <c r="D1863"/>
      <c r="E1863"/>
      <c r="F1863"/>
      <c r="G1863"/>
      <c r="H1863"/>
      <c r="I1863"/>
      <c r="J1863"/>
      <c r="K1863"/>
      <c r="L1863"/>
      <c r="M1863"/>
      <c r="S1863" s="54"/>
    </row>
    <row r="1864" spans="1:19" s="15" customFormat="1" x14ac:dyDescent="0.3">
      <c r="A1864" s="17"/>
      <c r="B1864"/>
      <c r="C1864"/>
      <c r="D1864"/>
      <c r="E1864"/>
      <c r="F1864"/>
      <c r="G1864"/>
      <c r="H1864"/>
      <c r="I1864"/>
      <c r="J1864"/>
      <c r="K1864"/>
      <c r="L1864"/>
      <c r="M1864"/>
      <c r="S1864" s="54"/>
    </row>
    <row r="1865" spans="1:19" s="15" customFormat="1" x14ac:dyDescent="0.3">
      <c r="A1865" s="17"/>
      <c r="B1865"/>
      <c r="C1865"/>
      <c r="D1865"/>
      <c r="E1865"/>
      <c r="F1865"/>
      <c r="G1865"/>
      <c r="H1865"/>
      <c r="I1865"/>
      <c r="J1865"/>
      <c r="K1865"/>
      <c r="L1865"/>
      <c r="M1865"/>
      <c r="S1865" s="54"/>
    </row>
    <row r="1866" spans="1:19" s="15" customFormat="1" x14ac:dyDescent="0.3">
      <c r="A1866" s="17"/>
      <c r="B1866"/>
      <c r="C1866"/>
      <c r="D1866"/>
      <c r="E1866"/>
      <c r="F1866"/>
      <c r="G1866"/>
      <c r="H1866"/>
      <c r="I1866"/>
      <c r="J1866"/>
      <c r="K1866"/>
      <c r="L1866"/>
      <c r="M1866"/>
      <c r="S1866" s="54"/>
    </row>
    <row r="1867" spans="1:19" s="15" customFormat="1" x14ac:dyDescent="0.3">
      <c r="A1867" s="17"/>
      <c r="B1867"/>
      <c r="C1867"/>
      <c r="D1867"/>
      <c r="E1867"/>
      <c r="F1867"/>
      <c r="G1867"/>
      <c r="H1867"/>
      <c r="I1867"/>
      <c r="J1867"/>
      <c r="K1867"/>
      <c r="L1867"/>
      <c r="M1867"/>
      <c r="S1867" s="54"/>
    </row>
    <row r="1868" spans="1:19" s="15" customFormat="1" x14ac:dyDescent="0.3">
      <c r="A1868" s="17"/>
      <c r="B1868"/>
      <c r="C1868"/>
      <c r="D1868"/>
      <c r="E1868"/>
      <c r="F1868"/>
      <c r="G1868"/>
      <c r="H1868"/>
      <c r="I1868"/>
      <c r="J1868"/>
      <c r="K1868"/>
      <c r="L1868"/>
      <c r="M1868"/>
      <c r="S1868" s="54"/>
    </row>
    <row r="1869" spans="1:19" s="15" customFormat="1" x14ac:dyDescent="0.3">
      <c r="A1869" s="17"/>
      <c r="B1869"/>
      <c r="C1869"/>
      <c r="D1869"/>
      <c r="E1869"/>
      <c r="F1869"/>
      <c r="G1869"/>
      <c r="H1869"/>
      <c r="I1869"/>
      <c r="J1869"/>
      <c r="K1869"/>
      <c r="L1869"/>
      <c r="M1869"/>
      <c r="S1869" s="54"/>
    </row>
    <row r="1870" spans="1:19" s="15" customFormat="1" x14ac:dyDescent="0.3">
      <c r="A1870" s="17"/>
      <c r="B1870"/>
      <c r="C1870"/>
      <c r="D1870"/>
      <c r="E1870"/>
      <c r="F1870"/>
      <c r="G1870"/>
      <c r="H1870"/>
      <c r="I1870"/>
      <c r="J1870"/>
      <c r="K1870"/>
      <c r="L1870"/>
      <c r="M1870"/>
      <c r="S1870" s="54"/>
    </row>
    <row r="1871" spans="1:19" s="15" customFormat="1" x14ac:dyDescent="0.3">
      <c r="A1871" s="17"/>
      <c r="B1871"/>
      <c r="C1871"/>
      <c r="D1871"/>
      <c r="E1871"/>
      <c r="F1871"/>
      <c r="G1871"/>
      <c r="H1871"/>
      <c r="I1871"/>
      <c r="J1871"/>
      <c r="K1871"/>
      <c r="L1871"/>
      <c r="M1871"/>
      <c r="S1871" s="54"/>
    </row>
    <row r="1872" spans="1:19" s="15" customFormat="1" x14ac:dyDescent="0.3">
      <c r="A1872" s="17"/>
      <c r="B1872"/>
      <c r="C1872"/>
      <c r="D1872"/>
      <c r="E1872"/>
      <c r="F1872"/>
      <c r="G1872"/>
      <c r="H1872"/>
      <c r="I1872"/>
      <c r="J1872"/>
      <c r="K1872"/>
      <c r="L1872"/>
      <c r="M1872"/>
      <c r="S1872" s="54"/>
    </row>
    <row r="1873" spans="1:19" s="15" customFormat="1" x14ac:dyDescent="0.3">
      <c r="A1873" s="17"/>
      <c r="B1873"/>
      <c r="C1873"/>
      <c r="D1873"/>
      <c r="E1873"/>
      <c r="F1873"/>
      <c r="G1873"/>
      <c r="H1873"/>
      <c r="I1873"/>
      <c r="J1873"/>
      <c r="K1873"/>
      <c r="L1873"/>
      <c r="M1873"/>
      <c r="S1873" s="54"/>
    </row>
    <row r="1874" spans="1:19" s="15" customFormat="1" x14ac:dyDescent="0.3">
      <c r="A1874" s="17"/>
      <c r="B1874"/>
      <c r="C1874"/>
      <c r="D1874"/>
      <c r="E1874"/>
      <c r="F1874"/>
      <c r="G1874"/>
      <c r="H1874"/>
      <c r="I1874"/>
      <c r="J1874"/>
      <c r="K1874"/>
      <c r="L1874"/>
      <c r="M1874"/>
      <c r="S1874" s="54"/>
    </row>
    <row r="1875" spans="1:19" s="15" customFormat="1" x14ac:dyDescent="0.3">
      <c r="A1875" s="17"/>
      <c r="B1875"/>
      <c r="C1875"/>
      <c r="D1875"/>
      <c r="E1875"/>
      <c r="F1875"/>
      <c r="G1875"/>
      <c r="H1875"/>
      <c r="I1875"/>
      <c r="J1875"/>
      <c r="K1875"/>
      <c r="L1875"/>
      <c r="M1875"/>
      <c r="S1875" s="54"/>
    </row>
    <row r="1876" spans="1:19" s="15" customFormat="1" x14ac:dyDescent="0.3">
      <c r="A1876" s="17"/>
      <c r="B1876"/>
      <c r="C1876"/>
      <c r="D1876"/>
      <c r="E1876"/>
      <c r="F1876"/>
      <c r="G1876"/>
      <c r="H1876"/>
      <c r="I1876"/>
      <c r="J1876"/>
      <c r="K1876"/>
      <c r="L1876"/>
      <c r="M1876"/>
      <c r="S1876" s="54"/>
    </row>
    <row r="1877" spans="1:19" s="15" customFormat="1" x14ac:dyDescent="0.3">
      <c r="A1877" s="17"/>
      <c r="B1877"/>
      <c r="C1877"/>
      <c r="D1877"/>
      <c r="E1877"/>
      <c r="F1877"/>
      <c r="G1877"/>
      <c r="H1877"/>
      <c r="I1877"/>
      <c r="J1877"/>
      <c r="K1877"/>
      <c r="L1877"/>
      <c r="M1877"/>
      <c r="S1877" s="54"/>
    </row>
    <row r="1878" spans="1:19" s="15" customFormat="1" x14ac:dyDescent="0.3">
      <c r="A1878" s="17"/>
      <c r="B1878"/>
      <c r="C1878"/>
      <c r="D1878"/>
      <c r="E1878"/>
      <c r="F1878"/>
      <c r="G1878"/>
      <c r="H1878"/>
      <c r="I1878"/>
      <c r="J1878"/>
      <c r="K1878"/>
      <c r="L1878"/>
      <c r="M1878"/>
      <c r="S1878" s="54"/>
    </row>
    <row r="1879" spans="1:19" s="15" customFormat="1" x14ac:dyDescent="0.3">
      <c r="A1879" s="17"/>
      <c r="B1879"/>
      <c r="C1879"/>
      <c r="D1879"/>
      <c r="E1879"/>
      <c r="F1879"/>
      <c r="G1879"/>
      <c r="H1879"/>
      <c r="I1879"/>
      <c r="J1879"/>
      <c r="K1879"/>
      <c r="L1879"/>
      <c r="M1879"/>
      <c r="S1879" s="54"/>
    </row>
    <row r="1880" spans="1:19" s="15" customFormat="1" x14ac:dyDescent="0.3">
      <c r="A1880" s="17"/>
      <c r="B1880"/>
      <c r="C1880"/>
      <c r="D1880"/>
      <c r="E1880"/>
      <c r="F1880"/>
      <c r="G1880"/>
      <c r="H1880"/>
      <c r="I1880"/>
      <c r="J1880"/>
      <c r="K1880"/>
      <c r="L1880"/>
      <c r="M1880"/>
      <c r="S1880" s="54"/>
    </row>
    <row r="1881" spans="1:19" s="15" customFormat="1" x14ac:dyDescent="0.3">
      <c r="A1881" s="17"/>
      <c r="B1881"/>
      <c r="C1881"/>
      <c r="D1881"/>
      <c r="E1881"/>
      <c r="F1881"/>
      <c r="G1881"/>
      <c r="H1881"/>
      <c r="I1881"/>
      <c r="J1881"/>
      <c r="K1881"/>
      <c r="L1881"/>
      <c r="M1881"/>
      <c r="S1881" s="54"/>
    </row>
    <row r="1882" spans="1:19" s="15" customFormat="1" x14ac:dyDescent="0.3">
      <c r="A1882" s="17"/>
      <c r="B1882"/>
      <c r="C1882"/>
      <c r="D1882"/>
      <c r="E1882"/>
      <c r="F1882"/>
      <c r="G1882"/>
      <c r="H1882"/>
      <c r="I1882"/>
      <c r="J1882"/>
      <c r="K1882"/>
      <c r="L1882"/>
      <c r="M1882"/>
      <c r="S1882" s="54"/>
    </row>
    <row r="1883" spans="1:19" s="15" customFormat="1" x14ac:dyDescent="0.3">
      <c r="A1883" s="17"/>
      <c r="B1883"/>
      <c r="C1883"/>
      <c r="D1883"/>
      <c r="E1883"/>
      <c r="F1883"/>
      <c r="G1883"/>
      <c r="H1883"/>
      <c r="I1883"/>
      <c r="J1883"/>
      <c r="K1883"/>
      <c r="L1883"/>
      <c r="M1883"/>
      <c r="S1883" s="54"/>
    </row>
    <row r="1884" spans="1:19" s="15" customFormat="1" x14ac:dyDescent="0.3">
      <c r="A1884" s="17"/>
      <c r="B1884"/>
      <c r="C1884"/>
      <c r="D1884"/>
      <c r="E1884"/>
      <c r="F1884"/>
      <c r="G1884"/>
      <c r="H1884"/>
      <c r="I1884"/>
      <c r="J1884"/>
      <c r="K1884"/>
      <c r="L1884"/>
      <c r="M1884"/>
      <c r="S1884" s="54"/>
    </row>
    <row r="1885" spans="1:19" s="15" customFormat="1" x14ac:dyDescent="0.3">
      <c r="A1885" s="17"/>
      <c r="B1885"/>
      <c r="C1885"/>
      <c r="D1885"/>
      <c r="E1885"/>
      <c r="F1885"/>
      <c r="G1885"/>
      <c r="H1885"/>
      <c r="I1885"/>
      <c r="J1885"/>
      <c r="K1885"/>
      <c r="L1885"/>
      <c r="M1885"/>
      <c r="S1885" s="54"/>
    </row>
    <row r="1886" spans="1:19" s="15" customFormat="1" x14ac:dyDescent="0.3">
      <c r="A1886" s="17"/>
      <c r="B1886"/>
      <c r="C1886"/>
      <c r="D1886"/>
      <c r="E1886"/>
      <c r="F1886"/>
      <c r="G1886"/>
      <c r="H1886"/>
      <c r="I1886"/>
      <c r="J1886"/>
      <c r="K1886"/>
      <c r="L1886"/>
      <c r="M1886"/>
      <c r="S1886" s="54"/>
    </row>
    <row r="1887" spans="1:19" s="15" customFormat="1" x14ac:dyDescent="0.3">
      <c r="A1887" s="17"/>
      <c r="B1887"/>
      <c r="C1887"/>
      <c r="D1887"/>
      <c r="E1887"/>
      <c r="F1887"/>
      <c r="G1887"/>
      <c r="H1887"/>
      <c r="I1887"/>
      <c r="J1887"/>
      <c r="K1887"/>
      <c r="L1887"/>
      <c r="M1887"/>
      <c r="S1887" s="54"/>
    </row>
    <row r="1888" spans="1:19" s="15" customFormat="1" x14ac:dyDescent="0.3">
      <c r="A1888" s="17"/>
      <c r="B1888"/>
      <c r="C1888"/>
      <c r="D1888"/>
      <c r="E1888"/>
      <c r="F1888"/>
      <c r="G1888"/>
      <c r="H1888"/>
      <c r="I1888"/>
      <c r="J1888"/>
      <c r="K1888"/>
      <c r="L1888"/>
      <c r="M1888"/>
      <c r="S1888" s="54"/>
    </row>
    <row r="1889" spans="1:19" s="15" customFormat="1" x14ac:dyDescent="0.3">
      <c r="A1889" s="17"/>
      <c r="B1889"/>
      <c r="C1889"/>
      <c r="D1889"/>
      <c r="E1889"/>
      <c r="F1889"/>
      <c r="G1889"/>
      <c r="H1889"/>
      <c r="I1889"/>
      <c r="J1889"/>
      <c r="K1889"/>
      <c r="L1889"/>
      <c r="M1889"/>
      <c r="S1889" s="54"/>
    </row>
    <row r="1890" spans="1:19" s="15" customFormat="1" x14ac:dyDescent="0.3">
      <c r="A1890" s="17"/>
      <c r="B1890"/>
      <c r="C1890"/>
      <c r="D1890"/>
      <c r="E1890"/>
      <c r="F1890"/>
      <c r="G1890"/>
      <c r="H1890"/>
      <c r="I1890"/>
      <c r="J1890"/>
      <c r="K1890"/>
      <c r="L1890"/>
      <c r="M1890"/>
      <c r="S1890" s="54"/>
    </row>
    <row r="1891" spans="1:19" s="15" customFormat="1" x14ac:dyDescent="0.3">
      <c r="A1891" s="17"/>
      <c r="B1891"/>
      <c r="C1891"/>
      <c r="D1891"/>
      <c r="E1891"/>
      <c r="F1891"/>
      <c r="G1891"/>
      <c r="H1891"/>
      <c r="I1891"/>
      <c r="J1891"/>
      <c r="K1891"/>
      <c r="L1891"/>
      <c r="M1891"/>
      <c r="S1891" s="54"/>
    </row>
    <row r="1892" spans="1:19" s="15" customFormat="1" x14ac:dyDescent="0.3">
      <c r="A1892" s="17"/>
      <c r="B1892"/>
      <c r="C1892"/>
      <c r="D1892"/>
      <c r="E1892"/>
      <c r="F1892"/>
      <c r="G1892"/>
      <c r="H1892"/>
      <c r="I1892"/>
      <c r="J1892"/>
      <c r="K1892"/>
      <c r="L1892"/>
      <c r="M1892"/>
      <c r="S1892" s="54"/>
    </row>
    <row r="1893" spans="1:19" s="15" customFormat="1" x14ac:dyDescent="0.3">
      <c r="A1893" s="17"/>
      <c r="B1893"/>
      <c r="C1893"/>
      <c r="D1893"/>
      <c r="E1893"/>
      <c r="F1893"/>
      <c r="G1893"/>
      <c r="H1893"/>
      <c r="I1893"/>
      <c r="J1893"/>
      <c r="K1893"/>
      <c r="L1893"/>
      <c r="M1893"/>
      <c r="S1893" s="54"/>
    </row>
    <row r="1894" spans="1:19" s="15" customFormat="1" x14ac:dyDescent="0.3">
      <c r="A1894" s="17"/>
      <c r="B1894"/>
      <c r="C1894"/>
      <c r="D1894"/>
      <c r="E1894"/>
      <c r="F1894"/>
      <c r="G1894"/>
      <c r="H1894"/>
      <c r="I1894"/>
      <c r="J1894"/>
      <c r="K1894"/>
      <c r="L1894"/>
      <c r="M1894"/>
      <c r="S1894" s="54"/>
    </row>
    <row r="1895" spans="1:19" s="15" customFormat="1" x14ac:dyDescent="0.3">
      <c r="A1895" s="17"/>
      <c r="B1895"/>
      <c r="C1895"/>
      <c r="D1895"/>
      <c r="E1895"/>
      <c r="F1895"/>
      <c r="G1895"/>
      <c r="H1895"/>
      <c r="I1895"/>
      <c r="J1895"/>
      <c r="K1895"/>
      <c r="L1895"/>
      <c r="M1895"/>
      <c r="S1895" s="54"/>
    </row>
    <row r="1896" spans="1:19" s="15" customFormat="1" x14ac:dyDescent="0.3">
      <c r="A1896" s="17"/>
      <c r="B1896"/>
      <c r="C1896"/>
      <c r="D1896"/>
      <c r="E1896"/>
      <c r="F1896"/>
      <c r="G1896"/>
      <c r="H1896"/>
      <c r="I1896"/>
      <c r="J1896"/>
      <c r="K1896"/>
      <c r="L1896"/>
      <c r="M1896"/>
      <c r="S1896" s="54"/>
    </row>
    <row r="1897" spans="1:19" s="15" customFormat="1" x14ac:dyDescent="0.3">
      <c r="A1897" s="17"/>
      <c r="B1897"/>
      <c r="C1897"/>
      <c r="D1897"/>
      <c r="E1897"/>
      <c r="F1897"/>
      <c r="G1897"/>
      <c r="H1897"/>
      <c r="I1897"/>
      <c r="J1897"/>
      <c r="K1897"/>
      <c r="L1897"/>
      <c r="M1897"/>
      <c r="S1897" s="54"/>
    </row>
    <row r="1898" spans="1:19" s="15" customFormat="1" x14ac:dyDescent="0.3">
      <c r="A1898" s="17"/>
      <c r="B1898"/>
      <c r="C1898"/>
      <c r="D1898"/>
      <c r="E1898"/>
      <c r="F1898"/>
      <c r="G1898"/>
      <c r="H1898"/>
      <c r="I1898"/>
      <c r="J1898"/>
      <c r="K1898"/>
      <c r="L1898"/>
      <c r="M1898"/>
      <c r="S1898" s="54"/>
    </row>
    <row r="1899" spans="1:19" s="15" customFormat="1" x14ac:dyDescent="0.3">
      <c r="A1899" s="17"/>
      <c r="B1899"/>
      <c r="C1899"/>
      <c r="D1899"/>
      <c r="E1899"/>
      <c r="F1899"/>
      <c r="G1899"/>
      <c r="H1899"/>
      <c r="I1899"/>
      <c r="J1899"/>
      <c r="K1899"/>
      <c r="L1899"/>
      <c r="M1899"/>
      <c r="S1899" s="54"/>
    </row>
    <row r="1900" spans="1:19" s="15" customFormat="1" x14ac:dyDescent="0.3">
      <c r="A1900" s="17"/>
      <c r="B1900"/>
      <c r="C1900"/>
      <c r="D1900"/>
      <c r="E1900"/>
      <c r="F1900"/>
      <c r="G1900"/>
      <c r="H1900"/>
      <c r="I1900"/>
      <c r="J1900"/>
      <c r="K1900"/>
      <c r="L1900"/>
      <c r="M1900"/>
      <c r="S1900" s="54"/>
    </row>
    <row r="1901" spans="1:19" s="15" customFormat="1" x14ac:dyDescent="0.3">
      <c r="A1901" s="17"/>
      <c r="B1901"/>
      <c r="C1901"/>
      <c r="D1901"/>
      <c r="E1901"/>
      <c r="F1901"/>
      <c r="G1901"/>
      <c r="H1901"/>
      <c r="I1901"/>
      <c r="J1901"/>
      <c r="K1901"/>
      <c r="L1901"/>
      <c r="M1901"/>
      <c r="S1901" s="54"/>
    </row>
    <row r="1902" spans="1:19" s="15" customFormat="1" x14ac:dyDescent="0.3">
      <c r="A1902" s="17"/>
      <c r="B1902"/>
      <c r="C1902"/>
      <c r="D1902"/>
      <c r="E1902"/>
      <c r="F1902"/>
      <c r="G1902"/>
      <c r="H1902"/>
      <c r="I1902"/>
      <c r="J1902"/>
      <c r="K1902"/>
      <c r="L1902"/>
      <c r="M1902"/>
      <c r="S1902" s="54"/>
    </row>
    <row r="1903" spans="1:19" s="15" customFormat="1" x14ac:dyDescent="0.3">
      <c r="A1903" s="17"/>
      <c r="B1903"/>
      <c r="C1903"/>
      <c r="D1903"/>
      <c r="E1903"/>
      <c r="F1903"/>
      <c r="G1903"/>
      <c r="H1903"/>
      <c r="I1903"/>
      <c r="J1903"/>
      <c r="K1903"/>
      <c r="L1903"/>
      <c r="M1903"/>
      <c r="S1903" s="54"/>
    </row>
    <row r="1904" spans="1:19" s="15" customFormat="1" x14ac:dyDescent="0.3">
      <c r="A1904" s="17"/>
      <c r="B1904"/>
      <c r="C1904"/>
      <c r="D1904"/>
      <c r="E1904"/>
      <c r="F1904"/>
      <c r="G1904"/>
      <c r="H1904"/>
      <c r="I1904"/>
      <c r="J1904"/>
      <c r="K1904"/>
      <c r="L1904"/>
      <c r="M1904"/>
      <c r="S1904" s="54"/>
    </row>
    <row r="1905" spans="1:19" s="15" customFormat="1" x14ac:dyDescent="0.3">
      <c r="A1905" s="17"/>
      <c r="B1905"/>
      <c r="C1905"/>
      <c r="D1905"/>
      <c r="E1905"/>
      <c r="F1905"/>
      <c r="G1905"/>
      <c r="H1905"/>
      <c r="I1905"/>
      <c r="J1905"/>
      <c r="K1905"/>
      <c r="L1905"/>
      <c r="M1905"/>
      <c r="S1905" s="54"/>
    </row>
    <row r="1906" spans="1:19" s="15" customFormat="1" x14ac:dyDescent="0.3">
      <c r="A1906" s="17"/>
      <c r="B1906"/>
      <c r="C1906"/>
      <c r="D1906"/>
      <c r="E1906"/>
      <c r="F1906"/>
      <c r="G1906"/>
      <c r="H1906"/>
      <c r="I1906"/>
      <c r="J1906"/>
      <c r="K1906"/>
      <c r="L1906"/>
      <c r="M1906"/>
      <c r="S1906" s="54"/>
    </row>
    <row r="1907" spans="1:19" s="15" customFormat="1" x14ac:dyDescent="0.3">
      <c r="A1907" s="17"/>
      <c r="B1907"/>
      <c r="C1907"/>
      <c r="D1907"/>
      <c r="E1907"/>
      <c r="F1907"/>
      <c r="G1907"/>
      <c r="H1907"/>
      <c r="I1907"/>
      <c r="J1907"/>
      <c r="K1907"/>
      <c r="L1907"/>
      <c r="M1907"/>
      <c r="S1907" s="54"/>
    </row>
    <row r="1908" spans="1:19" s="15" customFormat="1" x14ac:dyDescent="0.3">
      <c r="A1908" s="17"/>
      <c r="B1908"/>
      <c r="C1908"/>
      <c r="D1908"/>
      <c r="E1908"/>
      <c r="F1908"/>
      <c r="G1908"/>
      <c r="H1908"/>
      <c r="I1908"/>
      <c r="J1908"/>
      <c r="K1908"/>
      <c r="L1908"/>
      <c r="M1908"/>
      <c r="S1908" s="54"/>
    </row>
    <row r="1909" spans="1:19" s="15" customFormat="1" x14ac:dyDescent="0.3">
      <c r="A1909" s="17"/>
      <c r="B1909"/>
      <c r="C1909"/>
      <c r="D1909"/>
      <c r="E1909"/>
      <c r="F1909"/>
      <c r="G1909"/>
      <c r="H1909"/>
      <c r="I1909"/>
      <c r="J1909"/>
      <c r="K1909"/>
      <c r="L1909"/>
      <c r="M1909"/>
      <c r="S1909" s="54"/>
    </row>
    <row r="1910" spans="1:19" s="15" customFormat="1" x14ac:dyDescent="0.3">
      <c r="A1910" s="17"/>
      <c r="B1910"/>
      <c r="C1910"/>
      <c r="D1910"/>
      <c r="E1910"/>
      <c r="F1910"/>
      <c r="G1910"/>
      <c r="H1910"/>
      <c r="I1910"/>
      <c r="J1910"/>
      <c r="K1910"/>
      <c r="L1910"/>
      <c r="M1910"/>
      <c r="S1910" s="54"/>
    </row>
    <row r="1911" spans="1:19" s="15" customFormat="1" x14ac:dyDescent="0.3">
      <c r="A1911" s="17"/>
      <c r="B1911"/>
      <c r="C1911"/>
      <c r="D1911"/>
      <c r="E1911"/>
      <c r="F1911"/>
      <c r="G1911"/>
      <c r="H1911"/>
      <c r="I1911"/>
      <c r="J1911"/>
      <c r="K1911"/>
      <c r="L1911"/>
      <c r="M1911"/>
      <c r="S1911" s="54"/>
    </row>
    <row r="1912" spans="1:19" s="15" customFormat="1" x14ac:dyDescent="0.3">
      <c r="A1912" s="17"/>
      <c r="B1912"/>
      <c r="C1912"/>
      <c r="D1912"/>
      <c r="E1912"/>
      <c r="F1912"/>
      <c r="G1912"/>
      <c r="H1912"/>
      <c r="I1912"/>
      <c r="J1912"/>
      <c r="K1912"/>
      <c r="L1912"/>
      <c r="M1912"/>
      <c r="S1912" s="54"/>
    </row>
    <row r="1913" spans="1:19" s="15" customFormat="1" x14ac:dyDescent="0.3">
      <c r="A1913" s="17"/>
      <c r="B1913"/>
      <c r="C1913"/>
      <c r="D1913"/>
      <c r="E1913"/>
      <c r="F1913"/>
      <c r="G1913"/>
      <c r="H1913"/>
      <c r="I1913"/>
      <c r="J1913"/>
      <c r="K1913"/>
      <c r="L1913"/>
      <c r="M1913"/>
      <c r="S1913" s="54"/>
    </row>
    <row r="1914" spans="1:19" s="15" customFormat="1" x14ac:dyDescent="0.3">
      <c r="A1914" s="17"/>
      <c r="B1914"/>
      <c r="C1914"/>
      <c r="D1914"/>
      <c r="E1914"/>
      <c r="F1914"/>
      <c r="G1914"/>
      <c r="H1914"/>
      <c r="I1914"/>
      <c r="J1914"/>
      <c r="K1914"/>
      <c r="L1914"/>
      <c r="M1914"/>
      <c r="S1914" s="54"/>
    </row>
    <row r="1915" spans="1:19" s="15" customFormat="1" x14ac:dyDescent="0.3">
      <c r="A1915" s="17"/>
      <c r="B1915"/>
      <c r="C1915"/>
      <c r="D1915"/>
      <c r="E1915"/>
      <c r="F1915"/>
      <c r="G1915"/>
      <c r="H1915"/>
      <c r="I1915"/>
      <c r="J1915"/>
      <c r="K1915"/>
      <c r="L1915"/>
      <c r="M1915"/>
      <c r="S1915" s="54"/>
    </row>
    <row r="1916" spans="1:19" s="15" customFormat="1" x14ac:dyDescent="0.3">
      <c r="A1916" s="17"/>
      <c r="B1916"/>
      <c r="C1916"/>
      <c r="D1916"/>
      <c r="E1916"/>
      <c r="F1916"/>
      <c r="G1916"/>
      <c r="H1916"/>
      <c r="I1916"/>
      <c r="J1916"/>
      <c r="K1916"/>
      <c r="L1916"/>
      <c r="M1916"/>
      <c r="S1916" s="54"/>
    </row>
    <row r="1917" spans="1:19" s="15" customFormat="1" x14ac:dyDescent="0.3">
      <c r="A1917" s="17"/>
      <c r="B1917"/>
      <c r="C1917"/>
      <c r="D1917"/>
      <c r="E1917"/>
      <c r="F1917"/>
      <c r="G1917"/>
      <c r="H1917"/>
      <c r="I1917"/>
      <c r="J1917"/>
      <c r="K1917"/>
      <c r="L1917"/>
      <c r="M1917"/>
      <c r="S1917" s="54"/>
    </row>
    <row r="1918" spans="1:19" s="15" customFormat="1" x14ac:dyDescent="0.3">
      <c r="A1918" s="17"/>
      <c r="B1918"/>
      <c r="C1918"/>
      <c r="D1918"/>
      <c r="E1918"/>
      <c r="F1918"/>
      <c r="G1918"/>
      <c r="H1918"/>
      <c r="I1918"/>
      <c r="J1918"/>
      <c r="K1918"/>
      <c r="L1918"/>
      <c r="M1918"/>
      <c r="S1918" s="54"/>
    </row>
    <row r="1919" spans="1:19" s="15" customFormat="1" x14ac:dyDescent="0.3">
      <c r="A1919" s="17"/>
      <c r="B1919"/>
      <c r="C1919"/>
      <c r="D1919"/>
      <c r="E1919"/>
      <c r="F1919"/>
      <c r="G1919"/>
      <c r="H1919"/>
      <c r="I1919"/>
      <c r="J1919"/>
      <c r="K1919"/>
      <c r="L1919"/>
      <c r="M1919"/>
      <c r="S1919" s="54"/>
    </row>
    <row r="1920" spans="1:19" s="15" customFormat="1" x14ac:dyDescent="0.3">
      <c r="A1920" s="17"/>
      <c r="B1920"/>
      <c r="C1920"/>
      <c r="D1920"/>
      <c r="E1920"/>
      <c r="F1920"/>
      <c r="G1920"/>
      <c r="H1920"/>
      <c r="I1920"/>
      <c r="J1920"/>
      <c r="K1920"/>
      <c r="L1920"/>
      <c r="M1920"/>
      <c r="S1920" s="54"/>
    </row>
    <row r="1921" spans="1:19" s="15" customFormat="1" x14ac:dyDescent="0.3">
      <c r="A1921" s="17"/>
      <c r="B1921"/>
      <c r="C1921"/>
      <c r="D1921"/>
      <c r="E1921"/>
      <c r="F1921"/>
      <c r="G1921"/>
      <c r="H1921"/>
      <c r="I1921"/>
      <c r="J1921"/>
      <c r="K1921"/>
      <c r="L1921"/>
      <c r="M1921"/>
      <c r="S1921" s="54"/>
    </row>
    <row r="1922" spans="1:19" s="15" customFormat="1" x14ac:dyDescent="0.3">
      <c r="A1922" s="17"/>
      <c r="B1922"/>
      <c r="C1922"/>
      <c r="D1922"/>
      <c r="E1922"/>
      <c r="F1922"/>
      <c r="G1922"/>
      <c r="H1922"/>
      <c r="I1922"/>
      <c r="J1922"/>
      <c r="K1922"/>
      <c r="L1922"/>
      <c r="M1922"/>
      <c r="S1922" s="54"/>
    </row>
    <row r="1923" spans="1:19" s="15" customFormat="1" x14ac:dyDescent="0.3">
      <c r="A1923" s="17"/>
      <c r="B1923"/>
      <c r="C1923"/>
      <c r="D1923"/>
      <c r="E1923"/>
      <c r="F1923"/>
      <c r="G1923"/>
      <c r="H1923"/>
      <c r="I1923"/>
      <c r="J1923"/>
      <c r="K1923"/>
      <c r="L1923"/>
      <c r="M1923"/>
      <c r="S1923" s="54"/>
    </row>
    <row r="1924" spans="1:19" s="15" customFormat="1" x14ac:dyDescent="0.3">
      <c r="A1924" s="17"/>
      <c r="B1924"/>
      <c r="C1924"/>
      <c r="D1924"/>
      <c r="E1924"/>
      <c r="F1924"/>
      <c r="G1924"/>
      <c r="H1924"/>
      <c r="I1924"/>
      <c r="J1924"/>
      <c r="K1924"/>
      <c r="L1924"/>
      <c r="M1924"/>
      <c r="S1924" s="54"/>
    </row>
    <row r="1925" spans="1:19" s="15" customFormat="1" x14ac:dyDescent="0.3">
      <c r="A1925" s="17"/>
      <c r="B1925"/>
      <c r="C1925"/>
      <c r="D1925"/>
      <c r="E1925"/>
      <c r="F1925"/>
      <c r="G1925"/>
      <c r="H1925"/>
      <c r="I1925"/>
      <c r="J1925"/>
      <c r="K1925"/>
      <c r="L1925"/>
      <c r="M1925"/>
      <c r="S1925" s="54"/>
    </row>
    <row r="1926" spans="1:19" s="15" customFormat="1" x14ac:dyDescent="0.3">
      <c r="A1926" s="17"/>
      <c r="B1926"/>
      <c r="C1926"/>
      <c r="D1926"/>
      <c r="E1926"/>
      <c r="F1926"/>
      <c r="G1926"/>
      <c r="H1926"/>
      <c r="I1926"/>
      <c r="J1926"/>
      <c r="K1926"/>
      <c r="L1926"/>
      <c r="M1926"/>
      <c r="S1926" s="54"/>
    </row>
    <row r="1927" spans="1:19" s="15" customFormat="1" x14ac:dyDescent="0.3">
      <c r="A1927" s="17"/>
      <c r="B1927"/>
      <c r="C1927"/>
      <c r="D1927"/>
      <c r="E1927"/>
      <c r="F1927"/>
      <c r="G1927"/>
      <c r="H1927"/>
      <c r="I1927"/>
      <c r="J1927"/>
      <c r="K1927"/>
      <c r="L1927"/>
      <c r="M1927"/>
      <c r="S1927" s="54"/>
    </row>
    <row r="1928" spans="1:19" s="15" customFormat="1" x14ac:dyDescent="0.3">
      <c r="A1928" s="17"/>
      <c r="B1928"/>
      <c r="C1928"/>
      <c r="D1928"/>
      <c r="E1928"/>
      <c r="F1928"/>
      <c r="G1928"/>
      <c r="H1928"/>
      <c r="I1928"/>
      <c r="J1928"/>
      <c r="K1928"/>
      <c r="L1928"/>
      <c r="M1928"/>
      <c r="S1928" s="54"/>
    </row>
    <row r="1929" spans="1:19" s="15" customFormat="1" x14ac:dyDescent="0.3">
      <c r="A1929" s="17"/>
      <c r="B1929"/>
      <c r="C1929"/>
      <c r="D1929"/>
      <c r="E1929"/>
      <c r="F1929"/>
      <c r="G1929"/>
      <c r="H1929"/>
      <c r="I1929"/>
      <c r="J1929"/>
      <c r="K1929"/>
      <c r="L1929"/>
      <c r="M1929"/>
      <c r="S1929" s="54"/>
    </row>
    <row r="1930" spans="1:19" s="15" customFormat="1" x14ac:dyDescent="0.3">
      <c r="A1930" s="17"/>
      <c r="B1930"/>
      <c r="C1930"/>
      <c r="D1930"/>
      <c r="E1930"/>
      <c r="F1930"/>
      <c r="G1930"/>
      <c r="H1930"/>
      <c r="I1930"/>
      <c r="J1930"/>
      <c r="K1930"/>
      <c r="L1930"/>
      <c r="M1930"/>
      <c r="S1930" s="54"/>
    </row>
    <row r="1931" spans="1:19" s="15" customFormat="1" x14ac:dyDescent="0.3">
      <c r="A1931" s="17"/>
      <c r="B1931"/>
      <c r="C1931"/>
      <c r="D1931"/>
      <c r="E1931"/>
      <c r="F1931"/>
      <c r="G1931"/>
      <c r="H1931"/>
      <c r="I1931"/>
      <c r="J1931"/>
      <c r="K1931"/>
      <c r="L1931"/>
      <c r="M1931"/>
      <c r="S1931" s="54"/>
    </row>
    <row r="1932" spans="1:19" s="15" customFormat="1" x14ac:dyDescent="0.3">
      <c r="A1932" s="17"/>
      <c r="B1932"/>
      <c r="C1932"/>
      <c r="D1932"/>
      <c r="E1932"/>
      <c r="F1932"/>
      <c r="G1932"/>
      <c r="H1932"/>
      <c r="I1932"/>
      <c r="J1932"/>
      <c r="K1932"/>
      <c r="L1932"/>
      <c r="M1932"/>
      <c r="S1932" s="54"/>
    </row>
    <row r="1933" spans="1:19" s="15" customFormat="1" x14ac:dyDescent="0.3">
      <c r="A1933" s="17"/>
      <c r="B1933"/>
      <c r="C1933"/>
      <c r="D1933"/>
      <c r="E1933"/>
      <c r="F1933"/>
      <c r="G1933"/>
      <c r="H1933"/>
      <c r="I1933"/>
      <c r="J1933"/>
      <c r="K1933"/>
      <c r="L1933"/>
      <c r="M1933"/>
      <c r="S1933" s="54"/>
    </row>
    <row r="1934" spans="1:19" s="15" customFormat="1" x14ac:dyDescent="0.3">
      <c r="A1934" s="17"/>
      <c r="B1934"/>
      <c r="C1934"/>
      <c r="D1934"/>
      <c r="E1934"/>
      <c r="F1934"/>
      <c r="G1934"/>
      <c r="H1934"/>
      <c r="I1934"/>
      <c r="J1934"/>
      <c r="K1934"/>
      <c r="L1934"/>
      <c r="M1934"/>
      <c r="S1934" s="54"/>
    </row>
    <row r="1935" spans="1:19" s="15" customFormat="1" x14ac:dyDescent="0.3">
      <c r="A1935" s="17"/>
      <c r="B1935"/>
      <c r="C1935"/>
      <c r="D1935"/>
      <c r="E1935"/>
      <c r="F1935"/>
      <c r="G1935"/>
      <c r="H1935"/>
      <c r="I1935"/>
      <c r="J1935"/>
      <c r="K1935"/>
      <c r="L1935"/>
      <c r="M1935"/>
      <c r="S1935" s="54"/>
    </row>
    <row r="1936" spans="1:19" s="15" customFormat="1" x14ac:dyDescent="0.3">
      <c r="A1936" s="17"/>
      <c r="B1936"/>
      <c r="C1936"/>
      <c r="D1936"/>
      <c r="E1936"/>
      <c r="F1936"/>
      <c r="G1936"/>
      <c r="H1936"/>
      <c r="I1936"/>
      <c r="J1936"/>
      <c r="K1936"/>
      <c r="L1936"/>
      <c r="M1936"/>
      <c r="S1936" s="54"/>
    </row>
    <row r="1937" spans="1:19" s="15" customFormat="1" x14ac:dyDescent="0.3">
      <c r="A1937" s="17"/>
      <c r="B1937"/>
      <c r="C1937"/>
      <c r="D1937"/>
      <c r="E1937"/>
      <c r="F1937"/>
      <c r="G1937"/>
      <c r="H1937"/>
      <c r="I1937"/>
      <c r="J1937"/>
      <c r="K1937"/>
      <c r="L1937"/>
      <c r="M1937"/>
      <c r="S1937" s="54"/>
    </row>
    <row r="1938" spans="1:19" s="15" customFormat="1" x14ac:dyDescent="0.3">
      <c r="A1938" s="17"/>
      <c r="B1938"/>
      <c r="C1938"/>
      <c r="D1938"/>
      <c r="E1938"/>
      <c r="F1938"/>
      <c r="G1938"/>
      <c r="H1938"/>
      <c r="I1938"/>
      <c r="J1938"/>
      <c r="K1938"/>
      <c r="L1938"/>
      <c r="M1938"/>
      <c r="S1938" s="54"/>
    </row>
    <row r="1939" spans="1:19" s="15" customFormat="1" x14ac:dyDescent="0.3">
      <c r="A1939" s="17"/>
      <c r="B1939"/>
      <c r="C1939"/>
      <c r="D1939"/>
      <c r="E1939"/>
      <c r="F1939"/>
      <c r="G1939"/>
      <c r="H1939"/>
      <c r="I1939"/>
      <c r="J1939"/>
      <c r="K1939"/>
      <c r="L1939"/>
      <c r="M1939"/>
      <c r="S1939" s="54"/>
    </row>
    <row r="1940" spans="1:19" s="15" customFormat="1" x14ac:dyDescent="0.3">
      <c r="A1940" s="17"/>
      <c r="B1940"/>
      <c r="C1940"/>
      <c r="D1940"/>
      <c r="E1940"/>
      <c r="F1940"/>
      <c r="G1940"/>
      <c r="H1940"/>
      <c r="I1940"/>
      <c r="J1940"/>
      <c r="K1940"/>
      <c r="L1940"/>
      <c r="M1940"/>
      <c r="S1940" s="54"/>
    </row>
    <row r="1941" spans="1:19" s="15" customFormat="1" x14ac:dyDescent="0.3">
      <c r="A1941" s="17"/>
      <c r="B1941"/>
      <c r="C1941"/>
      <c r="D1941"/>
      <c r="E1941"/>
      <c r="F1941"/>
      <c r="G1941"/>
      <c r="H1941"/>
      <c r="I1941"/>
      <c r="J1941"/>
      <c r="K1941"/>
      <c r="L1941"/>
      <c r="M1941"/>
      <c r="S1941" s="54"/>
    </row>
    <row r="1942" spans="1:19" s="15" customFormat="1" x14ac:dyDescent="0.3">
      <c r="A1942" s="17"/>
      <c r="B1942"/>
      <c r="C1942"/>
      <c r="D1942"/>
      <c r="E1942"/>
      <c r="F1942"/>
      <c r="G1942"/>
      <c r="H1942"/>
      <c r="I1942"/>
      <c r="J1942"/>
      <c r="K1942"/>
      <c r="L1942"/>
      <c r="M1942"/>
      <c r="S1942" s="54"/>
    </row>
    <row r="1943" spans="1:19" s="15" customFormat="1" x14ac:dyDescent="0.3">
      <c r="A1943" s="17"/>
      <c r="B1943"/>
      <c r="C1943"/>
      <c r="D1943"/>
      <c r="E1943"/>
      <c r="F1943"/>
      <c r="G1943"/>
      <c r="H1943"/>
      <c r="I1943"/>
      <c r="J1943"/>
      <c r="K1943"/>
      <c r="L1943"/>
      <c r="M1943"/>
      <c r="S1943" s="54"/>
    </row>
    <row r="1944" spans="1:19" s="15" customFormat="1" x14ac:dyDescent="0.3">
      <c r="A1944" s="17"/>
      <c r="B1944"/>
      <c r="C1944"/>
      <c r="D1944"/>
      <c r="E1944"/>
      <c r="F1944"/>
      <c r="G1944"/>
      <c r="H1944"/>
      <c r="I1944"/>
      <c r="J1944"/>
      <c r="K1944"/>
      <c r="L1944"/>
      <c r="M1944"/>
      <c r="S1944" s="54"/>
    </row>
    <row r="1945" spans="1:19" s="15" customFormat="1" x14ac:dyDescent="0.3">
      <c r="A1945" s="17"/>
      <c r="B1945"/>
      <c r="C1945"/>
      <c r="D1945"/>
      <c r="E1945"/>
      <c r="F1945"/>
      <c r="G1945"/>
      <c r="H1945"/>
      <c r="I1945"/>
      <c r="J1945"/>
      <c r="K1945"/>
      <c r="L1945"/>
      <c r="M1945"/>
      <c r="S1945" s="54"/>
    </row>
    <row r="1946" spans="1:19" s="15" customFormat="1" x14ac:dyDescent="0.3">
      <c r="A1946" s="17"/>
      <c r="B1946"/>
      <c r="C1946"/>
      <c r="D1946"/>
      <c r="E1946"/>
      <c r="F1946"/>
      <c r="G1946"/>
      <c r="H1946"/>
      <c r="I1946"/>
      <c r="J1946"/>
      <c r="K1946"/>
      <c r="L1946"/>
      <c r="M1946"/>
      <c r="S1946" s="54"/>
    </row>
    <row r="1947" spans="1:19" s="15" customFormat="1" x14ac:dyDescent="0.3">
      <c r="A1947" s="17"/>
      <c r="B1947"/>
      <c r="C1947"/>
      <c r="D1947"/>
      <c r="E1947"/>
      <c r="F1947"/>
      <c r="G1947"/>
      <c r="H1947"/>
      <c r="I1947"/>
      <c r="J1947"/>
      <c r="K1947"/>
      <c r="L1947"/>
      <c r="M1947"/>
      <c r="S1947" s="54"/>
    </row>
    <row r="1948" spans="1:19" s="15" customFormat="1" x14ac:dyDescent="0.3">
      <c r="A1948" s="17"/>
      <c r="B1948"/>
      <c r="C1948"/>
      <c r="D1948"/>
      <c r="E1948"/>
      <c r="F1948"/>
      <c r="G1948"/>
      <c r="H1948"/>
      <c r="I1948"/>
      <c r="J1948"/>
      <c r="K1948"/>
      <c r="L1948"/>
      <c r="M1948"/>
      <c r="S1948" s="54"/>
    </row>
    <row r="1949" spans="1:19" s="15" customFormat="1" x14ac:dyDescent="0.3">
      <c r="A1949" s="17"/>
      <c r="B1949"/>
      <c r="C1949"/>
      <c r="D1949"/>
      <c r="E1949"/>
      <c r="F1949"/>
      <c r="G1949"/>
      <c r="H1949"/>
      <c r="I1949"/>
      <c r="J1949"/>
      <c r="K1949"/>
      <c r="L1949"/>
      <c r="M1949"/>
      <c r="S1949" s="54"/>
    </row>
    <row r="1950" spans="1:19" s="15" customFormat="1" x14ac:dyDescent="0.3">
      <c r="A1950" s="17"/>
      <c r="B1950"/>
      <c r="C1950"/>
      <c r="D1950"/>
      <c r="E1950"/>
      <c r="F1950"/>
      <c r="G1950"/>
      <c r="H1950"/>
      <c r="I1950"/>
      <c r="J1950"/>
      <c r="K1950"/>
      <c r="L1950"/>
      <c r="M1950"/>
      <c r="S1950" s="54"/>
    </row>
    <row r="1951" spans="1:19" s="15" customFormat="1" x14ac:dyDescent="0.3">
      <c r="A1951" s="17"/>
      <c r="B1951"/>
      <c r="C1951"/>
      <c r="D1951"/>
      <c r="E1951"/>
      <c r="F1951"/>
      <c r="G1951"/>
      <c r="H1951"/>
      <c r="I1951"/>
      <c r="J1951"/>
      <c r="K1951"/>
      <c r="L1951"/>
      <c r="M1951"/>
      <c r="S1951" s="54"/>
    </row>
    <row r="1952" spans="1:19" s="15" customFormat="1" x14ac:dyDescent="0.3">
      <c r="A1952" s="17"/>
      <c r="B1952"/>
      <c r="C1952"/>
      <c r="D1952"/>
      <c r="E1952"/>
      <c r="F1952"/>
      <c r="G1952"/>
      <c r="H1952"/>
      <c r="I1952"/>
      <c r="J1952"/>
      <c r="K1952"/>
      <c r="L1952"/>
      <c r="M1952"/>
      <c r="S1952" s="54"/>
    </row>
    <row r="1953" spans="1:19" s="15" customFormat="1" x14ac:dyDescent="0.3">
      <c r="A1953" s="17"/>
      <c r="B1953"/>
      <c r="C1953"/>
      <c r="D1953"/>
      <c r="E1953"/>
      <c r="F1953"/>
      <c r="G1953"/>
      <c r="H1953"/>
      <c r="I1953"/>
      <c r="J1953"/>
      <c r="K1953"/>
      <c r="L1953"/>
      <c r="M1953"/>
      <c r="S1953" s="54"/>
    </row>
    <row r="1954" spans="1:19" s="15" customFormat="1" x14ac:dyDescent="0.3">
      <c r="A1954" s="17"/>
      <c r="B1954"/>
      <c r="C1954"/>
      <c r="D1954"/>
      <c r="E1954"/>
      <c r="F1954"/>
      <c r="G1954"/>
      <c r="H1954"/>
      <c r="I1954"/>
      <c r="J1954"/>
      <c r="K1954"/>
      <c r="L1954"/>
      <c r="M1954"/>
      <c r="S1954" s="54"/>
    </row>
    <row r="1955" spans="1:19" s="15" customFormat="1" x14ac:dyDescent="0.3">
      <c r="A1955" s="17"/>
      <c r="B1955"/>
      <c r="C1955"/>
      <c r="D1955"/>
      <c r="E1955"/>
      <c r="F1955"/>
      <c r="G1955"/>
      <c r="H1955"/>
      <c r="I1955"/>
      <c r="J1955"/>
      <c r="K1955"/>
      <c r="L1955"/>
      <c r="M1955"/>
      <c r="S1955" s="54"/>
    </row>
    <row r="1956" spans="1:19" s="15" customFormat="1" x14ac:dyDescent="0.3">
      <c r="A1956" s="17"/>
      <c r="B1956"/>
      <c r="C1956"/>
      <c r="D1956"/>
      <c r="E1956"/>
      <c r="F1956"/>
      <c r="G1956"/>
      <c r="H1956"/>
      <c r="I1956"/>
      <c r="J1956"/>
      <c r="K1956"/>
      <c r="L1956"/>
      <c r="M1956"/>
      <c r="S1956" s="54"/>
    </row>
    <row r="1957" spans="1:19" s="15" customFormat="1" x14ac:dyDescent="0.3">
      <c r="A1957" s="17"/>
      <c r="B1957"/>
      <c r="C1957"/>
      <c r="D1957"/>
      <c r="E1957"/>
      <c r="F1957"/>
      <c r="G1957"/>
      <c r="H1957"/>
      <c r="I1957"/>
      <c r="J1957"/>
      <c r="K1957"/>
      <c r="L1957"/>
      <c r="M1957"/>
      <c r="S1957" s="54"/>
    </row>
    <row r="1958" spans="1:19" s="15" customFormat="1" x14ac:dyDescent="0.3">
      <c r="A1958" s="17"/>
      <c r="B1958"/>
      <c r="C1958"/>
      <c r="D1958"/>
      <c r="E1958"/>
      <c r="F1958"/>
      <c r="G1958"/>
      <c r="H1958"/>
      <c r="I1958"/>
      <c r="J1958"/>
      <c r="K1958"/>
      <c r="L1958"/>
      <c r="M1958"/>
      <c r="S1958" s="54"/>
    </row>
    <row r="1959" spans="1:19" s="15" customFormat="1" x14ac:dyDescent="0.3">
      <c r="A1959" s="17"/>
      <c r="B1959"/>
      <c r="C1959"/>
      <c r="D1959"/>
      <c r="E1959"/>
      <c r="F1959"/>
      <c r="G1959"/>
      <c r="H1959"/>
      <c r="I1959"/>
      <c r="J1959"/>
      <c r="K1959"/>
      <c r="L1959"/>
      <c r="M1959"/>
      <c r="S1959" s="54"/>
    </row>
    <row r="1960" spans="1:19" s="15" customFormat="1" x14ac:dyDescent="0.3">
      <c r="A1960" s="17"/>
      <c r="B1960"/>
      <c r="C1960"/>
      <c r="D1960"/>
      <c r="E1960"/>
      <c r="F1960"/>
      <c r="G1960"/>
      <c r="H1960"/>
      <c r="I1960"/>
      <c r="J1960"/>
      <c r="K1960"/>
      <c r="L1960"/>
      <c r="M1960"/>
      <c r="S1960" s="54"/>
    </row>
    <row r="1961" spans="1:19" s="15" customFormat="1" x14ac:dyDescent="0.3">
      <c r="A1961" s="17"/>
      <c r="B1961"/>
      <c r="C1961"/>
      <c r="D1961"/>
      <c r="E1961"/>
      <c r="F1961"/>
      <c r="G1961"/>
      <c r="H1961"/>
      <c r="I1961"/>
      <c r="J1961"/>
      <c r="K1961"/>
      <c r="L1961"/>
      <c r="M1961"/>
      <c r="S1961" s="54"/>
    </row>
    <row r="1962" spans="1:19" s="15" customFormat="1" x14ac:dyDescent="0.3">
      <c r="A1962" s="17"/>
      <c r="B1962"/>
      <c r="C1962"/>
      <c r="D1962"/>
      <c r="E1962"/>
      <c r="F1962"/>
      <c r="G1962"/>
      <c r="H1962"/>
      <c r="I1962"/>
      <c r="J1962"/>
      <c r="K1962"/>
      <c r="L1962"/>
      <c r="M1962"/>
      <c r="S1962" s="54"/>
    </row>
    <row r="1963" spans="1:19" s="15" customFormat="1" x14ac:dyDescent="0.3">
      <c r="A1963" s="17"/>
      <c r="B1963"/>
      <c r="C1963"/>
      <c r="D1963"/>
      <c r="E1963"/>
      <c r="F1963"/>
      <c r="G1963"/>
      <c r="H1963"/>
      <c r="I1963"/>
      <c r="J1963"/>
      <c r="K1963"/>
      <c r="L1963"/>
      <c r="M1963"/>
      <c r="S1963" s="54"/>
    </row>
    <row r="1964" spans="1:19" s="15" customFormat="1" x14ac:dyDescent="0.3">
      <c r="A1964" s="17"/>
      <c r="B1964"/>
      <c r="C1964"/>
      <c r="D1964"/>
      <c r="E1964"/>
      <c r="F1964"/>
      <c r="G1964"/>
      <c r="H1964"/>
      <c r="I1964"/>
      <c r="J1964"/>
      <c r="K1964"/>
      <c r="L1964"/>
      <c r="M1964"/>
      <c r="S1964" s="54"/>
    </row>
    <row r="1965" spans="1:19" s="15" customFormat="1" x14ac:dyDescent="0.3">
      <c r="A1965" s="17"/>
      <c r="B1965"/>
      <c r="C1965"/>
      <c r="D1965"/>
      <c r="E1965"/>
      <c r="F1965"/>
      <c r="G1965"/>
      <c r="H1965"/>
      <c r="I1965"/>
      <c r="J1965"/>
      <c r="K1965"/>
      <c r="L1965"/>
      <c r="M1965"/>
      <c r="S1965" s="54"/>
    </row>
    <row r="1966" spans="1:19" s="15" customFormat="1" x14ac:dyDescent="0.3">
      <c r="A1966" s="17"/>
      <c r="B1966"/>
      <c r="C1966"/>
      <c r="D1966"/>
      <c r="E1966"/>
      <c r="F1966"/>
      <c r="G1966"/>
      <c r="H1966"/>
      <c r="I1966"/>
      <c r="J1966"/>
      <c r="K1966"/>
      <c r="L1966"/>
      <c r="M1966"/>
      <c r="S1966" s="54"/>
    </row>
    <row r="1967" spans="1:19" s="15" customFormat="1" x14ac:dyDescent="0.3">
      <c r="A1967" s="17"/>
      <c r="B1967"/>
      <c r="C1967"/>
      <c r="D1967"/>
      <c r="E1967"/>
      <c r="F1967"/>
      <c r="G1967"/>
      <c r="H1967"/>
      <c r="I1967"/>
      <c r="J1967"/>
      <c r="K1967"/>
      <c r="L1967"/>
      <c r="M1967"/>
      <c r="S1967" s="54"/>
    </row>
    <row r="1968" spans="1:19" s="15" customFormat="1" x14ac:dyDescent="0.3">
      <c r="A1968" s="17"/>
      <c r="B1968"/>
      <c r="C1968"/>
      <c r="D1968"/>
      <c r="E1968"/>
      <c r="F1968"/>
      <c r="G1968"/>
      <c r="H1968"/>
      <c r="I1968"/>
      <c r="J1968"/>
      <c r="K1968"/>
      <c r="L1968"/>
      <c r="M1968"/>
      <c r="S1968" s="54"/>
    </row>
    <row r="1969" spans="1:19" s="15" customFormat="1" x14ac:dyDescent="0.3">
      <c r="A1969" s="17"/>
      <c r="B1969"/>
      <c r="C1969"/>
      <c r="D1969"/>
      <c r="E1969"/>
      <c r="F1969"/>
      <c r="G1969"/>
      <c r="H1969"/>
      <c r="I1969"/>
      <c r="J1969"/>
      <c r="K1969"/>
      <c r="L1969"/>
      <c r="M1969"/>
      <c r="S1969" s="54"/>
    </row>
    <row r="1970" spans="1:19" s="15" customFormat="1" x14ac:dyDescent="0.3">
      <c r="A1970" s="17"/>
      <c r="B1970"/>
      <c r="C1970"/>
      <c r="D1970"/>
      <c r="E1970"/>
      <c r="F1970"/>
      <c r="G1970"/>
      <c r="H1970"/>
      <c r="I1970"/>
      <c r="J1970"/>
      <c r="K1970"/>
      <c r="L1970"/>
      <c r="M1970"/>
      <c r="S1970" s="54"/>
    </row>
    <row r="1971" spans="1:19" s="15" customFormat="1" x14ac:dyDescent="0.3">
      <c r="A1971" s="17"/>
      <c r="B1971"/>
      <c r="C1971"/>
      <c r="D1971"/>
      <c r="E1971"/>
      <c r="F1971"/>
      <c r="G1971"/>
      <c r="H1971"/>
      <c r="I1971"/>
      <c r="J1971"/>
      <c r="K1971"/>
      <c r="L1971"/>
      <c r="M1971"/>
      <c r="S1971" s="54"/>
    </row>
    <row r="1972" spans="1:19" s="15" customFormat="1" x14ac:dyDescent="0.3">
      <c r="A1972" s="17"/>
      <c r="B1972"/>
      <c r="C1972"/>
      <c r="D1972"/>
      <c r="E1972"/>
      <c r="F1972"/>
      <c r="G1972"/>
      <c r="H1972"/>
      <c r="I1972"/>
      <c r="J1972"/>
      <c r="K1972"/>
      <c r="L1972"/>
      <c r="M1972"/>
      <c r="S1972" s="54"/>
    </row>
    <row r="1973" spans="1:19" s="15" customFormat="1" x14ac:dyDescent="0.3">
      <c r="A1973" s="17"/>
      <c r="B1973"/>
      <c r="C1973"/>
      <c r="D1973"/>
      <c r="E1973"/>
      <c r="F1973"/>
      <c r="G1973"/>
      <c r="H1973"/>
      <c r="I1973"/>
      <c r="J1973"/>
      <c r="K1973"/>
      <c r="L1973"/>
      <c r="M1973"/>
      <c r="S1973" s="54"/>
    </row>
    <row r="1974" spans="1:19" s="15" customFormat="1" x14ac:dyDescent="0.3">
      <c r="A1974" s="17"/>
      <c r="B1974"/>
      <c r="C1974"/>
      <c r="D1974"/>
      <c r="E1974"/>
      <c r="F1974"/>
      <c r="G1974"/>
      <c r="H1974"/>
      <c r="I1974"/>
      <c r="J1974"/>
      <c r="K1974"/>
      <c r="L1974"/>
      <c r="M1974"/>
      <c r="S1974" s="54"/>
    </row>
    <row r="1975" spans="1:19" s="15" customFormat="1" x14ac:dyDescent="0.3">
      <c r="A1975" s="17"/>
      <c r="B1975"/>
      <c r="C1975"/>
      <c r="D1975"/>
      <c r="E1975"/>
      <c r="F1975"/>
      <c r="G1975"/>
      <c r="H1975"/>
      <c r="I1975"/>
      <c r="J1975"/>
      <c r="K1975"/>
      <c r="L1975"/>
      <c r="M1975"/>
      <c r="S1975" s="54"/>
    </row>
    <row r="1976" spans="1:19" s="15" customFormat="1" x14ac:dyDescent="0.3">
      <c r="A1976" s="17"/>
      <c r="B1976"/>
      <c r="C1976"/>
      <c r="D1976"/>
      <c r="E1976"/>
      <c r="F1976"/>
      <c r="G1976"/>
      <c r="H1976"/>
      <c r="I1976"/>
      <c r="J1976"/>
      <c r="K1976"/>
      <c r="L1976"/>
      <c r="M1976"/>
      <c r="S1976" s="54"/>
    </row>
    <row r="1977" spans="1:19" s="15" customFormat="1" x14ac:dyDescent="0.3">
      <c r="A1977" s="17"/>
      <c r="B1977"/>
      <c r="C1977"/>
      <c r="D1977"/>
      <c r="E1977"/>
      <c r="F1977"/>
      <c r="G1977"/>
      <c r="H1977"/>
      <c r="I1977"/>
      <c r="J1977"/>
      <c r="K1977"/>
      <c r="L1977"/>
      <c r="M1977"/>
      <c r="S1977" s="54"/>
    </row>
    <row r="1978" spans="1:19" s="15" customFormat="1" x14ac:dyDescent="0.3">
      <c r="A1978" s="17"/>
      <c r="B1978"/>
      <c r="C1978"/>
      <c r="D1978"/>
      <c r="E1978"/>
      <c r="F1978"/>
      <c r="G1978"/>
      <c r="H1978"/>
      <c r="I1978"/>
      <c r="J1978"/>
      <c r="K1978"/>
      <c r="L1978"/>
      <c r="M1978"/>
      <c r="S1978" s="54"/>
    </row>
    <row r="1979" spans="1:19" s="15" customFormat="1" x14ac:dyDescent="0.3">
      <c r="A1979" s="17"/>
      <c r="B1979"/>
      <c r="C1979"/>
      <c r="D1979"/>
      <c r="E1979"/>
      <c r="F1979"/>
      <c r="G1979"/>
      <c r="H1979"/>
      <c r="I1979"/>
      <c r="J1979"/>
      <c r="K1979"/>
      <c r="L1979"/>
      <c r="M1979"/>
      <c r="S1979" s="54"/>
    </row>
    <row r="1980" spans="1:19" s="15" customFormat="1" x14ac:dyDescent="0.3">
      <c r="A1980" s="17"/>
      <c r="B1980"/>
      <c r="C1980"/>
      <c r="D1980"/>
      <c r="E1980"/>
      <c r="F1980"/>
      <c r="G1980"/>
      <c r="H1980"/>
      <c r="I1980"/>
      <c r="J1980"/>
      <c r="K1980"/>
      <c r="L1980"/>
      <c r="M1980"/>
      <c r="S1980" s="54"/>
    </row>
    <row r="1981" spans="1:19" s="15" customFormat="1" x14ac:dyDescent="0.3">
      <c r="A1981" s="17"/>
      <c r="B1981"/>
      <c r="C1981"/>
      <c r="D1981"/>
      <c r="E1981"/>
      <c r="F1981"/>
      <c r="G1981"/>
      <c r="H1981"/>
      <c r="I1981"/>
      <c r="J1981"/>
      <c r="K1981"/>
      <c r="L1981"/>
      <c r="M1981"/>
      <c r="S1981" s="54"/>
    </row>
    <row r="1982" spans="1:19" s="15" customFormat="1" x14ac:dyDescent="0.3">
      <c r="A1982" s="17"/>
      <c r="B1982"/>
      <c r="C1982"/>
      <c r="D1982"/>
      <c r="E1982"/>
      <c r="F1982"/>
      <c r="G1982"/>
      <c r="H1982"/>
      <c r="I1982"/>
      <c r="J1982"/>
      <c r="K1982"/>
      <c r="L1982"/>
      <c r="M1982"/>
      <c r="S1982" s="54"/>
    </row>
    <row r="1983" spans="1:19" s="15" customFormat="1" x14ac:dyDescent="0.3">
      <c r="A1983" s="17"/>
      <c r="B1983"/>
      <c r="C1983"/>
      <c r="D1983"/>
      <c r="E1983"/>
      <c r="F1983"/>
      <c r="G1983"/>
      <c r="H1983"/>
      <c r="I1983"/>
      <c r="J1983"/>
      <c r="K1983"/>
      <c r="L1983"/>
      <c r="M1983"/>
      <c r="S1983" s="54"/>
    </row>
    <row r="1984" spans="1:19" s="15" customFormat="1" x14ac:dyDescent="0.3">
      <c r="A1984" s="17"/>
      <c r="B1984"/>
      <c r="C1984"/>
      <c r="D1984"/>
      <c r="E1984"/>
      <c r="F1984"/>
      <c r="G1984"/>
      <c r="H1984"/>
      <c r="I1984"/>
      <c r="J1984"/>
      <c r="K1984"/>
      <c r="L1984"/>
      <c r="M1984"/>
      <c r="S1984" s="54"/>
    </row>
    <row r="1985" spans="1:19" s="15" customFormat="1" x14ac:dyDescent="0.3">
      <c r="A1985" s="17"/>
      <c r="B1985"/>
      <c r="C1985"/>
      <c r="D1985"/>
      <c r="E1985"/>
      <c r="F1985"/>
      <c r="G1985"/>
      <c r="H1985"/>
      <c r="I1985"/>
      <c r="J1985"/>
      <c r="K1985"/>
      <c r="L1985"/>
      <c r="M1985"/>
      <c r="S1985" s="54"/>
    </row>
    <row r="1986" spans="1:19" s="15" customFormat="1" x14ac:dyDescent="0.3">
      <c r="A1986" s="17"/>
      <c r="B1986"/>
      <c r="C1986"/>
      <c r="D1986"/>
      <c r="E1986"/>
      <c r="F1986"/>
      <c r="G1986"/>
      <c r="H1986"/>
      <c r="I1986"/>
      <c r="J1986"/>
      <c r="K1986"/>
      <c r="L1986"/>
      <c r="M1986"/>
      <c r="S1986" s="54"/>
    </row>
    <row r="1987" spans="1:19" s="15" customFormat="1" x14ac:dyDescent="0.3">
      <c r="A1987" s="17"/>
      <c r="B1987"/>
      <c r="C1987"/>
      <c r="D1987"/>
      <c r="E1987"/>
      <c r="F1987"/>
      <c r="G1987"/>
      <c r="H1987"/>
      <c r="I1987"/>
      <c r="J1987"/>
      <c r="K1987"/>
      <c r="L1987"/>
      <c r="M1987"/>
      <c r="S1987" s="54"/>
    </row>
    <row r="1988" spans="1:19" s="15" customFormat="1" x14ac:dyDescent="0.3">
      <c r="A1988" s="17"/>
      <c r="B1988"/>
      <c r="C1988"/>
      <c r="D1988"/>
      <c r="E1988"/>
      <c r="F1988"/>
      <c r="G1988"/>
      <c r="H1988"/>
      <c r="I1988"/>
      <c r="J1988"/>
      <c r="K1988"/>
      <c r="L1988"/>
      <c r="M1988"/>
      <c r="S1988" s="54"/>
    </row>
    <row r="1989" spans="1:19" s="15" customFormat="1" x14ac:dyDescent="0.3">
      <c r="A1989" s="17"/>
      <c r="B1989"/>
      <c r="C1989"/>
      <c r="D1989"/>
      <c r="E1989"/>
      <c r="F1989"/>
      <c r="G1989"/>
      <c r="H1989"/>
      <c r="I1989"/>
      <c r="J1989"/>
      <c r="K1989"/>
      <c r="L1989"/>
      <c r="M1989"/>
      <c r="S1989" s="54"/>
    </row>
    <row r="1990" spans="1:19" s="15" customFormat="1" x14ac:dyDescent="0.3">
      <c r="A1990" s="17"/>
      <c r="B1990"/>
      <c r="C1990"/>
      <c r="D1990"/>
      <c r="E1990"/>
      <c r="F1990"/>
      <c r="G1990"/>
      <c r="H1990"/>
      <c r="I1990"/>
      <c r="J1990"/>
      <c r="K1990"/>
      <c r="L1990"/>
      <c r="M1990"/>
      <c r="S1990" s="54"/>
    </row>
    <row r="1991" spans="1:19" s="15" customFormat="1" x14ac:dyDescent="0.3">
      <c r="A1991" s="17"/>
      <c r="B1991"/>
      <c r="C1991"/>
      <c r="D1991"/>
      <c r="E1991"/>
      <c r="F1991"/>
      <c r="G1991"/>
      <c r="H1991"/>
      <c r="I1991"/>
      <c r="J1991"/>
      <c r="K1991"/>
      <c r="L1991"/>
      <c r="M1991"/>
      <c r="S1991" s="54"/>
    </row>
    <row r="1992" spans="1:19" s="15" customFormat="1" x14ac:dyDescent="0.3">
      <c r="A1992" s="17"/>
      <c r="B1992"/>
      <c r="C1992"/>
      <c r="D1992"/>
      <c r="E1992"/>
      <c r="F1992"/>
      <c r="G1992"/>
      <c r="H1992"/>
      <c r="I1992"/>
      <c r="J1992"/>
      <c r="K1992"/>
      <c r="L1992"/>
      <c r="M1992"/>
      <c r="S1992" s="54"/>
    </row>
    <row r="1993" spans="1:19" s="15" customFormat="1" x14ac:dyDescent="0.3">
      <c r="A1993" s="17"/>
      <c r="B1993"/>
      <c r="C1993"/>
      <c r="D1993"/>
      <c r="E1993"/>
      <c r="F1993"/>
      <c r="G1993"/>
      <c r="H1993"/>
      <c r="I1993"/>
      <c r="J1993"/>
      <c r="K1993"/>
      <c r="L1993"/>
      <c r="M1993"/>
      <c r="S1993" s="54"/>
    </row>
    <row r="1994" spans="1:19" s="15" customFormat="1" x14ac:dyDescent="0.3">
      <c r="A1994" s="17"/>
      <c r="B1994"/>
      <c r="C1994"/>
      <c r="D1994"/>
      <c r="E1994"/>
      <c r="F1994"/>
      <c r="G1994"/>
      <c r="H1994"/>
      <c r="I1994"/>
      <c r="J1994"/>
      <c r="K1994"/>
      <c r="L1994"/>
      <c r="M1994"/>
      <c r="S1994" s="54"/>
    </row>
    <row r="1995" spans="1:19" s="15" customFormat="1" x14ac:dyDescent="0.3">
      <c r="A1995" s="17"/>
      <c r="B1995"/>
      <c r="C1995"/>
      <c r="D1995"/>
      <c r="E1995"/>
      <c r="F1995"/>
      <c r="G1995"/>
      <c r="H1995"/>
      <c r="I1995"/>
      <c r="J1995"/>
      <c r="K1995"/>
      <c r="L1995"/>
      <c r="M1995"/>
      <c r="S1995" s="54"/>
    </row>
    <row r="1996" spans="1:19" s="15" customFormat="1" x14ac:dyDescent="0.3">
      <c r="A1996" s="17"/>
      <c r="B1996"/>
      <c r="C1996"/>
      <c r="D1996"/>
      <c r="E1996"/>
      <c r="F1996"/>
      <c r="G1996"/>
      <c r="H1996"/>
      <c r="I1996"/>
      <c r="J1996"/>
      <c r="K1996"/>
      <c r="L1996"/>
      <c r="M1996"/>
      <c r="S1996" s="54"/>
    </row>
    <row r="1997" spans="1:19" s="15" customFormat="1" x14ac:dyDescent="0.3">
      <c r="A1997" s="17"/>
      <c r="B1997"/>
      <c r="C1997"/>
      <c r="D1997"/>
      <c r="E1997"/>
      <c r="F1997"/>
      <c r="G1997"/>
      <c r="H1997"/>
      <c r="I1997"/>
      <c r="J1997"/>
      <c r="K1997"/>
      <c r="L1997"/>
      <c r="M1997"/>
      <c r="S1997" s="54"/>
    </row>
    <row r="1998" spans="1:19" s="15" customFormat="1" x14ac:dyDescent="0.3">
      <c r="A1998" s="17"/>
      <c r="B1998"/>
      <c r="C1998"/>
      <c r="D1998"/>
      <c r="E1998"/>
      <c r="F1998"/>
      <c r="G1998"/>
      <c r="H1998"/>
      <c r="I1998"/>
      <c r="J1998"/>
      <c r="K1998"/>
      <c r="L1998"/>
      <c r="M1998"/>
      <c r="S1998" s="54"/>
    </row>
    <row r="1999" spans="1:19" s="15" customFormat="1" x14ac:dyDescent="0.3">
      <c r="A1999" s="17"/>
      <c r="B1999"/>
      <c r="C1999"/>
      <c r="D1999"/>
      <c r="E1999"/>
      <c r="F1999"/>
      <c r="G1999"/>
      <c r="H1999"/>
      <c r="I1999"/>
      <c r="J1999"/>
      <c r="K1999"/>
      <c r="L1999"/>
      <c r="M1999"/>
      <c r="S1999" s="54"/>
    </row>
    <row r="2000" spans="1:19" s="15" customFormat="1" x14ac:dyDescent="0.3">
      <c r="A2000" s="17"/>
      <c r="B2000"/>
      <c r="C2000"/>
      <c r="D2000"/>
      <c r="E2000"/>
      <c r="F2000"/>
      <c r="G2000"/>
      <c r="H2000"/>
      <c r="I2000"/>
      <c r="J2000"/>
      <c r="K2000"/>
      <c r="L2000"/>
      <c r="M2000"/>
      <c r="S2000" s="54"/>
    </row>
    <row r="2001" spans="1:19" s="15" customFormat="1" x14ac:dyDescent="0.3">
      <c r="A2001" s="17"/>
      <c r="B2001"/>
      <c r="C2001"/>
      <c r="D2001"/>
      <c r="E2001"/>
      <c r="F2001"/>
      <c r="G2001"/>
      <c r="H2001"/>
      <c r="I2001"/>
      <c r="J2001"/>
      <c r="K2001"/>
      <c r="L2001"/>
      <c r="M2001"/>
      <c r="S2001" s="54"/>
    </row>
    <row r="2002" spans="1:19" s="15" customFormat="1" x14ac:dyDescent="0.3">
      <c r="A2002" s="17"/>
      <c r="B2002"/>
      <c r="C2002"/>
      <c r="D2002"/>
      <c r="E2002"/>
      <c r="F2002"/>
      <c r="G2002"/>
      <c r="H2002"/>
      <c r="I2002"/>
      <c r="J2002"/>
      <c r="K2002"/>
      <c r="L2002"/>
      <c r="M2002"/>
      <c r="S2002" s="54"/>
    </row>
    <row r="2003" spans="1:19" s="15" customFormat="1" x14ac:dyDescent="0.3">
      <c r="A2003" s="17"/>
      <c r="B2003"/>
      <c r="C2003"/>
      <c r="D2003"/>
      <c r="E2003"/>
      <c r="F2003"/>
      <c r="G2003"/>
      <c r="H2003"/>
      <c r="I2003"/>
      <c r="J2003"/>
      <c r="K2003"/>
      <c r="L2003"/>
      <c r="M2003"/>
      <c r="S2003" s="54"/>
    </row>
    <row r="2004" spans="1:19" s="15" customFormat="1" x14ac:dyDescent="0.3">
      <c r="A2004" s="17"/>
      <c r="B2004"/>
      <c r="C2004"/>
      <c r="D2004"/>
      <c r="E2004"/>
      <c r="F2004"/>
      <c r="G2004"/>
      <c r="H2004"/>
      <c r="I2004"/>
      <c r="J2004"/>
      <c r="K2004"/>
      <c r="L2004"/>
      <c r="M2004"/>
      <c r="S2004" s="54"/>
    </row>
    <row r="2005" spans="1:19" s="15" customFormat="1" x14ac:dyDescent="0.3">
      <c r="A2005" s="17"/>
      <c r="B2005"/>
      <c r="C2005"/>
      <c r="D2005"/>
      <c r="E2005"/>
      <c r="F2005"/>
      <c r="G2005"/>
      <c r="H2005"/>
      <c r="I2005"/>
      <c r="J2005"/>
      <c r="K2005"/>
      <c r="L2005"/>
      <c r="M2005"/>
      <c r="S2005" s="54"/>
    </row>
    <row r="2006" spans="1:19" s="15" customFormat="1" x14ac:dyDescent="0.3">
      <c r="A2006" s="17"/>
      <c r="B2006"/>
      <c r="C2006"/>
      <c r="D2006"/>
      <c r="E2006"/>
      <c r="F2006"/>
      <c r="G2006"/>
      <c r="H2006"/>
      <c r="I2006"/>
      <c r="J2006"/>
      <c r="K2006"/>
      <c r="L2006"/>
      <c r="M2006"/>
      <c r="S2006" s="54"/>
    </row>
    <row r="2007" spans="1:19" s="15" customFormat="1" x14ac:dyDescent="0.3">
      <c r="A2007" s="17"/>
      <c r="B2007"/>
      <c r="C2007"/>
      <c r="D2007"/>
      <c r="E2007"/>
      <c r="F2007"/>
      <c r="G2007"/>
      <c r="H2007"/>
      <c r="I2007"/>
      <c r="J2007"/>
      <c r="K2007"/>
      <c r="L2007"/>
      <c r="M2007"/>
      <c r="S2007" s="54"/>
    </row>
    <row r="2008" spans="1:19" s="15" customFormat="1" x14ac:dyDescent="0.3">
      <c r="A2008" s="17"/>
      <c r="B2008"/>
      <c r="C2008"/>
      <c r="D2008"/>
      <c r="E2008"/>
      <c r="F2008"/>
      <c r="G2008"/>
      <c r="H2008"/>
      <c r="I2008"/>
      <c r="J2008"/>
      <c r="K2008"/>
      <c r="L2008"/>
      <c r="M2008"/>
      <c r="S2008" s="54"/>
    </row>
    <row r="2009" spans="1:19" s="15" customFormat="1" x14ac:dyDescent="0.3">
      <c r="A2009" s="17"/>
      <c r="B2009"/>
      <c r="C2009"/>
      <c r="D2009"/>
      <c r="E2009"/>
      <c r="F2009"/>
      <c r="G2009"/>
      <c r="H2009"/>
      <c r="I2009"/>
      <c r="J2009"/>
      <c r="K2009"/>
      <c r="L2009"/>
      <c r="M2009"/>
      <c r="S2009" s="54"/>
    </row>
    <row r="2010" spans="1:19" s="15" customFormat="1" x14ac:dyDescent="0.3">
      <c r="A2010" s="17"/>
      <c r="B2010"/>
      <c r="C2010"/>
      <c r="D2010"/>
      <c r="E2010"/>
      <c r="F2010"/>
      <c r="G2010"/>
      <c r="H2010"/>
      <c r="I2010"/>
      <c r="J2010"/>
      <c r="K2010"/>
      <c r="L2010"/>
      <c r="M2010"/>
      <c r="S2010" s="54"/>
    </row>
    <row r="2011" spans="1:19" s="15" customFormat="1" x14ac:dyDescent="0.3">
      <c r="A2011" s="17"/>
      <c r="B2011"/>
      <c r="C2011"/>
      <c r="D2011"/>
      <c r="E2011"/>
      <c r="F2011"/>
      <c r="G2011"/>
      <c r="H2011"/>
      <c r="I2011"/>
      <c r="J2011"/>
      <c r="K2011"/>
      <c r="L2011"/>
      <c r="M2011"/>
      <c r="S2011" s="54"/>
    </row>
    <row r="2012" spans="1:19" s="15" customFormat="1" x14ac:dyDescent="0.3">
      <c r="A2012" s="17"/>
      <c r="B2012"/>
      <c r="C2012"/>
      <c r="D2012"/>
      <c r="E2012"/>
      <c r="F2012"/>
      <c r="G2012"/>
      <c r="H2012"/>
      <c r="I2012"/>
      <c r="J2012"/>
      <c r="K2012"/>
      <c r="L2012"/>
      <c r="M2012"/>
      <c r="S2012" s="54"/>
    </row>
    <row r="2013" spans="1:19" s="15" customFormat="1" x14ac:dyDescent="0.3">
      <c r="A2013" s="17"/>
      <c r="B2013"/>
      <c r="C2013"/>
      <c r="D2013"/>
      <c r="E2013"/>
      <c r="F2013"/>
      <c r="G2013"/>
      <c r="H2013"/>
      <c r="I2013"/>
      <c r="J2013"/>
      <c r="K2013"/>
      <c r="L2013"/>
      <c r="M2013"/>
      <c r="S2013" s="54"/>
    </row>
    <row r="2014" spans="1:19" s="15" customFormat="1" x14ac:dyDescent="0.3">
      <c r="A2014" s="17"/>
      <c r="B2014"/>
      <c r="C2014"/>
      <c r="D2014"/>
      <c r="E2014"/>
      <c r="F2014"/>
      <c r="G2014"/>
      <c r="H2014"/>
      <c r="I2014"/>
      <c r="J2014"/>
      <c r="K2014"/>
      <c r="L2014"/>
      <c r="M2014"/>
      <c r="S2014" s="54"/>
    </row>
    <row r="2015" spans="1:19" s="15" customFormat="1" x14ac:dyDescent="0.3">
      <c r="A2015" s="17"/>
      <c r="B2015"/>
      <c r="C2015"/>
      <c r="D2015"/>
      <c r="E2015"/>
      <c r="F2015"/>
      <c r="G2015"/>
      <c r="H2015"/>
      <c r="I2015"/>
      <c r="J2015"/>
      <c r="K2015"/>
      <c r="L2015"/>
      <c r="M2015"/>
      <c r="S2015" s="54"/>
    </row>
    <row r="2016" spans="1:19" s="15" customFormat="1" x14ac:dyDescent="0.3">
      <c r="A2016" s="17"/>
      <c r="B2016"/>
      <c r="C2016"/>
      <c r="D2016"/>
      <c r="E2016"/>
      <c r="F2016"/>
      <c r="G2016"/>
      <c r="H2016"/>
      <c r="I2016"/>
      <c r="J2016"/>
      <c r="K2016"/>
      <c r="L2016"/>
      <c r="M2016"/>
      <c r="S2016" s="54"/>
    </row>
    <row r="2017" spans="1:19" s="15" customFormat="1" x14ac:dyDescent="0.3">
      <c r="A2017" s="17"/>
      <c r="B2017"/>
      <c r="C2017"/>
      <c r="D2017"/>
      <c r="E2017"/>
      <c r="F2017"/>
      <c r="G2017"/>
      <c r="H2017"/>
      <c r="I2017"/>
      <c r="J2017"/>
      <c r="K2017"/>
      <c r="L2017"/>
      <c r="M2017"/>
      <c r="S2017" s="54"/>
    </row>
    <row r="2018" spans="1:19" s="15" customFormat="1" x14ac:dyDescent="0.3">
      <c r="A2018" s="17"/>
      <c r="B2018"/>
      <c r="C2018"/>
      <c r="D2018"/>
      <c r="E2018"/>
      <c r="F2018"/>
      <c r="G2018"/>
      <c r="H2018"/>
      <c r="I2018"/>
      <c r="J2018"/>
      <c r="K2018"/>
      <c r="L2018"/>
      <c r="M2018"/>
      <c r="S2018" s="54"/>
    </row>
    <row r="2019" spans="1:19" s="15" customFormat="1" x14ac:dyDescent="0.3">
      <c r="A2019" s="17"/>
      <c r="B2019"/>
      <c r="C2019"/>
      <c r="D2019"/>
      <c r="E2019"/>
      <c r="F2019"/>
      <c r="G2019"/>
      <c r="H2019"/>
      <c r="I2019"/>
      <c r="J2019"/>
      <c r="K2019"/>
      <c r="L2019"/>
      <c r="M2019"/>
      <c r="S2019" s="54"/>
    </row>
    <row r="2020" spans="1:19" s="15" customFormat="1" x14ac:dyDescent="0.3">
      <c r="A2020" s="17"/>
      <c r="B2020"/>
      <c r="C2020"/>
      <c r="D2020"/>
      <c r="E2020"/>
      <c r="F2020"/>
      <c r="G2020"/>
      <c r="H2020"/>
      <c r="I2020"/>
      <c r="J2020"/>
      <c r="K2020"/>
      <c r="L2020"/>
      <c r="M2020"/>
      <c r="S2020" s="54"/>
    </row>
    <row r="2021" spans="1:19" s="15" customFormat="1" x14ac:dyDescent="0.3">
      <c r="A2021" s="17"/>
      <c r="B2021"/>
      <c r="C2021"/>
      <c r="D2021"/>
      <c r="E2021"/>
      <c r="F2021"/>
      <c r="G2021"/>
      <c r="H2021"/>
      <c r="I2021"/>
      <c r="J2021"/>
      <c r="K2021"/>
      <c r="L2021"/>
      <c r="M2021"/>
      <c r="S2021" s="54"/>
    </row>
    <row r="2022" spans="1:19" s="15" customFormat="1" x14ac:dyDescent="0.3">
      <c r="A2022" s="17"/>
      <c r="B2022"/>
      <c r="C2022"/>
      <c r="D2022"/>
      <c r="E2022"/>
      <c r="F2022"/>
      <c r="G2022"/>
      <c r="H2022"/>
      <c r="I2022"/>
      <c r="J2022"/>
      <c r="K2022"/>
      <c r="L2022"/>
      <c r="M2022"/>
      <c r="S2022" s="54"/>
    </row>
    <row r="2023" spans="1:19" s="15" customFormat="1" x14ac:dyDescent="0.3">
      <c r="A2023" s="17"/>
      <c r="B2023"/>
      <c r="C2023"/>
      <c r="D2023"/>
      <c r="E2023"/>
      <c r="F2023"/>
      <c r="G2023"/>
      <c r="H2023"/>
      <c r="I2023"/>
      <c r="J2023"/>
      <c r="K2023"/>
      <c r="L2023"/>
      <c r="M2023"/>
      <c r="S2023" s="54"/>
    </row>
    <row r="2024" spans="1:19" s="15" customFormat="1" x14ac:dyDescent="0.3">
      <c r="A2024" s="17"/>
      <c r="B2024"/>
      <c r="C2024"/>
      <c r="D2024"/>
      <c r="E2024"/>
      <c r="F2024"/>
      <c r="G2024"/>
      <c r="H2024"/>
      <c r="I2024"/>
      <c r="J2024"/>
      <c r="K2024"/>
      <c r="L2024"/>
      <c r="M2024"/>
      <c r="S2024" s="54"/>
    </row>
    <row r="2025" spans="1:19" s="15" customFormat="1" x14ac:dyDescent="0.3">
      <c r="A2025" s="17"/>
      <c r="B2025"/>
      <c r="C2025"/>
      <c r="D2025"/>
      <c r="E2025"/>
      <c r="F2025"/>
      <c r="G2025"/>
      <c r="H2025"/>
      <c r="I2025"/>
      <c r="J2025"/>
      <c r="K2025"/>
      <c r="L2025"/>
      <c r="M2025"/>
      <c r="S2025" s="54"/>
    </row>
    <row r="2026" spans="1:19" s="15" customFormat="1" x14ac:dyDescent="0.3">
      <c r="A2026" s="17"/>
      <c r="B2026"/>
      <c r="C2026"/>
      <c r="D2026"/>
      <c r="E2026"/>
      <c r="F2026"/>
      <c r="G2026"/>
      <c r="H2026"/>
      <c r="I2026"/>
      <c r="J2026"/>
      <c r="K2026"/>
      <c r="L2026"/>
      <c r="M2026"/>
      <c r="S2026" s="54"/>
    </row>
    <row r="2027" spans="1:19" s="15" customFormat="1" x14ac:dyDescent="0.3">
      <c r="A2027" s="17"/>
      <c r="B2027"/>
      <c r="C2027"/>
      <c r="D2027"/>
      <c r="E2027"/>
      <c r="F2027"/>
      <c r="G2027"/>
      <c r="H2027"/>
      <c r="I2027"/>
      <c r="J2027"/>
      <c r="K2027"/>
      <c r="L2027"/>
      <c r="M2027"/>
      <c r="S2027" s="54"/>
    </row>
    <row r="2028" spans="1:19" s="15" customFormat="1" x14ac:dyDescent="0.3">
      <c r="A2028" s="17"/>
      <c r="B2028"/>
      <c r="C2028"/>
      <c r="D2028"/>
      <c r="E2028"/>
      <c r="F2028"/>
      <c r="G2028"/>
      <c r="H2028"/>
      <c r="I2028"/>
      <c r="J2028"/>
      <c r="K2028"/>
      <c r="L2028"/>
      <c r="M2028"/>
      <c r="S2028" s="54"/>
    </row>
    <row r="2029" spans="1:19" s="15" customFormat="1" x14ac:dyDescent="0.3">
      <c r="A2029" s="17"/>
      <c r="B2029"/>
      <c r="C2029"/>
      <c r="D2029"/>
      <c r="E2029"/>
      <c r="F2029"/>
      <c r="G2029"/>
      <c r="H2029"/>
      <c r="I2029"/>
      <c r="J2029"/>
      <c r="K2029"/>
      <c r="L2029"/>
      <c r="M2029"/>
      <c r="S2029" s="54"/>
    </row>
    <row r="2030" spans="1:19" s="15" customFormat="1" x14ac:dyDescent="0.3">
      <c r="A2030" s="17"/>
      <c r="B2030"/>
      <c r="C2030"/>
      <c r="D2030"/>
      <c r="E2030"/>
      <c r="F2030"/>
      <c r="G2030"/>
      <c r="H2030"/>
      <c r="I2030"/>
      <c r="J2030"/>
      <c r="K2030"/>
      <c r="L2030"/>
      <c r="M2030"/>
      <c r="S2030" s="54"/>
    </row>
    <row r="2031" spans="1:19" s="15" customFormat="1" x14ac:dyDescent="0.3">
      <c r="A2031" s="17"/>
      <c r="B2031"/>
      <c r="C2031"/>
      <c r="D2031"/>
      <c r="E2031"/>
      <c r="F2031"/>
      <c r="G2031"/>
      <c r="H2031"/>
      <c r="I2031"/>
      <c r="J2031"/>
      <c r="K2031"/>
      <c r="L2031"/>
      <c r="M2031"/>
      <c r="S2031" s="54"/>
    </row>
    <row r="2032" spans="1:19" s="15" customFormat="1" x14ac:dyDescent="0.3">
      <c r="A2032" s="17"/>
      <c r="B2032"/>
      <c r="C2032"/>
      <c r="D2032"/>
      <c r="E2032"/>
      <c r="F2032"/>
      <c r="G2032"/>
      <c r="H2032"/>
      <c r="I2032"/>
      <c r="J2032"/>
      <c r="K2032"/>
      <c r="L2032"/>
      <c r="M2032"/>
      <c r="S2032" s="54"/>
    </row>
    <row r="2033" spans="1:19" s="15" customFormat="1" x14ac:dyDescent="0.3">
      <c r="A2033" s="17"/>
      <c r="B2033"/>
      <c r="C2033"/>
      <c r="D2033"/>
      <c r="E2033"/>
      <c r="F2033"/>
      <c r="G2033"/>
      <c r="H2033"/>
      <c r="I2033"/>
      <c r="J2033"/>
      <c r="K2033"/>
      <c r="L2033"/>
      <c r="M2033"/>
      <c r="S2033" s="54"/>
    </row>
    <row r="2034" spans="1:19" s="15" customFormat="1" x14ac:dyDescent="0.3">
      <c r="A2034" s="17"/>
      <c r="B2034"/>
      <c r="C2034"/>
      <c r="D2034"/>
      <c r="E2034"/>
      <c r="F2034"/>
      <c r="G2034"/>
      <c r="H2034"/>
      <c r="I2034"/>
      <c r="J2034"/>
      <c r="K2034"/>
      <c r="L2034"/>
      <c r="M2034"/>
      <c r="S2034" s="54"/>
    </row>
    <row r="2035" spans="1:19" s="15" customFormat="1" x14ac:dyDescent="0.3">
      <c r="A2035" s="17"/>
      <c r="B2035"/>
      <c r="C2035"/>
      <c r="D2035"/>
      <c r="E2035"/>
      <c r="F2035"/>
      <c r="G2035"/>
      <c r="H2035"/>
      <c r="I2035"/>
      <c r="J2035"/>
      <c r="K2035"/>
      <c r="L2035"/>
      <c r="M2035"/>
      <c r="S2035" s="54"/>
    </row>
    <row r="2036" spans="1:19" s="15" customFormat="1" x14ac:dyDescent="0.3">
      <c r="A2036" s="17"/>
      <c r="B2036"/>
      <c r="C2036"/>
      <c r="D2036"/>
      <c r="E2036"/>
      <c r="F2036"/>
      <c r="G2036"/>
      <c r="H2036"/>
      <c r="I2036"/>
      <c r="J2036"/>
      <c r="K2036"/>
      <c r="L2036"/>
      <c r="M2036"/>
      <c r="S2036" s="54"/>
    </row>
    <row r="2037" spans="1:19" s="15" customFormat="1" x14ac:dyDescent="0.3">
      <c r="A2037" s="17"/>
      <c r="B2037"/>
      <c r="C2037"/>
      <c r="D2037"/>
      <c r="E2037"/>
      <c r="F2037"/>
      <c r="G2037"/>
      <c r="H2037"/>
      <c r="I2037"/>
      <c r="J2037"/>
      <c r="K2037"/>
      <c r="L2037"/>
      <c r="M2037"/>
      <c r="S2037" s="54"/>
    </row>
    <row r="2038" spans="1:19" s="15" customFormat="1" x14ac:dyDescent="0.3">
      <c r="A2038" s="17"/>
      <c r="B2038"/>
      <c r="C2038"/>
      <c r="D2038"/>
      <c r="E2038"/>
      <c r="F2038"/>
      <c r="G2038"/>
      <c r="H2038"/>
      <c r="I2038"/>
      <c r="J2038"/>
      <c r="K2038"/>
      <c r="L2038"/>
      <c r="M2038"/>
      <c r="S2038" s="54"/>
    </row>
    <row r="2039" spans="1:19" s="15" customFormat="1" x14ac:dyDescent="0.3">
      <c r="A2039" s="17"/>
      <c r="B2039"/>
      <c r="C2039"/>
      <c r="D2039"/>
      <c r="E2039"/>
      <c r="F2039"/>
      <c r="G2039"/>
      <c r="H2039"/>
      <c r="I2039"/>
      <c r="J2039"/>
      <c r="K2039"/>
      <c r="L2039"/>
      <c r="M2039"/>
      <c r="S2039" s="54"/>
    </row>
    <row r="2040" spans="1:19" s="15" customFormat="1" x14ac:dyDescent="0.3">
      <c r="A2040" s="17"/>
      <c r="B2040"/>
      <c r="C2040"/>
      <c r="D2040"/>
      <c r="E2040"/>
      <c r="F2040"/>
      <c r="G2040"/>
      <c r="H2040"/>
      <c r="I2040"/>
      <c r="J2040"/>
      <c r="K2040"/>
      <c r="L2040"/>
      <c r="M2040"/>
      <c r="S2040" s="54"/>
    </row>
    <row r="2041" spans="1:19" s="15" customFormat="1" x14ac:dyDescent="0.3">
      <c r="A2041" s="17"/>
      <c r="B2041"/>
      <c r="C2041"/>
      <c r="D2041"/>
      <c r="E2041"/>
      <c r="F2041"/>
      <c r="G2041"/>
      <c r="H2041"/>
      <c r="I2041"/>
      <c r="J2041"/>
      <c r="K2041"/>
      <c r="L2041"/>
      <c r="M2041"/>
      <c r="S2041" s="54"/>
    </row>
    <row r="2042" spans="1:19" s="15" customFormat="1" x14ac:dyDescent="0.3">
      <c r="A2042" s="17"/>
      <c r="B2042"/>
      <c r="C2042"/>
      <c r="D2042"/>
      <c r="E2042"/>
      <c r="F2042"/>
      <c r="G2042"/>
      <c r="H2042"/>
      <c r="I2042"/>
      <c r="J2042"/>
      <c r="K2042"/>
      <c r="L2042"/>
      <c r="M2042"/>
      <c r="S2042" s="54"/>
    </row>
    <row r="2043" spans="1:19" s="15" customFormat="1" x14ac:dyDescent="0.3">
      <c r="A2043" s="17"/>
      <c r="B2043"/>
      <c r="C2043"/>
      <c r="D2043"/>
      <c r="E2043"/>
      <c r="F2043"/>
      <c r="G2043"/>
      <c r="H2043"/>
      <c r="I2043"/>
      <c r="J2043"/>
      <c r="K2043"/>
      <c r="L2043"/>
      <c r="M2043"/>
      <c r="S2043" s="54"/>
    </row>
    <row r="2044" spans="1:19" s="15" customFormat="1" x14ac:dyDescent="0.3">
      <c r="A2044" s="17"/>
      <c r="B2044"/>
      <c r="C2044"/>
      <c r="D2044"/>
      <c r="E2044"/>
      <c r="F2044"/>
      <c r="G2044"/>
      <c r="H2044"/>
      <c r="I2044"/>
      <c r="J2044"/>
      <c r="K2044"/>
      <c r="L2044"/>
      <c r="M2044"/>
      <c r="S2044" s="54"/>
    </row>
    <row r="2045" spans="1:19" s="15" customFormat="1" x14ac:dyDescent="0.3">
      <c r="A2045" s="17"/>
      <c r="B2045"/>
      <c r="C2045"/>
      <c r="D2045"/>
      <c r="E2045"/>
      <c r="F2045"/>
      <c r="G2045"/>
      <c r="H2045"/>
      <c r="I2045"/>
      <c r="J2045"/>
      <c r="K2045"/>
      <c r="L2045"/>
      <c r="M2045"/>
      <c r="S2045" s="54"/>
    </row>
    <row r="2046" spans="1:19" s="15" customFormat="1" x14ac:dyDescent="0.3">
      <c r="A2046" s="17"/>
      <c r="B2046"/>
      <c r="C2046"/>
      <c r="D2046"/>
      <c r="E2046"/>
      <c r="F2046"/>
      <c r="G2046"/>
      <c r="H2046"/>
      <c r="I2046"/>
      <c r="J2046"/>
      <c r="K2046"/>
      <c r="L2046"/>
      <c r="M2046"/>
      <c r="S2046" s="54"/>
    </row>
    <row r="2047" spans="1:19" s="15" customFormat="1" x14ac:dyDescent="0.3">
      <c r="A2047" s="17"/>
      <c r="B2047"/>
      <c r="C2047"/>
      <c r="D2047"/>
      <c r="E2047"/>
      <c r="F2047"/>
      <c r="G2047"/>
      <c r="H2047"/>
      <c r="I2047"/>
      <c r="J2047"/>
      <c r="K2047"/>
      <c r="L2047"/>
      <c r="M2047"/>
      <c r="S2047" s="54"/>
    </row>
    <row r="2048" spans="1:19" s="15" customFormat="1" x14ac:dyDescent="0.3">
      <c r="A2048" s="17"/>
      <c r="B2048"/>
      <c r="C2048"/>
      <c r="D2048"/>
      <c r="E2048"/>
      <c r="F2048"/>
      <c r="G2048"/>
      <c r="H2048"/>
      <c r="I2048"/>
      <c r="J2048"/>
      <c r="K2048"/>
      <c r="L2048"/>
      <c r="M2048"/>
      <c r="S2048" s="54"/>
    </row>
    <row r="2049" spans="1:19" s="15" customFormat="1" x14ac:dyDescent="0.3">
      <c r="A2049" s="17"/>
      <c r="B2049"/>
      <c r="C2049"/>
      <c r="D2049"/>
      <c r="E2049"/>
      <c r="F2049"/>
      <c r="G2049"/>
      <c r="H2049"/>
      <c r="I2049"/>
      <c r="J2049"/>
      <c r="K2049"/>
      <c r="L2049"/>
      <c r="M2049"/>
      <c r="S2049" s="54"/>
    </row>
    <row r="2050" spans="1:19" s="15" customFormat="1" x14ac:dyDescent="0.3">
      <c r="A2050" s="17"/>
      <c r="B2050"/>
      <c r="C2050"/>
      <c r="D2050"/>
      <c r="E2050"/>
      <c r="F2050"/>
      <c r="G2050"/>
      <c r="H2050"/>
      <c r="I2050"/>
      <c r="J2050"/>
      <c r="K2050"/>
      <c r="L2050"/>
      <c r="M2050"/>
      <c r="S2050" s="54"/>
    </row>
    <row r="2051" spans="1:19" s="15" customFormat="1" x14ac:dyDescent="0.3">
      <c r="A2051" s="17"/>
      <c r="B2051"/>
      <c r="C2051"/>
      <c r="D2051"/>
      <c r="E2051"/>
      <c r="F2051"/>
      <c r="G2051"/>
      <c r="H2051"/>
      <c r="I2051"/>
      <c r="J2051"/>
      <c r="K2051"/>
      <c r="L2051"/>
      <c r="M2051"/>
      <c r="S2051" s="54"/>
    </row>
    <row r="2052" spans="1:19" s="15" customFormat="1" x14ac:dyDescent="0.3">
      <c r="A2052" s="17"/>
      <c r="B2052"/>
      <c r="C2052"/>
      <c r="D2052"/>
      <c r="E2052"/>
      <c r="F2052"/>
      <c r="G2052"/>
      <c r="H2052"/>
      <c r="I2052"/>
      <c r="J2052"/>
      <c r="K2052"/>
      <c r="L2052"/>
      <c r="M2052"/>
      <c r="S2052" s="54"/>
    </row>
    <row r="2053" spans="1:19" s="15" customFormat="1" x14ac:dyDescent="0.3">
      <c r="A2053" s="17"/>
      <c r="B2053"/>
      <c r="C2053"/>
      <c r="D2053"/>
      <c r="E2053"/>
      <c r="F2053"/>
      <c r="G2053"/>
      <c r="H2053"/>
      <c r="I2053"/>
      <c r="J2053"/>
      <c r="K2053"/>
      <c r="L2053"/>
      <c r="M2053"/>
      <c r="S2053" s="54"/>
    </row>
    <row r="2054" spans="1:19" s="15" customFormat="1" x14ac:dyDescent="0.3">
      <c r="A2054" s="17"/>
      <c r="B2054"/>
      <c r="C2054"/>
      <c r="D2054"/>
      <c r="E2054"/>
      <c r="F2054"/>
      <c r="G2054"/>
      <c r="H2054"/>
      <c r="I2054"/>
      <c r="J2054"/>
      <c r="K2054"/>
      <c r="L2054"/>
      <c r="M2054"/>
      <c r="S2054" s="54"/>
    </row>
    <row r="2055" spans="1:19" s="15" customFormat="1" x14ac:dyDescent="0.3">
      <c r="A2055" s="17"/>
      <c r="B2055"/>
      <c r="C2055"/>
      <c r="D2055"/>
      <c r="E2055"/>
      <c r="F2055"/>
      <c r="G2055"/>
      <c r="H2055"/>
      <c r="I2055"/>
      <c r="J2055"/>
      <c r="K2055"/>
      <c r="L2055"/>
      <c r="M2055"/>
      <c r="S2055" s="54"/>
    </row>
    <row r="2056" spans="1:19" s="15" customFormat="1" x14ac:dyDescent="0.3">
      <c r="A2056" s="17"/>
      <c r="B2056"/>
      <c r="C2056"/>
      <c r="D2056"/>
      <c r="E2056"/>
      <c r="F2056"/>
      <c r="G2056"/>
      <c r="H2056"/>
      <c r="I2056"/>
      <c r="J2056"/>
      <c r="K2056"/>
      <c r="L2056"/>
      <c r="M2056"/>
      <c r="S2056" s="54"/>
    </row>
    <row r="2057" spans="1:19" s="15" customFormat="1" x14ac:dyDescent="0.3">
      <c r="A2057" s="17"/>
      <c r="B2057"/>
      <c r="C2057"/>
      <c r="D2057"/>
      <c r="E2057"/>
      <c r="F2057"/>
      <c r="G2057"/>
      <c r="H2057"/>
      <c r="I2057"/>
      <c r="J2057"/>
      <c r="K2057"/>
      <c r="L2057"/>
      <c r="M2057"/>
      <c r="S2057" s="54"/>
    </row>
    <row r="2058" spans="1:19" s="15" customFormat="1" x14ac:dyDescent="0.3">
      <c r="A2058" s="17"/>
      <c r="B2058"/>
      <c r="C2058"/>
      <c r="D2058"/>
      <c r="E2058"/>
      <c r="F2058"/>
      <c r="G2058"/>
      <c r="H2058"/>
      <c r="I2058"/>
      <c r="J2058"/>
      <c r="K2058"/>
      <c r="L2058"/>
      <c r="M2058"/>
      <c r="S2058" s="54"/>
    </row>
    <row r="2059" spans="1:19" s="15" customFormat="1" x14ac:dyDescent="0.3">
      <c r="A2059" s="17"/>
      <c r="B2059"/>
      <c r="C2059"/>
      <c r="D2059"/>
      <c r="E2059"/>
      <c r="F2059"/>
      <c r="G2059"/>
      <c r="H2059"/>
      <c r="I2059"/>
      <c r="J2059"/>
      <c r="K2059"/>
      <c r="L2059"/>
      <c r="M2059"/>
      <c r="S2059" s="54"/>
    </row>
    <row r="2060" spans="1:19" s="15" customFormat="1" x14ac:dyDescent="0.3">
      <c r="A2060" s="17"/>
      <c r="B2060"/>
      <c r="C2060"/>
      <c r="D2060"/>
      <c r="E2060"/>
      <c r="F2060"/>
      <c r="G2060"/>
      <c r="H2060"/>
      <c r="I2060"/>
      <c r="J2060"/>
      <c r="K2060"/>
      <c r="L2060"/>
      <c r="M2060"/>
      <c r="S2060" s="54"/>
    </row>
    <row r="2061" spans="1:19" s="15" customFormat="1" x14ac:dyDescent="0.3">
      <c r="A2061" s="17"/>
      <c r="B2061"/>
      <c r="C2061"/>
      <c r="D2061"/>
      <c r="E2061"/>
      <c r="F2061"/>
      <c r="G2061"/>
      <c r="H2061"/>
      <c r="I2061"/>
      <c r="J2061"/>
      <c r="K2061"/>
      <c r="L2061"/>
      <c r="M2061"/>
      <c r="S2061" s="54"/>
    </row>
    <row r="2062" spans="1:19" s="15" customFormat="1" x14ac:dyDescent="0.3">
      <c r="A2062" s="17"/>
      <c r="B2062"/>
      <c r="C2062"/>
      <c r="D2062"/>
      <c r="E2062"/>
      <c r="F2062"/>
      <c r="G2062"/>
      <c r="H2062"/>
      <c r="I2062"/>
      <c r="J2062"/>
      <c r="K2062"/>
      <c r="L2062"/>
      <c r="M2062"/>
      <c r="S2062" s="54"/>
    </row>
    <row r="2063" spans="1:19" s="15" customFormat="1" x14ac:dyDescent="0.3">
      <c r="A2063" s="17"/>
      <c r="B2063"/>
      <c r="C2063"/>
      <c r="D2063"/>
      <c r="E2063"/>
      <c r="F2063"/>
      <c r="G2063"/>
      <c r="H2063"/>
      <c r="I2063"/>
      <c r="J2063"/>
      <c r="K2063"/>
      <c r="L2063"/>
      <c r="M2063"/>
      <c r="S2063" s="54"/>
    </row>
    <row r="2064" spans="1:19" s="15" customFormat="1" x14ac:dyDescent="0.3">
      <c r="A2064" s="17"/>
      <c r="B2064"/>
      <c r="C2064"/>
      <c r="D2064"/>
      <c r="E2064"/>
      <c r="F2064"/>
      <c r="G2064"/>
      <c r="H2064"/>
      <c r="I2064"/>
      <c r="J2064"/>
      <c r="K2064"/>
      <c r="L2064"/>
      <c r="M2064"/>
      <c r="S2064" s="54"/>
    </row>
    <row r="2065" spans="1:19" s="15" customFormat="1" x14ac:dyDescent="0.3">
      <c r="A2065" s="17"/>
      <c r="B2065"/>
      <c r="C2065"/>
      <c r="D2065"/>
      <c r="E2065"/>
      <c r="F2065"/>
      <c r="G2065"/>
      <c r="H2065"/>
      <c r="I2065"/>
      <c r="J2065"/>
      <c r="K2065"/>
      <c r="L2065"/>
      <c r="M2065"/>
      <c r="S2065" s="54"/>
    </row>
    <row r="2066" spans="1:19" s="15" customFormat="1" x14ac:dyDescent="0.3">
      <c r="A2066" s="17"/>
      <c r="B2066"/>
      <c r="C2066"/>
      <c r="D2066"/>
      <c r="E2066"/>
      <c r="F2066"/>
      <c r="G2066"/>
      <c r="H2066"/>
      <c r="I2066"/>
      <c r="J2066"/>
      <c r="K2066"/>
      <c r="L2066"/>
      <c r="M2066"/>
      <c r="S2066" s="54"/>
    </row>
    <row r="2067" spans="1:19" s="15" customFormat="1" x14ac:dyDescent="0.3">
      <c r="A2067" s="17"/>
      <c r="B2067"/>
      <c r="C2067"/>
      <c r="D2067"/>
      <c r="E2067"/>
      <c r="F2067"/>
      <c r="G2067"/>
      <c r="H2067"/>
      <c r="I2067"/>
      <c r="J2067"/>
      <c r="K2067"/>
      <c r="L2067"/>
      <c r="M2067"/>
      <c r="S2067" s="54"/>
    </row>
    <row r="2068" spans="1:19" s="15" customFormat="1" x14ac:dyDescent="0.3">
      <c r="A2068" s="17"/>
      <c r="B2068"/>
      <c r="C2068"/>
      <c r="D2068"/>
      <c r="E2068"/>
      <c r="F2068"/>
      <c r="G2068"/>
      <c r="H2068"/>
      <c r="I2068"/>
      <c r="J2068"/>
      <c r="K2068"/>
      <c r="L2068"/>
      <c r="M2068"/>
      <c r="S2068" s="54"/>
    </row>
    <row r="2069" spans="1:19" s="15" customFormat="1" x14ac:dyDescent="0.3">
      <c r="A2069" s="17"/>
      <c r="B2069"/>
      <c r="C2069"/>
      <c r="D2069"/>
      <c r="E2069"/>
      <c r="F2069"/>
      <c r="G2069"/>
      <c r="H2069"/>
      <c r="I2069"/>
      <c r="J2069"/>
      <c r="K2069"/>
      <c r="L2069"/>
      <c r="M2069"/>
      <c r="S2069" s="54"/>
    </row>
    <row r="2070" spans="1:19" s="15" customFormat="1" x14ac:dyDescent="0.3">
      <c r="A2070" s="17"/>
      <c r="B2070"/>
      <c r="C2070"/>
      <c r="D2070"/>
      <c r="E2070"/>
      <c r="F2070"/>
      <c r="G2070"/>
      <c r="H2070"/>
      <c r="I2070"/>
      <c r="J2070"/>
      <c r="K2070"/>
      <c r="L2070"/>
      <c r="M2070"/>
      <c r="S2070" s="54"/>
    </row>
    <row r="2071" spans="1:19" s="15" customFormat="1" x14ac:dyDescent="0.3">
      <c r="A2071" s="17"/>
      <c r="B2071"/>
      <c r="C2071"/>
      <c r="D2071"/>
      <c r="E2071"/>
      <c r="F2071"/>
      <c r="G2071"/>
      <c r="H2071"/>
      <c r="I2071"/>
      <c r="J2071"/>
      <c r="K2071"/>
      <c r="L2071"/>
      <c r="M2071"/>
      <c r="S2071" s="54"/>
    </row>
    <row r="2072" spans="1:19" s="15" customFormat="1" x14ac:dyDescent="0.3">
      <c r="A2072" s="17"/>
      <c r="B2072"/>
      <c r="C2072"/>
      <c r="D2072"/>
      <c r="E2072"/>
      <c r="F2072"/>
      <c r="G2072"/>
      <c r="H2072"/>
      <c r="I2072"/>
      <c r="J2072"/>
      <c r="K2072"/>
      <c r="L2072"/>
      <c r="M2072"/>
      <c r="S2072" s="54"/>
    </row>
    <row r="2073" spans="1:19" s="15" customFormat="1" x14ac:dyDescent="0.3">
      <c r="A2073" s="17"/>
      <c r="B2073"/>
      <c r="C2073"/>
      <c r="D2073"/>
      <c r="E2073"/>
      <c r="F2073"/>
      <c r="G2073"/>
      <c r="H2073"/>
      <c r="I2073"/>
      <c r="J2073"/>
      <c r="K2073"/>
      <c r="L2073"/>
      <c r="M2073"/>
      <c r="S2073" s="54"/>
    </row>
    <row r="2074" spans="1:19" s="15" customFormat="1" x14ac:dyDescent="0.3">
      <c r="A2074" s="17"/>
      <c r="B2074"/>
      <c r="C2074"/>
      <c r="D2074"/>
      <c r="E2074"/>
      <c r="F2074"/>
      <c r="G2074"/>
      <c r="H2074"/>
      <c r="I2074"/>
      <c r="J2074"/>
      <c r="K2074"/>
      <c r="L2074"/>
      <c r="M2074"/>
      <c r="S2074" s="54"/>
    </row>
    <row r="2075" spans="1:19" s="15" customFormat="1" x14ac:dyDescent="0.3">
      <c r="A2075" s="17"/>
      <c r="B2075"/>
      <c r="C2075"/>
      <c r="D2075"/>
      <c r="E2075"/>
      <c r="F2075"/>
      <c r="G2075"/>
      <c r="H2075"/>
      <c r="I2075"/>
      <c r="J2075"/>
      <c r="K2075"/>
      <c r="L2075"/>
      <c r="M2075"/>
      <c r="S2075" s="54"/>
    </row>
    <row r="2076" spans="1:19" s="15" customFormat="1" x14ac:dyDescent="0.3">
      <c r="A2076" s="17"/>
      <c r="B2076"/>
      <c r="C2076"/>
      <c r="D2076"/>
      <c r="E2076"/>
      <c r="F2076"/>
      <c r="G2076"/>
      <c r="H2076"/>
      <c r="I2076"/>
      <c r="J2076"/>
      <c r="K2076"/>
      <c r="L2076"/>
      <c r="M2076"/>
      <c r="S2076" s="54"/>
    </row>
    <row r="2077" spans="1:19" s="15" customFormat="1" x14ac:dyDescent="0.3">
      <c r="A2077" s="17"/>
      <c r="B2077"/>
      <c r="C2077"/>
      <c r="D2077"/>
      <c r="E2077"/>
      <c r="F2077"/>
      <c r="G2077"/>
      <c r="H2077"/>
      <c r="I2077"/>
      <c r="J2077"/>
      <c r="K2077"/>
      <c r="L2077"/>
      <c r="M2077"/>
      <c r="S2077" s="54"/>
    </row>
    <row r="2078" spans="1:19" s="15" customFormat="1" x14ac:dyDescent="0.3">
      <c r="A2078" s="17"/>
      <c r="B2078"/>
      <c r="C2078"/>
      <c r="D2078"/>
      <c r="E2078"/>
      <c r="F2078"/>
      <c r="G2078"/>
      <c r="H2078"/>
      <c r="I2078"/>
      <c r="J2078"/>
      <c r="K2078"/>
      <c r="L2078"/>
      <c r="M2078"/>
      <c r="S2078" s="54"/>
    </row>
    <row r="2079" spans="1:19" s="15" customFormat="1" x14ac:dyDescent="0.3">
      <c r="A2079" s="17"/>
      <c r="B2079"/>
      <c r="C2079"/>
      <c r="D2079"/>
      <c r="E2079"/>
      <c r="F2079"/>
      <c r="G2079"/>
      <c r="H2079"/>
      <c r="I2079"/>
      <c r="J2079"/>
      <c r="K2079"/>
      <c r="L2079"/>
      <c r="M2079"/>
      <c r="S2079" s="54"/>
    </row>
    <row r="2080" spans="1:19" s="15" customFormat="1" x14ac:dyDescent="0.3">
      <c r="A2080" s="17"/>
      <c r="B2080"/>
      <c r="C2080"/>
      <c r="D2080"/>
      <c r="E2080"/>
      <c r="F2080"/>
      <c r="G2080"/>
      <c r="H2080"/>
      <c r="I2080"/>
      <c r="J2080"/>
      <c r="K2080"/>
      <c r="L2080"/>
      <c r="M2080"/>
      <c r="S2080" s="54"/>
    </row>
    <row r="2081" spans="1:19" s="15" customFormat="1" x14ac:dyDescent="0.3">
      <c r="A2081" s="17"/>
      <c r="B2081"/>
      <c r="C2081"/>
      <c r="D2081"/>
      <c r="E2081"/>
      <c r="F2081"/>
      <c r="G2081"/>
      <c r="H2081"/>
      <c r="I2081"/>
      <c r="J2081"/>
      <c r="K2081"/>
      <c r="L2081"/>
      <c r="M2081"/>
      <c r="S2081" s="54"/>
    </row>
    <row r="2082" spans="1:19" s="15" customFormat="1" x14ac:dyDescent="0.3">
      <c r="A2082" s="17"/>
      <c r="B2082"/>
      <c r="C2082"/>
      <c r="D2082"/>
      <c r="E2082"/>
      <c r="F2082"/>
      <c r="G2082"/>
      <c r="H2082"/>
      <c r="I2082"/>
      <c r="J2082"/>
      <c r="K2082"/>
      <c r="L2082"/>
      <c r="M2082"/>
      <c r="S2082" s="54"/>
    </row>
    <row r="2083" spans="1:19" s="15" customFormat="1" x14ac:dyDescent="0.3">
      <c r="A2083" s="17"/>
      <c r="B2083"/>
      <c r="C2083"/>
      <c r="D2083"/>
      <c r="E2083"/>
      <c r="F2083"/>
      <c r="G2083"/>
      <c r="H2083"/>
      <c r="I2083"/>
      <c r="J2083"/>
      <c r="K2083"/>
      <c r="L2083"/>
      <c r="M2083"/>
      <c r="S2083" s="54"/>
    </row>
    <row r="2084" spans="1:19" s="15" customFormat="1" x14ac:dyDescent="0.3">
      <c r="A2084" s="17"/>
      <c r="B2084"/>
      <c r="C2084"/>
      <c r="D2084"/>
      <c r="E2084"/>
      <c r="F2084"/>
      <c r="G2084"/>
      <c r="H2084"/>
      <c r="I2084"/>
      <c r="J2084"/>
      <c r="K2084"/>
      <c r="L2084"/>
      <c r="M2084"/>
      <c r="S2084" s="54"/>
    </row>
    <row r="2085" spans="1:19" s="15" customFormat="1" x14ac:dyDescent="0.3">
      <c r="A2085" s="17"/>
      <c r="B2085"/>
      <c r="C2085"/>
      <c r="D2085"/>
      <c r="E2085"/>
      <c r="F2085"/>
      <c r="G2085"/>
      <c r="H2085"/>
      <c r="I2085"/>
      <c r="J2085"/>
      <c r="K2085"/>
      <c r="L2085"/>
      <c r="M2085"/>
      <c r="S2085" s="54"/>
    </row>
    <row r="2086" spans="1:19" s="15" customFormat="1" x14ac:dyDescent="0.3">
      <c r="A2086" s="17"/>
      <c r="B2086"/>
      <c r="C2086"/>
      <c r="D2086"/>
      <c r="E2086"/>
      <c r="F2086"/>
      <c r="G2086"/>
      <c r="H2086"/>
      <c r="I2086"/>
      <c r="J2086"/>
      <c r="K2086"/>
      <c r="L2086"/>
      <c r="M2086"/>
      <c r="S2086" s="54"/>
    </row>
    <row r="2087" spans="1:19" s="15" customFormat="1" x14ac:dyDescent="0.3">
      <c r="A2087" s="17"/>
      <c r="B2087"/>
      <c r="C2087"/>
      <c r="D2087"/>
      <c r="E2087"/>
      <c r="F2087"/>
      <c r="G2087"/>
      <c r="H2087"/>
      <c r="I2087"/>
      <c r="J2087"/>
      <c r="K2087"/>
      <c r="L2087"/>
      <c r="M2087"/>
      <c r="S2087" s="54"/>
    </row>
    <row r="2088" spans="1:19" s="15" customFormat="1" x14ac:dyDescent="0.3">
      <c r="A2088" s="17"/>
      <c r="B2088"/>
      <c r="C2088"/>
      <c r="D2088"/>
      <c r="E2088"/>
      <c r="F2088"/>
      <c r="G2088"/>
      <c r="H2088"/>
      <c r="I2088"/>
      <c r="J2088"/>
      <c r="K2088"/>
      <c r="L2088"/>
      <c r="M2088"/>
      <c r="S2088" s="54"/>
    </row>
    <row r="2089" spans="1:19" s="15" customFormat="1" x14ac:dyDescent="0.3">
      <c r="A2089" s="17"/>
      <c r="B2089"/>
      <c r="C2089"/>
      <c r="D2089"/>
      <c r="E2089"/>
      <c r="F2089"/>
      <c r="G2089"/>
      <c r="H2089"/>
      <c r="I2089"/>
      <c r="J2089"/>
      <c r="K2089"/>
      <c r="L2089"/>
      <c r="M2089"/>
      <c r="S2089" s="54"/>
    </row>
    <row r="2090" spans="1:19" s="15" customFormat="1" x14ac:dyDescent="0.3">
      <c r="A2090" s="17"/>
      <c r="B2090"/>
      <c r="C2090"/>
      <c r="D2090"/>
      <c r="E2090"/>
      <c r="F2090"/>
      <c r="G2090"/>
      <c r="H2090"/>
      <c r="I2090"/>
      <c r="J2090"/>
      <c r="K2090"/>
      <c r="L2090"/>
      <c r="M2090"/>
      <c r="S2090" s="54"/>
    </row>
    <row r="2091" spans="1:19" s="15" customFormat="1" x14ac:dyDescent="0.3">
      <c r="A2091" s="17"/>
      <c r="B2091"/>
      <c r="C2091"/>
      <c r="D2091"/>
      <c r="E2091"/>
      <c r="F2091"/>
      <c r="G2091"/>
      <c r="H2091"/>
      <c r="I2091"/>
      <c r="J2091"/>
      <c r="K2091"/>
      <c r="L2091"/>
      <c r="M2091"/>
      <c r="S2091" s="54"/>
    </row>
    <row r="2092" spans="1:19" s="15" customFormat="1" x14ac:dyDescent="0.3">
      <c r="A2092" s="17"/>
      <c r="B2092"/>
      <c r="C2092"/>
      <c r="D2092"/>
      <c r="E2092"/>
      <c r="F2092"/>
      <c r="G2092"/>
      <c r="H2092"/>
      <c r="I2092"/>
      <c r="J2092"/>
      <c r="K2092"/>
      <c r="L2092"/>
      <c r="M2092"/>
      <c r="S2092" s="54"/>
    </row>
    <row r="2093" spans="1:19" s="15" customFormat="1" x14ac:dyDescent="0.3">
      <c r="A2093" s="17"/>
      <c r="B2093"/>
      <c r="C2093"/>
      <c r="D2093"/>
      <c r="E2093"/>
      <c r="F2093"/>
      <c r="G2093"/>
      <c r="H2093"/>
      <c r="I2093"/>
      <c r="J2093"/>
      <c r="K2093"/>
      <c r="L2093"/>
      <c r="M2093"/>
      <c r="S2093" s="54"/>
    </row>
    <row r="2094" spans="1:19" s="15" customFormat="1" x14ac:dyDescent="0.3">
      <c r="A2094" s="17"/>
      <c r="B2094"/>
      <c r="C2094"/>
      <c r="D2094"/>
      <c r="E2094"/>
      <c r="F2094"/>
      <c r="G2094"/>
      <c r="H2094"/>
      <c r="I2094"/>
      <c r="J2094"/>
      <c r="K2094"/>
      <c r="L2094"/>
      <c r="M2094"/>
      <c r="S2094" s="54"/>
    </row>
    <row r="2095" spans="1:19" s="15" customFormat="1" x14ac:dyDescent="0.3">
      <c r="A2095" s="17"/>
      <c r="B2095"/>
      <c r="C2095"/>
      <c r="D2095"/>
      <c r="E2095"/>
      <c r="F2095"/>
      <c r="G2095"/>
      <c r="H2095"/>
      <c r="I2095"/>
      <c r="J2095"/>
      <c r="K2095"/>
      <c r="L2095"/>
      <c r="M2095"/>
      <c r="S2095" s="54"/>
    </row>
    <row r="2096" spans="1:19" s="15" customFormat="1" x14ac:dyDescent="0.3">
      <c r="A2096" s="17"/>
      <c r="B2096"/>
      <c r="C2096"/>
      <c r="D2096"/>
      <c r="E2096"/>
      <c r="F2096"/>
      <c r="G2096"/>
      <c r="H2096"/>
      <c r="I2096"/>
      <c r="J2096"/>
      <c r="K2096"/>
      <c r="L2096"/>
      <c r="M2096"/>
      <c r="S2096" s="54"/>
    </row>
    <row r="2097" spans="1:19" s="15" customFormat="1" x14ac:dyDescent="0.3">
      <c r="A2097" s="17"/>
      <c r="B2097"/>
      <c r="C2097"/>
      <c r="D2097"/>
      <c r="E2097"/>
      <c r="F2097"/>
      <c r="G2097"/>
      <c r="H2097"/>
      <c r="I2097"/>
      <c r="J2097"/>
      <c r="K2097"/>
      <c r="L2097"/>
      <c r="M2097"/>
      <c r="S2097" s="54"/>
    </row>
    <row r="2098" spans="1:19" s="15" customFormat="1" x14ac:dyDescent="0.3">
      <c r="A2098" s="17"/>
      <c r="B2098"/>
      <c r="C2098"/>
      <c r="D2098"/>
      <c r="E2098"/>
      <c r="F2098"/>
      <c r="G2098"/>
      <c r="H2098"/>
      <c r="I2098"/>
      <c r="J2098"/>
      <c r="K2098"/>
      <c r="L2098"/>
      <c r="M2098"/>
      <c r="S2098" s="54"/>
    </row>
    <row r="2099" spans="1:19" s="15" customFormat="1" x14ac:dyDescent="0.3">
      <c r="A2099" s="17"/>
      <c r="B2099"/>
      <c r="C2099"/>
      <c r="D2099"/>
      <c r="E2099"/>
      <c r="F2099"/>
      <c r="G2099"/>
      <c r="H2099"/>
      <c r="I2099"/>
      <c r="J2099"/>
      <c r="K2099"/>
      <c r="L2099"/>
      <c r="M2099"/>
      <c r="S2099" s="54"/>
    </row>
    <row r="2100" spans="1:19" s="15" customFormat="1" x14ac:dyDescent="0.3">
      <c r="A2100" s="17"/>
      <c r="B2100"/>
      <c r="C2100"/>
      <c r="D2100"/>
      <c r="E2100"/>
      <c r="F2100"/>
      <c r="G2100"/>
      <c r="H2100"/>
      <c r="I2100"/>
      <c r="J2100"/>
      <c r="K2100"/>
      <c r="L2100"/>
      <c r="M2100"/>
      <c r="S2100" s="54"/>
    </row>
    <row r="2101" spans="1:19" s="15" customFormat="1" x14ac:dyDescent="0.3">
      <c r="A2101" s="17"/>
      <c r="B2101"/>
      <c r="C2101"/>
      <c r="D2101"/>
      <c r="E2101"/>
      <c r="F2101"/>
      <c r="G2101"/>
      <c r="H2101"/>
      <c r="I2101"/>
      <c r="J2101"/>
      <c r="K2101"/>
      <c r="L2101"/>
      <c r="M2101"/>
      <c r="S2101" s="54"/>
    </row>
    <row r="2102" spans="1:19" s="15" customFormat="1" x14ac:dyDescent="0.3">
      <c r="A2102" s="17"/>
      <c r="B2102"/>
      <c r="C2102"/>
      <c r="D2102"/>
      <c r="E2102"/>
      <c r="F2102"/>
      <c r="G2102"/>
      <c r="H2102"/>
      <c r="I2102"/>
      <c r="J2102"/>
      <c r="K2102"/>
      <c r="L2102"/>
      <c r="M2102"/>
      <c r="S2102" s="54"/>
    </row>
    <row r="2103" spans="1:19" s="15" customFormat="1" x14ac:dyDescent="0.3">
      <c r="A2103" s="17"/>
      <c r="B2103"/>
      <c r="C2103"/>
      <c r="D2103"/>
      <c r="E2103"/>
      <c r="F2103"/>
      <c r="G2103"/>
      <c r="H2103"/>
      <c r="I2103"/>
      <c r="J2103"/>
      <c r="K2103"/>
      <c r="L2103"/>
      <c r="M2103"/>
      <c r="S2103" s="54"/>
    </row>
    <row r="2104" spans="1:19" s="15" customFormat="1" x14ac:dyDescent="0.3">
      <c r="A2104" s="17"/>
      <c r="B2104"/>
      <c r="C2104"/>
      <c r="D2104"/>
      <c r="E2104"/>
      <c r="F2104"/>
      <c r="G2104"/>
      <c r="H2104"/>
      <c r="I2104"/>
      <c r="J2104"/>
      <c r="K2104"/>
      <c r="L2104"/>
      <c r="M2104"/>
      <c r="S2104" s="54"/>
    </row>
    <row r="2105" spans="1:19" s="15" customFormat="1" x14ac:dyDescent="0.3">
      <c r="A2105" s="17"/>
      <c r="B2105"/>
      <c r="C2105"/>
      <c r="D2105"/>
      <c r="E2105"/>
      <c r="F2105"/>
      <c r="G2105"/>
      <c r="H2105"/>
      <c r="I2105"/>
      <c r="J2105"/>
      <c r="K2105"/>
      <c r="L2105"/>
      <c r="M2105"/>
      <c r="S2105" s="54"/>
    </row>
    <row r="2106" spans="1:19" s="15" customFormat="1" x14ac:dyDescent="0.3">
      <c r="A2106" s="17"/>
      <c r="B2106"/>
      <c r="C2106"/>
      <c r="D2106"/>
      <c r="E2106"/>
      <c r="F2106"/>
      <c r="G2106"/>
      <c r="H2106"/>
      <c r="I2106"/>
      <c r="J2106"/>
      <c r="K2106"/>
      <c r="L2106"/>
      <c r="M2106"/>
      <c r="S2106" s="54"/>
    </row>
    <row r="2107" spans="1:19" s="15" customFormat="1" x14ac:dyDescent="0.3">
      <c r="A2107" s="17"/>
      <c r="B2107"/>
      <c r="C2107"/>
      <c r="D2107"/>
      <c r="E2107"/>
      <c r="F2107"/>
      <c r="G2107"/>
      <c r="H2107"/>
      <c r="I2107"/>
      <c r="J2107"/>
      <c r="K2107"/>
      <c r="L2107"/>
      <c r="M2107"/>
      <c r="S2107" s="54"/>
    </row>
    <row r="2108" spans="1:19" s="15" customFormat="1" x14ac:dyDescent="0.3">
      <c r="A2108" s="17"/>
      <c r="B2108"/>
      <c r="C2108"/>
      <c r="D2108"/>
      <c r="E2108"/>
      <c r="F2108"/>
      <c r="G2108"/>
      <c r="H2108"/>
      <c r="I2108"/>
      <c r="J2108"/>
      <c r="K2108"/>
      <c r="L2108"/>
      <c r="M2108"/>
      <c r="S2108" s="54"/>
    </row>
    <row r="2109" spans="1:19" s="15" customFormat="1" x14ac:dyDescent="0.3">
      <c r="A2109" s="17"/>
      <c r="B2109"/>
      <c r="C2109"/>
      <c r="D2109"/>
      <c r="E2109"/>
      <c r="F2109"/>
      <c r="G2109"/>
      <c r="H2109"/>
      <c r="I2109"/>
      <c r="J2109"/>
      <c r="K2109"/>
      <c r="L2109"/>
      <c r="M2109"/>
      <c r="S2109" s="54"/>
    </row>
    <row r="2110" spans="1:19" s="15" customFormat="1" x14ac:dyDescent="0.3">
      <c r="A2110" s="17"/>
      <c r="B2110"/>
      <c r="C2110"/>
      <c r="D2110"/>
      <c r="E2110"/>
      <c r="F2110"/>
      <c r="G2110"/>
      <c r="H2110"/>
      <c r="I2110"/>
      <c r="J2110"/>
      <c r="K2110"/>
      <c r="L2110"/>
      <c r="M2110"/>
      <c r="S2110" s="54"/>
    </row>
    <row r="2111" spans="1:19" s="15" customFormat="1" x14ac:dyDescent="0.3">
      <c r="A2111" s="17"/>
      <c r="B2111"/>
      <c r="C2111"/>
      <c r="D2111"/>
      <c r="E2111"/>
      <c r="F2111"/>
      <c r="G2111"/>
      <c r="H2111"/>
      <c r="I2111"/>
      <c r="J2111"/>
      <c r="K2111"/>
      <c r="L2111"/>
      <c r="M2111"/>
      <c r="S2111" s="54"/>
    </row>
    <row r="2112" spans="1:19" s="15" customFormat="1" x14ac:dyDescent="0.3">
      <c r="A2112" s="17"/>
      <c r="B2112"/>
      <c r="C2112"/>
      <c r="D2112"/>
      <c r="E2112"/>
      <c r="F2112"/>
      <c r="G2112"/>
      <c r="H2112"/>
      <c r="I2112"/>
      <c r="J2112"/>
      <c r="K2112"/>
      <c r="L2112"/>
      <c r="M2112"/>
      <c r="S2112" s="54"/>
    </row>
    <row r="2113" spans="1:19" s="15" customFormat="1" x14ac:dyDescent="0.3">
      <c r="A2113" s="17"/>
      <c r="B2113"/>
      <c r="C2113"/>
      <c r="D2113"/>
      <c r="E2113"/>
      <c r="F2113"/>
      <c r="G2113"/>
      <c r="H2113"/>
      <c r="I2113"/>
      <c r="J2113"/>
      <c r="K2113"/>
      <c r="L2113"/>
      <c r="M2113"/>
      <c r="S2113" s="54"/>
    </row>
    <row r="2114" spans="1:19" s="15" customFormat="1" x14ac:dyDescent="0.3">
      <c r="A2114" s="17"/>
      <c r="B2114"/>
      <c r="C2114"/>
      <c r="D2114"/>
      <c r="E2114"/>
      <c r="F2114"/>
      <c r="G2114"/>
      <c r="H2114"/>
      <c r="I2114"/>
      <c r="J2114"/>
      <c r="K2114"/>
      <c r="L2114"/>
      <c r="M2114"/>
      <c r="S2114" s="54"/>
    </row>
    <row r="2115" spans="1:19" s="15" customFormat="1" x14ac:dyDescent="0.3">
      <c r="A2115" s="17"/>
      <c r="B2115"/>
      <c r="C2115"/>
      <c r="D2115"/>
      <c r="E2115"/>
      <c r="F2115"/>
      <c r="G2115"/>
      <c r="H2115"/>
      <c r="I2115"/>
      <c r="J2115"/>
      <c r="K2115"/>
      <c r="L2115"/>
      <c r="M2115"/>
      <c r="S2115" s="54"/>
    </row>
    <row r="2116" spans="1:19" s="15" customFormat="1" x14ac:dyDescent="0.3">
      <c r="A2116" s="17"/>
      <c r="B2116"/>
      <c r="C2116"/>
      <c r="D2116"/>
      <c r="E2116"/>
      <c r="F2116"/>
      <c r="G2116"/>
      <c r="H2116"/>
      <c r="I2116"/>
      <c r="J2116"/>
      <c r="K2116"/>
      <c r="L2116"/>
      <c r="M2116"/>
      <c r="S2116" s="54"/>
    </row>
    <row r="2117" spans="1:19" s="15" customFormat="1" x14ac:dyDescent="0.3">
      <c r="A2117" s="17"/>
      <c r="B2117"/>
      <c r="C2117"/>
      <c r="D2117"/>
      <c r="E2117"/>
      <c r="F2117"/>
      <c r="G2117"/>
      <c r="H2117"/>
      <c r="I2117"/>
      <c r="J2117"/>
      <c r="K2117"/>
      <c r="L2117"/>
      <c r="M2117"/>
      <c r="S2117" s="54"/>
    </row>
    <row r="2118" spans="1:19" s="15" customFormat="1" x14ac:dyDescent="0.3">
      <c r="A2118" s="17"/>
      <c r="B2118"/>
      <c r="C2118"/>
      <c r="D2118"/>
      <c r="E2118"/>
      <c r="F2118"/>
      <c r="G2118"/>
      <c r="H2118"/>
      <c r="I2118"/>
      <c r="J2118"/>
      <c r="K2118"/>
      <c r="L2118"/>
      <c r="M2118"/>
      <c r="S2118" s="54"/>
    </row>
    <row r="2119" spans="1:19" s="15" customFormat="1" x14ac:dyDescent="0.3">
      <c r="A2119" s="17"/>
      <c r="B2119"/>
      <c r="C2119"/>
      <c r="D2119"/>
      <c r="E2119"/>
      <c r="F2119"/>
      <c r="G2119"/>
      <c r="H2119"/>
      <c r="I2119"/>
      <c r="J2119"/>
      <c r="K2119"/>
      <c r="L2119"/>
      <c r="M2119"/>
      <c r="S2119" s="54"/>
    </row>
    <row r="2120" spans="1:19" s="15" customFormat="1" x14ac:dyDescent="0.3">
      <c r="A2120" s="17"/>
      <c r="B2120"/>
      <c r="C2120"/>
      <c r="D2120"/>
      <c r="E2120"/>
      <c r="F2120"/>
      <c r="G2120"/>
      <c r="H2120"/>
      <c r="I2120"/>
      <c r="J2120"/>
      <c r="K2120"/>
      <c r="L2120"/>
      <c r="M2120"/>
      <c r="S2120" s="54"/>
    </row>
    <row r="2121" spans="1:19" s="15" customFormat="1" x14ac:dyDescent="0.3">
      <c r="A2121" s="17"/>
      <c r="B2121"/>
      <c r="C2121"/>
      <c r="D2121"/>
      <c r="E2121"/>
      <c r="F2121"/>
      <c r="G2121"/>
      <c r="H2121"/>
      <c r="I2121"/>
      <c r="J2121"/>
      <c r="K2121"/>
      <c r="L2121"/>
      <c r="M2121"/>
      <c r="S2121" s="54"/>
    </row>
    <row r="2122" spans="1:19" s="15" customFormat="1" x14ac:dyDescent="0.3">
      <c r="A2122" s="17"/>
      <c r="B2122"/>
      <c r="C2122"/>
      <c r="D2122"/>
      <c r="E2122"/>
      <c r="F2122"/>
      <c r="G2122"/>
      <c r="H2122"/>
      <c r="I2122"/>
      <c r="J2122"/>
      <c r="K2122"/>
      <c r="L2122"/>
      <c r="M2122"/>
      <c r="S2122" s="54"/>
    </row>
    <row r="2123" spans="1:19" s="15" customFormat="1" x14ac:dyDescent="0.3">
      <c r="A2123" s="17"/>
      <c r="B2123"/>
      <c r="C2123"/>
      <c r="D2123"/>
      <c r="E2123"/>
      <c r="F2123"/>
      <c r="G2123"/>
      <c r="H2123"/>
      <c r="I2123"/>
      <c r="J2123"/>
      <c r="K2123"/>
      <c r="L2123"/>
      <c r="M2123"/>
      <c r="S2123" s="54"/>
    </row>
    <row r="2124" spans="1:19" s="15" customFormat="1" x14ac:dyDescent="0.3">
      <c r="A2124" s="17"/>
      <c r="B2124"/>
      <c r="C2124"/>
      <c r="D2124"/>
      <c r="E2124"/>
      <c r="F2124"/>
      <c r="G2124"/>
      <c r="H2124"/>
      <c r="I2124"/>
      <c r="J2124"/>
      <c r="K2124"/>
      <c r="L2124"/>
      <c r="M2124"/>
      <c r="S2124" s="54"/>
    </row>
    <row r="2125" spans="1:19" s="15" customFormat="1" x14ac:dyDescent="0.3">
      <c r="A2125" s="17"/>
      <c r="B2125"/>
      <c r="C2125"/>
      <c r="D2125"/>
      <c r="E2125"/>
      <c r="F2125"/>
      <c r="G2125"/>
      <c r="H2125"/>
      <c r="I2125"/>
      <c r="J2125"/>
      <c r="K2125"/>
      <c r="L2125"/>
      <c r="M2125"/>
      <c r="S2125" s="54"/>
    </row>
    <row r="2126" spans="1:19" s="15" customFormat="1" x14ac:dyDescent="0.3">
      <c r="A2126" s="17"/>
      <c r="B2126"/>
      <c r="C2126"/>
      <c r="D2126"/>
      <c r="E2126"/>
      <c r="F2126"/>
      <c r="G2126"/>
      <c r="H2126"/>
      <c r="I2126"/>
      <c r="J2126"/>
      <c r="K2126"/>
      <c r="L2126"/>
      <c r="M2126"/>
      <c r="S2126" s="54"/>
    </row>
    <row r="2127" spans="1:19" s="15" customFormat="1" x14ac:dyDescent="0.3">
      <c r="A2127" s="17"/>
      <c r="B2127"/>
      <c r="C2127"/>
      <c r="D2127"/>
      <c r="E2127"/>
      <c r="F2127"/>
      <c r="G2127"/>
      <c r="H2127"/>
      <c r="I2127"/>
      <c r="J2127"/>
      <c r="K2127"/>
      <c r="L2127"/>
      <c r="M2127"/>
      <c r="S2127" s="54"/>
    </row>
    <row r="2128" spans="1:19" s="15" customFormat="1" x14ac:dyDescent="0.3">
      <c r="A2128" s="17"/>
      <c r="B2128"/>
      <c r="C2128"/>
      <c r="D2128"/>
      <c r="E2128"/>
      <c r="F2128"/>
      <c r="G2128"/>
      <c r="H2128"/>
      <c r="I2128"/>
      <c r="J2128"/>
      <c r="K2128"/>
      <c r="L2128"/>
      <c r="M2128"/>
      <c r="S2128" s="54"/>
    </row>
    <row r="2129" spans="1:19" s="15" customFormat="1" x14ac:dyDescent="0.3">
      <c r="A2129" s="17"/>
      <c r="B2129"/>
      <c r="C2129"/>
      <c r="D2129"/>
      <c r="E2129"/>
      <c r="F2129"/>
      <c r="G2129"/>
      <c r="H2129"/>
      <c r="I2129"/>
      <c r="J2129"/>
      <c r="K2129"/>
      <c r="L2129"/>
      <c r="M2129"/>
      <c r="S2129" s="54"/>
    </row>
    <row r="2130" spans="1:19" s="15" customFormat="1" x14ac:dyDescent="0.3">
      <c r="A2130" s="17"/>
      <c r="B2130"/>
      <c r="C2130"/>
      <c r="D2130"/>
      <c r="E2130"/>
      <c r="F2130"/>
      <c r="G2130"/>
      <c r="H2130"/>
      <c r="I2130"/>
      <c r="J2130"/>
      <c r="K2130"/>
      <c r="L2130"/>
      <c r="M2130"/>
      <c r="S2130" s="54"/>
    </row>
    <row r="2131" spans="1:19" s="15" customFormat="1" x14ac:dyDescent="0.3">
      <c r="A2131" s="17"/>
      <c r="B2131"/>
      <c r="C2131"/>
      <c r="D2131"/>
      <c r="E2131"/>
      <c r="F2131"/>
      <c r="G2131"/>
      <c r="H2131"/>
      <c r="I2131"/>
      <c r="J2131"/>
      <c r="K2131"/>
      <c r="L2131"/>
      <c r="M2131"/>
      <c r="S2131" s="54"/>
    </row>
    <row r="2132" spans="1:19" s="15" customFormat="1" x14ac:dyDescent="0.3">
      <c r="A2132" s="17"/>
      <c r="B2132"/>
      <c r="C2132"/>
      <c r="D2132"/>
      <c r="E2132"/>
      <c r="F2132"/>
      <c r="G2132"/>
      <c r="H2132"/>
      <c r="I2132"/>
      <c r="J2132"/>
      <c r="K2132"/>
      <c r="L2132"/>
      <c r="M2132"/>
      <c r="S2132" s="54"/>
    </row>
    <row r="2133" spans="1:19" s="15" customFormat="1" x14ac:dyDescent="0.3">
      <c r="A2133" s="17"/>
      <c r="B2133"/>
      <c r="C2133"/>
      <c r="D2133"/>
      <c r="E2133"/>
      <c r="F2133"/>
      <c r="G2133"/>
      <c r="H2133"/>
      <c r="I2133"/>
      <c r="J2133"/>
      <c r="K2133"/>
      <c r="L2133"/>
      <c r="M2133"/>
      <c r="S2133" s="54"/>
    </row>
    <row r="2134" spans="1:19" s="15" customFormat="1" x14ac:dyDescent="0.3">
      <c r="A2134" s="17"/>
      <c r="B2134"/>
      <c r="C2134"/>
      <c r="D2134"/>
      <c r="E2134"/>
      <c r="F2134"/>
      <c r="G2134"/>
      <c r="H2134"/>
      <c r="I2134"/>
      <c r="J2134"/>
      <c r="K2134"/>
      <c r="L2134"/>
      <c r="M2134"/>
      <c r="S2134" s="54"/>
    </row>
    <row r="2135" spans="1:19" s="15" customFormat="1" x14ac:dyDescent="0.3">
      <c r="A2135" s="17"/>
      <c r="B2135"/>
      <c r="C2135"/>
      <c r="D2135"/>
      <c r="E2135"/>
      <c r="F2135"/>
      <c r="G2135"/>
      <c r="H2135"/>
      <c r="I2135"/>
      <c r="J2135"/>
      <c r="K2135"/>
      <c r="L2135"/>
      <c r="M2135"/>
      <c r="S2135" s="54"/>
    </row>
    <row r="2136" spans="1:19" s="15" customFormat="1" x14ac:dyDescent="0.3">
      <c r="A2136" s="17"/>
      <c r="B2136"/>
      <c r="C2136"/>
      <c r="D2136"/>
      <c r="E2136"/>
      <c r="F2136"/>
      <c r="G2136"/>
      <c r="H2136"/>
      <c r="I2136"/>
      <c r="J2136"/>
      <c r="K2136"/>
      <c r="L2136"/>
      <c r="M2136"/>
      <c r="S2136" s="54"/>
    </row>
    <row r="2137" spans="1:19" s="15" customFormat="1" x14ac:dyDescent="0.3">
      <c r="A2137" s="17"/>
      <c r="B2137"/>
      <c r="C2137"/>
      <c r="D2137"/>
      <c r="E2137"/>
      <c r="F2137"/>
      <c r="G2137"/>
      <c r="H2137"/>
      <c r="I2137"/>
      <c r="J2137"/>
      <c r="K2137"/>
      <c r="L2137"/>
      <c r="M2137"/>
      <c r="S2137" s="54"/>
    </row>
    <row r="2138" spans="1:19" s="15" customFormat="1" x14ac:dyDescent="0.3">
      <c r="A2138" s="17"/>
      <c r="B2138"/>
      <c r="C2138"/>
      <c r="D2138"/>
      <c r="E2138"/>
      <c r="F2138"/>
      <c r="G2138"/>
      <c r="H2138"/>
      <c r="I2138"/>
      <c r="J2138"/>
      <c r="K2138"/>
      <c r="L2138"/>
      <c r="M2138"/>
      <c r="S2138" s="54"/>
    </row>
    <row r="2139" spans="1:19" s="15" customFormat="1" x14ac:dyDescent="0.3">
      <c r="A2139" s="17"/>
      <c r="B2139"/>
      <c r="C2139"/>
      <c r="D2139"/>
      <c r="E2139"/>
      <c r="F2139"/>
      <c r="G2139"/>
      <c r="H2139"/>
      <c r="I2139"/>
      <c r="J2139"/>
      <c r="K2139"/>
      <c r="L2139"/>
      <c r="M2139"/>
      <c r="S2139" s="54"/>
    </row>
    <row r="2140" spans="1:19" s="15" customFormat="1" x14ac:dyDescent="0.3">
      <c r="A2140" s="17"/>
      <c r="B2140"/>
      <c r="C2140"/>
      <c r="D2140"/>
      <c r="E2140"/>
      <c r="F2140"/>
      <c r="G2140"/>
      <c r="H2140"/>
      <c r="I2140"/>
      <c r="J2140"/>
      <c r="K2140"/>
      <c r="L2140"/>
      <c r="M2140"/>
      <c r="S2140" s="54"/>
    </row>
    <row r="2141" spans="1:19" s="15" customFormat="1" x14ac:dyDescent="0.3">
      <c r="A2141" s="17"/>
      <c r="B2141"/>
      <c r="C2141"/>
      <c r="D2141"/>
      <c r="E2141"/>
      <c r="F2141"/>
      <c r="G2141"/>
      <c r="H2141"/>
      <c r="I2141"/>
      <c r="J2141"/>
      <c r="K2141"/>
      <c r="L2141"/>
      <c r="M2141"/>
      <c r="S2141" s="54"/>
    </row>
    <row r="2142" spans="1:19" s="15" customFormat="1" x14ac:dyDescent="0.3">
      <c r="A2142" s="17"/>
      <c r="B2142"/>
      <c r="C2142"/>
      <c r="D2142"/>
      <c r="E2142"/>
      <c r="F2142"/>
      <c r="G2142"/>
      <c r="H2142"/>
      <c r="I2142"/>
      <c r="J2142"/>
      <c r="K2142"/>
      <c r="L2142"/>
      <c r="M2142"/>
      <c r="S2142" s="54"/>
    </row>
    <row r="2143" spans="1:19" s="15" customFormat="1" x14ac:dyDescent="0.3">
      <c r="A2143" s="17"/>
      <c r="B2143"/>
      <c r="C2143"/>
      <c r="D2143"/>
      <c r="E2143"/>
      <c r="F2143"/>
      <c r="G2143"/>
      <c r="H2143"/>
      <c r="I2143"/>
      <c r="J2143"/>
      <c r="K2143"/>
      <c r="L2143"/>
      <c r="M2143"/>
      <c r="S2143" s="54"/>
    </row>
    <row r="2144" spans="1:19" s="15" customFormat="1" x14ac:dyDescent="0.3">
      <c r="A2144" s="17"/>
      <c r="B2144"/>
      <c r="C2144"/>
      <c r="D2144"/>
      <c r="E2144"/>
      <c r="F2144"/>
      <c r="G2144"/>
      <c r="H2144"/>
      <c r="I2144"/>
      <c r="J2144"/>
      <c r="K2144"/>
      <c r="L2144"/>
      <c r="M2144"/>
      <c r="S2144" s="54"/>
    </row>
    <row r="2145" spans="1:19" s="15" customFormat="1" x14ac:dyDescent="0.3">
      <c r="A2145" s="17"/>
      <c r="B2145"/>
      <c r="C2145"/>
      <c r="D2145"/>
      <c r="E2145"/>
      <c r="F2145"/>
      <c r="G2145"/>
      <c r="H2145"/>
      <c r="I2145"/>
      <c r="J2145"/>
      <c r="K2145"/>
      <c r="L2145"/>
      <c r="M2145"/>
      <c r="S2145" s="54"/>
    </row>
    <row r="2146" spans="1:19" s="15" customFormat="1" x14ac:dyDescent="0.3">
      <c r="A2146" s="17"/>
      <c r="B2146"/>
      <c r="C2146"/>
      <c r="D2146"/>
      <c r="E2146"/>
      <c r="F2146"/>
      <c r="G2146"/>
      <c r="H2146"/>
      <c r="I2146"/>
      <c r="J2146"/>
      <c r="K2146"/>
      <c r="L2146"/>
      <c r="M2146"/>
      <c r="S2146" s="54"/>
    </row>
    <row r="2147" spans="1:19" s="15" customFormat="1" x14ac:dyDescent="0.3">
      <c r="A2147" s="17"/>
      <c r="B2147"/>
      <c r="C2147"/>
      <c r="D2147"/>
      <c r="E2147"/>
      <c r="F2147"/>
      <c r="G2147"/>
      <c r="H2147"/>
      <c r="I2147"/>
      <c r="J2147"/>
      <c r="K2147"/>
      <c r="L2147"/>
      <c r="M2147"/>
      <c r="S2147" s="54"/>
    </row>
    <row r="2148" spans="1:19" s="15" customFormat="1" x14ac:dyDescent="0.3">
      <c r="A2148" s="17"/>
      <c r="B2148"/>
      <c r="C2148"/>
      <c r="D2148"/>
      <c r="E2148"/>
      <c r="F2148"/>
      <c r="G2148"/>
      <c r="H2148"/>
      <c r="I2148"/>
      <c r="J2148"/>
      <c r="K2148"/>
      <c r="L2148"/>
      <c r="M2148"/>
      <c r="S2148" s="54"/>
    </row>
    <row r="2149" spans="1:19" s="15" customFormat="1" x14ac:dyDescent="0.3">
      <c r="A2149" s="17"/>
      <c r="B2149"/>
      <c r="C2149"/>
      <c r="D2149"/>
      <c r="E2149"/>
      <c r="F2149"/>
      <c r="G2149"/>
      <c r="H2149"/>
      <c r="I2149"/>
      <c r="J2149"/>
      <c r="K2149"/>
      <c r="L2149"/>
      <c r="M2149"/>
      <c r="S2149" s="54"/>
    </row>
    <row r="2150" spans="1:19" s="15" customFormat="1" x14ac:dyDescent="0.3">
      <c r="A2150" s="17"/>
      <c r="B2150"/>
      <c r="C2150"/>
      <c r="D2150"/>
      <c r="E2150"/>
      <c r="F2150"/>
      <c r="G2150"/>
      <c r="H2150"/>
      <c r="I2150"/>
      <c r="J2150"/>
      <c r="K2150"/>
      <c r="L2150"/>
      <c r="M2150"/>
      <c r="S2150" s="54"/>
    </row>
    <row r="2151" spans="1:19" s="15" customFormat="1" x14ac:dyDescent="0.3">
      <c r="A2151" s="17"/>
      <c r="B2151"/>
      <c r="C2151"/>
      <c r="D2151"/>
      <c r="E2151"/>
      <c r="F2151"/>
      <c r="G2151"/>
      <c r="H2151"/>
      <c r="I2151"/>
      <c r="J2151"/>
      <c r="K2151"/>
      <c r="L2151"/>
      <c r="M2151"/>
      <c r="S2151" s="54"/>
    </row>
    <row r="2152" spans="1:19" s="15" customFormat="1" x14ac:dyDescent="0.3">
      <c r="A2152" s="17"/>
      <c r="B2152"/>
      <c r="C2152"/>
      <c r="D2152"/>
      <c r="E2152"/>
      <c r="F2152"/>
      <c r="G2152"/>
      <c r="H2152"/>
      <c r="I2152"/>
      <c r="J2152"/>
      <c r="K2152"/>
      <c r="L2152"/>
      <c r="M2152"/>
      <c r="S2152" s="54"/>
    </row>
    <row r="2153" spans="1:19" s="15" customFormat="1" x14ac:dyDescent="0.3">
      <c r="A2153" s="17"/>
      <c r="B2153"/>
      <c r="C2153"/>
      <c r="D2153"/>
      <c r="E2153"/>
      <c r="F2153"/>
      <c r="G2153"/>
      <c r="H2153"/>
      <c r="I2153"/>
      <c r="J2153"/>
      <c r="K2153"/>
      <c r="L2153"/>
      <c r="M2153"/>
      <c r="S2153" s="54"/>
    </row>
    <row r="2154" spans="1:19" s="15" customFormat="1" x14ac:dyDescent="0.3">
      <c r="A2154" s="17"/>
      <c r="B2154"/>
      <c r="C2154"/>
      <c r="D2154"/>
      <c r="E2154"/>
      <c r="F2154"/>
      <c r="G2154"/>
      <c r="H2154"/>
      <c r="I2154"/>
      <c r="J2154"/>
      <c r="K2154"/>
      <c r="L2154"/>
      <c r="M2154"/>
      <c r="S2154" s="54"/>
    </row>
    <row r="2155" spans="1:19" s="15" customFormat="1" x14ac:dyDescent="0.3">
      <c r="A2155" s="17"/>
      <c r="B2155"/>
      <c r="C2155"/>
      <c r="D2155"/>
      <c r="E2155"/>
      <c r="F2155"/>
      <c r="G2155"/>
      <c r="H2155"/>
      <c r="I2155"/>
      <c r="J2155"/>
      <c r="K2155"/>
      <c r="L2155"/>
      <c r="M2155"/>
      <c r="S2155" s="54"/>
    </row>
    <row r="2156" spans="1:19" s="15" customFormat="1" x14ac:dyDescent="0.3">
      <c r="A2156" s="17"/>
      <c r="B2156"/>
      <c r="C2156"/>
      <c r="D2156"/>
      <c r="E2156"/>
      <c r="F2156"/>
      <c r="G2156"/>
      <c r="H2156"/>
      <c r="I2156"/>
      <c r="J2156"/>
      <c r="K2156"/>
      <c r="L2156"/>
      <c r="M2156"/>
      <c r="S2156" s="54"/>
    </row>
    <row r="2157" spans="1:19" s="15" customFormat="1" x14ac:dyDescent="0.3">
      <c r="A2157" s="17"/>
      <c r="B2157"/>
      <c r="C2157"/>
      <c r="D2157"/>
      <c r="E2157"/>
      <c r="F2157"/>
      <c r="G2157"/>
      <c r="H2157"/>
      <c r="I2157"/>
      <c r="J2157"/>
      <c r="K2157"/>
      <c r="L2157"/>
      <c r="M2157"/>
      <c r="S2157" s="54"/>
    </row>
    <row r="2158" spans="1:19" s="15" customFormat="1" x14ac:dyDescent="0.3">
      <c r="A2158" s="17"/>
      <c r="B2158"/>
      <c r="C2158"/>
      <c r="D2158"/>
      <c r="E2158"/>
      <c r="F2158"/>
      <c r="G2158"/>
      <c r="H2158"/>
      <c r="I2158"/>
      <c r="J2158"/>
      <c r="K2158"/>
      <c r="L2158"/>
      <c r="M2158"/>
      <c r="S2158" s="54"/>
    </row>
    <row r="2159" spans="1:19" s="15" customFormat="1" x14ac:dyDescent="0.3">
      <c r="A2159" s="17"/>
      <c r="B2159"/>
      <c r="C2159"/>
      <c r="D2159"/>
      <c r="E2159"/>
      <c r="F2159"/>
      <c r="G2159"/>
      <c r="H2159"/>
      <c r="I2159"/>
      <c r="J2159"/>
      <c r="K2159"/>
      <c r="L2159"/>
      <c r="M2159"/>
      <c r="S2159" s="54"/>
    </row>
    <row r="2160" spans="1:19" s="15" customFormat="1" x14ac:dyDescent="0.3">
      <c r="A2160" s="17"/>
      <c r="B2160"/>
      <c r="C2160"/>
      <c r="D2160"/>
      <c r="E2160"/>
      <c r="F2160"/>
      <c r="G2160"/>
      <c r="H2160"/>
      <c r="I2160"/>
      <c r="J2160"/>
      <c r="K2160"/>
      <c r="L2160"/>
      <c r="M2160"/>
      <c r="S2160" s="54"/>
    </row>
    <row r="2161" spans="1:19" s="15" customFormat="1" x14ac:dyDescent="0.3">
      <c r="A2161" s="17"/>
      <c r="B2161"/>
      <c r="C2161"/>
      <c r="D2161"/>
      <c r="E2161"/>
      <c r="F2161"/>
      <c r="G2161"/>
      <c r="H2161"/>
      <c r="I2161"/>
      <c r="J2161"/>
      <c r="K2161"/>
      <c r="L2161"/>
      <c r="M2161"/>
      <c r="S2161" s="54"/>
    </row>
    <row r="2162" spans="1:19" s="15" customFormat="1" x14ac:dyDescent="0.3">
      <c r="A2162" s="17"/>
      <c r="B2162"/>
      <c r="C2162"/>
      <c r="D2162"/>
      <c r="E2162"/>
      <c r="F2162"/>
      <c r="G2162"/>
      <c r="H2162"/>
      <c r="I2162"/>
      <c r="J2162"/>
      <c r="K2162"/>
      <c r="L2162"/>
      <c r="M2162"/>
      <c r="S2162" s="54"/>
    </row>
    <row r="2163" spans="1:19" s="15" customFormat="1" x14ac:dyDescent="0.3">
      <c r="A2163" s="17"/>
      <c r="B2163"/>
      <c r="C2163"/>
      <c r="D2163"/>
      <c r="E2163"/>
      <c r="F2163"/>
      <c r="G2163"/>
      <c r="H2163"/>
      <c r="I2163"/>
      <c r="J2163"/>
      <c r="K2163"/>
      <c r="L2163"/>
      <c r="M2163"/>
      <c r="S2163" s="54"/>
    </row>
    <row r="2164" spans="1:19" s="15" customFormat="1" x14ac:dyDescent="0.3">
      <c r="A2164" s="17"/>
      <c r="B2164"/>
      <c r="C2164"/>
      <c r="D2164"/>
      <c r="E2164"/>
      <c r="F2164"/>
      <c r="G2164"/>
      <c r="H2164"/>
      <c r="I2164"/>
      <c r="J2164"/>
      <c r="K2164"/>
      <c r="L2164"/>
      <c r="M2164"/>
      <c r="S2164" s="54"/>
    </row>
    <row r="2165" spans="1:19" s="15" customFormat="1" x14ac:dyDescent="0.3">
      <c r="A2165" s="17"/>
      <c r="B2165"/>
      <c r="C2165"/>
      <c r="D2165"/>
      <c r="E2165"/>
      <c r="F2165"/>
      <c r="G2165"/>
      <c r="H2165"/>
      <c r="I2165"/>
      <c r="J2165"/>
      <c r="K2165"/>
      <c r="L2165"/>
      <c r="M2165"/>
      <c r="S2165" s="54"/>
    </row>
    <row r="2166" spans="1:19" s="15" customFormat="1" x14ac:dyDescent="0.3">
      <c r="A2166" s="17"/>
      <c r="B2166"/>
      <c r="C2166"/>
      <c r="D2166"/>
      <c r="E2166"/>
      <c r="F2166"/>
      <c r="G2166"/>
      <c r="H2166"/>
      <c r="I2166"/>
      <c r="J2166"/>
      <c r="K2166"/>
      <c r="L2166"/>
      <c r="M2166"/>
      <c r="S2166" s="54"/>
    </row>
    <row r="2167" spans="1:19" s="15" customFormat="1" x14ac:dyDescent="0.3">
      <c r="A2167" s="17"/>
      <c r="B2167"/>
      <c r="C2167"/>
      <c r="D2167"/>
      <c r="E2167"/>
      <c r="F2167"/>
      <c r="G2167"/>
      <c r="H2167"/>
      <c r="I2167"/>
      <c r="J2167"/>
      <c r="K2167"/>
      <c r="L2167"/>
      <c r="M2167"/>
      <c r="S2167" s="54"/>
    </row>
    <row r="2168" spans="1:19" s="15" customFormat="1" x14ac:dyDescent="0.3">
      <c r="A2168" s="17"/>
      <c r="B2168"/>
      <c r="C2168"/>
      <c r="D2168"/>
      <c r="E2168"/>
      <c r="F2168"/>
      <c r="G2168"/>
      <c r="H2168"/>
      <c r="I2168"/>
      <c r="J2168"/>
      <c r="K2168"/>
      <c r="L2168"/>
      <c r="M2168"/>
      <c r="S2168" s="54"/>
    </row>
    <row r="2169" spans="1:19" s="15" customFormat="1" x14ac:dyDescent="0.3">
      <c r="A2169" s="17"/>
      <c r="B2169"/>
      <c r="C2169"/>
      <c r="D2169"/>
      <c r="E2169"/>
      <c r="F2169"/>
      <c r="G2169"/>
      <c r="H2169"/>
      <c r="I2169"/>
      <c r="J2169"/>
      <c r="K2169"/>
      <c r="L2169"/>
      <c r="M2169"/>
      <c r="S2169" s="54"/>
    </row>
    <row r="2170" spans="1:19" s="15" customFormat="1" x14ac:dyDescent="0.3">
      <c r="A2170" s="17"/>
      <c r="B2170"/>
      <c r="C2170"/>
      <c r="D2170"/>
      <c r="E2170"/>
      <c r="F2170"/>
      <c r="G2170"/>
      <c r="H2170"/>
      <c r="I2170"/>
      <c r="J2170"/>
      <c r="K2170"/>
      <c r="L2170"/>
      <c r="M2170"/>
      <c r="S2170" s="54"/>
    </row>
    <row r="2171" spans="1:19" s="15" customFormat="1" x14ac:dyDescent="0.3">
      <c r="A2171" s="17"/>
      <c r="B2171"/>
      <c r="C2171"/>
      <c r="D2171"/>
      <c r="E2171"/>
      <c r="F2171"/>
      <c r="G2171"/>
      <c r="H2171"/>
      <c r="I2171"/>
      <c r="J2171"/>
      <c r="K2171"/>
      <c r="L2171"/>
      <c r="M2171"/>
      <c r="S2171" s="54"/>
    </row>
    <row r="2172" spans="1:19" s="15" customFormat="1" x14ac:dyDescent="0.3">
      <c r="A2172" s="17"/>
      <c r="B2172"/>
      <c r="C2172"/>
      <c r="D2172"/>
      <c r="E2172"/>
      <c r="F2172"/>
      <c r="G2172"/>
      <c r="H2172"/>
      <c r="I2172"/>
      <c r="J2172"/>
      <c r="K2172"/>
      <c r="L2172"/>
      <c r="M2172"/>
      <c r="S2172" s="54"/>
    </row>
    <row r="2173" spans="1:19" s="15" customFormat="1" x14ac:dyDescent="0.3">
      <c r="A2173" s="17"/>
      <c r="B2173"/>
      <c r="C2173"/>
      <c r="D2173"/>
      <c r="E2173"/>
      <c r="F2173"/>
      <c r="G2173"/>
      <c r="H2173"/>
      <c r="I2173"/>
      <c r="J2173"/>
      <c r="K2173"/>
      <c r="L2173"/>
      <c r="M2173"/>
      <c r="S2173" s="54"/>
    </row>
    <row r="2174" spans="1:19" s="15" customFormat="1" x14ac:dyDescent="0.3">
      <c r="A2174" s="17"/>
      <c r="B2174"/>
      <c r="C2174"/>
      <c r="D2174"/>
      <c r="E2174"/>
      <c r="F2174"/>
      <c r="G2174"/>
      <c r="H2174"/>
      <c r="I2174"/>
      <c r="J2174"/>
      <c r="K2174"/>
      <c r="L2174"/>
      <c r="M2174"/>
      <c r="S2174" s="54"/>
    </row>
    <row r="2175" spans="1:19" s="15" customFormat="1" x14ac:dyDescent="0.3">
      <c r="A2175" s="17"/>
      <c r="B2175"/>
      <c r="C2175"/>
      <c r="D2175"/>
      <c r="E2175"/>
      <c r="F2175"/>
      <c r="G2175"/>
      <c r="H2175"/>
      <c r="I2175"/>
      <c r="J2175"/>
      <c r="K2175"/>
      <c r="L2175"/>
      <c r="M2175"/>
      <c r="S2175" s="54"/>
    </row>
    <row r="2176" spans="1:19" s="15" customFormat="1" x14ac:dyDescent="0.3">
      <c r="A2176" s="17"/>
      <c r="B2176"/>
      <c r="C2176"/>
      <c r="D2176"/>
      <c r="E2176"/>
      <c r="F2176"/>
      <c r="G2176"/>
      <c r="H2176"/>
      <c r="I2176"/>
      <c r="J2176"/>
      <c r="K2176"/>
      <c r="L2176"/>
      <c r="M2176"/>
      <c r="S2176" s="54"/>
    </row>
    <row r="2177" spans="1:19" s="15" customFormat="1" x14ac:dyDescent="0.3">
      <c r="A2177" s="17"/>
      <c r="B2177"/>
      <c r="C2177"/>
      <c r="D2177"/>
      <c r="E2177"/>
      <c r="F2177"/>
      <c r="G2177"/>
      <c r="H2177"/>
      <c r="I2177"/>
      <c r="J2177"/>
      <c r="K2177"/>
      <c r="L2177"/>
      <c r="M2177"/>
      <c r="S2177" s="54"/>
    </row>
    <row r="2178" spans="1:19" s="15" customFormat="1" x14ac:dyDescent="0.3">
      <c r="A2178" s="17"/>
      <c r="B2178"/>
      <c r="C2178"/>
      <c r="D2178"/>
      <c r="E2178"/>
      <c r="F2178"/>
      <c r="G2178"/>
      <c r="H2178"/>
      <c r="I2178"/>
      <c r="J2178"/>
      <c r="K2178"/>
      <c r="L2178"/>
      <c r="M2178"/>
      <c r="S2178" s="54"/>
    </row>
    <row r="2179" spans="1:19" s="15" customFormat="1" x14ac:dyDescent="0.3">
      <c r="A2179" s="17"/>
      <c r="B2179"/>
      <c r="C2179"/>
      <c r="D2179"/>
      <c r="E2179"/>
      <c r="F2179"/>
      <c r="G2179"/>
      <c r="H2179"/>
      <c r="I2179"/>
      <c r="J2179"/>
      <c r="K2179"/>
      <c r="L2179"/>
      <c r="M2179"/>
      <c r="S2179" s="54"/>
    </row>
    <row r="2180" spans="1:19" s="15" customFormat="1" x14ac:dyDescent="0.3">
      <c r="A2180" s="17"/>
      <c r="B2180"/>
      <c r="C2180"/>
      <c r="D2180"/>
      <c r="E2180"/>
      <c r="F2180"/>
      <c r="G2180"/>
      <c r="H2180"/>
      <c r="I2180"/>
      <c r="J2180"/>
      <c r="K2180"/>
      <c r="L2180"/>
      <c r="M2180"/>
      <c r="S2180" s="54"/>
    </row>
    <row r="2181" spans="1:19" s="15" customFormat="1" x14ac:dyDescent="0.3">
      <c r="A2181" s="17"/>
      <c r="B2181"/>
      <c r="C2181"/>
      <c r="D2181"/>
      <c r="E2181"/>
      <c r="F2181"/>
      <c r="G2181"/>
      <c r="H2181"/>
      <c r="I2181"/>
      <c r="J2181"/>
      <c r="K2181"/>
      <c r="L2181"/>
      <c r="M2181"/>
      <c r="S2181" s="54"/>
    </row>
    <row r="2182" spans="1:19" s="15" customFormat="1" x14ac:dyDescent="0.3">
      <c r="A2182" s="17"/>
      <c r="B2182"/>
      <c r="C2182"/>
      <c r="D2182"/>
      <c r="E2182"/>
      <c r="F2182"/>
      <c r="G2182"/>
      <c r="H2182"/>
      <c r="I2182"/>
      <c r="J2182"/>
      <c r="K2182"/>
      <c r="L2182"/>
      <c r="M2182"/>
      <c r="S2182" s="54"/>
    </row>
    <row r="2183" spans="1:19" s="15" customFormat="1" x14ac:dyDescent="0.3">
      <c r="A2183" s="17"/>
      <c r="B2183"/>
      <c r="C2183"/>
      <c r="D2183"/>
      <c r="E2183"/>
      <c r="F2183"/>
      <c r="G2183"/>
      <c r="H2183"/>
      <c r="I2183"/>
      <c r="J2183"/>
      <c r="K2183"/>
      <c r="L2183"/>
      <c r="M2183"/>
      <c r="S2183" s="54"/>
    </row>
    <row r="2184" spans="1:19" s="15" customFormat="1" x14ac:dyDescent="0.3">
      <c r="A2184" s="17"/>
      <c r="B2184"/>
      <c r="C2184"/>
      <c r="D2184"/>
      <c r="E2184"/>
      <c r="F2184"/>
      <c r="G2184"/>
      <c r="H2184"/>
      <c r="I2184"/>
      <c r="J2184"/>
      <c r="K2184"/>
      <c r="L2184"/>
      <c r="M2184"/>
      <c r="S2184" s="54"/>
    </row>
    <row r="2185" spans="1:19" s="15" customFormat="1" x14ac:dyDescent="0.3">
      <c r="A2185" s="17"/>
      <c r="B2185"/>
      <c r="C2185"/>
      <c r="D2185"/>
      <c r="E2185"/>
      <c r="F2185"/>
      <c r="G2185"/>
      <c r="H2185"/>
      <c r="I2185"/>
      <c r="J2185"/>
      <c r="K2185"/>
      <c r="L2185"/>
      <c r="M2185"/>
      <c r="S2185" s="54"/>
    </row>
    <row r="2186" spans="1:19" s="15" customFormat="1" x14ac:dyDescent="0.3">
      <c r="A2186" s="17"/>
      <c r="B2186"/>
      <c r="C2186"/>
      <c r="D2186"/>
      <c r="E2186"/>
      <c r="F2186"/>
      <c r="G2186"/>
      <c r="H2186"/>
      <c r="I2186"/>
      <c r="J2186"/>
      <c r="K2186"/>
      <c r="L2186"/>
      <c r="M2186"/>
      <c r="S2186" s="54"/>
    </row>
    <row r="2187" spans="1:19" s="15" customFormat="1" x14ac:dyDescent="0.3">
      <c r="A2187" s="17"/>
      <c r="B2187"/>
      <c r="C2187"/>
      <c r="D2187"/>
      <c r="E2187"/>
      <c r="F2187"/>
      <c r="G2187"/>
      <c r="H2187"/>
      <c r="I2187"/>
      <c r="J2187"/>
      <c r="K2187"/>
      <c r="L2187"/>
      <c r="M2187"/>
      <c r="S2187" s="54"/>
    </row>
    <row r="2188" spans="1:19" s="15" customFormat="1" x14ac:dyDescent="0.3">
      <c r="A2188" s="17"/>
      <c r="B2188"/>
      <c r="C2188"/>
      <c r="D2188"/>
      <c r="E2188"/>
      <c r="F2188"/>
      <c r="G2188"/>
      <c r="H2188"/>
      <c r="I2188"/>
      <c r="J2188"/>
      <c r="K2188"/>
      <c r="L2188"/>
      <c r="M2188"/>
      <c r="S2188" s="54"/>
    </row>
    <row r="2189" spans="1:19" s="15" customFormat="1" x14ac:dyDescent="0.3">
      <c r="A2189" s="17"/>
      <c r="B2189"/>
      <c r="C2189"/>
      <c r="D2189"/>
      <c r="E2189"/>
      <c r="F2189"/>
      <c r="G2189"/>
      <c r="H2189"/>
      <c r="I2189"/>
      <c r="J2189"/>
      <c r="K2189"/>
      <c r="L2189"/>
      <c r="M2189"/>
      <c r="S2189" s="54"/>
    </row>
    <row r="2190" spans="1:19" s="15" customFormat="1" x14ac:dyDescent="0.3">
      <c r="A2190" s="17"/>
      <c r="B2190"/>
      <c r="C2190"/>
      <c r="D2190"/>
      <c r="E2190"/>
      <c r="F2190"/>
      <c r="G2190"/>
      <c r="H2190"/>
      <c r="I2190"/>
      <c r="J2190"/>
      <c r="K2190"/>
      <c r="L2190"/>
      <c r="M2190"/>
      <c r="S2190" s="54"/>
    </row>
    <row r="2191" spans="1:19" s="15" customFormat="1" x14ac:dyDescent="0.3">
      <c r="A2191" s="17"/>
      <c r="B2191"/>
      <c r="C2191"/>
      <c r="D2191"/>
      <c r="E2191"/>
      <c r="F2191"/>
      <c r="G2191"/>
      <c r="H2191"/>
      <c r="I2191"/>
      <c r="J2191"/>
      <c r="K2191"/>
      <c r="L2191"/>
      <c r="M2191"/>
      <c r="S2191" s="54"/>
    </row>
    <row r="2192" spans="1:19" s="15" customFormat="1" x14ac:dyDescent="0.3">
      <c r="A2192" s="17"/>
      <c r="B2192"/>
      <c r="C2192"/>
      <c r="D2192"/>
      <c r="E2192"/>
      <c r="F2192"/>
      <c r="G2192"/>
      <c r="H2192"/>
      <c r="I2192"/>
      <c r="J2192"/>
      <c r="K2192"/>
      <c r="L2192"/>
      <c r="M2192"/>
      <c r="S2192" s="54"/>
    </row>
    <row r="2193" spans="1:19" s="15" customFormat="1" x14ac:dyDescent="0.3">
      <c r="A2193" s="17"/>
      <c r="B2193"/>
      <c r="C2193"/>
      <c r="D2193"/>
      <c r="E2193"/>
      <c r="F2193"/>
      <c r="G2193"/>
      <c r="H2193"/>
      <c r="I2193"/>
      <c r="J2193"/>
      <c r="K2193"/>
      <c r="L2193"/>
      <c r="M2193"/>
      <c r="S2193" s="54"/>
    </row>
    <row r="2194" spans="1:19" s="15" customFormat="1" x14ac:dyDescent="0.3">
      <c r="A2194" s="17"/>
      <c r="B2194"/>
      <c r="C2194"/>
      <c r="D2194"/>
      <c r="E2194"/>
      <c r="F2194"/>
      <c r="G2194"/>
      <c r="H2194"/>
      <c r="I2194"/>
      <c r="J2194"/>
      <c r="K2194"/>
      <c r="L2194"/>
      <c r="M2194"/>
      <c r="S2194" s="54"/>
    </row>
    <row r="2195" spans="1:19" s="15" customFormat="1" x14ac:dyDescent="0.3">
      <c r="A2195" s="17"/>
      <c r="B2195"/>
      <c r="C2195"/>
      <c r="D2195"/>
      <c r="E2195"/>
      <c r="F2195"/>
      <c r="G2195"/>
      <c r="H2195"/>
      <c r="I2195"/>
      <c r="J2195"/>
      <c r="K2195"/>
      <c r="L2195"/>
      <c r="M2195"/>
      <c r="S2195" s="54"/>
    </row>
    <row r="2196" spans="1:19" s="15" customFormat="1" x14ac:dyDescent="0.3">
      <c r="A2196" s="17"/>
      <c r="B2196"/>
      <c r="C2196"/>
      <c r="D2196"/>
      <c r="E2196"/>
      <c r="F2196"/>
      <c r="G2196"/>
      <c r="H2196"/>
      <c r="I2196"/>
      <c r="J2196"/>
      <c r="K2196"/>
      <c r="L2196"/>
      <c r="M2196"/>
      <c r="S2196" s="54"/>
    </row>
    <row r="2197" spans="1:19" s="15" customFormat="1" x14ac:dyDescent="0.3">
      <c r="A2197" s="17"/>
      <c r="B2197"/>
      <c r="C2197"/>
      <c r="D2197"/>
      <c r="E2197"/>
      <c r="F2197"/>
      <c r="G2197"/>
      <c r="H2197"/>
      <c r="I2197"/>
      <c r="J2197"/>
      <c r="K2197"/>
      <c r="L2197"/>
      <c r="M2197"/>
      <c r="S2197" s="54"/>
    </row>
    <row r="2198" spans="1:19" s="15" customFormat="1" x14ac:dyDescent="0.3">
      <c r="A2198" s="17"/>
      <c r="B2198"/>
      <c r="C2198"/>
      <c r="D2198"/>
      <c r="E2198"/>
      <c r="F2198"/>
      <c r="G2198"/>
      <c r="H2198"/>
      <c r="I2198"/>
      <c r="J2198"/>
      <c r="K2198"/>
      <c r="L2198"/>
      <c r="M2198"/>
      <c r="S2198" s="54"/>
    </row>
    <row r="2199" spans="1:19" s="15" customFormat="1" x14ac:dyDescent="0.3">
      <c r="A2199" s="17"/>
      <c r="B2199"/>
      <c r="C2199"/>
      <c r="D2199"/>
      <c r="E2199"/>
      <c r="F2199"/>
      <c r="G2199"/>
      <c r="H2199"/>
      <c r="I2199"/>
      <c r="J2199"/>
      <c r="K2199"/>
      <c r="L2199"/>
      <c r="M2199"/>
      <c r="S2199" s="54"/>
    </row>
    <row r="2200" spans="1:19" s="15" customFormat="1" x14ac:dyDescent="0.3">
      <c r="A2200" s="17"/>
      <c r="B2200"/>
      <c r="C2200"/>
      <c r="D2200"/>
      <c r="E2200"/>
      <c r="F2200"/>
      <c r="G2200"/>
      <c r="H2200"/>
      <c r="I2200"/>
      <c r="J2200"/>
      <c r="K2200"/>
      <c r="L2200"/>
      <c r="M2200"/>
      <c r="S2200" s="54"/>
    </row>
    <row r="2201" spans="1:19" s="15" customFormat="1" x14ac:dyDescent="0.3">
      <c r="A2201" s="17"/>
      <c r="B2201"/>
      <c r="C2201"/>
      <c r="D2201"/>
      <c r="E2201"/>
      <c r="F2201"/>
      <c r="G2201"/>
      <c r="H2201"/>
      <c r="I2201"/>
      <c r="J2201"/>
      <c r="K2201"/>
      <c r="L2201"/>
      <c r="M2201"/>
      <c r="S2201" s="54"/>
    </row>
    <row r="2202" spans="1:19" s="15" customFormat="1" x14ac:dyDescent="0.3">
      <c r="A2202" s="17"/>
      <c r="B2202"/>
      <c r="C2202"/>
      <c r="D2202"/>
      <c r="E2202"/>
      <c r="F2202"/>
      <c r="G2202"/>
      <c r="H2202"/>
      <c r="I2202"/>
      <c r="J2202"/>
      <c r="K2202"/>
      <c r="L2202"/>
      <c r="M2202"/>
      <c r="S2202" s="54"/>
    </row>
    <row r="2203" spans="1:19" s="15" customFormat="1" x14ac:dyDescent="0.3">
      <c r="A2203" s="17"/>
      <c r="B2203"/>
      <c r="C2203"/>
      <c r="D2203"/>
      <c r="E2203"/>
      <c r="F2203"/>
      <c r="G2203"/>
      <c r="H2203"/>
      <c r="I2203"/>
      <c r="J2203"/>
      <c r="K2203"/>
      <c r="L2203"/>
      <c r="M2203"/>
      <c r="S2203" s="54"/>
    </row>
    <row r="2204" spans="1:19" s="15" customFormat="1" x14ac:dyDescent="0.3">
      <c r="A2204" s="17"/>
      <c r="B2204"/>
      <c r="C2204"/>
      <c r="D2204"/>
      <c r="E2204"/>
      <c r="F2204"/>
      <c r="G2204"/>
      <c r="H2204"/>
      <c r="I2204"/>
      <c r="J2204"/>
      <c r="K2204"/>
      <c r="L2204"/>
      <c r="M2204"/>
      <c r="S2204" s="54"/>
    </row>
    <row r="2205" spans="1:19" s="15" customFormat="1" x14ac:dyDescent="0.3">
      <c r="A2205" s="17"/>
      <c r="B2205"/>
      <c r="C2205"/>
      <c r="D2205"/>
      <c r="E2205"/>
      <c r="F2205"/>
      <c r="G2205"/>
      <c r="H2205"/>
      <c r="I2205"/>
      <c r="J2205"/>
      <c r="K2205"/>
      <c r="L2205"/>
      <c r="M2205"/>
      <c r="S2205" s="54"/>
    </row>
    <row r="2206" spans="1:19" s="15" customFormat="1" x14ac:dyDescent="0.3">
      <c r="A2206" s="17"/>
      <c r="B2206"/>
      <c r="C2206"/>
      <c r="D2206"/>
      <c r="E2206"/>
      <c r="F2206"/>
      <c r="G2206"/>
      <c r="H2206"/>
      <c r="I2206"/>
      <c r="J2206"/>
      <c r="K2206"/>
      <c r="L2206"/>
      <c r="M2206"/>
      <c r="S2206" s="54"/>
    </row>
    <row r="2207" spans="1:19" s="15" customFormat="1" x14ac:dyDescent="0.3">
      <c r="A2207" s="17"/>
      <c r="B2207"/>
      <c r="C2207"/>
      <c r="D2207"/>
      <c r="E2207"/>
      <c r="F2207"/>
      <c r="G2207"/>
      <c r="H2207"/>
      <c r="I2207"/>
      <c r="J2207"/>
      <c r="K2207"/>
      <c r="L2207"/>
      <c r="M2207"/>
      <c r="S2207" s="54"/>
    </row>
    <row r="2208" spans="1:19" s="15" customFormat="1" x14ac:dyDescent="0.3">
      <c r="A2208" s="17"/>
      <c r="B2208"/>
      <c r="C2208"/>
      <c r="D2208"/>
      <c r="E2208"/>
      <c r="F2208"/>
      <c r="G2208"/>
      <c r="H2208"/>
      <c r="I2208"/>
      <c r="J2208"/>
      <c r="K2208"/>
      <c r="L2208"/>
      <c r="M2208"/>
      <c r="S2208" s="54"/>
    </row>
    <row r="2209" spans="1:19" s="15" customFormat="1" x14ac:dyDescent="0.3">
      <c r="A2209" s="17"/>
      <c r="B2209"/>
      <c r="C2209"/>
      <c r="D2209"/>
      <c r="E2209"/>
      <c r="F2209"/>
      <c r="G2209"/>
      <c r="H2209"/>
      <c r="I2209"/>
      <c r="J2209"/>
      <c r="K2209"/>
      <c r="L2209"/>
      <c r="M2209"/>
      <c r="S2209" s="54"/>
    </row>
    <row r="2210" spans="1:19" s="15" customFormat="1" x14ac:dyDescent="0.3">
      <c r="A2210" s="17"/>
      <c r="B2210"/>
      <c r="C2210"/>
      <c r="D2210"/>
      <c r="E2210"/>
      <c r="F2210"/>
      <c r="G2210"/>
      <c r="H2210"/>
      <c r="I2210"/>
      <c r="J2210"/>
      <c r="K2210"/>
      <c r="L2210"/>
      <c r="M2210"/>
      <c r="S2210" s="54"/>
    </row>
    <row r="2211" spans="1:19" s="15" customFormat="1" x14ac:dyDescent="0.3">
      <c r="A2211" s="17"/>
      <c r="B2211"/>
      <c r="C2211"/>
      <c r="D2211"/>
      <c r="E2211"/>
      <c r="F2211"/>
      <c r="G2211"/>
      <c r="H2211"/>
      <c r="I2211"/>
      <c r="J2211"/>
      <c r="K2211"/>
      <c r="L2211"/>
      <c r="M2211"/>
      <c r="S2211" s="54"/>
    </row>
    <row r="2212" spans="1:19" s="15" customFormat="1" x14ac:dyDescent="0.3">
      <c r="A2212" s="17"/>
      <c r="B2212"/>
      <c r="C2212"/>
      <c r="D2212"/>
      <c r="E2212"/>
      <c r="F2212"/>
      <c r="G2212"/>
      <c r="H2212"/>
      <c r="I2212"/>
      <c r="J2212"/>
      <c r="K2212"/>
      <c r="L2212"/>
      <c r="M2212"/>
      <c r="S2212" s="54"/>
    </row>
    <row r="2213" spans="1:19" s="15" customFormat="1" x14ac:dyDescent="0.3">
      <c r="A2213" s="17"/>
      <c r="B2213"/>
      <c r="C2213"/>
      <c r="D2213"/>
      <c r="E2213"/>
      <c r="F2213"/>
      <c r="G2213"/>
      <c r="H2213"/>
      <c r="I2213"/>
      <c r="J2213"/>
      <c r="K2213"/>
      <c r="L2213"/>
      <c r="M2213"/>
      <c r="S2213" s="54"/>
    </row>
    <row r="2214" spans="1:19" s="15" customFormat="1" x14ac:dyDescent="0.3">
      <c r="A2214" s="17"/>
      <c r="B2214"/>
      <c r="C2214"/>
      <c r="D2214"/>
      <c r="E2214"/>
      <c r="F2214"/>
      <c r="G2214"/>
      <c r="H2214"/>
      <c r="I2214"/>
      <c r="J2214"/>
      <c r="K2214"/>
      <c r="L2214"/>
      <c r="M2214"/>
      <c r="S2214" s="54"/>
    </row>
    <row r="2215" spans="1:19" s="15" customFormat="1" x14ac:dyDescent="0.3">
      <c r="A2215" s="17"/>
      <c r="B2215"/>
      <c r="C2215"/>
      <c r="D2215"/>
      <c r="E2215"/>
      <c r="F2215"/>
      <c r="G2215"/>
      <c r="H2215"/>
      <c r="I2215"/>
      <c r="J2215"/>
      <c r="K2215"/>
      <c r="L2215"/>
      <c r="M2215"/>
      <c r="S2215" s="54"/>
    </row>
    <row r="2216" spans="1:19" s="15" customFormat="1" x14ac:dyDescent="0.3">
      <c r="A2216" s="17"/>
      <c r="B2216"/>
      <c r="C2216"/>
      <c r="D2216"/>
      <c r="E2216"/>
      <c r="F2216"/>
      <c r="G2216"/>
      <c r="H2216"/>
      <c r="I2216"/>
      <c r="J2216"/>
      <c r="K2216"/>
      <c r="L2216"/>
      <c r="M2216"/>
      <c r="S2216" s="54"/>
    </row>
    <row r="2217" spans="1:19" s="15" customFormat="1" x14ac:dyDescent="0.3">
      <c r="A2217" s="17"/>
      <c r="B2217"/>
      <c r="C2217"/>
      <c r="D2217"/>
      <c r="E2217"/>
      <c r="F2217"/>
      <c r="G2217"/>
      <c r="H2217"/>
      <c r="I2217"/>
      <c r="J2217"/>
      <c r="K2217"/>
      <c r="L2217"/>
      <c r="M2217"/>
      <c r="S2217" s="54"/>
    </row>
    <row r="2218" spans="1:19" s="15" customFormat="1" x14ac:dyDescent="0.3">
      <c r="A2218" s="17"/>
      <c r="B2218"/>
      <c r="C2218"/>
      <c r="D2218"/>
      <c r="E2218"/>
      <c r="F2218"/>
      <c r="G2218"/>
      <c r="H2218"/>
      <c r="I2218"/>
      <c r="J2218"/>
      <c r="K2218"/>
      <c r="L2218"/>
      <c r="M2218"/>
      <c r="S2218" s="54"/>
    </row>
    <row r="2219" spans="1:19" s="15" customFormat="1" x14ac:dyDescent="0.3">
      <c r="A2219" s="17"/>
      <c r="B2219"/>
      <c r="C2219"/>
      <c r="D2219"/>
      <c r="E2219"/>
      <c r="F2219"/>
      <c r="G2219"/>
      <c r="H2219"/>
      <c r="I2219"/>
      <c r="J2219"/>
      <c r="K2219"/>
      <c r="L2219"/>
      <c r="M2219"/>
      <c r="S2219" s="54"/>
    </row>
    <row r="2220" spans="1:19" s="15" customFormat="1" x14ac:dyDescent="0.3">
      <c r="A2220" s="17"/>
      <c r="B2220"/>
      <c r="C2220"/>
      <c r="D2220"/>
      <c r="E2220"/>
      <c r="F2220"/>
      <c r="G2220"/>
      <c r="H2220"/>
      <c r="I2220"/>
      <c r="J2220"/>
      <c r="K2220"/>
      <c r="L2220"/>
      <c r="M2220"/>
      <c r="S2220" s="54"/>
    </row>
    <row r="2221" spans="1:19" s="15" customFormat="1" x14ac:dyDescent="0.3">
      <c r="A2221" s="17"/>
      <c r="B2221"/>
      <c r="C2221"/>
      <c r="D2221"/>
      <c r="E2221"/>
      <c r="F2221"/>
      <c r="G2221"/>
      <c r="H2221"/>
      <c r="I2221"/>
      <c r="J2221"/>
      <c r="K2221"/>
      <c r="L2221"/>
      <c r="M2221"/>
      <c r="S2221" s="54"/>
    </row>
    <row r="2222" spans="1:19" s="15" customFormat="1" x14ac:dyDescent="0.3">
      <c r="A2222" s="17"/>
      <c r="B2222"/>
      <c r="C2222"/>
      <c r="D2222"/>
      <c r="E2222"/>
      <c r="F2222"/>
      <c r="G2222"/>
      <c r="H2222"/>
      <c r="I2222"/>
      <c r="J2222"/>
      <c r="K2222"/>
      <c r="L2222"/>
      <c r="M2222"/>
      <c r="S2222" s="54"/>
    </row>
    <row r="2223" spans="1:19" s="15" customFormat="1" x14ac:dyDescent="0.3">
      <c r="A2223" s="17"/>
      <c r="B2223"/>
      <c r="C2223"/>
      <c r="D2223"/>
      <c r="E2223"/>
      <c r="F2223"/>
      <c r="G2223"/>
      <c r="H2223"/>
      <c r="I2223"/>
      <c r="J2223"/>
      <c r="K2223"/>
      <c r="L2223"/>
      <c r="M2223"/>
      <c r="S2223" s="54"/>
    </row>
    <row r="2224" spans="1:19" s="15" customFormat="1" x14ac:dyDescent="0.3">
      <c r="A2224" s="17"/>
      <c r="B2224"/>
      <c r="C2224"/>
      <c r="D2224"/>
      <c r="E2224"/>
      <c r="F2224"/>
      <c r="G2224"/>
      <c r="H2224"/>
      <c r="I2224"/>
      <c r="J2224"/>
      <c r="K2224"/>
      <c r="L2224"/>
      <c r="M2224"/>
      <c r="S2224" s="54"/>
    </row>
    <row r="2225" spans="1:19" s="15" customFormat="1" x14ac:dyDescent="0.3">
      <c r="A2225" s="17"/>
      <c r="B2225"/>
      <c r="C2225"/>
      <c r="D2225"/>
      <c r="E2225"/>
      <c r="F2225"/>
      <c r="G2225"/>
      <c r="H2225"/>
      <c r="I2225"/>
      <c r="J2225"/>
      <c r="K2225"/>
      <c r="L2225"/>
      <c r="M2225"/>
      <c r="S2225" s="54"/>
    </row>
    <row r="2226" spans="1:19" s="15" customFormat="1" x14ac:dyDescent="0.3">
      <c r="A2226" s="17"/>
      <c r="B2226"/>
      <c r="C2226"/>
      <c r="D2226"/>
      <c r="E2226"/>
      <c r="F2226"/>
      <c r="G2226"/>
      <c r="H2226"/>
      <c r="I2226"/>
      <c r="J2226"/>
      <c r="K2226"/>
      <c r="L2226"/>
      <c r="M2226"/>
      <c r="S2226" s="54"/>
    </row>
    <row r="2227" spans="1:19" s="15" customFormat="1" x14ac:dyDescent="0.3">
      <c r="A2227" s="17"/>
      <c r="B2227"/>
      <c r="C2227"/>
      <c r="D2227"/>
      <c r="E2227"/>
      <c r="F2227"/>
      <c r="G2227"/>
      <c r="H2227"/>
      <c r="I2227"/>
      <c r="J2227"/>
      <c r="K2227"/>
      <c r="L2227"/>
      <c r="M2227"/>
      <c r="S2227" s="54"/>
    </row>
    <row r="2228" spans="1:19" s="15" customFormat="1" x14ac:dyDescent="0.3">
      <c r="A2228" s="17"/>
      <c r="B2228"/>
      <c r="C2228"/>
      <c r="D2228"/>
      <c r="E2228"/>
      <c r="F2228"/>
      <c r="G2228"/>
      <c r="H2228"/>
      <c r="I2228"/>
      <c r="J2228"/>
      <c r="K2228"/>
      <c r="L2228"/>
      <c r="M2228"/>
      <c r="S2228" s="54"/>
    </row>
    <row r="2229" spans="1:19" s="15" customFormat="1" x14ac:dyDescent="0.3">
      <c r="A2229" s="17"/>
      <c r="B2229"/>
      <c r="C2229"/>
      <c r="D2229"/>
      <c r="E2229"/>
      <c r="F2229"/>
      <c r="G2229"/>
      <c r="H2229"/>
      <c r="I2229"/>
      <c r="J2229"/>
      <c r="K2229"/>
      <c r="L2229"/>
      <c r="M2229"/>
      <c r="S2229" s="54"/>
    </row>
    <row r="2230" spans="1:19" s="15" customFormat="1" x14ac:dyDescent="0.3">
      <c r="A2230" s="17"/>
      <c r="B2230"/>
      <c r="C2230"/>
      <c r="D2230"/>
      <c r="E2230"/>
      <c r="F2230"/>
      <c r="G2230"/>
      <c r="H2230"/>
      <c r="I2230"/>
      <c r="J2230"/>
      <c r="K2230"/>
      <c r="L2230"/>
      <c r="M2230"/>
      <c r="S2230" s="54"/>
    </row>
    <row r="2231" spans="1:19" s="15" customFormat="1" x14ac:dyDescent="0.3">
      <c r="A2231" s="17"/>
      <c r="B2231"/>
      <c r="C2231"/>
      <c r="D2231"/>
      <c r="E2231"/>
      <c r="F2231"/>
      <c r="G2231"/>
      <c r="H2231"/>
      <c r="I2231"/>
      <c r="J2231"/>
      <c r="K2231"/>
      <c r="L2231"/>
      <c r="M2231"/>
      <c r="S2231" s="54"/>
    </row>
    <row r="2232" spans="1:19" s="15" customFormat="1" x14ac:dyDescent="0.3">
      <c r="A2232" s="17"/>
      <c r="B2232"/>
      <c r="C2232"/>
      <c r="D2232"/>
      <c r="E2232"/>
      <c r="F2232"/>
      <c r="G2232"/>
      <c r="H2232"/>
      <c r="I2232"/>
      <c r="J2232"/>
      <c r="K2232"/>
      <c r="L2232"/>
      <c r="M2232"/>
      <c r="S2232" s="54"/>
    </row>
    <row r="2233" spans="1:19" s="15" customFormat="1" x14ac:dyDescent="0.3">
      <c r="A2233" s="17"/>
      <c r="B2233"/>
      <c r="C2233"/>
      <c r="D2233"/>
      <c r="E2233"/>
      <c r="F2233"/>
      <c r="G2233"/>
      <c r="H2233"/>
      <c r="I2233"/>
      <c r="J2233"/>
      <c r="K2233"/>
      <c r="L2233"/>
      <c r="M2233"/>
      <c r="S2233" s="54"/>
    </row>
    <row r="2234" spans="1:19" s="15" customFormat="1" x14ac:dyDescent="0.3">
      <c r="A2234" s="17"/>
      <c r="B2234"/>
      <c r="C2234"/>
      <c r="D2234"/>
      <c r="E2234"/>
      <c r="F2234"/>
      <c r="G2234"/>
      <c r="H2234"/>
      <c r="I2234"/>
      <c r="J2234"/>
      <c r="K2234"/>
      <c r="L2234"/>
      <c r="M2234"/>
      <c r="S2234" s="54"/>
    </row>
    <row r="2235" spans="1:19" s="15" customFormat="1" x14ac:dyDescent="0.3">
      <c r="A2235" s="17"/>
      <c r="B2235"/>
      <c r="C2235"/>
      <c r="D2235"/>
      <c r="E2235"/>
      <c r="F2235"/>
      <c r="G2235"/>
      <c r="H2235"/>
      <c r="I2235"/>
      <c r="J2235"/>
      <c r="K2235"/>
      <c r="L2235"/>
      <c r="M2235"/>
      <c r="S2235" s="54"/>
    </row>
    <row r="2236" spans="1:19" s="15" customFormat="1" x14ac:dyDescent="0.3">
      <c r="A2236" s="17"/>
      <c r="B2236"/>
      <c r="C2236"/>
      <c r="D2236"/>
      <c r="E2236"/>
      <c r="F2236"/>
      <c r="G2236"/>
      <c r="H2236"/>
      <c r="I2236"/>
      <c r="J2236"/>
      <c r="K2236"/>
      <c r="L2236"/>
      <c r="M2236"/>
      <c r="S2236" s="54"/>
    </row>
    <row r="2237" spans="1:19" s="15" customFormat="1" x14ac:dyDescent="0.3">
      <c r="A2237" s="17"/>
      <c r="B2237"/>
      <c r="C2237"/>
      <c r="D2237"/>
      <c r="E2237"/>
      <c r="F2237"/>
      <c r="G2237"/>
      <c r="H2237"/>
      <c r="I2237"/>
      <c r="J2237"/>
      <c r="K2237"/>
      <c r="L2237"/>
      <c r="M2237"/>
      <c r="S2237" s="54"/>
    </row>
    <row r="2238" spans="1:19" s="15" customFormat="1" x14ac:dyDescent="0.3">
      <c r="A2238" s="17"/>
      <c r="B2238"/>
      <c r="C2238"/>
      <c r="D2238"/>
      <c r="E2238"/>
      <c r="F2238"/>
      <c r="G2238"/>
      <c r="H2238"/>
      <c r="I2238"/>
      <c r="J2238"/>
      <c r="K2238"/>
      <c r="L2238"/>
      <c r="M2238"/>
      <c r="S2238" s="54"/>
    </row>
    <row r="2239" spans="1:19" s="15" customFormat="1" x14ac:dyDescent="0.3">
      <c r="A2239" s="17"/>
      <c r="B2239"/>
      <c r="C2239"/>
      <c r="D2239"/>
      <c r="E2239"/>
      <c r="F2239"/>
      <c r="G2239"/>
      <c r="H2239"/>
      <c r="I2239"/>
      <c r="J2239"/>
      <c r="K2239"/>
      <c r="L2239"/>
      <c r="M2239"/>
      <c r="S2239" s="54"/>
    </row>
    <row r="2240" spans="1:19" s="15" customFormat="1" x14ac:dyDescent="0.3">
      <c r="A2240" s="17"/>
      <c r="B2240"/>
      <c r="C2240"/>
      <c r="D2240"/>
      <c r="E2240"/>
      <c r="F2240"/>
      <c r="G2240"/>
      <c r="H2240"/>
      <c r="I2240"/>
      <c r="J2240"/>
      <c r="K2240"/>
      <c r="L2240"/>
      <c r="M2240"/>
      <c r="S2240" s="54"/>
    </row>
    <row r="2241" spans="1:19" s="15" customFormat="1" x14ac:dyDescent="0.3">
      <c r="A2241" s="17"/>
      <c r="B2241"/>
      <c r="C2241"/>
      <c r="D2241"/>
      <c r="E2241"/>
      <c r="F2241"/>
      <c r="G2241"/>
      <c r="H2241"/>
      <c r="I2241"/>
      <c r="J2241"/>
      <c r="K2241"/>
      <c r="L2241"/>
      <c r="M2241"/>
      <c r="S2241" s="54"/>
    </row>
    <row r="2242" spans="1:19" s="15" customFormat="1" x14ac:dyDescent="0.3">
      <c r="A2242" s="17"/>
      <c r="B2242"/>
      <c r="C2242"/>
      <c r="D2242"/>
      <c r="E2242"/>
      <c r="F2242"/>
      <c r="G2242"/>
      <c r="H2242"/>
      <c r="I2242"/>
      <c r="J2242"/>
      <c r="K2242"/>
      <c r="L2242"/>
      <c r="M2242"/>
      <c r="S2242" s="54"/>
    </row>
    <row r="2243" spans="1:19" s="15" customFormat="1" x14ac:dyDescent="0.3">
      <c r="A2243" s="17"/>
      <c r="B2243"/>
      <c r="C2243"/>
      <c r="D2243"/>
      <c r="E2243"/>
      <c r="F2243"/>
      <c r="G2243"/>
      <c r="H2243"/>
      <c r="I2243"/>
      <c r="J2243"/>
      <c r="K2243"/>
      <c r="L2243"/>
      <c r="M2243"/>
      <c r="S2243" s="54"/>
    </row>
    <row r="2244" spans="1:19" s="15" customFormat="1" x14ac:dyDescent="0.3">
      <c r="A2244" s="17"/>
      <c r="B2244"/>
      <c r="C2244"/>
      <c r="D2244"/>
      <c r="E2244"/>
      <c r="F2244"/>
      <c r="G2244"/>
      <c r="H2244"/>
      <c r="I2244"/>
      <c r="J2244"/>
      <c r="K2244"/>
      <c r="L2244"/>
      <c r="M2244"/>
      <c r="S2244" s="54"/>
    </row>
    <row r="2245" spans="1:19" s="15" customFormat="1" x14ac:dyDescent="0.3">
      <c r="A2245" s="17"/>
      <c r="B2245"/>
      <c r="C2245"/>
      <c r="D2245"/>
      <c r="E2245"/>
      <c r="F2245"/>
      <c r="G2245"/>
      <c r="H2245"/>
      <c r="I2245"/>
      <c r="J2245"/>
      <c r="K2245"/>
      <c r="L2245"/>
      <c r="M2245"/>
      <c r="S2245" s="54"/>
    </row>
    <row r="2246" spans="1:19" s="15" customFormat="1" x14ac:dyDescent="0.3">
      <c r="A2246" s="17"/>
      <c r="B2246"/>
      <c r="C2246"/>
      <c r="D2246"/>
      <c r="E2246"/>
      <c r="F2246"/>
      <c r="G2246"/>
      <c r="H2246"/>
      <c r="I2246"/>
      <c r="J2246"/>
      <c r="K2246"/>
      <c r="L2246"/>
      <c r="M2246"/>
      <c r="S2246" s="54"/>
    </row>
    <row r="2247" spans="1:19" s="15" customFormat="1" x14ac:dyDescent="0.3">
      <c r="A2247" s="17"/>
      <c r="B2247"/>
      <c r="C2247"/>
      <c r="D2247"/>
      <c r="E2247"/>
      <c r="F2247"/>
      <c r="G2247"/>
      <c r="H2247"/>
      <c r="I2247"/>
      <c r="J2247"/>
      <c r="K2247"/>
      <c r="L2247"/>
      <c r="M2247"/>
      <c r="S2247" s="54"/>
    </row>
    <row r="2248" spans="1:19" s="15" customFormat="1" x14ac:dyDescent="0.3">
      <c r="A2248" s="17"/>
      <c r="B2248"/>
      <c r="C2248"/>
      <c r="D2248"/>
      <c r="E2248"/>
      <c r="F2248"/>
      <c r="G2248"/>
      <c r="H2248"/>
      <c r="I2248"/>
      <c r="J2248"/>
      <c r="K2248"/>
      <c r="L2248"/>
      <c r="M2248"/>
      <c r="S2248" s="54"/>
    </row>
    <row r="2249" spans="1:19" s="15" customFormat="1" x14ac:dyDescent="0.3">
      <c r="A2249" s="17"/>
      <c r="B2249"/>
      <c r="C2249"/>
      <c r="D2249"/>
      <c r="E2249"/>
      <c r="F2249"/>
      <c r="G2249"/>
      <c r="H2249"/>
      <c r="I2249"/>
      <c r="J2249"/>
      <c r="K2249"/>
      <c r="L2249"/>
      <c r="M2249"/>
      <c r="S2249" s="54"/>
    </row>
    <row r="2250" spans="1:19" s="15" customFormat="1" x14ac:dyDescent="0.3">
      <c r="A2250" s="17"/>
      <c r="B2250"/>
      <c r="C2250"/>
      <c r="D2250"/>
      <c r="E2250"/>
      <c r="F2250"/>
      <c r="G2250"/>
      <c r="H2250"/>
      <c r="I2250"/>
      <c r="J2250"/>
      <c r="K2250"/>
      <c r="L2250"/>
      <c r="M2250"/>
      <c r="S2250" s="54"/>
    </row>
    <row r="2251" spans="1:19" s="15" customFormat="1" x14ac:dyDescent="0.3">
      <c r="A2251" s="17"/>
      <c r="B2251"/>
      <c r="C2251"/>
      <c r="D2251"/>
      <c r="E2251"/>
      <c r="F2251"/>
      <c r="G2251"/>
      <c r="H2251"/>
      <c r="I2251"/>
      <c r="J2251"/>
      <c r="K2251"/>
      <c r="L2251"/>
      <c r="M2251"/>
      <c r="S2251" s="54"/>
    </row>
    <row r="2252" spans="1:19" s="15" customFormat="1" x14ac:dyDescent="0.3">
      <c r="A2252" s="17"/>
      <c r="B2252"/>
      <c r="C2252"/>
      <c r="D2252"/>
      <c r="E2252"/>
      <c r="F2252"/>
      <c r="G2252"/>
      <c r="H2252"/>
      <c r="I2252"/>
      <c r="J2252"/>
      <c r="K2252"/>
      <c r="L2252"/>
      <c r="M2252"/>
      <c r="S2252" s="54"/>
    </row>
    <row r="2253" spans="1:19" s="15" customFormat="1" x14ac:dyDescent="0.3">
      <c r="A2253" s="17"/>
      <c r="B2253"/>
      <c r="C2253"/>
      <c r="D2253"/>
      <c r="E2253"/>
      <c r="F2253"/>
      <c r="G2253"/>
      <c r="H2253"/>
      <c r="I2253"/>
      <c r="J2253"/>
      <c r="K2253"/>
      <c r="L2253"/>
      <c r="M2253"/>
      <c r="S2253" s="54"/>
    </row>
    <row r="2254" spans="1:19" s="15" customFormat="1" x14ac:dyDescent="0.3">
      <c r="A2254" s="17"/>
      <c r="B2254"/>
      <c r="C2254"/>
      <c r="D2254"/>
      <c r="E2254"/>
      <c r="F2254"/>
      <c r="G2254"/>
      <c r="H2254"/>
      <c r="I2254"/>
      <c r="J2254"/>
      <c r="K2254"/>
      <c r="L2254"/>
      <c r="M2254"/>
      <c r="S2254" s="54"/>
    </row>
    <row r="2255" spans="1:19" s="15" customFormat="1" x14ac:dyDescent="0.3">
      <c r="A2255" s="17"/>
      <c r="B2255"/>
      <c r="C2255"/>
      <c r="D2255"/>
      <c r="E2255"/>
      <c r="F2255"/>
      <c r="G2255"/>
      <c r="H2255"/>
      <c r="I2255"/>
      <c r="J2255"/>
      <c r="K2255"/>
      <c r="L2255"/>
      <c r="M2255"/>
      <c r="S2255" s="54"/>
    </row>
    <row r="2256" spans="1:19" s="15" customFormat="1" x14ac:dyDescent="0.3">
      <c r="A2256" s="17"/>
      <c r="B2256"/>
      <c r="C2256"/>
      <c r="D2256"/>
      <c r="E2256"/>
      <c r="F2256"/>
      <c r="G2256"/>
      <c r="H2256"/>
      <c r="I2256"/>
      <c r="J2256"/>
      <c r="K2256"/>
      <c r="L2256"/>
      <c r="M2256"/>
      <c r="S2256" s="54"/>
    </row>
    <row r="2257" spans="1:19" s="15" customFormat="1" x14ac:dyDescent="0.3">
      <c r="A2257" s="17"/>
      <c r="B2257"/>
      <c r="C2257"/>
      <c r="D2257"/>
      <c r="E2257"/>
      <c r="F2257"/>
      <c r="G2257"/>
      <c r="H2257"/>
      <c r="I2257"/>
      <c r="J2257"/>
      <c r="K2257"/>
      <c r="L2257"/>
      <c r="M2257"/>
      <c r="S2257" s="54"/>
    </row>
    <row r="2258" spans="1:19" s="15" customFormat="1" x14ac:dyDescent="0.3">
      <c r="A2258" s="17"/>
      <c r="B2258"/>
      <c r="C2258"/>
      <c r="D2258"/>
      <c r="E2258"/>
      <c r="F2258"/>
      <c r="G2258"/>
      <c r="H2258"/>
      <c r="I2258"/>
      <c r="J2258"/>
      <c r="K2258"/>
      <c r="L2258"/>
      <c r="M2258"/>
      <c r="S2258" s="54"/>
    </row>
    <row r="2259" spans="1:19" s="15" customFormat="1" x14ac:dyDescent="0.3">
      <c r="A2259" s="17"/>
      <c r="B2259"/>
      <c r="C2259"/>
      <c r="D2259"/>
      <c r="E2259"/>
      <c r="F2259"/>
      <c r="G2259"/>
      <c r="H2259"/>
      <c r="I2259"/>
      <c r="J2259"/>
      <c r="K2259"/>
      <c r="L2259"/>
      <c r="M2259"/>
      <c r="S2259" s="54"/>
    </row>
    <row r="2260" spans="1:19" s="15" customFormat="1" x14ac:dyDescent="0.3">
      <c r="A2260" s="17"/>
      <c r="B2260"/>
      <c r="C2260"/>
      <c r="D2260"/>
      <c r="E2260"/>
      <c r="F2260"/>
      <c r="G2260"/>
      <c r="H2260"/>
      <c r="I2260"/>
      <c r="J2260"/>
      <c r="K2260"/>
      <c r="L2260"/>
      <c r="M2260"/>
      <c r="S2260" s="54"/>
    </row>
    <row r="2261" spans="1:19" s="15" customFormat="1" x14ac:dyDescent="0.3">
      <c r="A2261" s="17"/>
      <c r="B2261"/>
      <c r="C2261"/>
      <c r="D2261"/>
      <c r="E2261"/>
      <c r="F2261"/>
      <c r="G2261"/>
      <c r="H2261"/>
      <c r="I2261"/>
      <c r="J2261"/>
      <c r="K2261"/>
      <c r="L2261"/>
      <c r="M2261"/>
      <c r="S2261" s="54"/>
    </row>
    <row r="2262" spans="1:19" s="15" customFormat="1" x14ac:dyDescent="0.3">
      <c r="A2262" s="17"/>
      <c r="B2262"/>
      <c r="C2262"/>
      <c r="D2262"/>
      <c r="E2262"/>
      <c r="F2262"/>
      <c r="G2262"/>
      <c r="H2262"/>
      <c r="I2262"/>
      <c r="J2262"/>
      <c r="K2262"/>
      <c r="L2262"/>
      <c r="M2262"/>
      <c r="S2262" s="54"/>
    </row>
    <row r="2263" spans="1:19" s="15" customFormat="1" x14ac:dyDescent="0.3">
      <c r="A2263" s="17"/>
      <c r="B2263"/>
      <c r="C2263"/>
      <c r="D2263"/>
      <c r="E2263"/>
      <c r="F2263"/>
      <c r="G2263"/>
      <c r="H2263"/>
      <c r="I2263"/>
      <c r="J2263"/>
      <c r="K2263"/>
      <c r="L2263"/>
      <c r="M2263"/>
      <c r="S2263" s="54"/>
    </row>
    <row r="2264" spans="1:19" s="15" customFormat="1" x14ac:dyDescent="0.3">
      <c r="A2264" s="17"/>
      <c r="B2264"/>
      <c r="C2264"/>
      <c r="D2264"/>
      <c r="E2264"/>
      <c r="F2264"/>
      <c r="G2264"/>
      <c r="H2264"/>
      <c r="I2264"/>
      <c r="J2264"/>
      <c r="K2264"/>
      <c r="L2264"/>
      <c r="M2264"/>
      <c r="S2264" s="54"/>
    </row>
    <row r="2265" spans="1:19" s="15" customFormat="1" x14ac:dyDescent="0.3">
      <c r="A2265" s="17"/>
      <c r="B2265"/>
      <c r="C2265"/>
      <c r="D2265"/>
      <c r="E2265"/>
      <c r="F2265"/>
      <c r="G2265"/>
      <c r="H2265"/>
      <c r="I2265"/>
      <c r="J2265"/>
      <c r="K2265"/>
      <c r="L2265"/>
      <c r="M2265"/>
      <c r="S2265" s="54"/>
    </row>
    <row r="2266" spans="1:19" s="15" customFormat="1" x14ac:dyDescent="0.3">
      <c r="A2266" s="17"/>
      <c r="B2266"/>
      <c r="C2266"/>
      <c r="D2266"/>
      <c r="E2266"/>
      <c r="F2266"/>
      <c r="G2266"/>
      <c r="H2266"/>
      <c r="I2266"/>
      <c r="J2266"/>
      <c r="K2266"/>
      <c r="L2266"/>
      <c r="M2266"/>
      <c r="S2266" s="54"/>
    </row>
    <row r="2267" spans="1:19" s="15" customFormat="1" x14ac:dyDescent="0.3">
      <c r="A2267" s="17"/>
      <c r="B2267"/>
      <c r="C2267"/>
      <c r="D2267"/>
      <c r="E2267"/>
      <c r="F2267"/>
      <c r="G2267"/>
      <c r="H2267"/>
      <c r="I2267"/>
      <c r="J2267"/>
      <c r="K2267"/>
      <c r="L2267"/>
      <c r="M2267"/>
      <c r="S2267" s="54"/>
    </row>
    <row r="2268" spans="1:19" s="15" customFormat="1" x14ac:dyDescent="0.3">
      <c r="A2268" s="17"/>
      <c r="B2268"/>
      <c r="C2268"/>
      <c r="D2268"/>
      <c r="E2268"/>
      <c r="F2268"/>
      <c r="G2268"/>
      <c r="H2268"/>
      <c r="I2268"/>
      <c r="J2268"/>
      <c r="K2268"/>
      <c r="L2268"/>
      <c r="M2268"/>
      <c r="S2268" s="54"/>
    </row>
    <row r="2269" spans="1:19" s="15" customFormat="1" x14ac:dyDescent="0.3">
      <c r="A2269" s="17"/>
      <c r="B2269"/>
      <c r="C2269"/>
      <c r="D2269"/>
      <c r="E2269"/>
      <c r="F2269"/>
      <c r="G2269"/>
      <c r="H2269"/>
      <c r="I2269"/>
      <c r="J2269"/>
      <c r="K2269"/>
      <c r="L2269"/>
      <c r="M2269"/>
      <c r="S2269" s="54"/>
    </row>
    <row r="2270" spans="1:19" s="15" customFormat="1" x14ac:dyDescent="0.3">
      <c r="A2270" s="17"/>
      <c r="B2270"/>
      <c r="C2270"/>
      <c r="D2270"/>
      <c r="E2270"/>
      <c r="F2270"/>
      <c r="G2270"/>
      <c r="H2270"/>
      <c r="I2270"/>
      <c r="J2270"/>
      <c r="K2270"/>
      <c r="L2270"/>
      <c r="M2270"/>
      <c r="S2270" s="54"/>
    </row>
    <row r="2271" spans="1:19" s="15" customFormat="1" x14ac:dyDescent="0.3">
      <c r="A2271" s="17"/>
      <c r="B2271"/>
      <c r="C2271"/>
      <c r="D2271"/>
      <c r="E2271"/>
      <c r="F2271"/>
      <c r="G2271"/>
      <c r="H2271"/>
      <c r="I2271"/>
      <c r="J2271"/>
      <c r="K2271"/>
      <c r="L2271"/>
      <c r="M2271"/>
      <c r="S2271" s="54"/>
    </row>
    <row r="2272" spans="1:19" s="15" customFormat="1" x14ac:dyDescent="0.3">
      <c r="A2272" s="17"/>
      <c r="B2272"/>
      <c r="C2272"/>
      <c r="D2272"/>
      <c r="E2272"/>
      <c r="F2272"/>
      <c r="G2272"/>
      <c r="H2272"/>
      <c r="I2272"/>
      <c r="J2272"/>
      <c r="K2272"/>
      <c r="L2272"/>
      <c r="M2272"/>
      <c r="S2272" s="54"/>
    </row>
    <row r="2273" spans="1:19" s="15" customFormat="1" x14ac:dyDescent="0.3">
      <c r="A2273" s="17"/>
      <c r="B2273"/>
      <c r="C2273"/>
      <c r="D2273"/>
      <c r="E2273"/>
      <c r="F2273"/>
      <c r="G2273"/>
      <c r="H2273"/>
      <c r="I2273"/>
      <c r="J2273"/>
      <c r="K2273"/>
      <c r="L2273"/>
      <c r="M2273"/>
      <c r="S2273" s="54"/>
    </row>
    <row r="2274" spans="1:19" s="15" customFormat="1" x14ac:dyDescent="0.3">
      <c r="A2274" s="17"/>
      <c r="B2274"/>
      <c r="C2274"/>
      <c r="D2274"/>
      <c r="E2274"/>
      <c r="F2274"/>
      <c r="G2274"/>
      <c r="H2274"/>
      <c r="I2274"/>
      <c r="J2274"/>
      <c r="K2274"/>
      <c r="L2274"/>
      <c r="M2274"/>
      <c r="S2274" s="54"/>
    </row>
    <row r="2275" spans="1:19" s="15" customFormat="1" x14ac:dyDescent="0.3">
      <c r="A2275" s="17"/>
      <c r="B2275"/>
      <c r="C2275"/>
      <c r="D2275"/>
      <c r="E2275"/>
      <c r="F2275"/>
      <c r="G2275"/>
      <c r="H2275"/>
      <c r="I2275"/>
      <c r="J2275"/>
      <c r="K2275"/>
      <c r="L2275"/>
      <c r="M2275"/>
      <c r="S2275" s="54"/>
    </row>
    <row r="2276" spans="1:19" s="15" customFormat="1" x14ac:dyDescent="0.3">
      <c r="A2276" s="17"/>
      <c r="B2276"/>
      <c r="C2276"/>
      <c r="D2276"/>
      <c r="E2276"/>
      <c r="F2276"/>
      <c r="G2276"/>
      <c r="H2276"/>
      <c r="I2276"/>
      <c r="J2276"/>
      <c r="K2276"/>
      <c r="L2276"/>
      <c r="M2276"/>
      <c r="S2276" s="54"/>
    </row>
    <row r="2277" spans="1:19" s="15" customFormat="1" x14ac:dyDescent="0.3">
      <c r="A2277" s="17"/>
      <c r="B2277"/>
      <c r="C2277"/>
      <c r="D2277"/>
      <c r="E2277"/>
      <c r="F2277"/>
      <c r="G2277"/>
      <c r="H2277"/>
      <c r="I2277"/>
      <c r="J2277"/>
      <c r="K2277"/>
      <c r="L2277"/>
      <c r="M2277"/>
      <c r="S2277" s="54"/>
    </row>
    <row r="2278" spans="1:19" s="15" customFormat="1" x14ac:dyDescent="0.3">
      <c r="A2278" s="17"/>
      <c r="B2278"/>
      <c r="C2278"/>
      <c r="D2278"/>
      <c r="E2278"/>
      <c r="F2278"/>
      <c r="G2278"/>
      <c r="H2278"/>
      <c r="I2278"/>
      <c r="J2278"/>
      <c r="K2278"/>
      <c r="L2278"/>
      <c r="M2278"/>
      <c r="S2278" s="54"/>
    </row>
    <row r="2279" spans="1:19" s="15" customFormat="1" x14ac:dyDescent="0.3">
      <c r="A2279" s="17"/>
      <c r="B2279"/>
      <c r="C2279"/>
      <c r="D2279"/>
      <c r="E2279"/>
      <c r="F2279"/>
      <c r="G2279"/>
      <c r="H2279"/>
      <c r="I2279"/>
      <c r="J2279"/>
      <c r="K2279"/>
      <c r="L2279"/>
      <c r="M2279"/>
      <c r="S2279" s="54"/>
    </row>
    <row r="2280" spans="1:19" s="15" customFormat="1" x14ac:dyDescent="0.3">
      <c r="A2280" s="17"/>
      <c r="B2280"/>
      <c r="C2280"/>
      <c r="D2280"/>
      <c r="E2280"/>
      <c r="F2280"/>
      <c r="G2280"/>
      <c r="H2280"/>
      <c r="I2280"/>
      <c r="J2280"/>
      <c r="K2280"/>
      <c r="L2280"/>
      <c r="M2280"/>
      <c r="S2280" s="54"/>
    </row>
    <row r="2281" spans="1:19" s="15" customFormat="1" x14ac:dyDescent="0.3">
      <c r="A2281" s="17"/>
      <c r="B2281"/>
      <c r="C2281"/>
      <c r="D2281"/>
      <c r="E2281"/>
      <c r="F2281"/>
      <c r="G2281"/>
      <c r="H2281"/>
      <c r="I2281"/>
      <c r="J2281"/>
      <c r="K2281"/>
      <c r="L2281"/>
      <c r="M2281"/>
      <c r="S2281" s="54"/>
    </row>
    <row r="2282" spans="1:19" s="15" customFormat="1" x14ac:dyDescent="0.3">
      <c r="A2282" s="17"/>
      <c r="B2282"/>
      <c r="C2282"/>
      <c r="D2282"/>
      <c r="E2282"/>
      <c r="F2282"/>
      <c r="G2282"/>
      <c r="H2282"/>
      <c r="I2282"/>
      <c r="J2282"/>
      <c r="K2282"/>
      <c r="L2282"/>
      <c r="M2282"/>
      <c r="S2282" s="54"/>
    </row>
    <row r="2283" spans="1:19" s="15" customFormat="1" x14ac:dyDescent="0.3">
      <c r="A2283" s="17"/>
      <c r="B2283"/>
      <c r="C2283"/>
      <c r="D2283"/>
      <c r="E2283"/>
      <c r="F2283"/>
      <c r="G2283"/>
      <c r="H2283"/>
      <c r="I2283"/>
      <c r="J2283"/>
      <c r="K2283"/>
      <c r="L2283"/>
      <c r="M2283"/>
      <c r="S2283" s="54"/>
    </row>
    <row r="2284" spans="1:19" s="15" customFormat="1" x14ac:dyDescent="0.3">
      <c r="A2284" s="17"/>
      <c r="B2284"/>
      <c r="C2284"/>
      <c r="D2284"/>
      <c r="E2284"/>
      <c r="F2284"/>
      <c r="G2284"/>
      <c r="H2284"/>
      <c r="I2284"/>
      <c r="J2284"/>
      <c r="K2284"/>
      <c r="L2284"/>
      <c r="M2284"/>
      <c r="S2284" s="54"/>
    </row>
    <row r="2285" spans="1:19" s="15" customFormat="1" x14ac:dyDescent="0.3">
      <c r="A2285" s="17"/>
      <c r="B2285"/>
      <c r="C2285"/>
      <c r="D2285"/>
      <c r="E2285"/>
      <c r="F2285"/>
      <c r="G2285"/>
      <c r="H2285"/>
      <c r="I2285"/>
      <c r="J2285"/>
      <c r="K2285"/>
      <c r="L2285"/>
      <c r="M2285"/>
      <c r="S2285" s="54"/>
    </row>
    <row r="2286" spans="1:19" s="15" customFormat="1" x14ac:dyDescent="0.3">
      <c r="A2286" s="17"/>
      <c r="B2286"/>
      <c r="C2286"/>
      <c r="D2286"/>
      <c r="E2286"/>
      <c r="F2286"/>
      <c r="G2286"/>
      <c r="H2286"/>
      <c r="I2286"/>
      <c r="J2286"/>
      <c r="K2286"/>
      <c r="L2286"/>
      <c r="M2286"/>
      <c r="S2286" s="54"/>
    </row>
    <row r="2287" spans="1:19" s="15" customFormat="1" x14ac:dyDescent="0.3">
      <c r="A2287" s="17"/>
      <c r="B2287"/>
      <c r="C2287"/>
      <c r="D2287"/>
      <c r="E2287"/>
      <c r="F2287"/>
      <c r="G2287"/>
      <c r="H2287"/>
      <c r="I2287"/>
      <c r="J2287"/>
      <c r="K2287"/>
      <c r="L2287"/>
      <c r="M2287"/>
      <c r="S2287" s="54"/>
    </row>
    <row r="2288" spans="1:19" s="15" customFormat="1" x14ac:dyDescent="0.3">
      <c r="A2288" s="17"/>
      <c r="B2288"/>
      <c r="C2288"/>
      <c r="D2288"/>
      <c r="E2288"/>
      <c r="F2288"/>
      <c r="G2288"/>
      <c r="H2288"/>
      <c r="I2288"/>
      <c r="J2288"/>
      <c r="K2288"/>
      <c r="L2288"/>
      <c r="M2288"/>
      <c r="S2288" s="54"/>
    </row>
    <row r="2289" spans="1:19" s="15" customFormat="1" x14ac:dyDescent="0.3">
      <c r="A2289" s="17"/>
      <c r="B2289"/>
      <c r="C2289"/>
      <c r="D2289"/>
      <c r="E2289"/>
      <c r="F2289"/>
      <c r="G2289"/>
      <c r="H2289"/>
      <c r="I2289"/>
      <c r="J2289"/>
      <c r="K2289"/>
      <c r="L2289"/>
      <c r="M2289"/>
      <c r="S2289" s="54"/>
    </row>
    <row r="2290" spans="1:19" s="15" customFormat="1" x14ac:dyDescent="0.3">
      <c r="A2290" s="17"/>
      <c r="B2290"/>
      <c r="C2290"/>
      <c r="D2290"/>
      <c r="E2290"/>
      <c r="F2290"/>
      <c r="G2290"/>
      <c r="H2290"/>
      <c r="I2290"/>
      <c r="J2290"/>
      <c r="K2290"/>
      <c r="L2290"/>
      <c r="M2290"/>
      <c r="S2290" s="54"/>
    </row>
    <row r="2291" spans="1:19" s="15" customFormat="1" x14ac:dyDescent="0.3">
      <c r="A2291" s="17"/>
      <c r="B2291"/>
      <c r="C2291"/>
      <c r="D2291"/>
      <c r="E2291"/>
      <c r="F2291"/>
      <c r="G2291"/>
      <c r="H2291"/>
      <c r="I2291"/>
      <c r="J2291"/>
      <c r="K2291"/>
      <c r="L2291"/>
      <c r="M2291"/>
      <c r="S2291" s="54"/>
    </row>
    <row r="2292" spans="1:19" s="15" customFormat="1" x14ac:dyDescent="0.3">
      <c r="A2292" s="17"/>
      <c r="B2292"/>
      <c r="C2292"/>
      <c r="D2292"/>
      <c r="E2292"/>
      <c r="F2292"/>
      <c r="G2292"/>
      <c r="H2292"/>
      <c r="I2292"/>
      <c r="J2292"/>
      <c r="K2292"/>
      <c r="L2292"/>
      <c r="M2292"/>
      <c r="S2292" s="54"/>
    </row>
    <row r="2293" spans="1:19" s="15" customFormat="1" x14ac:dyDescent="0.3">
      <c r="A2293" s="17"/>
      <c r="B2293"/>
      <c r="C2293"/>
      <c r="D2293"/>
      <c r="E2293"/>
      <c r="F2293"/>
      <c r="G2293"/>
      <c r="H2293"/>
      <c r="I2293"/>
      <c r="J2293"/>
      <c r="K2293"/>
      <c r="L2293"/>
      <c r="M2293"/>
      <c r="S2293" s="54"/>
    </row>
    <row r="2294" spans="1:19" s="15" customFormat="1" x14ac:dyDescent="0.3">
      <c r="A2294" s="17"/>
      <c r="B2294"/>
      <c r="C2294"/>
      <c r="D2294"/>
      <c r="E2294"/>
      <c r="F2294"/>
      <c r="G2294"/>
      <c r="H2294"/>
      <c r="I2294"/>
      <c r="J2294"/>
      <c r="K2294"/>
      <c r="L2294"/>
      <c r="M2294"/>
      <c r="S2294" s="54"/>
    </row>
    <row r="2295" spans="1:19" s="15" customFormat="1" x14ac:dyDescent="0.3">
      <c r="A2295" s="17"/>
      <c r="B2295"/>
      <c r="C2295"/>
      <c r="D2295"/>
      <c r="E2295"/>
      <c r="F2295"/>
      <c r="G2295"/>
      <c r="H2295"/>
      <c r="I2295"/>
      <c r="J2295"/>
      <c r="K2295"/>
      <c r="L2295"/>
      <c r="M2295"/>
      <c r="S2295" s="54"/>
    </row>
    <row r="2296" spans="1:19" s="15" customFormat="1" x14ac:dyDescent="0.3">
      <c r="A2296" s="17"/>
      <c r="B2296"/>
      <c r="C2296"/>
      <c r="D2296"/>
      <c r="E2296"/>
      <c r="F2296"/>
      <c r="G2296"/>
      <c r="H2296"/>
      <c r="I2296"/>
      <c r="J2296"/>
      <c r="K2296"/>
      <c r="L2296"/>
      <c r="M2296"/>
      <c r="S2296" s="54"/>
    </row>
    <row r="2297" spans="1:19" s="15" customFormat="1" x14ac:dyDescent="0.3">
      <c r="A2297" s="17"/>
      <c r="B2297"/>
      <c r="C2297"/>
      <c r="D2297"/>
      <c r="E2297"/>
      <c r="F2297"/>
      <c r="G2297"/>
      <c r="H2297"/>
      <c r="I2297"/>
      <c r="J2297"/>
      <c r="K2297"/>
      <c r="L2297"/>
      <c r="M2297"/>
      <c r="S2297" s="54"/>
    </row>
    <row r="2298" spans="1:19" s="15" customFormat="1" x14ac:dyDescent="0.3">
      <c r="A2298" s="17"/>
      <c r="B2298"/>
      <c r="C2298"/>
      <c r="D2298"/>
      <c r="E2298"/>
      <c r="F2298"/>
      <c r="G2298"/>
      <c r="H2298"/>
      <c r="I2298"/>
      <c r="J2298"/>
      <c r="K2298"/>
      <c r="L2298"/>
      <c r="M2298"/>
      <c r="S2298" s="54"/>
    </row>
    <row r="2299" spans="1:19" s="15" customFormat="1" x14ac:dyDescent="0.3">
      <c r="A2299" s="17"/>
      <c r="B2299"/>
      <c r="C2299"/>
      <c r="D2299"/>
      <c r="E2299"/>
      <c r="F2299"/>
      <c r="G2299"/>
      <c r="H2299"/>
      <c r="I2299"/>
      <c r="J2299"/>
      <c r="K2299"/>
      <c r="L2299"/>
      <c r="M2299"/>
      <c r="S2299" s="54"/>
    </row>
    <row r="2300" spans="1:19" s="15" customFormat="1" x14ac:dyDescent="0.3">
      <c r="A2300" s="17"/>
      <c r="B2300"/>
      <c r="C2300"/>
      <c r="D2300"/>
      <c r="E2300"/>
      <c r="F2300"/>
      <c r="G2300"/>
      <c r="H2300"/>
      <c r="I2300"/>
      <c r="J2300"/>
      <c r="K2300"/>
      <c r="L2300"/>
      <c r="M2300"/>
      <c r="S2300" s="54"/>
    </row>
    <row r="2301" spans="1:19" s="15" customFormat="1" x14ac:dyDescent="0.3">
      <c r="A2301" s="17"/>
      <c r="B2301"/>
      <c r="C2301"/>
      <c r="D2301"/>
      <c r="E2301"/>
      <c r="F2301"/>
      <c r="G2301"/>
      <c r="H2301"/>
      <c r="I2301"/>
      <c r="J2301"/>
      <c r="K2301"/>
      <c r="L2301"/>
      <c r="M2301"/>
      <c r="S2301" s="54"/>
    </row>
    <row r="2302" spans="1:19" s="15" customFormat="1" x14ac:dyDescent="0.3">
      <c r="A2302" s="17"/>
      <c r="B2302"/>
      <c r="C2302"/>
      <c r="D2302"/>
      <c r="E2302"/>
      <c r="F2302"/>
      <c r="G2302"/>
      <c r="H2302"/>
      <c r="I2302"/>
      <c r="J2302"/>
      <c r="K2302"/>
      <c r="L2302"/>
      <c r="M2302"/>
      <c r="S2302" s="54"/>
    </row>
    <row r="2303" spans="1:19" s="15" customFormat="1" x14ac:dyDescent="0.3">
      <c r="A2303" s="17"/>
      <c r="B2303"/>
      <c r="C2303"/>
      <c r="D2303"/>
      <c r="E2303"/>
      <c r="F2303"/>
      <c r="G2303"/>
      <c r="H2303"/>
      <c r="I2303"/>
      <c r="J2303"/>
      <c r="K2303"/>
      <c r="L2303"/>
      <c r="M2303"/>
      <c r="S2303" s="54"/>
    </row>
    <row r="2304" spans="1:19" s="15" customFormat="1" x14ac:dyDescent="0.3">
      <c r="A2304" s="17"/>
      <c r="B2304"/>
      <c r="C2304"/>
      <c r="D2304"/>
      <c r="E2304"/>
      <c r="F2304"/>
      <c r="G2304"/>
      <c r="H2304"/>
      <c r="I2304"/>
      <c r="J2304"/>
      <c r="K2304"/>
      <c r="L2304"/>
      <c r="M2304"/>
      <c r="S2304" s="54"/>
    </row>
    <row r="2305" spans="1:19" s="15" customFormat="1" x14ac:dyDescent="0.3">
      <c r="A2305" s="17"/>
      <c r="B2305"/>
      <c r="C2305"/>
      <c r="D2305"/>
      <c r="E2305"/>
      <c r="F2305"/>
      <c r="G2305"/>
      <c r="H2305"/>
      <c r="I2305"/>
      <c r="J2305"/>
      <c r="K2305"/>
      <c r="L2305"/>
      <c r="M2305"/>
      <c r="S2305" s="54"/>
    </row>
    <row r="2306" spans="1:19" s="15" customFormat="1" x14ac:dyDescent="0.3">
      <c r="A2306" s="17"/>
      <c r="B2306"/>
      <c r="C2306"/>
      <c r="D2306"/>
      <c r="E2306"/>
      <c r="F2306"/>
      <c r="G2306"/>
      <c r="H2306"/>
      <c r="I2306"/>
      <c r="J2306"/>
      <c r="K2306"/>
      <c r="L2306"/>
      <c r="M2306"/>
      <c r="S2306" s="54"/>
    </row>
    <row r="2307" spans="1:19" s="15" customFormat="1" x14ac:dyDescent="0.3">
      <c r="A2307" s="17"/>
      <c r="B2307"/>
      <c r="C2307"/>
      <c r="D2307"/>
      <c r="E2307"/>
      <c r="F2307"/>
      <c r="G2307"/>
      <c r="H2307"/>
      <c r="I2307"/>
      <c r="J2307"/>
      <c r="K2307"/>
      <c r="L2307"/>
      <c r="M2307"/>
      <c r="S2307" s="54"/>
    </row>
    <row r="2308" spans="1:19" s="15" customFormat="1" x14ac:dyDescent="0.3">
      <c r="A2308" s="17"/>
      <c r="B2308"/>
      <c r="C2308"/>
      <c r="D2308"/>
      <c r="E2308"/>
      <c r="F2308"/>
      <c r="G2308"/>
      <c r="H2308"/>
      <c r="I2308"/>
      <c r="J2308"/>
      <c r="K2308"/>
      <c r="L2308"/>
      <c r="M2308"/>
      <c r="S2308" s="54"/>
    </row>
    <row r="2309" spans="1:19" s="15" customFormat="1" x14ac:dyDescent="0.3">
      <c r="A2309" s="17"/>
      <c r="B2309"/>
      <c r="C2309"/>
      <c r="D2309"/>
      <c r="E2309"/>
      <c r="F2309"/>
      <c r="G2309"/>
      <c r="H2309"/>
      <c r="I2309"/>
      <c r="J2309"/>
      <c r="K2309"/>
      <c r="L2309"/>
      <c r="M2309"/>
      <c r="S2309" s="54"/>
    </row>
    <row r="2310" spans="1:19" s="15" customFormat="1" x14ac:dyDescent="0.3">
      <c r="A2310" s="17"/>
      <c r="B2310"/>
      <c r="C2310"/>
      <c r="D2310"/>
      <c r="E2310"/>
      <c r="F2310"/>
      <c r="G2310"/>
      <c r="H2310"/>
      <c r="I2310"/>
      <c r="J2310"/>
      <c r="K2310"/>
      <c r="L2310"/>
      <c r="M2310"/>
      <c r="S2310" s="54"/>
    </row>
    <row r="2311" spans="1:19" s="15" customFormat="1" x14ac:dyDescent="0.3">
      <c r="A2311" s="17"/>
      <c r="B2311"/>
      <c r="C2311"/>
      <c r="D2311"/>
      <c r="E2311"/>
      <c r="F2311"/>
      <c r="G2311"/>
      <c r="H2311"/>
      <c r="I2311"/>
      <c r="J2311"/>
      <c r="K2311"/>
      <c r="L2311"/>
      <c r="M2311"/>
      <c r="S2311" s="54"/>
    </row>
    <row r="2312" spans="1:19" s="15" customFormat="1" x14ac:dyDescent="0.3">
      <c r="A2312" s="17"/>
      <c r="B2312"/>
      <c r="C2312"/>
      <c r="D2312"/>
      <c r="E2312"/>
      <c r="F2312"/>
      <c r="G2312"/>
      <c r="H2312"/>
      <c r="I2312"/>
      <c r="J2312"/>
      <c r="K2312"/>
      <c r="L2312"/>
      <c r="M2312"/>
      <c r="S2312" s="54"/>
    </row>
    <row r="2313" spans="1:19" s="15" customFormat="1" x14ac:dyDescent="0.3">
      <c r="A2313" s="17"/>
      <c r="B2313"/>
      <c r="C2313"/>
      <c r="D2313"/>
      <c r="E2313"/>
      <c r="F2313"/>
      <c r="G2313"/>
      <c r="H2313"/>
      <c r="I2313"/>
      <c r="J2313"/>
      <c r="K2313"/>
      <c r="L2313"/>
      <c r="M2313"/>
      <c r="S2313" s="54"/>
    </row>
    <row r="2314" spans="1:19" s="15" customFormat="1" x14ac:dyDescent="0.3">
      <c r="A2314" s="17"/>
      <c r="B2314"/>
      <c r="C2314"/>
      <c r="D2314"/>
      <c r="E2314"/>
      <c r="F2314"/>
      <c r="G2314"/>
      <c r="H2314"/>
      <c r="I2314"/>
      <c r="J2314"/>
      <c r="K2314"/>
      <c r="L2314"/>
      <c r="M2314"/>
      <c r="S2314" s="54"/>
    </row>
    <row r="2315" spans="1:19" s="15" customFormat="1" x14ac:dyDescent="0.3">
      <c r="A2315" s="17"/>
      <c r="B2315"/>
      <c r="C2315"/>
      <c r="D2315"/>
      <c r="E2315"/>
      <c r="F2315"/>
      <c r="G2315"/>
      <c r="H2315"/>
      <c r="I2315"/>
      <c r="J2315"/>
      <c r="K2315"/>
      <c r="L2315"/>
      <c r="M2315"/>
      <c r="S2315" s="54"/>
    </row>
    <row r="2316" spans="1:19" s="15" customFormat="1" x14ac:dyDescent="0.3">
      <c r="A2316" s="17"/>
      <c r="B2316"/>
      <c r="C2316"/>
      <c r="D2316"/>
      <c r="E2316"/>
      <c r="F2316"/>
      <c r="G2316"/>
      <c r="H2316"/>
      <c r="I2316"/>
      <c r="J2316"/>
      <c r="K2316"/>
      <c r="L2316"/>
      <c r="M2316"/>
      <c r="S2316" s="54"/>
    </row>
    <row r="2317" spans="1:19" s="15" customFormat="1" x14ac:dyDescent="0.3">
      <c r="A2317" s="17"/>
      <c r="B2317"/>
      <c r="C2317"/>
      <c r="D2317"/>
      <c r="E2317"/>
      <c r="F2317"/>
      <c r="G2317"/>
      <c r="H2317"/>
      <c r="I2317"/>
      <c r="J2317"/>
      <c r="K2317"/>
      <c r="L2317"/>
      <c r="M2317"/>
      <c r="S2317" s="54"/>
    </row>
    <row r="2318" spans="1:19" s="15" customFormat="1" x14ac:dyDescent="0.3">
      <c r="A2318" s="17"/>
      <c r="B2318"/>
      <c r="C2318"/>
      <c r="D2318"/>
      <c r="E2318"/>
      <c r="F2318"/>
      <c r="G2318"/>
      <c r="H2318"/>
      <c r="I2318"/>
      <c r="J2318"/>
      <c r="K2318"/>
      <c r="L2318"/>
      <c r="M2318"/>
      <c r="S2318" s="54"/>
    </row>
    <row r="2319" spans="1:19" s="15" customFormat="1" x14ac:dyDescent="0.3">
      <c r="A2319" s="17"/>
      <c r="B2319"/>
      <c r="C2319"/>
      <c r="D2319"/>
      <c r="E2319"/>
      <c r="F2319"/>
      <c r="G2319"/>
      <c r="H2319"/>
      <c r="I2319"/>
      <c r="J2319"/>
      <c r="K2319"/>
      <c r="L2319"/>
      <c r="M2319"/>
      <c r="S2319" s="54"/>
    </row>
    <row r="2320" spans="1:19" s="15" customFormat="1" x14ac:dyDescent="0.3">
      <c r="A2320" s="17"/>
      <c r="B2320"/>
      <c r="C2320"/>
      <c r="D2320"/>
      <c r="E2320"/>
      <c r="F2320"/>
      <c r="G2320"/>
      <c r="H2320"/>
      <c r="I2320"/>
      <c r="J2320"/>
      <c r="K2320"/>
      <c r="L2320"/>
      <c r="M2320"/>
      <c r="S2320" s="54"/>
    </row>
    <row r="2321" spans="1:19" s="15" customFormat="1" x14ac:dyDescent="0.3">
      <c r="A2321" s="17"/>
      <c r="B2321"/>
      <c r="C2321"/>
      <c r="D2321"/>
      <c r="E2321"/>
      <c r="F2321"/>
      <c r="G2321"/>
      <c r="H2321"/>
      <c r="I2321"/>
      <c r="J2321"/>
      <c r="K2321"/>
      <c r="L2321"/>
      <c r="M2321"/>
      <c r="S2321" s="54"/>
    </row>
    <row r="2322" spans="1:19" s="15" customFormat="1" x14ac:dyDescent="0.3">
      <c r="A2322" s="17"/>
      <c r="B2322"/>
      <c r="C2322"/>
      <c r="D2322"/>
      <c r="E2322"/>
      <c r="F2322"/>
      <c r="G2322"/>
      <c r="H2322"/>
      <c r="I2322"/>
      <c r="J2322"/>
      <c r="K2322"/>
      <c r="L2322"/>
      <c r="M2322"/>
      <c r="S2322" s="54"/>
    </row>
    <row r="2323" spans="1:19" s="15" customFormat="1" x14ac:dyDescent="0.3">
      <c r="A2323" s="17"/>
      <c r="B2323"/>
      <c r="C2323"/>
      <c r="D2323"/>
      <c r="E2323"/>
      <c r="F2323"/>
      <c r="G2323"/>
      <c r="H2323"/>
      <c r="I2323"/>
      <c r="J2323"/>
      <c r="K2323"/>
      <c r="L2323"/>
      <c r="M2323"/>
      <c r="S2323" s="54"/>
    </row>
    <row r="2324" spans="1:19" s="15" customFormat="1" x14ac:dyDescent="0.3">
      <c r="A2324" s="17"/>
      <c r="B2324"/>
      <c r="C2324"/>
      <c r="D2324"/>
      <c r="E2324"/>
      <c r="F2324"/>
      <c r="G2324"/>
      <c r="H2324"/>
      <c r="I2324"/>
      <c r="J2324"/>
      <c r="K2324"/>
      <c r="L2324"/>
      <c r="M2324"/>
      <c r="S2324" s="54"/>
    </row>
    <row r="2325" spans="1:19" s="15" customFormat="1" x14ac:dyDescent="0.3">
      <c r="A2325" s="17"/>
      <c r="B2325"/>
      <c r="C2325"/>
      <c r="D2325"/>
      <c r="E2325"/>
      <c r="F2325"/>
      <c r="G2325"/>
      <c r="H2325"/>
      <c r="I2325"/>
      <c r="J2325"/>
      <c r="K2325"/>
      <c r="L2325"/>
      <c r="M2325"/>
      <c r="S2325" s="54"/>
    </row>
    <row r="2326" spans="1:19" s="15" customFormat="1" x14ac:dyDescent="0.3">
      <c r="A2326" s="17"/>
      <c r="B2326"/>
      <c r="C2326"/>
      <c r="D2326"/>
      <c r="E2326"/>
      <c r="F2326"/>
      <c r="G2326"/>
      <c r="H2326"/>
      <c r="I2326"/>
      <c r="J2326"/>
      <c r="K2326"/>
      <c r="L2326"/>
      <c r="M2326"/>
      <c r="S2326" s="54"/>
    </row>
    <row r="2327" spans="1:19" s="15" customFormat="1" x14ac:dyDescent="0.3">
      <c r="A2327" s="17"/>
      <c r="B2327"/>
      <c r="C2327"/>
      <c r="D2327"/>
      <c r="E2327"/>
      <c r="F2327"/>
      <c r="G2327"/>
      <c r="H2327"/>
      <c r="I2327"/>
      <c r="J2327"/>
      <c r="K2327"/>
      <c r="L2327"/>
      <c r="M2327"/>
      <c r="S2327" s="54"/>
    </row>
    <row r="2328" spans="1:19" s="15" customFormat="1" x14ac:dyDescent="0.3">
      <c r="A2328" s="17"/>
      <c r="B2328"/>
      <c r="C2328"/>
      <c r="D2328"/>
      <c r="E2328"/>
      <c r="F2328"/>
      <c r="G2328"/>
      <c r="H2328"/>
      <c r="I2328"/>
      <c r="J2328"/>
      <c r="K2328"/>
      <c r="L2328"/>
      <c r="M2328"/>
      <c r="S2328" s="54"/>
    </row>
    <row r="2329" spans="1:19" s="15" customFormat="1" x14ac:dyDescent="0.3">
      <c r="A2329" s="17"/>
      <c r="B2329"/>
      <c r="C2329"/>
      <c r="D2329"/>
      <c r="E2329"/>
      <c r="F2329"/>
      <c r="G2329"/>
      <c r="H2329"/>
      <c r="I2329"/>
      <c r="J2329"/>
      <c r="K2329"/>
      <c r="L2329"/>
      <c r="M2329"/>
      <c r="S2329" s="54"/>
    </row>
    <row r="2330" spans="1:19" s="15" customFormat="1" x14ac:dyDescent="0.3">
      <c r="A2330" s="17"/>
      <c r="B2330"/>
      <c r="C2330"/>
      <c r="D2330"/>
      <c r="E2330"/>
      <c r="F2330"/>
      <c r="G2330"/>
      <c r="H2330"/>
      <c r="I2330"/>
      <c r="J2330"/>
      <c r="K2330"/>
      <c r="L2330"/>
      <c r="M2330"/>
      <c r="S2330" s="54"/>
    </row>
    <row r="2331" spans="1:19" s="15" customFormat="1" x14ac:dyDescent="0.3">
      <c r="A2331" s="17"/>
      <c r="B2331"/>
      <c r="C2331"/>
      <c r="D2331"/>
      <c r="E2331"/>
      <c r="F2331"/>
      <c r="G2331"/>
      <c r="H2331"/>
      <c r="I2331"/>
      <c r="J2331"/>
      <c r="K2331"/>
      <c r="L2331"/>
      <c r="M2331"/>
      <c r="S2331" s="54"/>
    </row>
    <row r="2332" spans="1:19" s="15" customFormat="1" x14ac:dyDescent="0.3">
      <c r="A2332" s="17"/>
      <c r="B2332"/>
      <c r="C2332"/>
      <c r="D2332"/>
      <c r="E2332"/>
      <c r="F2332"/>
      <c r="G2332"/>
      <c r="H2332"/>
      <c r="I2332"/>
      <c r="J2332"/>
      <c r="K2332"/>
      <c r="L2332"/>
      <c r="M2332"/>
      <c r="S2332" s="54"/>
    </row>
    <row r="2333" spans="1:19" s="15" customFormat="1" x14ac:dyDescent="0.3">
      <c r="A2333" s="17"/>
      <c r="B2333"/>
      <c r="C2333"/>
      <c r="D2333"/>
      <c r="E2333"/>
      <c r="F2333"/>
      <c r="G2333"/>
      <c r="H2333"/>
      <c r="I2333"/>
      <c r="J2333"/>
      <c r="K2333"/>
      <c r="L2333"/>
      <c r="M2333"/>
      <c r="S2333" s="54"/>
    </row>
    <row r="2334" spans="1:19" s="15" customFormat="1" x14ac:dyDescent="0.3">
      <c r="A2334" s="17"/>
      <c r="B2334"/>
      <c r="C2334"/>
      <c r="D2334"/>
      <c r="E2334"/>
      <c r="F2334"/>
      <c r="G2334"/>
      <c r="H2334"/>
      <c r="I2334"/>
      <c r="J2334"/>
      <c r="K2334"/>
      <c r="L2334"/>
      <c r="M2334"/>
      <c r="S2334" s="54"/>
    </row>
    <row r="2335" spans="1:19" s="15" customFormat="1" x14ac:dyDescent="0.3">
      <c r="A2335" s="17"/>
      <c r="B2335"/>
      <c r="C2335"/>
      <c r="D2335"/>
      <c r="E2335"/>
      <c r="F2335"/>
      <c r="G2335"/>
      <c r="H2335"/>
      <c r="I2335"/>
      <c r="J2335"/>
      <c r="K2335"/>
      <c r="L2335"/>
      <c r="M2335"/>
      <c r="S2335" s="54"/>
    </row>
    <row r="2336" spans="1:19" s="15" customFormat="1" x14ac:dyDescent="0.3">
      <c r="A2336" s="17"/>
      <c r="B2336"/>
      <c r="C2336"/>
      <c r="D2336"/>
      <c r="E2336"/>
      <c r="F2336"/>
      <c r="G2336"/>
      <c r="H2336"/>
      <c r="I2336"/>
      <c r="J2336"/>
      <c r="K2336"/>
      <c r="L2336"/>
      <c r="M2336"/>
      <c r="S2336" s="54"/>
    </row>
    <row r="2337" spans="1:19" s="15" customFormat="1" x14ac:dyDescent="0.3">
      <c r="A2337" s="17"/>
      <c r="B2337"/>
      <c r="C2337"/>
      <c r="D2337"/>
      <c r="E2337"/>
      <c r="F2337"/>
      <c r="G2337"/>
      <c r="H2337"/>
      <c r="I2337"/>
      <c r="J2337"/>
      <c r="K2337"/>
      <c r="L2337"/>
      <c r="M2337"/>
      <c r="S2337" s="54"/>
    </row>
    <row r="2338" spans="1:19" s="15" customFormat="1" x14ac:dyDescent="0.3">
      <c r="A2338" s="17"/>
      <c r="B2338"/>
      <c r="C2338"/>
      <c r="D2338"/>
      <c r="E2338"/>
      <c r="F2338"/>
      <c r="G2338"/>
      <c r="H2338"/>
      <c r="I2338"/>
      <c r="J2338"/>
      <c r="K2338"/>
      <c r="L2338"/>
      <c r="M2338"/>
      <c r="S2338" s="54"/>
    </row>
    <row r="2339" spans="1:19" s="15" customFormat="1" x14ac:dyDescent="0.3">
      <c r="A2339" s="17"/>
      <c r="B2339"/>
      <c r="C2339"/>
      <c r="D2339"/>
      <c r="E2339"/>
      <c r="F2339"/>
      <c r="G2339"/>
      <c r="H2339"/>
      <c r="I2339"/>
      <c r="J2339"/>
      <c r="K2339"/>
      <c r="L2339"/>
      <c r="M2339"/>
      <c r="S2339" s="54"/>
    </row>
    <row r="2340" spans="1:19" s="15" customFormat="1" x14ac:dyDescent="0.3">
      <c r="A2340" s="17"/>
      <c r="B2340"/>
      <c r="C2340"/>
      <c r="D2340"/>
      <c r="E2340"/>
      <c r="F2340"/>
      <c r="G2340"/>
      <c r="H2340"/>
      <c r="I2340"/>
      <c r="J2340"/>
      <c r="K2340"/>
      <c r="L2340"/>
      <c r="M2340"/>
      <c r="S2340" s="54"/>
    </row>
    <row r="2341" spans="1:19" s="15" customFormat="1" x14ac:dyDescent="0.3">
      <c r="A2341" s="17"/>
      <c r="B2341"/>
      <c r="C2341"/>
      <c r="D2341"/>
      <c r="E2341"/>
      <c r="F2341"/>
      <c r="G2341"/>
      <c r="H2341"/>
      <c r="I2341"/>
      <c r="J2341"/>
      <c r="K2341"/>
      <c r="L2341"/>
      <c r="M2341"/>
      <c r="S2341" s="54"/>
    </row>
    <row r="2342" spans="1:19" s="15" customFormat="1" x14ac:dyDescent="0.3">
      <c r="A2342" s="17"/>
      <c r="B2342"/>
      <c r="C2342"/>
      <c r="D2342"/>
      <c r="E2342"/>
      <c r="F2342"/>
      <c r="G2342"/>
      <c r="H2342"/>
      <c r="I2342"/>
      <c r="J2342"/>
      <c r="K2342"/>
      <c r="L2342"/>
      <c r="M2342"/>
      <c r="S2342" s="54"/>
    </row>
    <row r="2343" spans="1:19" s="15" customFormat="1" x14ac:dyDescent="0.3">
      <c r="A2343" s="17"/>
      <c r="B2343"/>
      <c r="C2343"/>
      <c r="D2343"/>
      <c r="E2343"/>
      <c r="F2343"/>
      <c r="G2343"/>
      <c r="H2343"/>
      <c r="I2343"/>
      <c r="J2343"/>
      <c r="K2343"/>
      <c r="L2343"/>
      <c r="M2343"/>
      <c r="S2343" s="54"/>
    </row>
    <row r="2344" spans="1:19" s="15" customFormat="1" x14ac:dyDescent="0.3">
      <c r="A2344" s="17"/>
      <c r="B2344"/>
      <c r="C2344"/>
      <c r="D2344"/>
      <c r="E2344"/>
      <c r="F2344"/>
      <c r="G2344"/>
      <c r="H2344"/>
      <c r="I2344"/>
      <c r="J2344"/>
      <c r="K2344"/>
      <c r="L2344"/>
      <c r="M2344"/>
      <c r="S2344" s="54"/>
    </row>
    <row r="2345" spans="1:19" s="15" customFormat="1" x14ac:dyDescent="0.3">
      <c r="A2345" s="17"/>
      <c r="B2345"/>
      <c r="C2345"/>
      <c r="D2345"/>
      <c r="E2345"/>
      <c r="F2345"/>
      <c r="G2345"/>
      <c r="H2345"/>
      <c r="I2345"/>
      <c r="J2345"/>
      <c r="K2345"/>
      <c r="L2345"/>
      <c r="M2345"/>
      <c r="S2345" s="54"/>
    </row>
    <row r="2346" spans="1:19" s="15" customFormat="1" x14ac:dyDescent="0.3">
      <c r="A2346" s="17"/>
      <c r="B2346"/>
      <c r="C2346"/>
      <c r="D2346"/>
      <c r="E2346"/>
      <c r="F2346"/>
      <c r="G2346"/>
      <c r="H2346"/>
      <c r="I2346"/>
      <c r="J2346"/>
      <c r="K2346"/>
      <c r="L2346"/>
      <c r="M2346"/>
      <c r="S2346" s="54"/>
    </row>
    <row r="2347" spans="1:19" s="15" customFormat="1" x14ac:dyDescent="0.3">
      <c r="A2347" s="17"/>
      <c r="B2347"/>
      <c r="C2347"/>
      <c r="D2347"/>
      <c r="E2347"/>
      <c r="F2347"/>
      <c r="G2347"/>
      <c r="H2347"/>
      <c r="I2347"/>
      <c r="J2347"/>
      <c r="K2347"/>
      <c r="L2347"/>
      <c r="M2347"/>
      <c r="S2347" s="54"/>
    </row>
    <row r="2348" spans="1:19" s="15" customFormat="1" x14ac:dyDescent="0.3">
      <c r="A2348" s="17"/>
      <c r="B2348"/>
      <c r="C2348"/>
      <c r="D2348"/>
      <c r="E2348"/>
      <c r="F2348"/>
      <c r="G2348"/>
      <c r="H2348"/>
      <c r="I2348"/>
      <c r="J2348"/>
      <c r="K2348"/>
      <c r="L2348"/>
      <c r="M2348"/>
      <c r="S2348" s="54"/>
    </row>
    <row r="2349" spans="1:19" s="15" customFormat="1" x14ac:dyDescent="0.3">
      <c r="A2349" s="17"/>
      <c r="B2349"/>
      <c r="C2349"/>
      <c r="D2349"/>
      <c r="E2349"/>
      <c r="F2349"/>
      <c r="G2349"/>
      <c r="H2349"/>
      <c r="I2349"/>
      <c r="J2349"/>
      <c r="K2349"/>
      <c r="L2349"/>
      <c r="M2349"/>
      <c r="S2349" s="54"/>
    </row>
    <row r="2350" spans="1:19" s="15" customFormat="1" x14ac:dyDescent="0.3">
      <c r="A2350" s="17"/>
      <c r="B2350"/>
      <c r="C2350"/>
      <c r="D2350"/>
      <c r="E2350"/>
      <c r="F2350"/>
      <c r="G2350"/>
      <c r="H2350"/>
      <c r="I2350"/>
      <c r="J2350"/>
      <c r="K2350"/>
      <c r="L2350"/>
      <c r="M2350"/>
      <c r="S2350" s="54"/>
    </row>
    <row r="2351" spans="1:19" s="15" customFormat="1" x14ac:dyDescent="0.3">
      <c r="A2351" s="17"/>
      <c r="B2351"/>
      <c r="C2351"/>
      <c r="D2351"/>
      <c r="E2351"/>
      <c r="F2351"/>
      <c r="G2351"/>
      <c r="H2351"/>
      <c r="I2351"/>
      <c r="J2351"/>
      <c r="K2351"/>
      <c r="L2351"/>
      <c r="M2351"/>
      <c r="S2351" s="54"/>
    </row>
    <row r="2352" spans="1:19" s="15" customFormat="1" x14ac:dyDescent="0.3">
      <c r="A2352" s="17"/>
      <c r="B2352"/>
      <c r="C2352"/>
      <c r="D2352"/>
      <c r="E2352"/>
      <c r="F2352"/>
      <c r="G2352"/>
      <c r="H2352"/>
      <c r="I2352"/>
      <c r="J2352"/>
      <c r="K2352"/>
      <c r="L2352"/>
      <c r="M2352"/>
      <c r="S2352" s="54"/>
    </row>
    <row r="2353" spans="1:19" s="15" customFormat="1" x14ac:dyDescent="0.3">
      <c r="A2353" s="17"/>
      <c r="B2353"/>
      <c r="C2353"/>
      <c r="D2353"/>
      <c r="E2353"/>
      <c r="F2353"/>
      <c r="G2353"/>
      <c r="H2353"/>
      <c r="I2353"/>
      <c r="J2353"/>
      <c r="K2353"/>
      <c r="L2353"/>
      <c r="M2353"/>
      <c r="S2353" s="54"/>
    </row>
    <row r="2354" spans="1:19" s="15" customFormat="1" x14ac:dyDescent="0.3">
      <c r="A2354" s="17"/>
      <c r="B2354"/>
      <c r="C2354"/>
      <c r="D2354"/>
      <c r="E2354"/>
      <c r="F2354"/>
      <c r="G2354"/>
      <c r="H2354"/>
      <c r="I2354"/>
      <c r="J2354"/>
      <c r="K2354"/>
      <c r="L2354"/>
      <c r="M2354"/>
      <c r="S2354" s="54"/>
    </row>
    <row r="2355" spans="1:19" s="15" customFormat="1" x14ac:dyDescent="0.3">
      <c r="A2355" s="17"/>
      <c r="B2355"/>
      <c r="C2355"/>
      <c r="D2355"/>
      <c r="E2355"/>
      <c r="F2355"/>
      <c r="G2355"/>
      <c r="H2355"/>
      <c r="I2355"/>
      <c r="J2355"/>
      <c r="K2355"/>
      <c r="L2355"/>
      <c r="M2355"/>
      <c r="S2355" s="54"/>
    </row>
    <row r="2356" spans="1:19" s="15" customFormat="1" x14ac:dyDescent="0.3">
      <c r="A2356" s="17"/>
      <c r="B2356"/>
      <c r="C2356"/>
      <c r="D2356"/>
      <c r="E2356"/>
      <c r="F2356"/>
      <c r="G2356"/>
      <c r="H2356"/>
      <c r="I2356"/>
      <c r="J2356"/>
      <c r="K2356"/>
      <c r="L2356"/>
      <c r="M2356"/>
      <c r="S2356" s="54"/>
    </row>
    <row r="2357" spans="1:19" s="15" customFormat="1" x14ac:dyDescent="0.3">
      <c r="A2357" s="17"/>
      <c r="B2357"/>
      <c r="C2357"/>
      <c r="D2357"/>
      <c r="E2357"/>
      <c r="F2357"/>
      <c r="G2357"/>
      <c r="H2357"/>
      <c r="I2357"/>
      <c r="J2357"/>
      <c r="K2357"/>
      <c r="L2357"/>
      <c r="M2357"/>
      <c r="S2357" s="54"/>
    </row>
    <row r="2358" spans="1:19" s="15" customFormat="1" x14ac:dyDescent="0.3">
      <c r="A2358" s="17"/>
      <c r="B2358"/>
      <c r="C2358"/>
      <c r="D2358"/>
      <c r="E2358"/>
      <c r="F2358"/>
      <c r="G2358"/>
      <c r="H2358"/>
      <c r="I2358"/>
      <c r="J2358"/>
      <c r="K2358"/>
      <c r="L2358"/>
      <c r="M2358"/>
      <c r="S2358" s="54"/>
    </row>
    <row r="2359" spans="1:19" s="15" customFormat="1" x14ac:dyDescent="0.3">
      <c r="A2359" s="17"/>
      <c r="B2359"/>
      <c r="C2359"/>
      <c r="D2359"/>
      <c r="E2359"/>
      <c r="F2359"/>
      <c r="G2359"/>
      <c r="H2359"/>
      <c r="I2359"/>
      <c r="J2359"/>
      <c r="K2359"/>
      <c r="L2359"/>
      <c r="M2359"/>
      <c r="S2359" s="54"/>
    </row>
    <row r="2360" spans="1:19" s="15" customFormat="1" x14ac:dyDescent="0.3">
      <c r="A2360" s="17"/>
      <c r="B2360"/>
      <c r="C2360"/>
      <c r="D2360"/>
      <c r="E2360"/>
      <c r="F2360"/>
      <c r="G2360"/>
      <c r="H2360"/>
      <c r="I2360"/>
      <c r="J2360"/>
      <c r="K2360"/>
      <c r="L2360"/>
      <c r="M2360"/>
      <c r="S2360" s="54"/>
    </row>
    <row r="2361" spans="1:19" s="15" customFormat="1" x14ac:dyDescent="0.3">
      <c r="A2361" s="17"/>
      <c r="B2361"/>
      <c r="C2361"/>
      <c r="D2361"/>
      <c r="E2361"/>
      <c r="F2361"/>
      <c r="G2361"/>
      <c r="H2361"/>
      <c r="I2361"/>
      <c r="J2361"/>
      <c r="K2361"/>
      <c r="L2361"/>
      <c r="M2361"/>
      <c r="S2361" s="54"/>
    </row>
    <row r="2362" spans="1:19" s="15" customFormat="1" x14ac:dyDescent="0.3">
      <c r="A2362" s="17"/>
      <c r="B2362"/>
      <c r="C2362"/>
      <c r="D2362"/>
      <c r="E2362"/>
      <c r="F2362"/>
      <c r="G2362"/>
      <c r="H2362"/>
      <c r="I2362"/>
      <c r="J2362"/>
      <c r="K2362"/>
      <c r="L2362"/>
      <c r="M2362"/>
      <c r="S2362" s="54"/>
    </row>
    <row r="2363" spans="1:19" s="15" customFormat="1" x14ac:dyDescent="0.3">
      <c r="A2363" s="17"/>
      <c r="B2363"/>
      <c r="C2363"/>
      <c r="D2363"/>
      <c r="E2363"/>
      <c r="F2363"/>
      <c r="G2363"/>
      <c r="H2363"/>
      <c r="I2363"/>
      <c r="J2363"/>
      <c r="K2363"/>
      <c r="L2363"/>
      <c r="M2363"/>
      <c r="S2363" s="54"/>
    </row>
    <row r="2364" spans="1:19" s="15" customFormat="1" x14ac:dyDescent="0.3">
      <c r="A2364" s="17"/>
      <c r="B2364"/>
      <c r="C2364"/>
      <c r="D2364"/>
      <c r="E2364"/>
      <c r="F2364"/>
      <c r="G2364"/>
      <c r="H2364"/>
      <c r="I2364"/>
      <c r="J2364"/>
      <c r="K2364"/>
      <c r="L2364"/>
      <c r="M2364"/>
      <c r="S2364" s="54"/>
    </row>
    <row r="2365" spans="1:19" s="15" customFormat="1" x14ac:dyDescent="0.3">
      <c r="A2365" s="17"/>
      <c r="B2365"/>
      <c r="C2365"/>
      <c r="D2365"/>
      <c r="E2365"/>
      <c r="F2365"/>
      <c r="G2365"/>
      <c r="H2365"/>
      <c r="I2365"/>
      <c r="J2365"/>
      <c r="K2365"/>
      <c r="L2365"/>
      <c r="M2365"/>
      <c r="S2365" s="54"/>
    </row>
    <row r="2366" spans="1:19" s="15" customFormat="1" x14ac:dyDescent="0.3">
      <c r="A2366" s="17"/>
      <c r="B2366"/>
      <c r="C2366"/>
      <c r="D2366"/>
      <c r="E2366"/>
      <c r="F2366"/>
      <c r="G2366"/>
      <c r="H2366"/>
      <c r="I2366"/>
      <c r="J2366"/>
      <c r="K2366"/>
      <c r="L2366"/>
      <c r="M2366"/>
      <c r="S2366" s="54"/>
    </row>
    <row r="2367" spans="1:19" s="15" customFormat="1" x14ac:dyDescent="0.3">
      <c r="A2367" s="17"/>
      <c r="B2367"/>
      <c r="C2367"/>
      <c r="D2367"/>
      <c r="E2367"/>
      <c r="F2367"/>
      <c r="G2367"/>
      <c r="H2367"/>
      <c r="I2367"/>
      <c r="J2367"/>
      <c r="K2367"/>
      <c r="L2367"/>
      <c r="M2367"/>
      <c r="S2367" s="54"/>
    </row>
    <row r="2368" spans="1:19" s="15" customFormat="1" x14ac:dyDescent="0.3">
      <c r="A2368" s="17"/>
      <c r="B2368"/>
      <c r="C2368"/>
      <c r="D2368"/>
      <c r="E2368"/>
      <c r="F2368"/>
      <c r="G2368"/>
      <c r="H2368"/>
      <c r="I2368"/>
      <c r="J2368"/>
      <c r="K2368"/>
      <c r="L2368"/>
      <c r="M2368"/>
      <c r="S2368" s="54"/>
    </row>
    <row r="2369" spans="1:19" s="15" customFormat="1" x14ac:dyDescent="0.3">
      <c r="A2369" s="17"/>
      <c r="B2369"/>
      <c r="C2369"/>
      <c r="D2369"/>
      <c r="E2369"/>
      <c r="F2369"/>
      <c r="G2369"/>
      <c r="H2369"/>
      <c r="I2369"/>
      <c r="J2369"/>
      <c r="K2369"/>
      <c r="L2369"/>
      <c r="M2369"/>
      <c r="S2369" s="54"/>
    </row>
    <row r="2370" spans="1:19" s="15" customFormat="1" x14ac:dyDescent="0.3">
      <c r="A2370" s="17"/>
      <c r="B2370"/>
      <c r="C2370"/>
      <c r="D2370"/>
      <c r="E2370"/>
      <c r="F2370"/>
      <c r="G2370"/>
      <c r="H2370"/>
      <c r="I2370"/>
      <c r="J2370"/>
      <c r="K2370"/>
      <c r="L2370"/>
      <c r="M2370"/>
      <c r="S2370" s="54"/>
    </row>
    <row r="2371" spans="1:19" s="15" customFormat="1" x14ac:dyDescent="0.3">
      <c r="A2371" s="17"/>
      <c r="B2371"/>
      <c r="C2371"/>
      <c r="D2371"/>
      <c r="E2371"/>
      <c r="F2371"/>
      <c r="G2371"/>
      <c r="H2371"/>
      <c r="I2371"/>
      <c r="J2371"/>
      <c r="K2371"/>
      <c r="L2371"/>
      <c r="M2371"/>
      <c r="S2371" s="54"/>
    </row>
    <row r="2372" spans="1:19" s="15" customFormat="1" x14ac:dyDescent="0.3">
      <c r="A2372" s="17"/>
      <c r="B2372"/>
      <c r="C2372"/>
      <c r="D2372"/>
      <c r="E2372"/>
      <c r="F2372"/>
      <c r="G2372"/>
      <c r="H2372"/>
      <c r="I2372"/>
      <c r="J2372"/>
      <c r="K2372"/>
      <c r="L2372"/>
      <c r="M2372"/>
      <c r="S2372" s="54"/>
    </row>
    <row r="2373" spans="1:19" s="15" customFormat="1" x14ac:dyDescent="0.3">
      <c r="A2373" s="17"/>
      <c r="B2373"/>
      <c r="C2373"/>
      <c r="D2373"/>
      <c r="E2373"/>
      <c r="F2373"/>
      <c r="G2373"/>
      <c r="H2373"/>
      <c r="I2373"/>
      <c r="J2373"/>
      <c r="K2373"/>
      <c r="L2373"/>
      <c r="M2373"/>
      <c r="S2373" s="54"/>
    </row>
    <row r="2374" spans="1:19" s="15" customFormat="1" x14ac:dyDescent="0.3">
      <c r="A2374" s="17"/>
      <c r="B2374"/>
      <c r="C2374"/>
      <c r="D2374"/>
      <c r="E2374"/>
      <c r="F2374"/>
      <c r="G2374"/>
      <c r="H2374"/>
      <c r="I2374"/>
      <c r="J2374"/>
      <c r="K2374"/>
      <c r="L2374"/>
      <c r="M2374"/>
      <c r="S2374" s="54"/>
    </row>
    <row r="2375" spans="1:19" s="15" customFormat="1" x14ac:dyDescent="0.3">
      <c r="A2375" s="17"/>
      <c r="B2375"/>
      <c r="C2375"/>
      <c r="D2375"/>
      <c r="E2375"/>
      <c r="F2375"/>
      <c r="G2375"/>
      <c r="H2375"/>
      <c r="I2375"/>
      <c r="J2375"/>
      <c r="K2375"/>
      <c r="L2375"/>
      <c r="M2375"/>
      <c r="S2375" s="54"/>
    </row>
    <row r="2376" spans="1:19" s="15" customFormat="1" x14ac:dyDescent="0.3">
      <c r="A2376" s="17"/>
      <c r="B2376"/>
      <c r="C2376"/>
      <c r="D2376"/>
      <c r="E2376"/>
      <c r="F2376"/>
      <c r="G2376"/>
      <c r="H2376"/>
      <c r="I2376"/>
      <c r="J2376"/>
      <c r="K2376"/>
      <c r="L2376"/>
      <c r="M2376"/>
      <c r="S2376" s="54"/>
    </row>
    <row r="2377" spans="1:19" s="15" customFormat="1" x14ac:dyDescent="0.3">
      <c r="A2377" s="17"/>
      <c r="B2377"/>
      <c r="C2377"/>
      <c r="D2377"/>
      <c r="E2377"/>
      <c r="F2377"/>
      <c r="G2377"/>
      <c r="H2377"/>
      <c r="I2377"/>
      <c r="J2377"/>
      <c r="K2377"/>
      <c r="L2377"/>
      <c r="M2377"/>
      <c r="S2377" s="54"/>
    </row>
    <row r="2378" spans="1:19" s="15" customFormat="1" x14ac:dyDescent="0.3">
      <c r="A2378" s="17"/>
      <c r="B2378"/>
      <c r="C2378"/>
      <c r="D2378"/>
      <c r="E2378"/>
      <c r="F2378"/>
      <c r="G2378"/>
      <c r="H2378"/>
      <c r="I2378"/>
      <c r="J2378"/>
      <c r="K2378"/>
      <c r="L2378"/>
      <c r="M2378"/>
      <c r="S2378" s="54"/>
    </row>
    <row r="2379" spans="1:19" s="15" customFormat="1" x14ac:dyDescent="0.3">
      <c r="A2379" s="17"/>
      <c r="B2379"/>
      <c r="C2379"/>
      <c r="D2379"/>
      <c r="E2379"/>
      <c r="F2379"/>
      <c r="G2379"/>
      <c r="H2379"/>
      <c r="I2379"/>
      <c r="J2379"/>
      <c r="K2379"/>
      <c r="L2379"/>
      <c r="M2379"/>
      <c r="S2379" s="54"/>
    </row>
    <row r="2380" spans="1:19" s="15" customFormat="1" x14ac:dyDescent="0.3">
      <c r="A2380" s="17"/>
      <c r="B2380"/>
      <c r="C2380"/>
      <c r="D2380"/>
      <c r="E2380"/>
      <c r="F2380"/>
      <c r="G2380"/>
      <c r="H2380"/>
      <c r="I2380"/>
      <c r="J2380"/>
      <c r="K2380"/>
      <c r="L2380"/>
      <c r="M2380"/>
      <c r="S2380" s="54"/>
    </row>
    <row r="2381" spans="1:19" s="15" customFormat="1" x14ac:dyDescent="0.3">
      <c r="A2381" s="17"/>
      <c r="B2381"/>
      <c r="C2381"/>
      <c r="D2381"/>
      <c r="E2381"/>
      <c r="F2381"/>
      <c r="G2381"/>
      <c r="H2381"/>
      <c r="I2381"/>
      <c r="J2381"/>
      <c r="K2381"/>
      <c r="L2381"/>
      <c r="M2381"/>
      <c r="S2381" s="54"/>
    </row>
    <row r="2382" spans="1:19" s="15" customFormat="1" x14ac:dyDescent="0.3">
      <c r="A2382" s="17"/>
      <c r="B2382"/>
      <c r="C2382"/>
      <c r="D2382"/>
      <c r="E2382"/>
      <c r="F2382"/>
      <c r="G2382"/>
      <c r="H2382"/>
      <c r="I2382"/>
      <c r="J2382"/>
      <c r="K2382"/>
      <c r="L2382"/>
      <c r="M2382"/>
      <c r="S2382" s="54"/>
    </row>
    <row r="2383" spans="1:19" s="15" customFormat="1" x14ac:dyDescent="0.3">
      <c r="A2383" s="17"/>
      <c r="B2383"/>
      <c r="C2383"/>
      <c r="D2383"/>
      <c r="E2383"/>
      <c r="F2383"/>
      <c r="G2383"/>
      <c r="H2383"/>
      <c r="I2383"/>
      <c r="J2383"/>
      <c r="K2383"/>
      <c r="L2383"/>
      <c r="M2383"/>
      <c r="S2383" s="54"/>
    </row>
    <row r="2384" spans="1:19" s="15" customFormat="1" x14ac:dyDescent="0.3">
      <c r="A2384" s="17"/>
      <c r="B2384"/>
      <c r="C2384"/>
      <c r="D2384"/>
      <c r="E2384"/>
      <c r="F2384"/>
      <c r="G2384"/>
      <c r="H2384"/>
      <c r="I2384"/>
      <c r="J2384"/>
      <c r="K2384"/>
      <c r="L2384"/>
      <c r="M2384"/>
      <c r="S2384" s="54"/>
    </row>
    <row r="2385" spans="1:19" s="15" customFormat="1" x14ac:dyDescent="0.3">
      <c r="A2385" s="17"/>
      <c r="B2385"/>
      <c r="C2385"/>
      <c r="D2385"/>
      <c r="E2385"/>
      <c r="F2385"/>
      <c r="G2385"/>
      <c r="H2385"/>
      <c r="I2385"/>
      <c r="J2385"/>
      <c r="K2385"/>
      <c r="L2385"/>
      <c r="M2385"/>
      <c r="S2385" s="54"/>
    </row>
    <row r="2386" spans="1:19" s="15" customFormat="1" x14ac:dyDescent="0.3">
      <c r="A2386" s="17"/>
      <c r="B2386"/>
      <c r="C2386"/>
      <c r="D2386"/>
      <c r="E2386"/>
      <c r="F2386"/>
      <c r="G2386"/>
      <c r="H2386"/>
      <c r="I2386"/>
      <c r="J2386"/>
      <c r="K2386"/>
      <c r="L2386"/>
      <c r="M2386"/>
      <c r="S2386" s="54"/>
    </row>
    <row r="2387" spans="1:19" s="15" customFormat="1" x14ac:dyDescent="0.3">
      <c r="A2387" s="17"/>
      <c r="B2387"/>
      <c r="C2387"/>
      <c r="D2387"/>
      <c r="E2387"/>
      <c r="F2387"/>
      <c r="G2387"/>
      <c r="H2387"/>
      <c r="I2387"/>
      <c r="J2387"/>
      <c r="K2387"/>
      <c r="L2387"/>
      <c r="M2387"/>
      <c r="S2387" s="54"/>
    </row>
    <row r="2388" spans="1:19" s="15" customFormat="1" x14ac:dyDescent="0.3">
      <c r="A2388" s="17"/>
      <c r="B2388"/>
      <c r="C2388"/>
      <c r="D2388"/>
      <c r="E2388"/>
      <c r="F2388"/>
      <c r="G2388"/>
      <c r="H2388"/>
      <c r="I2388"/>
      <c r="J2388"/>
      <c r="K2388"/>
      <c r="L2388"/>
      <c r="M2388"/>
      <c r="S2388" s="54"/>
    </row>
    <row r="2389" spans="1:19" s="15" customFormat="1" x14ac:dyDescent="0.3">
      <c r="A2389" s="17"/>
      <c r="B2389"/>
      <c r="C2389"/>
      <c r="D2389"/>
      <c r="E2389"/>
      <c r="F2389"/>
      <c r="G2389"/>
      <c r="H2389"/>
      <c r="I2389"/>
      <c r="J2389"/>
      <c r="K2389"/>
      <c r="L2389"/>
      <c r="M2389"/>
      <c r="S2389" s="54"/>
    </row>
    <row r="2390" spans="1:19" s="15" customFormat="1" x14ac:dyDescent="0.3">
      <c r="A2390" s="17"/>
      <c r="B2390"/>
      <c r="C2390"/>
      <c r="D2390"/>
      <c r="E2390"/>
      <c r="F2390"/>
      <c r="G2390"/>
      <c r="H2390"/>
      <c r="I2390"/>
      <c r="J2390"/>
      <c r="K2390"/>
      <c r="L2390"/>
      <c r="M2390"/>
      <c r="S2390" s="54"/>
    </row>
    <row r="2391" spans="1:19" s="15" customFormat="1" x14ac:dyDescent="0.3">
      <c r="A2391" s="17"/>
      <c r="B2391"/>
      <c r="C2391"/>
      <c r="D2391"/>
      <c r="E2391"/>
      <c r="F2391"/>
      <c r="G2391"/>
      <c r="H2391"/>
      <c r="I2391"/>
      <c r="J2391"/>
      <c r="K2391"/>
      <c r="L2391"/>
      <c r="M2391"/>
      <c r="S2391" s="54"/>
    </row>
    <row r="2392" spans="1:19" s="15" customFormat="1" x14ac:dyDescent="0.3">
      <c r="A2392" s="17"/>
      <c r="B2392"/>
      <c r="C2392"/>
      <c r="D2392"/>
      <c r="E2392"/>
      <c r="F2392"/>
      <c r="G2392"/>
      <c r="H2392"/>
      <c r="I2392"/>
      <c r="J2392"/>
      <c r="K2392"/>
      <c r="L2392"/>
      <c r="M2392"/>
      <c r="S2392" s="54"/>
    </row>
    <row r="2393" spans="1:19" s="15" customFormat="1" x14ac:dyDescent="0.3">
      <c r="A2393" s="17"/>
      <c r="B2393"/>
      <c r="C2393"/>
      <c r="D2393"/>
      <c r="E2393"/>
      <c r="F2393"/>
      <c r="G2393"/>
      <c r="H2393"/>
      <c r="I2393"/>
      <c r="J2393"/>
      <c r="K2393"/>
      <c r="L2393"/>
      <c r="M2393"/>
      <c r="S2393" s="54"/>
    </row>
    <row r="2394" spans="1:19" s="15" customFormat="1" x14ac:dyDescent="0.3">
      <c r="A2394" s="17"/>
      <c r="B2394"/>
      <c r="C2394"/>
      <c r="D2394"/>
      <c r="E2394"/>
      <c r="F2394"/>
      <c r="G2394"/>
      <c r="H2394"/>
      <c r="I2394"/>
      <c r="J2394"/>
      <c r="K2394"/>
      <c r="L2394"/>
      <c r="M2394"/>
      <c r="S2394" s="54"/>
    </row>
    <row r="2395" spans="1:19" s="15" customFormat="1" x14ac:dyDescent="0.3">
      <c r="A2395" s="17"/>
      <c r="B2395"/>
      <c r="C2395"/>
      <c r="D2395"/>
      <c r="E2395"/>
      <c r="F2395"/>
      <c r="G2395"/>
      <c r="H2395"/>
      <c r="I2395"/>
      <c r="J2395"/>
      <c r="K2395"/>
      <c r="L2395"/>
      <c r="M2395"/>
      <c r="S2395" s="54"/>
    </row>
    <row r="2396" spans="1:19" s="15" customFormat="1" x14ac:dyDescent="0.3">
      <c r="A2396" s="17"/>
      <c r="B2396"/>
      <c r="C2396"/>
      <c r="D2396"/>
      <c r="E2396"/>
      <c r="F2396"/>
      <c r="G2396"/>
      <c r="H2396"/>
      <c r="I2396"/>
      <c r="J2396"/>
      <c r="K2396"/>
      <c r="L2396"/>
      <c r="M2396"/>
      <c r="S2396" s="54"/>
    </row>
    <row r="2397" spans="1:19" s="15" customFormat="1" x14ac:dyDescent="0.3">
      <c r="A2397" s="17"/>
      <c r="B2397"/>
      <c r="C2397"/>
      <c r="D2397"/>
      <c r="E2397"/>
      <c r="F2397"/>
      <c r="G2397"/>
      <c r="H2397"/>
      <c r="I2397"/>
      <c r="J2397"/>
      <c r="K2397"/>
      <c r="L2397"/>
      <c r="M2397"/>
      <c r="S2397" s="54"/>
    </row>
    <row r="2398" spans="1:19" s="15" customFormat="1" x14ac:dyDescent="0.3">
      <c r="A2398" s="17"/>
      <c r="B2398"/>
      <c r="C2398"/>
      <c r="D2398"/>
      <c r="E2398"/>
      <c r="F2398"/>
      <c r="G2398"/>
      <c r="H2398"/>
      <c r="I2398"/>
      <c r="J2398"/>
      <c r="K2398"/>
      <c r="L2398"/>
      <c r="M2398"/>
      <c r="S2398" s="54"/>
    </row>
    <row r="2399" spans="1:19" s="15" customFormat="1" x14ac:dyDescent="0.3">
      <c r="A2399" s="17"/>
      <c r="B2399"/>
      <c r="C2399"/>
      <c r="D2399"/>
      <c r="E2399"/>
      <c r="F2399"/>
      <c r="G2399"/>
      <c r="H2399"/>
      <c r="I2399"/>
      <c r="J2399"/>
      <c r="K2399"/>
      <c r="L2399"/>
      <c r="M2399"/>
      <c r="S2399" s="54"/>
    </row>
    <row r="2400" spans="1:19" s="15" customFormat="1" x14ac:dyDescent="0.3">
      <c r="A2400" s="17"/>
      <c r="B2400"/>
      <c r="C2400"/>
      <c r="D2400"/>
      <c r="E2400"/>
      <c r="F2400"/>
      <c r="G2400"/>
      <c r="H2400"/>
      <c r="I2400"/>
      <c r="J2400"/>
      <c r="K2400"/>
      <c r="L2400"/>
      <c r="M2400"/>
      <c r="S2400" s="54"/>
    </row>
    <row r="2401" spans="1:19" s="15" customFormat="1" x14ac:dyDescent="0.3">
      <c r="A2401" s="17"/>
      <c r="B2401"/>
      <c r="C2401"/>
      <c r="D2401"/>
      <c r="E2401"/>
      <c r="F2401"/>
      <c r="G2401"/>
      <c r="H2401"/>
      <c r="I2401"/>
      <c r="J2401"/>
      <c r="K2401"/>
      <c r="L2401"/>
      <c r="M2401"/>
      <c r="S2401" s="54"/>
    </row>
    <row r="2402" spans="1:19" s="15" customFormat="1" x14ac:dyDescent="0.3">
      <c r="A2402" s="17"/>
      <c r="B2402"/>
      <c r="C2402"/>
      <c r="D2402"/>
      <c r="E2402"/>
      <c r="F2402"/>
      <c r="G2402"/>
      <c r="H2402"/>
      <c r="I2402"/>
      <c r="J2402"/>
      <c r="K2402"/>
      <c r="L2402"/>
      <c r="M2402"/>
      <c r="S2402" s="54"/>
    </row>
    <row r="2403" spans="1:19" s="15" customFormat="1" x14ac:dyDescent="0.3">
      <c r="A2403" s="17"/>
      <c r="B2403"/>
      <c r="C2403"/>
      <c r="D2403"/>
      <c r="E2403"/>
      <c r="F2403"/>
      <c r="G2403"/>
      <c r="H2403"/>
      <c r="I2403"/>
      <c r="J2403"/>
      <c r="K2403"/>
      <c r="L2403"/>
      <c r="M2403"/>
      <c r="S2403" s="54"/>
    </row>
    <row r="2404" spans="1:19" s="15" customFormat="1" x14ac:dyDescent="0.3">
      <c r="A2404" s="17"/>
      <c r="B2404"/>
      <c r="C2404"/>
      <c r="D2404"/>
      <c r="E2404"/>
      <c r="F2404"/>
      <c r="G2404"/>
      <c r="H2404"/>
      <c r="I2404"/>
      <c r="J2404"/>
      <c r="K2404"/>
      <c r="L2404"/>
      <c r="M2404"/>
      <c r="S2404" s="54"/>
    </row>
    <row r="2405" spans="1:19" s="15" customFormat="1" x14ac:dyDescent="0.3">
      <c r="A2405" s="17"/>
      <c r="B2405"/>
      <c r="C2405"/>
      <c r="D2405"/>
      <c r="E2405"/>
      <c r="F2405"/>
      <c r="G2405"/>
      <c r="H2405"/>
      <c r="I2405"/>
      <c r="J2405"/>
      <c r="K2405"/>
      <c r="L2405"/>
      <c r="M2405"/>
      <c r="S2405" s="54"/>
    </row>
    <row r="2406" spans="1:19" s="15" customFormat="1" x14ac:dyDescent="0.3">
      <c r="A2406" s="17"/>
      <c r="B2406"/>
      <c r="C2406"/>
      <c r="D2406"/>
      <c r="E2406"/>
      <c r="F2406"/>
      <c r="G2406"/>
      <c r="H2406"/>
      <c r="I2406"/>
      <c r="J2406"/>
      <c r="K2406"/>
      <c r="L2406"/>
      <c r="M2406"/>
      <c r="S2406" s="54"/>
    </row>
    <row r="2407" spans="1:19" s="15" customFormat="1" x14ac:dyDescent="0.3">
      <c r="A2407" s="17"/>
      <c r="B2407"/>
      <c r="C2407"/>
      <c r="D2407"/>
      <c r="E2407"/>
      <c r="F2407"/>
      <c r="G2407"/>
      <c r="H2407"/>
      <c r="I2407"/>
      <c r="J2407"/>
      <c r="K2407"/>
      <c r="L2407"/>
      <c r="M2407"/>
      <c r="S2407" s="54"/>
    </row>
    <row r="2408" spans="1:19" s="15" customFormat="1" x14ac:dyDescent="0.3">
      <c r="A2408" s="17"/>
      <c r="B2408"/>
      <c r="C2408"/>
      <c r="D2408"/>
      <c r="E2408"/>
      <c r="F2408"/>
      <c r="G2408"/>
      <c r="H2408"/>
      <c r="I2408"/>
      <c r="J2408"/>
      <c r="K2408"/>
      <c r="L2408"/>
      <c r="M2408"/>
      <c r="S2408" s="54"/>
    </row>
    <row r="2409" spans="1:19" s="15" customFormat="1" x14ac:dyDescent="0.3">
      <c r="A2409" s="17"/>
      <c r="B2409"/>
      <c r="C2409"/>
      <c r="D2409"/>
      <c r="E2409"/>
      <c r="F2409"/>
      <c r="G2409"/>
      <c r="H2409"/>
      <c r="I2409"/>
      <c r="J2409"/>
      <c r="K2409"/>
      <c r="L2409"/>
      <c r="M2409"/>
      <c r="S2409" s="54"/>
    </row>
    <row r="2410" spans="1:19" s="15" customFormat="1" x14ac:dyDescent="0.3">
      <c r="A2410" s="17"/>
      <c r="B2410"/>
      <c r="C2410"/>
      <c r="D2410"/>
      <c r="E2410"/>
      <c r="F2410"/>
      <c r="G2410"/>
      <c r="H2410"/>
      <c r="I2410"/>
      <c r="J2410"/>
      <c r="K2410"/>
      <c r="L2410"/>
      <c r="M2410"/>
      <c r="S2410" s="54"/>
    </row>
    <row r="2411" spans="1:19" s="15" customFormat="1" x14ac:dyDescent="0.3">
      <c r="A2411" s="17"/>
      <c r="B2411"/>
      <c r="C2411"/>
      <c r="D2411"/>
      <c r="E2411"/>
      <c r="F2411"/>
      <c r="G2411"/>
      <c r="H2411"/>
      <c r="I2411"/>
      <c r="J2411"/>
      <c r="K2411"/>
      <c r="L2411"/>
      <c r="M2411"/>
      <c r="S2411" s="54"/>
    </row>
    <row r="2412" spans="1:19" s="15" customFormat="1" x14ac:dyDescent="0.3">
      <c r="A2412" s="17"/>
      <c r="B2412"/>
      <c r="C2412"/>
      <c r="D2412"/>
      <c r="E2412"/>
      <c r="F2412"/>
      <c r="G2412"/>
      <c r="H2412"/>
      <c r="I2412"/>
      <c r="J2412"/>
      <c r="K2412"/>
      <c r="L2412"/>
      <c r="M2412"/>
      <c r="S2412" s="54"/>
    </row>
    <row r="2413" spans="1:19" s="15" customFormat="1" x14ac:dyDescent="0.3">
      <c r="A2413" s="17"/>
      <c r="B2413"/>
      <c r="C2413"/>
      <c r="D2413"/>
      <c r="E2413"/>
      <c r="F2413"/>
      <c r="G2413"/>
      <c r="H2413"/>
      <c r="I2413"/>
      <c r="J2413"/>
      <c r="K2413"/>
      <c r="L2413"/>
      <c r="M2413"/>
      <c r="S2413" s="54"/>
    </row>
    <row r="2414" spans="1:19" s="15" customFormat="1" x14ac:dyDescent="0.3">
      <c r="A2414" s="17"/>
      <c r="B2414"/>
      <c r="C2414"/>
      <c r="D2414"/>
      <c r="E2414"/>
      <c r="F2414"/>
      <c r="G2414"/>
      <c r="H2414"/>
      <c r="I2414"/>
      <c r="J2414"/>
      <c r="K2414"/>
      <c r="L2414"/>
      <c r="M2414"/>
      <c r="S2414" s="54"/>
    </row>
    <row r="2415" spans="1:19" s="15" customFormat="1" x14ac:dyDescent="0.3">
      <c r="A2415" s="17"/>
      <c r="B2415"/>
      <c r="C2415"/>
      <c r="D2415"/>
      <c r="E2415"/>
      <c r="F2415"/>
      <c r="G2415"/>
      <c r="H2415"/>
      <c r="I2415"/>
      <c r="J2415"/>
      <c r="K2415"/>
      <c r="L2415"/>
      <c r="M2415"/>
      <c r="S2415" s="54"/>
    </row>
    <row r="2416" spans="1:19" s="15" customFormat="1" x14ac:dyDescent="0.3">
      <c r="A2416" s="17"/>
      <c r="B2416"/>
      <c r="C2416"/>
      <c r="D2416"/>
      <c r="E2416"/>
      <c r="F2416"/>
      <c r="G2416"/>
      <c r="H2416"/>
      <c r="I2416"/>
      <c r="J2416"/>
      <c r="K2416"/>
      <c r="L2416"/>
      <c r="M2416"/>
      <c r="S2416" s="54"/>
    </row>
    <row r="2417" spans="1:19" s="15" customFormat="1" x14ac:dyDescent="0.3">
      <c r="A2417" s="17"/>
      <c r="B2417"/>
      <c r="C2417"/>
      <c r="D2417"/>
      <c r="E2417"/>
      <c r="F2417"/>
      <c r="G2417"/>
      <c r="H2417"/>
      <c r="I2417"/>
      <c r="J2417"/>
      <c r="K2417"/>
      <c r="L2417"/>
      <c r="M2417"/>
      <c r="S2417" s="54"/>
    </row>
    <row r="2418" spans="1:19" s="15" customFormat="1" x14ac:dyDescent="0.3">
      <c r="A2418" s="17"/>
      <c r="B2418"/>
      <c r="C2418"/>
      <c r="D2418"/>
      <c r="E2418"/>
      <c r="F2418"/>
      <c r="G2418"/>
      <c r="H2418"/>
      <c r="I2418"/>
      <c r="J2418"/>
      <c r="K2418"/>
      <c r="L2418"/>
      <c r="M2418"/>
      <c r="S2418" s="54"/>
    </row>
    <row r="2419" spans="1:19" s="15" customFormat="1" x14ac:dyDescent="0.3">
      <c r="A2419" s="17"/>
      <c r="B2419"/>
      <c r="C2419"/>
      <c r="D2419"/>
      <c r="E2419"/>
      <c r="F2419"/>
      <c r="G2419"/>
      <c r="H2419"/>
      <c r="I2419"/>
      <c r="J2419"/>
      <c r="K2419"/>
      <c r="L2419"/>
      <c r="M2419"/>
      <c r="S2419" s="54"/>
    </row>
    <row r="2420" spans="1:19" s="15" customFormat="1" x14ac:dyDescent="0.3">
      <c r="A2420" s="17"/>
      <c r="B2420"/>
      <c r="C2420"/>
      <c r="D2420"/>
      <c r="E2420"/>
      <c r="F2420"/>
      <c r="G2420"/>
      <c r="H2420"/>
      <c r="I2420"/>
      <c r="J2420"/>
      <c r="K2420"/>
      <c r="L2420"/>
      <c r="M2420"/>
      <c r="S2420" s="54"/>
    </row>
    <row r="2421" spans="1:19" s="15" customFormat="1" x14ac:dyDescent="0.3">
      <c r="A2421" s="17"/>
      <c r="B2421"/>
      <c r="C2421"/>
      <c r="D2421"/>
      <c r="E2421"/>
      <c r="F2421"/>
      <c r="G2421"/>
      <c r="H2421"/>
      <c r="I2421"/>
      <c r="J2421"/>
      <c r="K2421"/>
      <c r="L2421"/>
      <c r="M2421"/>
      <c r="S2421" s="54"/>
    </row>
    <row r="2422" spans="1:19" s="15" customFormat="1" x14ac:dyDescent="0.3">
      <c r="A2422" s="17"/>
      <c r="B2422"/>
      <c r="C2422"/>
      <c r="D2422"/>
      <c r="E2422"/>
      <c r="F2422"/>
      <c r="G2422"/>
      <c r="H2422"/>
      <c r="I2422"/>
      <c r="J2422"/>
      <c r="K2422"/>
      <c r="L2422"/>
      <c r="M2422"/>
      <c r="S2422" s="54"/>
    </row>
    <row r="2423" spans="1:19" s="15" customFormat="1" x14ac:dyDescent="0.3">
      <c r="A2423" s="17"/>
      <c r="B2423"/>
      <c r="C2423"/>
      <c r="D2423"/>
      <c r="E2423"/>
      <c r="F2423"/>
      <c r="G2423"/>
      <c r="H2423"/>
      <c r="I2423"/>
      <c r="J2423"/>
      <c r="K2423"/>
      <c r="L2423"/>
      <c r="M2423"/>
      <c r="S2423" s="54"/>
    </row>
    <row r="2424" spans="1:19" s="15" customFormat="1" x14ac:dyDescent="0.3">
      <c r="A2424" s="17"/>
      <c r="B2424"/>
      <c r="C2424"/>
      <c r="D2424"/>
      <c r="E2424"/>
      <c r="F2424"/>
      <c r="G2424"/>
      <c r="H2424"/>
      <c r="I2424"/>
      <c r="J2424"/>
      <c r="K2424"/>
      <c r="L2424"/>
      <c r="M2424"/>
      <c r="S2424" s="54"/>
    </row>
    <row r="2425" spans="1:19" s="15" customFormat="1" x14ac:dyDescent="0.3">
      <c r="A2425" s="17"/>
      <c r="B2425"/>
      <c r="C2425"/>
      <c r="D2425"/>
      <c r="E2425"/>
      <c r="F2425"/>
      <c r="G2425"/>
      <c r="H2425"/>
      <c r="I2425"/>
      <c r="J2425"/>
      <c r="K2425"/>
      <c r="L2425"/>
      <c r="M2425"/>
      <c r="S2425" s="54"/>
    </row>
    <row r="2426" spans="1:19" s="15" customFormat="1" x14ac:dyDescent="0.3">
      <c r="A2426" s="17"/>
      <c r="B2426"/>
      <c r="C2426"/>
      <c r="D2426"/>
      <c r="E2426"/>
      <c r="F2426"/>
      <c r="G2426"/>
      <c r="H2426"/>
      <c r="I2426"/>
      <c r="J2426"/>
      <c r="K2426"/>
      <c r="L2426"/>
      <c r="M2426"/>
      <c r="S2426" s="54"/>
    </row>
    <row r="2427" spans="1:19" s="15" customFormat="1" x14ac:dyDescent="0.3">
      <c r="A2427" s="17"/>
      <c r="B2427"/>
      <c r="C2427"/>
      <c r="D2427"/>
      <c r="E2427"/>
      <c r="F2427"/>
      <c r="G2427"/>
      <c r="H2427"/>
      <c r="I2427"/>
      <c r="J2427"/>
      <c r="K2427"/>
      <c r="L2427"/>
      <c r="M2427"/>
      <c r="S2427" s="54"/>
    </row>
    <row r="2428" spans="1:19" s="15" customFormat="1" x14ac:dyDescent="0.3">
      <c r="A2428" s="17"/>
      <c r="B2428"/>
      <c r="C2428"/>
      <c r="D2428"/>
      <c r="E2428"/>
      <c r="F2428"/>
      <c r="G2428"/>
      <c r="H2428"/>
      <c r="I2428"/>
      <c r="J2428"/>
      <c r="K2428"/>
      <c r="L2428"/>
      <c r="M2428"/>
      <c r="S2428" s="54"/>
    </row>
    <row r="2429" spans="1:19" s="15" customFormat="1" x14ac:dyDescent="0.3">
      <c r="A2429" s="17"/>
      <c r="B2429"/>
      <c r="C2429"/>
      <c r="D2429"/>
      <c r="E2429"/>
      <c r="F2429"/>
      <c r="G2429"/>
      <c r="H2429"/>
      <c r="I2429"/>
      <c r="J2429"/>
      <c r="K2429"/>
      <c r="L2429"/>
      <c r="M2429"/>
      <c r="S2429" s="54"/>
    </row>
    <row r="2430" spans="1:19" s="15" customFormat="1" x14ac:dyDescent="0.3">
      <c r="A2430" s="17"/>
      <c r="B2430"/>
      <c r="C2430"/>
      <c r="D2430"/>
      <c r="E2430"/>
      <c r="F2430"/>
      <c r="G2430"/>
      <c r="H2430"/>
      <c r="I2430"/>
      <c r="J2430"/>
      <c r="K2430"/>
      <c r="L2430"/>
      <c r="M2430"/>
      <c r="S2430" s="54"/>
    </row>
    <row r="2431" spans="1:19" s="15" customFormat="1" x14ac:dyDescent="0.3">
      <c r="A2431" s="17"/>
      <c r="B2431"/>
      <c r="C2431"/>
      <c r="D2431"/>
      <c r="E2431"/>
      <c r="F2431"/>
      <c r="G2431"/>
      <c r="H2431"/>
      <c r="I2431"/>
      <c r="J2431"/>
      <c r="K2431"/>
      <c r="L2431"/>
      <c r="M2431"/>
      <c r="S2431" s="54"/>
    </row>
    <row r="2432" spans="1:19" s="15" customFormat="1" x14ac:dyDescent="0.3">
      <c r="A2432" s="17"/>
      <c r="B2432"/>
      <c r="C2432"/>
      <c r="D2432"/>
      <c r="E2432"/>
      <c r="F2432"/>
      <c r="G2432"/>
      <c r="H2432"/>
      <c r="I2432"/>
      <c r="J2432"/>
      <c r="K2432"/>
      <c r="L2432"/>
      <c r="M2432"/>
      <c r="S2432" s="54"/>
    </row>
    <row r="2433" spans="1:19" s="15" customFormat="1" x14ac:dyDescent="0.3">
      <c r="A2433" s="17"/>
      <c r="B2433"/>
      <c r="C2433"/>
      <c r="D2433"/>
      <c r="E2433"/>
      <c r="F2433"/>
      <c r="G2433"/>
      <c r="H2433"/>
      <c r="I2433"/>
      <c r="J2433"/>
      <c r="K2433"/>
      <c r="L2433"/>
      <c r="M2433"/>
      <c r="S2433" s="54"/>
    </row>
    <row r="2434" spans="1:19" s="15" customFormat="1" x14ac:dyDescent="0.3">
      <c r="A2434" s="17"/>
      <c r="B2434"/>
      <c r="C2434"/>
      <c r="D2434"/>
      <c r="E2434"/>
      <c r="F2434"/>
      <c r="G2434"/>
      <c r="H2434"/>
      <c r="I2434"/>
      <c r="J2434"/>
      <c r="K2434"/>
      <c r="L2434"/>
      <c r="M2434"/>
      <c r="S2434" s="54"/>
    </row>
    <row r="2435" spans="1:19" s="15" customFormat="1" x14ac:dyDescent="0.3">
      <c r="A2435" s="17"/>
      <c r="B2435"/>
      <c r="C2435"/>
      <c r="D2435"/>
      <c r="E2435"/>
      <c r="F2435"/>
      <c r="G2435"/>
      <c r="H2435"/>
      <c r="I2435"/>
      <c r="J2435"/>
      <c r="K2435"/>
      <c r="L2435"/>
      <c r="M2435"/>
      <c r="S2435" s="54"/>
    </row>
    <row r="2436" spans="1:19" s="15" customFormat="1" x14ac:dyDescent="0.3">
      <c r="A2436" s="17"/>
      <c r="B2436"/>
      <c r="C2436"/>
      <c r="D2436"/>
      <c r="E2436"/>
      <c r="F2436"/>
      <c r="G2436"/>
      <c r="H2436"/>
      <c r="I2436"/>
      <c r="J2436"/>
      <c r="K2436"/>
      <c r="L2436"/>
      <c r="M2436"/>
      <c r="S2436" s="54"/>
    </row>
    <row r="2437" spans="1:19" s="15" customFormat="1" x14ac:dyDescent="0.3">
      <c r="A2437" s="17"/>
      <c r="B2437"/>
      <c r="C2437"/>
      <c r="D2437"/>
      <c r="E2437"/>
      <c r="F2437"/>
      <c r="G2437"/>
      <c r="H2437"/>
      <c r="I2437"/>
      <c r="J2437"/>
      <c r="K2437"/>
      <c r="L2437"/>
      <c r="M2437"/>
      <c r="S2437" s="54"/>
    </row>
    <row r="2438" spans="1:19" s="15" customFormat="1" x14ac:dyDescent="0.3">
      <c r="A2438" s="17"/>
      <c r="B2438"/>
      <c r="C2438"/>
      <c r="D2438"/>
      <c r="E2438"/>
      <c r="F2438"/>
      <c r="G2438"/>
      <c r="H2438"/>
      <c r="I2438"/>
      <c r="J2438"/>
      <c r="K2438"/>
      <c r="L2438"/>
      <c r="M2438"/>
      <c r="S2438" s="54"/>
    </row>
    <row r="2439" spans="1:19" s="15" customFormat="1" x14ac:dyDescent="0.3">
      <c r="A2439" s="17"/>
      <c r="B2439"/>
      <c r="C2439"/>
      <c r="D2439"/>
      <c r="E2439"/>
      <c r="F2439"/>
      <c r="G2439"/>
      <c r="H2439"/>
      <c r="I2439"/>
      <c r="J2439"/>
      <c r="K2439"/>
      <c r="L2439"/>
      <c r="M2439"/>
      <c r="S2439" s="54"/>
    </row>
    <row r="2440" spans="1:19" s="15" customFormat="1" x14ac:dyDescent="0.3">
      <c r="A2440" s="17"/>
      <c r="B2440"/>
      <c r="C2440"/>
      <c r="D2440"/>
      <c r="E2440"/>
      <c r="F2440"/>
      <c r="G2440"/>
      <c r="H2440"/>
      <c r="I2440"/>
      <c r="J2440"/>
      <c r="K2440"/>
      <c r="L2440"/>
      <c r="M2440"/>
      <c r="S2440" s="54"/>
    </row>
    <row r="2441" spans="1:19" s="15" customFormat="1" x14ac:dyDescent="0.3">
      <c r="A2441" s="17"/>
      <c r="B2441"/>
      <c r="C2441"/>
      <c r="D2441"/>
      <c r="E2441"/>
      <c r="F2441"/>
      <c r="G2441"/>
      <c r="H2441"/>
      <c r="I2441"/>
      <c r="J2441"/>
      <c r="K2441"/>
      <c r="L2441"/>
      <c r="M2441"/>
      <c r="S2441" s="54"/>
    </row>
    <row r="2442" spans="1:19" s="15" customFormat="1" x14ac:dyDescent="0.3">
      <c r="A2442" s="17"/>
      <c r="B2442"/>
      <c r="C2442"/>
      <c r="D2442"/>
      <c r="E2442"/>
      <c r="F2442"/>
      <c r="G2442"/>
      <c r="H2442"/>
      <c r="I2442"/>
      <c r="J2442"/>
      <c r="K2442"/>
      <c r="L2442"/>
      <c r="M2442"/>
      <c r="S2442" s="54"/>
    </row>
    <row r="2443" spans="1:19" s="15" customFormat="1" x14ac:dyDescent="0.3">
      <c r="A2443" s="17"/>
      <c r="B2443"/>
      <c r="C2443"/>
      <c r="D2443"/>
      <c r="E2443"/>
      <c r="F2443"/>
      <c r="G2443"/>
      <c r="H2443"/>
      <c r="I2443"/>
      <c r="J2443"/>
      <c r="K2443"/>
      <c r="L2443"/>
      <c r="M2443"/>
      <c r="S2443" s="54"/>
    </row>
    <row r="2444" spans="1:19" s="15" customFormat="1" x14ac:dyDescent="0.3">
      <c r="A2444" s="17"/>
      <c r="B2444"/>
      <c r="C2444"/>
      <c r="D2444"/>
      <c r="E2444"/>
      <c r="F2444"/>
      <c r="G2444"/>
      <c r="H2444"/>
      <c r="I2444"/>
      <c r="J2444"/>
      <c r="K2444"/>
      <c r="L2444"/>
      <c r="M2444"/>
      <c r="S2444" s="54"/>
    </row>
    <row r="2445" spans="1:19" s="15" customFormat="1" x14ac:dyDescent="0.3">
      <c r="A2445" s="17"/>
      <c r="B2445"/>
      <c r="C2445"/>
      <c r="D2445"/>
      <c r="E2445"/>
      <c r="F2445"/>
      <c r="G2445"/>
      <c r="H2445"/>
      <c r="I2445"/>
      <c r="J2445"/>
      <c r="K2445"/>
      <c r="L2445"/>
      <c r="M2445"/>
      <c r="S2445" s="54"/>
    </row>
    <row r="2446" spans="1:19" s="15" customFormat="1" x14ac:dyDescent="0.3">
      <c r="A2446" s="17"/>
      <c r="B2446"/>
      <c r="C2446"/>
      <c r="D2446"/>
      <c r="E2446"/>
      <c r="F2446"/>
      <c r="G2446"/>
      <c r="H2446"/>
      <c r="I2446"/>
      <c r="J2446"/>
      <c r="K2446"/>
      <c r="L2446"/>
      <c r="M2446"/>
      <c r="S2446" s="54"/>
    </row>
    <row r="2447" spans="1:19" s="15" customFormat="1" x14ac:dyDescent="0.3">
      <c r="A2447" s="17"/>
      <c r="B2447"/>
      <c r="C2447"/>
      <c r="D2447"/>
      <c r="E2447"/>
      <c r="F2447"/>
      <c r="G2447"/>
      <c r="H2447"/>
      <c r="I2447"/>
      <c r="J2447"/>
      <c r="K2447"/>
      <c r="L2447"/>
      <c r="M2447"/>
      <c r="S2447" s="54"/>
    </row>
    <row r="2448" spans="1:19" s="15" customFormat="1" x14ac:dyDescent="0.3">
      <c r="A2448" s="17"/>
      <c r="B2448"/>
      <c r="C2448"/>
      <c r="D2448"/>
      <c r="E2448"/>
      <c r="F2448"/>
      <c r="G2448"/>
      <c r="H2448"/>
      <c r="I2448"/>
      <c r="J2448"/>
      <c r="K2448"/>
      <c r="L2448"/>
      <c r="M2448"/>
      <c r="S2448" s="54"/>
    </row>
    <row r="2449" spans="1:19" s="15" customFormat="1" x14ac:dyDescent="0.3">
      <c r="A2449" s="17"/>
      <c r="B2449"/>
      <c r="C2449"/>
      <c r="D2449"/>
      <c r="E2449"/>
      <c r="F2449"/>
      <c r="G2449"/>
      <c r="H2449"/>
      <c r="I2449"/>
      <c r="J2449"/>
      <c r="K2449"/>
      <c r="L2449"/>
      <c r="M2449"/>
      <c r="S2449" s="54"/>
    </row>
    <row r="2450" spans="1:19" s="15" customFormat="1" x14ac:dyDescent="0.3">
      <c r="A2450" s="17"/>
      <c r="B2450"/>
      <c r="C2450"/>
      <c r="D2450"/>
      <c r="E2450"/>
      <c r="F2450"/>
      <c r="G2450"/>
      <c r="H2450"/>
      <c r="I2450"/>
      <c r="J2450"/>
      <c r="K2450"/>
      <c r="L2450"/>
      <c r="M2450"/>
      <c r="S2450" s="54"/>
    </row>
    <row r="2451" spans="1:19" s="15" customFormat="1" x14ac:dyDescent="0.3">
      <c r="A2451" s="17"/>
      <c r="B2451"/>
      <c r="C2451"/>
      <c r="D2451"/>
      <c r="E2451"/>
      <c r="F2451"/>
      <c r="G2451"/>
      <c r="H2451"/>
      <c r="I2451"/>
      <c r="J2451"/>
      <c r="K2451"/>
      <c r="L2451"/>
      <c r="M2451"/>
      <c r="S2451" s="54"/>
    </row>
    <row r="2452" spans="1:19" s="15" customFormat="1" x14ac:dyDescent="0.3">
      <c r="A2452" s="17"/>
      <c r="B2452"/>
      <c r="C2452"/>
      <c r="D2452"/>
      <c r="E2452"/>
      <c r="F2452"/>
      <c r="G2452"/>
      <c r="H2452"/>
      <c r="I2452"/>
      <c r="J2452"/>
      <c r="K2452"/>
      <c r="L2452"/>
      <c r="M2452"/>
      <c r="S2452" s="54"/>
    </row>
    <row r="2453" spans="1:19" s="15" customFormat="1" x14ac:dyDescent="0.3">
      <c r="A2453" s="17"/>
      <c r="B2453"/>
      <c r="C2453"/>
      <c r="D2453"/>
      <c r="E2453"/>
      <c r="F2453"/>
      <c r="G2453"/>
      <c r="H2453"/>
      <c r="I2453"/>
      <c r="J2453"/>
      <c r="K2453"/>
      <c r="L2453"/>
      <c r="M2453"/>
      <c r="S2453" s="54"/>
    </row>
    <row r="2454" spans="1:19" s="15" customFormat="1" x14ac:dyDescent="0.3">
      <c r="A2454" s="17"/>
      <c r="B2454"/>
      <c r="C2454"/>
      <c r="D2454"/>
      <c r="E2454"/>
      <c r="F2454"/>
      <c r="G2454"/>
      <c r="H2454"/>
      <c r="I2454"/>
      <c r="J2454"/>
      <c r="K2454"/>
      <c r="L2454"/>
      <c r="M2454"/>
      <c r="S2454" s="54"/>
    </row>
    <row r="2455" spans="1:19" s="15" customFormat="1" x14ac:dyDescent="0.3">
      <c r="A2455" s="17"/>
      <c r="B2455"/>
      <c r="C2455"/>
      <c r="D2455"/>
      <c r="E2455"/>
      <c r="F2455"/>
      <c r="G2455"/>
      <c r="H2455"/>
      <c r="I2455"/>
      <c r="J2455"/>
      <c r="K2455"/>
      <c r="L2455"/>
      <c r="M2455"/>
      <c r="S2455" s="54"/>
    </row>
    <row r="2456" spans="1:19" s="15" customFormat="1" x14ac:dyDescent="0.3">
      <c r="A2456" s="17"/>
      <c r="B2456"/>
      <c r="C2456"/>
      <c r="D2456"/>
      <c r="E2456"/>
      <c r="F2456"/>
      <c r="G2456"/>
      <c r="H2456"/>
      <c r="I2456"/>
      <c r="J2456"/>
      <c r="K2456"/>
      <c r="L2456"/>
      <c r="M2456"/>
      <c r="S2456" s="54"/>
    </row>
    <row r="2457" spans="1:19" s="15" customFormat="1" x14ac:dyDescent="0.3">
      <c r="A2457" s="17"/>
      <c r="B2457"/>
      <c r="C2457"/>
      <c r="D2457"/>
      <c r="E2457"/>
      <c r="F2457"/>
      <c r="G2457"/>
      <c r="H2457"/>
      <c r="I2457"/>
      <c r="J2457"/>
      <c r="K2457"/>
      <c r="L2457"/>
      <c r="M2457"/>
      <c r="S2457" s="54"/>
    </row>
    <row r="2458" spans="1:19" s="15" customFormat="1" x14ac:dyDescent="0.3">
      <c r="A2458" s="17"/>
      <c r="B2458"/>
      <c r="C2458"/>
      <c r="D2458"/>
      <c r="E2458"/>
      <c r="F2458"/>
      <c r="G2458"/>
      <c r="H2458"/>
      <c r="I2458"/>
      <c r="J2458"/>
      <c r="K2458"/>
      <c r="L2458"/>
      <c r="M2458"/>
      <c r="S2458" s="54"/>
    </row>
    <row r="2459" spans="1:19" s="15" customFormat="1" x14ac:dyDescent="0.3">
      <c r="A2459" s="17"/>
      <c r="B2459"/>
      <c r="C2459"/>
      <c r="D2459"/>
      <c r="E2459"/>
      <c r="F2459"/>
      <c r="G2459"/>
      <c r="H2459"/>
      <c r="I2459"/>
      <c r="J2459"/>
      <c r="K2459"/>
      <c r="L2459"/>
      <c r="M2459"/>
      <c r="S2459" s="54"/>
    </row>
    <row r="2460" spans="1:19" s="15" customFormat="1" x14ac:dyDescent="0.3">
      <c r="A2460" s="17"/>
      <c r="B2460"/>
      <c r="C2460"/>
      <c r="D2460"/>
      <c r="E2460"/>
      <c r="F2460"/>
      <c r="G2460"/>
      <c r="H2460"/>
      <c r="I2460"/>
      <c r="J2460"/>
      <c r="K2460"/>
      <c r="L2460"/>
      <c r="M2460"/>
      <c r="S2460" s="54"/>
    </row>
    <row r="2461" spans="1:19" s="15" customFormat="1" x14ac:dyDescent="0.3">
      <c r="A2461" s="17"/>
      <c r="B2461"/>
      <c r="C2461"/>
      <c r="D2461"/>
      <c r="E2461"/>
      <c r="F2461"/>
      <c r="G2461"/>
      <c r="H2461"/>
      <c r="I2461"/>
      <c r="J2461"/>
      <c r="K2461"/>
      <c r="L2461"/>
      <c r="M2461"/>
      <c r="S2461" s="54"/>
    </row>
    <row r="2462" spans="1:19" s="15" customFormat="1" x14ac:dyDescent="0.3">
      <c r="A2462" s="17"/>
      <c r="B2462"/>
      <c r="C2462"/>
      <c r="D2462"/>
      <c r="E2462"/>
      <c r="F2462"/>
      <c r="G2462"/>
      <c r="H2462"/>
      <c r="I2462"/>
      <c r="J2462"/>
      <c r="K2462"/>
      <c r="L2462"/>
      <c r="M2462"/>
      <c r="S2462" s="54"/>
    </row>
    <row r="2463" spans="1:19" s="15" customFormat="1" x14ac:dyDescent="0.3">
      <c r="A2463" s="17"/>
      <c r="B2463"/>
      <c r="C2463"/>
      <c r="D2463"/>
      <c r="E2463"/>
      <c r="F2463"/>
      <c r="G2463"/>
      <c r="H2463"/>
      <c r="I2463"/>
      <c r="J2463"/>
      <c r="K2463"/>
      <c r="L2463"/>
      <c r="M2463"/>
      <c r="S2463" s="54"/>
    </row>
    <row r="2464" spans="1:19" s="15" customFormat="1" x14ac:dyDescent="0.3">
      <c r="A2464" s="17"/>
      <c r="B2464"/>
      <c r="C2464"/>
      <c r="D2464"/>
      <c r="E2464"/>
      <c r="F2464"/>
      <c r="G2464"/>
      <c r="H2464"/>
      <c r="I2464"/>
      <c r="J2464"/>
      <c r="K2464"/>
      <c r="L2464"/>
      <c r="M2464"/>
      <c r="S2464" s="54"/>
    </row>
    <row r="2465" spans="1:19" s="15" customFormat="1" x14ac:dyDescent="0.3">
      <c r="A2465" s="17"/>
      <c r="B2465"/>
      <c r="C2465"/>
      <c r="D2465"/>
      <c r="E2465"/>
      <c r="F2465"/>
      <c r="G2465"/>
      <c r="H2465"/>
      <c r="I2465"/>
      <c r="J2465"/>
      <c r="K2465"/>
      <c r="L2465"/>
      <c r="M2465"/>
      <c r="S2465" s="54"/>
    </row>
    <row r="2466" spans="1:19" s="15" customFormat="1" x14ac:dyDescent="0.3">
      <c r="A2466" s="17"/>
      <c r="B2466"/>
      <c r="C2466"/>
      <c r="D2466"/>
      <c r="E2466"/>
      <c r="F2466"/>
      <c r="G2466"/>
      <c r="H2466"/>
      <c r="I2466"/>
      <c r="J2466"/>
      <c r="K2466"/>
      <c r="L2466"/>
      <c r="M2466"/>
      <c r="S2466" s="54"/>
    </row>
    <row r="2467" spans="1:19" s="15" customFormat="1" x14ac:dyDescent="0.3">
      <c r="A2467" s="17"/>
      <c r="B2467"/>
      <c r="C2467"/>
      <c r="D2467"/>
      <c r="E2467"/>
      <c r="F2467"/>
      <c r="G2467"/>
      <c r="H2467"/>
      <c r="I2467"/>
      <c r="J2467"/>
      <c r="K2467"/>
      <c r="L2467"/>
      <c r="M2467"/>
      <c r="S2467" s="54"/>
    </row>
    <row r="2468" spans="1:19" s="15" customFormat="1" x14ac:dyDescent="0.3">
      <c r="A2468" s="17"/>
      <c r="B2468"/>
      <c r="C2468"/>
      <c r="D2468"/>
      <c r="E2468"/>
      <c r="F2468"/>
      <c r="G2468"/>
      <c r="H2468"/>
      <c r="I2468"/>
      <c r="J2468"/>
      <c r="K2468"/>
      <c r="L2468"/>
      <c r="M2468"/>
      <c r="S2468" s="54"/>
    </row>
    <row r="2469" spans="1:19" s="15" customFormat="1" x14ac:dyDescent="0.3">
      <c r="A2469" s="17"/>
      <c r="B2469"/>
      <c r="C2469"/>
      <c r="D2469"/>
      <c r="E2469"/>
      <c r="F2469"/>
      <c r="G2469"/>
      <c r="H2469"/>
      <c r="I2469"/>
      <c r="J2469"/>
      <c r="K2469"/>
      <c r="L2469"/>
      <c r="M2469"/>
      <c r="S2469" s="54"/>
    </row>
    <row r="2470" spans="1:19" s="15" customFormat="1" x14ac:dyDescent="0.3">
      <c r="A2470" s="17"/>
      <c r="B2470"/>
      <c r="C2470"/>
      <c r="D2470"/>
      <c r="E2470"/>
      <c r="F2470"/>
      <c r="G2470"/>
      <c r="H2470"/>
      <c r="I2470"/>
      <c r="J2470"/>
      <c r="K2470"/>
      <c r="L2470"/>
      <c r="M2470"/>
      <c r="S2470" s="54"/>
    </row>
    <row r="2471" spans="1:19" s="15" customFormat="1" x14ac:dyDescent="0.3">
      <c r="A2471" s="17"/>
      <c r="B2471"/>
      <c r="C2471"/>
      <c r="D2471"/>
      <c r="E2471"/>
      <c r="F2471"/>
      <c r="G2471"/>
      <c r="H2471"/>
      <c r="I2471"/>
      <c r="J2471"/>
      <c r="K2471"/>
      <c r="L2471"/>
      <c r="M2471"/>
      <c r="S2471" s="54"/>
    </row>
    <row r="2472" spans="1:19" s="15" customFormat="1" x14ac:dyDescent="0.3">
      <c r="A2472" s="17"/>
      <c r="B2472"/>
      <c r="C2472"/>
      <c r="D2472"/>
      <c r="E2472"/>
      <c r="F2472"/>
      <c r="G2472"/>
      <c r="H2472"/>
      <c r="I2472"/>
      <c r="J2472"/>
      <c r="K2472"/>
      <c r="L2472"/>
      <c r="M2472"/>
      <c r="S2472" s="54"/>
    </row>
    <row r="2473" spans="1:19" s="15" customFormat="1" x14ac:dyDescent="0.3">
      <c r="A2473" s="17"/>
      <c r="B2473"/>
      <c r="C2473"/>
      <c r="D2473"/>
      <c r="E2473"/>
      <c r="F2473"/>
      <c r="G2473"/>
      <c r="H2473"/>
      <c r="I2473"/>
      <c r="J2473"/>
      <c r="K2473"/>
      <c r="L2473"/>
      <c r="M2473"/>
      <c r="S2473" s="54"/>
    </row>
    <row r="2474" spans="1:19" s="15" customFormat="1" x14ac:dyDescent="0.3">
      <c r="A2474" s="17"/>
      <c r="B2474"/>
      <c r="C2474"/>
      <c r="D2474"/>
      <c r="E2474"/>
      <c r="F2474"/>
      <c r="G2474"/>
      <c r="H2474"/>
      <c r="I2474"/>
      <c r="J2474"/>
      <c r="K2474"/>
      <c r="L2474"/>
      <c r="M2474"/>
      <c r="S2474" s="54"/>
    </row>
    <row r="2475" spans="1:19" s="15" customFormat="1" x14ac:dyDescent="0.3">
      <c r="A2475" s="17"/>
      <c r="B2475"/>
      <c r="C2475"/>
      <c r="D2475"/>
      <c r="E2475"/>
      <c r="F2475"/>
      <c r="G2475"/>
      <c r="H2475"/>
      <c r="I2475"/>
      <c r="J2475"/>
      <c r="K2475"/>
      <c r="L2475"/>
      <c r="M2475"/>
      <c r="S2475" s="54"/>
    </row>
    <row r="2476" spans="1:19" s="15" customFormat="1" x14ac:dyDescent="0.3">
      <c r="A2476" s="17"/>
      <c r="B2476"/>
      <c r="C2476"/>
      <c r="D2476"/>
      <c r="E2476"/>
      <c r="F2476"/>
      <c r="G2476"/>
      <c r="H2476"/>
      <c r="I2476"/>
      <c r="J2476"/>
      <c r="K2476"/>
      <c r="L2476"/>
      <c r="M2476"/>
      <c r="S2476" s="54"/>
    </row>
    <row r="2477" spans="1:19" s="15" customFormat="1" x14ac:dyDescent="0.3">
      <c r="A2477" s="17"/>
      <c r="B2477"/>
      <c r="C2477"/>
      <c r="D2477"/>
      <c r="E2477"/>
      <c r="F2477"/>
      <c r="G2477"/>
      <c r="H2477"/>
      <c r="I2477"/>
      <c r="J2477"/>
      <c r="K2477"/>
      <c r="L2477"/>
      <c r="M2477"/>
      <c r="S2477" s="54"/>
    </row>
    <row r="2478" spans="1:19" s="15" customFormat="1" x14ac:dyDescent="0.3">
      <c r="A2478" s="17"/>
      <c r="B2478"/>
      <c r="C2478"/>
      <c r="D2478"/>
      <c r="E2478"/>
      <c r="F2478"/>
      <c r="G2478"/>
      <c r="H2478"/>
      <c r="I2478"/>
      <c r="J2478"/>
      <c r="K2478"/>
      <c r="L2478"/>
      <c r="M2478"/>
      <c r="S2478" s="54"/>
    </row>
    <row r="2479" spans="1:19" s="15" customFormat="1" x14ac:dyDescent="0.3">
      <c r="A2479" s="17"/>
      <c r="B2479"/>
      <c r="C2479"/>
      <c r="D2479"/>
      <c r="E2479"/>
      <c r="F2479"/>
      <c r="G2479"/>
      <c r="H2479"/>
      <c r="I2479"/>
      <c r="J2479"/>
      <c r="K2479"/>
      <c r="L2479"/>
      <c r="M2479"/>
      <c r="S2479" s="54"/>
    </row>
    <row r="2480" spans="1:19" s="15" customFormat="1" x14ac:dyDescent="0.3">
      <c r="A2480" s="17"/>
      <c r="B2480"/>
      <c r="C2480"/>
      <c r="D2480"/>
      <c r="E2480"/>
      <c r="F2480"/>
      <c r="G2480"/>
      <c r="H2480"/>
      <c r="I2480"/>
      <c r="J2480"/>
      <c r="K2480"/>
      <c r="L2480"/>
      <c r="M2480"/>
      <c r="S2480" s="54"/>
    </row>
    <row r="2481" spans="1:19" s="15" customFormat="1" x14ac:dyDescent="0.3">
      <c r="A2481" s="17"/>
      <c r="B2481"/>
      <c r="C2481"/>
      <c r="D2481"/>
      <c r="E2481"/>
      <c r="F2481"/>
      <c r="G2481"/>
      <c r="H2481"/>
      <c r="I2481"/>
      <c r="J2481"/>
      <c r="K2481"/>
      <c r="L2481"/>
      <c r="M2481"/>
      <c r="S2481" s="54"/>
    </row>
    <row r="2482" spans="1:19" s="15" customFormat="1" x14ac:dyDescent="0.3">
      <c r="A2482" s="17"/>
      <c r="B2482"/>
      <c r="C2482"/>
      <c r="D2482"/>
      <c r="E2482"/>
      <c r="F2482"/>
      <c r="G2482"/>
      <c r="H2482"/>
      <c r="I2482"/>
      <c r="J2482"/>
      <c r="K2482"/>
      <c r="L2482"/>
      <c r="M2482"/>
      <c r="S2482" s="54"/>
    </row>
    <row r="2483" spans="1:19" s="15" customFormat="1" x14ac:dyDescent="0.3">
      <c r="A2483" s="17"/>
      <c r="B2483"/>
      <c r="C2483"/>
      <c r="D2483"/>
      <c r="E2483"/>
      <c r="F2483"/>
      <c r="G2483"/>
      <c r="H2483"/>
      <c r="I2483"/>
      <c r="J2483"/>
      <c r="K2483"/>
      <c r="L2483"/>
      <c r="M2483"/>
      <c r="S2483" s="54"/>
    </row>
    <row r="2484" spans="1:19" s="15" customFormat="1" x14ac:dyDescent="0.3">
      <c r="A2484" s="17"/>
      <c r="B2484"/>
      <c r="C2484"/>
      <c r="D2484"/>
      <c r="E2484"/>
      <c r="F2484"/>
      <c r="G2484"/>
      <c r="H2484"/>
      <c r="I2484"/>
      <c r="J2484"/>
      <c r="K2484"/>
      <c r="L2484"/>
      <c r="M2484"/>
      <c r="S2484" s="54"/>
    </row>
    <row r="2485" spans="1:19" s="15" customFormat="1" x14ac:dyDescent="0.3">
      <c r="A2485" s="17"/>
      <c r="B2485"/>
      <c r="C2485"/>
      <c r="D2485"/>
      <c r="E2485"/>
      <c r="F2485"/>
      <c r="G2485"/>
      <c r="H2485"/>
      <c r="I2485"/>
      <c r="J2485"/>
      <c r="K2485"/>
      <c r="L2485"/>
      <c r="M2485"/>
      <c r="S2485" s="54"/>
    </row>
    <row r="2486" spans="1:19" s="15" customFormat="1" x14ac:dyDescent="0.3">
      <c r="A2486" s="17"/>
      <c r="B2486"/>
      <c r="C2486"/>
      <c r="D2486"/>
      <c r="E2486"/>
      <c r="F2486"/>
      <c r="G2486"/>
      <c r="H2486"/>
      <c r="I2486"/>
      <c r="J2486"/>
      <c r="K2486"/>
      <c r="L2486"/>
      <c r="M2486"/>
      <c r="S2486" s="54"/>
    </row>
    <row r="2487" spans="1:19" s="15" customFormat="1" x14ac:dyDescent="0.3">
      <c r="A2487" s="17"/>
      <c r="B2487"/>
      <c r="C2487"/>
      <c r="D2487"/>
      <c r="E2487"/>
      <c r="F2487"/>
      <c r="G2487"/>
      <c r="H2487"/>
      <c r="I2487"/>
      <c r="J2487"/>
      <c r="K2487"/>
      <c r="L2487"/>
      <c r="M2487"/>
      <c r="S2487" s="54"/>
    </row>
    <row r="2488" spans="1:19" s="15" customFormat="1" x14ac:dyDescent="0.3">
      <c r="A2488" s="17"/>
      <c r="B2488"/>
      <c r="C2488"/>
      <c r="D2488"/>
      <c r="E2488"/>
      <c r="F2488"/>
      <c r="G2488"/>
      <c r="H2488"/>
      <c r="I2488"/>
      <c r="J2488"/>
      <c r="K2488"/>
      <c r="L2488"/>
      <c r="M2488"/>
      <c r="S2488" s="54"/>
    </row>
    <row r="2489" spans="1:19" s="15" customFormat="1" x14ac:dyDescent="0.3">
      <c r="A2489" s="17"/>
      <c r="B2489"/>
      <c r="C2489"/>
      <c r="D2489"/>
      <c r="E2489"/>
      <c r="F2489"/>
      <c r="G2489"/>
      <c r="H2489"/>
      <c r="I2489"/>
      <c r="J2489"/>
      <c r="K2489"/>
      <c r="L2489"/>
      <c r="M2489"/>
      <c r="S2489" s="54"/>
    </row>
    <row r="2490" spans="1:19" s="15" customFormat="1" x14ac:dyDescent="0.3">
      <c r="A2490" s="17"/>
      <c r="B2490"/>
      <c r="C2490"/>
      <c r="D2490"/>
      <c r="E2490"/>
      <c r="F2490"/>
      <c r="G2490"/>
      <c r="H2490"/>
      <c r="I2490"/>
      <c r="J2490"/>
      <c r="K2490"/>
      <c r="L2490"/>
      <c r="M2490"/>
      <c r="S2490" s="54"/>
    </row>
    <row r="2491" spans="1:19" s="15" customFormat="1" x14ac:dyDescent="0.3">
      <c r="A2491" s="17"/>
      <c r="B2491"/>
      <c r="C2491"/>
      <c r="D2491"/>
      <c r="E2491"/>
      <c r="F2491"/>
      <c r="G2491"/>
      <c r="H2491"/>
      <c r="I2491"/>
      <c r="J2491"/>
      <c r="K2491"/>
      <c r="L2491"/>
      <c r="M2491"/>
      <c r="S2491" s="54"/>
    </row>
    <row r="2492" spans="1:19" s="15" customFormat="1" x14ac:dyDescent="0.3">
      <c r="A2492" s="17"/>
      <c r="B2492"/>
      <c r="C2492"/>
      <c r="D2492"/>
      <c r="E2492"/>
      <c r="F2492"/>
      <c r="G2492"/>
      <c r="H2492"/>
      <c r="I2492"/>
      <c r="J2492"/>
      <c r="K2492"/>
      <c r="L2492"/>
      <c r="M2492"/>
      <c r="S2492" s="54"/>
    </row>
    <row r="2493" spans="1:19" s="15" customFormat="1" x14ac:dyDescent="0.3">
      <c r="A2493" s="17"/>
      <c r="B2493"/>
      <c r="C2493"/>
      <c r="D2493"/>
      <c r="E2493"/>
      <c r="F2493"/>
      <c r="G2493"/>
      <c r="H2493"/>
      <c r="I2493"/>
      <c r="J2493"/>
      <c r="K2493"/>
      <c r="L2493"/>
      <c r="M2493"/>
      <c r="S2493" s="54"/>
    </row>
    <row r="2494" spans="1:19" s="15" customFormat="1" x14ac:dyDescent="0.3">
      <c r="A2494" s="17"/>
      <c r="B2494"/>
      <c r="C2494"/>
      <c r="D2494"/>
      <c r="E2494"/>
      <c r="F2494"/>
      <c r="G2494"/>
      <c r="H2494"/>
      <c r="I2494"/>
      <c r="J2494"/>
      <c r="K2494"/>
      <c r="L2494"/>
      <c r="M2494"/>
      <c r="S2494" s="54"/>
    </row>
    <row r="2495" spans="1:19" s="15" customFormat="1" x14ac:dyDescent="0.3">
      <c r="A2495" s="17"/>
      <c r="B2495"/>
      <c r="C2495"/>
      <c r="D2495"/>
      <c r="E2495"/>
      <c r="F2495"/>
      <c r="G2495"/>
      <c r="H2495"/>
      <c r="I2495"/>
      <c r="J2495"/>
      <c r="K2495"/>
      <c r="L2495"/>
      <c r="M2495"/>
      <c r="S2495" s="54"/>
    </row>
    <row r="2496" spans="1:19" s="15" customFormat="1" x14ac:dyDescent="0.3">
      <c r="A2496" s="17"/>
      <c r="B2496"/>
      <c r="C2496"/>
      <c r="D2496"/>
      <c r="E2496"/>
      <c r="F2496"/>
      <c r="G2496"/>
      <c r="H2496"/>
      <c r="I2496"/>
      <c r="J2496"/>
      <c r="K2496"/>
      <c r="L2496"/>
      <c r="M2496"/>
      <c r="S2496" s="54"/>
    </row>
    <row r="2497" spans="1:19" s="15" customFormat="1" x14ac:dyDescent="0.3">
      <c r="A2497" s="17"/>
      <c r="B2497"/>
      <c r="C2497"/>
      <c r="D2497"/>
      <c r="E2497"/>
      <c r="F2497"/>
      <c r="G2497"/>
      <c r="H2497"/>
      <c r="I2497"/>
      <c r="J2497"/>
      <c r="K2497"/>
      <c r="L2497"/>
      <c r="M2497"/>
      <c r="S2497" s="54"/>
    </row>
    <row r="2498" spans="1:19" s="15" customFormat="1" x14ac:dyDescent="0.3">
      <c r="A2498" s="17"/>
      <c r="B2498"/>
      <c r="C2498"/>
      <c r="D2498"/>
      <c r="E2498"/>
      <c r="F2498"/>
      <c r="G2498"/>
      <c r="H2498"/>
      <c r="I2498"/>
      <c r="J2498"/>
      <c r="K2498"/>
      <c r="L2498"/>
      <c r="M2498"/>
      <c r="S2498" s="54"/>
    </row>
    <row r="2499" spans="1:19" s="15" customFormat="1" x14ac:dyDescent="0.3">
      <c r="A2499" s="17"/>
      <c r="B2499"/>
      <c r="C2499"/>
      <c r="D2499"/>
      <c r="E2499"/>
      <c r="F2499"/>
      <c r="G2499"/>
      <c r="H2499"/>
      <c r="I2499"/>
      <c r="J2499"/>
      <c r="K2499"/>
      <c r="L2499"/>
      <c r="M2499"/>
      <c r="S2499" s="54"/>
    </row>
    <row r="2500" spans="1:19" s="15" customFormat="1" x14ac:dyDescent="0.3">
      <c r="A2500" s="17"/>
      <c r="B2500"/>
      <c r="C2500"/>
      <c r="D2500"/>
      <c r="E2500"/>
      <c r="F2500"/>
      <c r="G2500"/>
      <c r="H2500"/>
      <c r="I2500"/>
      <c r="J2500"/>
      <c r="K2500"/>
      <c r="L2500"/>
      <c r="M2500"/>
      <c r="S2500" s="54"/>
    </row>
    <row r="2501" spans="1:19" s="15" customFormat="1" x14ac:dyDescent="0.3">
      <c r="A2501" s="17"/>
      <c r="B2501"/>
      <c r="C2501"/>
      <c r="D2501"/>
      <c r="E2501"/>
      <c r="F2501"/>
      <c r="G2501"/>
      <c r="H2501"/>
      <c r="I2501"/>
      <c r="J2501"/>
      <c r="K2501"/>
      <c r="L2501"/>
      <c r="M2501"/>
      <c r="S2501" s="54"/>
    </row>
    <row r="2502" spans="1:19" s="15" customFormat="1" x14ac:dyDescent="0.3">
      <c r="A2502" s="17"/>
      <c r="B2502"/>
      <c r="C2502"/>
      <c r="D2502"/>
      <c r="E2502"/>
      <c r="F2502"/>
      <c r="G2502"/>
      <c r="H2502"/>
      <c r="I2502"/>
      <c r="J2502"/>
      <c r="K2502"/>
      <c r="L2502"/>
      <c r="M2502"/>
      <c r="S2502" s="54"/>
    </row>
    <row r="2503" spans="1:19" s="15" customFormat="1" x14ac:dyDescent="0.3">
      <c r="A2503" s="17"/>
      <c r="B2503"/>
      <c r="C2503"/>
      <c r="D2503"/>
      <c r="E2503"/>
      <c r="F2503"/>
      <c r="G2503"/>
      <c r="H2503"/>
      <c r="I2503"/>
      <c r="J2503"/>
      <c r="K2503"/>
      <c r="L2503"/>
      <c r="M2503"/>
      <c r="S2503" s="54"/>
    </row>
    <row r="2504" spans="1:19" s="15" customFormat="1" x14ac:dyDescent="0.3">
      <c r="A2504" s="17"/>
      <c r="B2504"/>
      <c r="C2504"/>
      <c r="D2504"/>
      <c r="E2504"/>
      <c r="F2504"/>
      <c r="G2504"/>
      <c r="H2504"/>
      <c r="I2504"/>
      <c r="J2504"/>
      <c r="K2504"/>
      <c r="L2504"/>
      <c r="M2504"/>
      <c r="S2504" s="54"/>
    </row>
    <row r="2505" spans="1:19" s="15" customFormat="1" x14ac:dyDescent="0.3">
      <c r="A2505" s="17"/>
      <c r="B2505"/>
      <c r="C2505"/>
      <c r="D2505"/>
      <c r="E2505"/>
      <c r="F2505"/>
      <c r="G2505"/>
      <c r="H2505"/>
      <c r="I2505"/>
      <c r="J2505"/>
      <c r="K2505"/>
      <c r="L2505"/>
      <c r="M2505"/>
      <c r="S2505" s="54"/>
    </row>
    <row r="2506" spans="1:19" s="15" customFormat="1" x14ac:dyDescent="0.3">
      <c r="A2506" s="17"/>
      <c r="B2506"/>
      <c r="C2506"/>
      <c r="D2506"/>
      <c r="E2506"/>
      <c r="F2506"/>
      <c r="G2506"/>
      <c r="H2506"/>
      <c r="I2506"/>
      <c r="J2506"/>
      <c r="K2506"/>
      <c r="L2506"/>
      <c r="M2506"/>
      <c r="S2506" s="54"/>
    </row>
    <row r="2507" spans="1:19" s="15" customFormat="1" x14ac:dyDescent="0.3">
      <c r="A2507" s="17"/>
      <c r="B2507"/>
      <c r="C2507"/>
      <c r="D2507"/>
      <c r="E2507"/>
      <c r="F2507"/>
      <c r="G2507"/>
      <c r="H2507"/>
      <c r="I2507"/>
      <c r="J2507"/>
      <c r="K2507"/>
      <c r="L2507"/>
      <c r="M2507"/>
      <c r="S2507" s="54"/>
    </row>
    <row r="2508" spans="1:19" s="15" customFormat="1" x14ac:dyDescent="0.3">
      <c r="A2508" s="17"/>
      <c r="B2508"/>
      <c r="C2508"/>
      <c r="D2508"/>
      <c r="E2508"/>
      <c r="F2508"/>
      <c r="G2508"/>
      <c r="H2508"/>
      <c r="I2508"/>
      <c r="J2508"/>
      <c r="K2508"/>
      <c r="L2508"/>
      <c r="M2508"/>
      <c r="S2508" s="54"/>
    </row>
    <row r="2509" spans="1:19" s="15" customFormat="1" x14ac:dyDescent="0.3">
      <c r="A2509" s="17"/>
      <c r="B2509"/>
      <c r="C2509"/>
      <c r="D2509"/>
      <c r="E2509"/>
      <c r="F2509"/>
      <c r="G2509"/>
      <c r="H2509"/>
      <c r="I2509"/>
      <c r="J2509"/>
      <c r="K2509"/>
      <c r="L2509"/>
      <c r="M2509"/>
      <c r="S2509" s="54"/>
    </row>
    <row r="2510" spans="1:19" s="15" customFormat="1" x14ac:dyDescent="0.3">
      <c r="A2510" s="17"/>
      <c r="B2510"/>
      <c r="C2510"/>
      <c r="D2510"/>
      <c r="E2510"/>
      <c r="F2510"/>
      <c r="G2510"/>
      <c r="H2510"/>
      <c r="I2510"/>
      <c r="J2510"/>
      <c r="K2510"/>
      <c r="L2510"/>
      <c r="M2510"/>
      <c r="S2510" s="54"/>
    </row>
    <row r="2511" spans="1:19" s="15" customFormat="1" x14ac:dyDescent="0.3">
      <c r="A2511" s="17"/>
      <c r="B2511"/>
      <c r="C2511"/>
      <c r="D2511"/>
      <c r="E2511"/>
      <c r="F2511"/>
      <c r="G2511"/>
      <c r="H2511"/>
      <c r="I2511"/>
      <c r="J2511"/>
      <c r="K2511"/>
      <c r="L2511"/>
      <c r="M2511"/>
      <c r="S2511" s="54"/>
    </row>
    <row r="2512" spans="1:19" s="15" customFormat="1" x14ac:dyDescent="0.3">
      <c r="A2512" s="17"/>
      <c r="B2512"/>
      <c r="C2512"/>
      <c r="D2512"/>
      <c r="E2512"/>
      <c r="F2512"/>
      <c r="G2512"/>
      <c r="H2512"/>
      <c r="I2512"/>
      <c r="J2512"/>
      <c r="K2512"/>
      <c r="L2512"/>
      <c r="M2512"/>
      <c r="S2512" s="54"/>
    </row>
    <row r="2513" spans="1:19" s="15" customFormat="1" x14ac:dyDescent="0.3">
      <c r="A2513" s="17"/>
      <c r="B2513"/>
      <c r="C2513"/>
      <c r="D2513"/>
      <c r="E2513"/>
      <c r="F2513"/>
      <c r="G2513"/>
      <c r="H2513"/>
      <c r="I2513"/>
      <c r="J2513"/>
      <c r="K2513"/>
      <c r="L2513"/>
      <c r="M2513"/>
      <c r="S2513" s="54"/>
    </row>
    <row r="2514" spans="1:19" s="15" customFormat="1" x14ac:dyDescent="0.3">
      <c r="A2514" s="17"/>
      <c r="B2514"/>
      <c r="C2514"/>
      <c r="D2514"/>
      <c r="E2514"/>
      <c r="F2514"/>
      <c r="G2514"/>
      <c r="H2514"/>
      <c r="I2514"/>
      <c r="J2514"/>
      <c r="K2514"/>
      <c r="L2514"/>
      <c r="M2514"/>
      <c r="S2514" s="54"/>
    </row>
    <row r="2515" spans="1:19" s="15" customFormat="1" x14ac:dyDescent="0.3">
      <c r="A2515" s="17"/>
      <c r="B2515"/>
      <c r="C2515"/>
      <c r="D2515"/>
      <c r="E2515"/>
      <c r="F2515"/>
      <c r="G2515"/>
      <c r="H2515"/>
      <c r="I2515"/>
      <c r="J2515"/>
      <c r="K2515"/>
      <c r="L2515"/>
      <c r="M2515"/>
      <c r="S2515" s="54"/>
    </row>
    <row r="2516" spans="1:19" s="15" customFormat="1" x14ac:dyDescent="0.3">
      <c r="A2516" s="17"/>
      <c r="B2516"/>
      <c r="C2516"/>
      <c r="D2516"/>
      <c r="E2516"/>
      <c r="F2516"/>
      <c r="G2516"/>
      <c r="H2516"/>
      <c r="I2516"/>
      <c r="J2516"/>
      <c r="K2516"/>
      <c r="L2516"/>
      <c r="M2516"/>
      <c r="S2516" s="54"/>
    </row>
    <row r="2517" spans="1:19" s="15" customFormat="1" x14ac:dyDescent="0.3">
      <c r="A2517" s="17"/>
      <c r="B2517"/>
      <c r="C2517"/>
      <c r="D2517"/>
      <c r="E2517"/>
      <c r="F2517"/>
      <c r="G2517"/>
      <c r="H2517"/>
      <c r="I2517"/>
      <c r="J2517"/>
      <c r="K2517"/>
      <c r="L2517"/>
      <c r="M2517"/>
      <c r="S2517" s="54"/>
    </row>
    <row r="2518" spans="1:19" s="15" customFormat="1" x14ac:dyDescent="0.3">
      <c r="A2518" s="17"/>
      <c r="B2518"/>
      <c r="C2518"/>
      <c r="D2518"/>
      <c r="E2518"/>
      <c r="F2518"/>
      <c r="G2518"/>
      <c r="H2518"/>
      <c r="I2518"/>
      <c r="J2518"/>
      <c r="K2518"/>
      <c r="L2518"/>
      <c r="M2518"/>
      <c r="S2518" s="54"/>
    </row>
    <row r="2519" spans="1:19" s="15" customFormat="1" x14ac:dyDescent="0.3">
      <c r="A2519" s="17"/>
      <c r="B2519"/>
      <c r="C2519"/>
      <c r="D2519"/>
      <c r="E2519"/>
      <c r="F2519"/>
      <c r="G2519"/>
      <c r="H2519"/>
      <c r="I2519"/>
      <c r="J2519"/>
      <c r="K2519"/>
      <c r="L2519"/>
      <c r="M2519"/>
      <c r="S2519" s="54"/>
    </row>
    <row r="2520" spans="1:19" s="15" customFormat="1" x14ac:dyDescent="0.3">
      <c r="A2520" s="17"/>
      <c r="B2520"/>
      <c r="C2520"/>
      <c r="D2520"/>
      <c r="E2520"/>
      <c r="F2520"/>
      <c r="G2520"/>
      <c r="H2520"/>
      <c r="I2520"/>
      <c r="J2520"/>
      <c r="K2520"/>
      <c r="L2520"/>
      <c r="M2520"/>
      <c r="S2520" s="54"/>
    </row>
    <row r="2521" spans="1:19" s="15" customFormat="1" x14ac:dyDescent="0.3">
      <c r="A2521" s="17"/>
      <c r="B2521"/>
      <c r="C2521"/>
      <c r="D2521"/>
      <c r="E2521"/>
      <c r="F2521"/>
      <c r="G2521"/>
      <c r="H2521"/>
      <c r="I2521"/>
      <c r="J2521"/>
      <c r="K2521"/>
      <c r="L2521"/>
      <c r="M2521"/>
      <c r="S2521" s="54"/>
    </row>
    <row r="2522" spans="1:19" s="15" customFormat="1" x14ac:dyDescent="0.3">
      <c r="A2522" s="17"/>
      <c r="B2522"/>
      <c r="C2522"/>
      <c r="D2522"/>
      <c r="E2522"/>
      <c r="F2522"/>
      <c r="G2522"/>
      <c r="H2522"/>
      <c r="I2522"/>
      <c r="J2522"/>
      <c r="K2522"/>
      <c r="L2522"/>
      <c r="M2522"/>
      <c r="S2522" s="54"/>
    </row>
    <row r="2523" spans="1:19" s="15" customFormat="1" x14ac:dyDescent="0.3">
      <c r="A2523" s="17"/>
      <c r="B2523"/>
      <c r="C2523"/>
      <c r="D2523"/>
      <c r="E2523"/>
      <c r="F2523"/>
      <c r="G2523"/>
      <c r="H2523"/>
      <c r="I2523"/>
      <c r="J2523"/>
      <c r="K2523"/>
      <c r="L2523"/>
      <c r="M2523"/>
      <c r="S2523" s="54"/>
    </row>
    <row r="2524" spans="1:19" s="15" customFormat="1" x14ac:dyDescent="0.3">
      <c r="A2524" s="17"/>
      <c r="B2524"/>
      <c r="C2524"/>
      <c r="D2524"/>
      <c r="E2524"/>
      <c r="F2524"/>
      <c r="G2524"/>
      <c r="H2524"/>
      <c r="I2524"/>
      <c r="J2524"/>
      <c r="K2524"/>
      <c r="L2524"/>
      <c r="M2524"/>
      <c r="S2524" s="54"/>
    </row>
    <row r="2525" spans="1:19" s="15" customFormat="1" x14ac:dyDescent="0.3">
      <c r="A2525" s="17"/>
      <c r="B2525"/>
      <c r="C2525"/>
      <c r="D2525"/>
      <c r="E2525"/>
      <c r="F2525"/>
      <c r="G2525"/>
      <c r="H2525"/>
      <c r="I2525"/>
      <c r="J2525"/>
      <c r="K2525"/>
      <c r="L2525"/>
      <c r="M2525"/>
      <c r="S2525" s="54"/>
    </row>
    <row r="2526" spans="1:19" s="15" customFormat="1" x14ac:dyDescent="0.3">
      <c r="A2526" s="17"/>
      <c r="B2526"/>
      <c r="C2526"/>
      <c r="D2526"/>
      <c r="E2526"/>
      <c r="F2526"/>
      <c r="G2526"/>
      <c r="H2526"/>
      <c r="I2526"/>
      <c r="J2526"/>
      <c r="K2526"/>
      <c r="L2526"/>
      <c r="M2526"/>
      <c r="S2526" s="54"/>
    </row>
    <row r="2527" spans="1:19" s="15" customFormat="1" x14ac:dyDescent="0.3">
      <c r="A2527" s="17"/>
      <c r="B2527"/>
      <c r="C2527"/>
      <c r="D2527"/>
      <c r="E2527"/>
      <c r="F2527"/>
      <c r="G2527"/>
      <c r="H2527"/>
      <c r="I2527"/>
      <c r="J2527"/>
      <c r="K2527"/>
      <c r="L2527"/>
      <c r="M2527"/>
      <c r="S2527" s="54"/>
    </row>
    <row r="2528" spans="1:19" s="15" customFormat="1" x14ac:dyDescent="0.3">
      <c r="A2528" s="17"/>
      <c r="B2528"/>
      <c r="C2528"/>
      <c r="D2528"/>
      <c r="E2528"/>
      <c r="F2528"/>
      <c r="G2528"/>
      <c r="H2528"/>
      <c r="I2528"/>
      <c r="J2528"/>
      <c r="K2528"/>
      <c r="L2528"/>
      <c r="M2528"/>
      <c r="S2528" s="54"/>
    </row>
    <row r="2529" spans="1:19" s="15" customFormat="1" x14ac:dyDescent="0.3">
      <c r="A2529" s="17"/>
      <c r="B2529"/>
      <c r="C2529"/>
      <c r="D2529"/>
      <c r="E2529"/>
      <c r="F2529"/>
      <c r="G2529"/>
      <c r="H2529"/>
      <c r="I2529"/>
      <c r="J2529"/>
      <c r="K2529"/>
      <c r="L2529"/>
      <c r="M2529"/>
      <c r="S2529" s="54"/>
    </row>
    <row r="2530" spans="1:19" s="15" customFormat="1" x14ac:dyDescent="0.3">
      <c r="A2530" s="17"/>
      <c r="B2530"/>
      <c r="C2530"/>
      <c r="D2530"/>
      <c r="E2530"/>
      <c r="F2530"/>
      <c r="G2530"/>
      <c r="H2530"/>
      <c r="I2530"/>
      <c r="J2530"/>
      <c r="K2530"/>
      <c r="L2530"/>
      <c r="M2530"/>
      <c r="S2530" s="54"/>
    </row>
    <row r="2531" spans="1:19" s="15" customFormat="1" x14ac:dyDescent="0.3">
      <c r="A2531" s="17"/>
      <c r="B2531"/>
      <c r="C2531"/>
      <c r="D2531"/>
      <c r="E2531"/>
      <c r="F2531"/>
      <c r="G2531"/>
      <c r="H2531"/>
      <c r="I2531"/>
      <c r="J2531"/>
      <c r="K2531"/>
      <c r="L2531"/>
      <c r="M2531"/>
      <c r="S2531" s="54"/>
    </row>
    <row r="2532" spans="1:19" s="15" customFormat="1" x14ac:dyDescent="0.3">
      <c r="A2532" s="17"/>
      <c r="B2532"/>
      <c r="C2532"/>
      <c r="D2532"/>
      <c r="E2532"/>
      <c r="F2532"/>
      <c r="G2532"/>
      <c r="H2532"/>
      <c r="I2532"/>
      <c r="J2532"/>
      <c r="K2532"/>
      <c r="L2532"/>
      <c r="M2532"/>
      <c r="S2532" s="54"/>
    </row>
    <row r="2533" spans="1:19" s="15" customFormat="1" x14ac:dyDescent="0.3">
      <c r="A2533" s="17"/>
      <c r="B2533"/>
      <c r="C2533"/>
      <c r="D2533"/>
      <c r="E2533"/>
      <c r="F2533"/>
      <c r="G2533"/>
      <c r="H2533"/>
      <c r="I2533"/>
      <c r="J2533"/>
      <c r="K2533"/>
      <c r="L2533"/>
      <c r="M2533"/>
      <c r="S2533" s="54"/>
    </row>
    <row r="2534" spans="1:19" s="15" customFormat="1" x14ac:dyDescent="0.3">
      <c r="A2534" s="17"/>
      <c r="B2534"/>
      <c r="C2534"/>
      <c r="D2534"/>
      <c r="E2534"/>
      <c r="F2534"/>
      <c r="G2534"/>
      <c r="H2534"/>
      <c r="I2534"/>
      <c r="J2534"/>
      <c r="K2534"/>
      <c r="L2534"/>
      <c r="M2534"/>
      <c r="S2534" s="54"/>
    </row>
    <row r="2535" spans="1:19" s="15" customFormat="1" x14ac:dyDescent="0.3">
      <c r="A2535" s="17"/>
      <c r="B2535"/>
      <c r="C2535"/>
      <c r="D2535"/>
      <c r="E2535"/>
      <c r="F2535"/>
      <c r="G2535"/>
      <c r="H2535"/>
      <c r="I2535"/>
      <c r="J2535"/>
      <c r="K2535"/>
      <c r="L2535"/>
      <c r="M2535"/>
      <c r="S2535" s="54"/>
    </row>
    <row r="2536" spans="1:19" s="15" customFormat="1" x14ac:dyDescent="0.3">
      <c r="A2536" s="17"/>
      <c r="B2536"/>
      <c r="C2536"/>
      <c r="D2536"/>
      <c r="E2536"/>
      <c r="F2536"/>
      <c r="G2536"/>
      <c r="H2536"/>
      <c r="I2536"/>
      <c r="J2536"/>
      <c r="K2536"/>
      <c r="L2536"/>
      <c r="M2536"/>
      <c r="S2536" s="54"/>
    </row>
    <row r="2537" spans="1:19" s="15" customFormat="1" x14ac:dyDescent="0.3">
      <c r="A2537" s="17"/>
      <c r="B2537"/>
      <c r="C2537"/>
      <c r="D2537"/>
      <c r="E2537"/>
      <c r="F2537"/>
      <c r="G2537"/>
      <c r="H2537"/>
      <c r="I2537"/>
      <c r="J2537"/>
      <c r="K2537"/>
      <c r="L2537"/>
      <c r="M2537"/>
      <c r="S2537" s="54"/>
    </row>
    <row r="2538" spans="1:19" s="15" customFormat="1" x14ac:dyDescent="0.3">
      <c r="A2538" s="17"/>
      <c r="B2538"/>
      <c r="C2538"/>
      <c r="D2538"/>
      <c r="E2538"/>
      <c r="F2538"/>
      <c r="G2538"/>
      <c r="H2538"/>
      <c r="I2538"/>
      <c r="J2538"/>
      <c r="K2538"/>
      <c r="L2538"/>
      <c r="M2538"/>
      <c r="S2538" s="54"/>
    </row>
    <row r="2539" spans="1:19" s="15" customFormat="1" x14ac:dyDescent="0.3">
      <c r="A2539" s="17"/>
      <c r="B2539"/>
      <c r="C2539"/>
      <c r="D2539"/>
      <c r="E2539"/>
      <c r="F2539"/>
      <c r="G2539"/>
      <c r="H2539"/>
      <c r="I2539"/>
      <c r="J2539"/>
      <c r="K2539"/>
      <c r="L2539"/>
      <c r="M2539"/>
      <c r="S2539" s="54"/>
    </row>
    <row r="2540" spans="1:19" s="15" customFormat="1" x14ac:dyDescent="0.3">
      <c r="A2540" s="17"/>
      <c r="B2540"/>
      <c r="C2540"/>
      <c r="D2540"/>
      <c r="E2540"/>
      <c r="F2540"/>
      <c r="G2540"/>
      <c r="H2540"/>
      <c r="I2540"/>
      <c r="J2540"/>
      <c r="K2540"/>
      <c r="L2540"/>
      <c r="M2540"/>
      <c r="S2540" s="54"/>
    </row>
    <row r="2541" spans="1:19" s="15" customFormat="1" x14ac:dyDescent="0.3">
      <c r="A2541" s="17"/>
      <c r="B2541"/>
      <c r="C2541"/>
      <c r="D2541"/>
      <c r="E2541"/>
      <c r="F2541"/>
      <c r="G2541"/>
      <c r="H2541"/>
      <c r="I2541"/>
      <c r="J2541"/>
      <c r="K2541"/>
      <c r="L2541"/>
      <c r="M2541"/>
      <c r="S2541" s="54"/>
    </row>
    <row r="2542" spans="1:19" s="15" customFormat="1" x14ac:dyDescent="0.3">
      <c r="A2542" s="17"/>
      <c r="B2542"/>
      <c r="C2542"/>
      <c r="D2542"/>
      <c r="E2542"/>
      <c r="F2542"/>
      <c r="G2542"/>
      <c r="H2542"/>
      <c r="I2542"/>
      <c r="J2542"/>
      <c r="K2542"/>
      <c r="L2542"/>
      <c r="M2542"/>
      <c r="S2542" s="54"/>
    </row>
    <row r="2543" spans="1:19" s="15" customFormat="1" x14ac:dyDescent="0.3">
      <c r="A2543" s="17"/>
      <c r="B2543"/>
      <c r="C2543"/>
      <c r="D2543"/>
      <c r="E2543"/>
      <c r="F2543"/>
      <c r="G2543"/>
      <c r="H2543"/>
      <c r="I2543"/>
      <c r="J2543"/>
      <c r="K2543"/>
      <c r="L2543"/>
      <c r="M2543"/>
      <c r="S2543" s="54"/>
    </row>
    <row r="2544" spans="1:19" s="15" customFormat="1" x14ac:dyDescent="0.3">
      <c r="A2544" s="17"/>
      <c r="B2544"/>
      <c r="C2544"/>
      <c r="D2544"/>
      <c r="E2544"/>
      <c r="F2544"/>
      <c r="G2544"/>
      <c r="H2544"/>
      <c r="I2544"/>
      <c r="J2544"/>
      <c r="K2544"/>
      <c r="L2544"/>
      <c r="M2544"/>
      <c r="S2544" s="54"/>
    </row>
    <row r="2545" spans="1:19" s="15" customFormat="1" x14ac:dyDescent="0.3">
      <c r="A2545" s="17"/>
      <c r="B2545"/>
      <c r="C2545"/>
      <c r="D2545"/>
      <c r="E2545"/>
      <c r="F2545"/>
      <c r="G2545"/>
      <c r="H2545"/>
      <c r="I2545"/>
      <c r="J2545"/>
      <c r="K2545"/>
      <c r="L2545"/>
      <c r="M2545"/>
      <c r="S2545" s="54"/>
    </row>
    <row r="2546" spans="1:19" s="15" customFormat="1" x14ac:dyDescent="0.3">
      <c r="A2546" s="17"/>
      <c r="B2546"/>
      <c r="C2546"/>
      <c r="D2546"/>
      <c r="E2546"/>
      <c r="F2546"/>
      <c r="G2546"/>
      <c r="H2546"/>
      <c r="I2546"/>
      <c r="J2546"/>
      <c r="K2546"/>
      <c r="L2546"/>
      <c r="M2546"/>
      <c r="S2546" s="54"/>
    </row>
    <row r="2547" spans="1:19" s="15" customFormat="1" x14ac:dyDescent="0.3">
      <c r="A2547" s="17"/>
      <c r="B2547"/>
      <c r="C2547"/>
      <c r="D2547"/>
      <c r="E2547"/>
      <c r="F2547"/>
      <c r="G2547"/>
      <c r="H2547"/>
      <c r="I2547"/>
      <c r="J2547"/>
      <c r="K2547"/>
      <c r="L2547"/>
      <c r="M2547"/>
      <c r="S2547" s="54"/>
    </row>
    <row r="2548" spans="1:19" s="15" customFormat="1" x14ac:dyDescent="0.3">
      <c r="A2548" s="17"/>
      <c r="B2548"/>
      <c r="C2548"/>
      <c r="D2548"/>
      <c r="E2548"/>
      <c r="F2548"/>
      <c r="G2548"/>
      <c r="H2548"/>
      <c r="I2548"/>
      <c r="J2548"/>
      <c r="K2548"/>
      <c r="L2548"/>
      <c r="M2548"/>
      <c r="S2548" s="54"/>
    </row>
    <row r="2549" spans="1:19" s="15" customFormat="1" x14ac:dyDescent="0.3">
      <c r="A2549" s="17"/>
      <c r="B2549"/>
      <c r="C2549"/>
      <c r="D2549"/>
      <c r="E2549"/>
      <c r="F2549"/>
      <c r="G2549"/>
      <c r="H2549"/>
      <c r="I2549"/>
      <c r="J2549"/>
      <c r="K2549"/>
      <c r="L2549"/>
      <c r="M2549"/>
      <c r="S2549" s="54"/>
    </row>
    <row r="2550" spans="1:19" s="15" customFormat="1" x14ac:dyDescent="0.3">
      <c r="A2550" s="17"/>
      <c r="B2550"/>
      <c r="C2550"/>
      <c r="D2550"/>
      <c r="E2550"/>
      <c r="F2550"/>
      <c r="G2550"/>
      <c r="H2550"/>
      <c r="I2550"/>
      <c r="J2550"/>
      <c r="K2550"/>
      <c r="L2550"/>
      <c r="M2550"/>
      <c r="S2550" s="54"/>
    </row>
    <row r="2551" spans="1:19" s="15" customFormat="1" x14ac:dyDescent="0.3">
      <c r="A2551" s="17"/>
      <c r="B2551"/>
      <c r="C2551"/>
      <c r="D2551"/>
      <c r="E2551"/>
      <c r="F2551"/>
      <c r="G2551"/>
      <c r="H2551"/>
      <c r="I2551"/>
      <c r="J2551"/>
      <c r="K2551"/>
      <c r="L2551"/>
      <c r="M2551"/>
      <c r="S2551" s="54"/>
    </row>
    <row r="2552" spans="1:19" s="15" customFormat="1" x14ac:dyDescent="0.3">
      <c r="A2552" s="17"/>
      <c r="B2552"/>
      <c r="C2552"/>
      <c r="D2552"/>
      <c r="E2552"/>
      <c r="F2552"/>
      <c r="G2552"/>
      <c r="H2552"/>
      <c r="I2552"/>
      <c r="J2552"/>
      <c r="K2552"/>
      <c r="L2552"/>
      <c r="M2552"/>
      <c r="S2552" s="54"/>
    </row>
    <row r="2553" spans="1:19" s="15" customFormat="1" x14ac:dyDescent="0.3">
      <c r="A2553" s="17"/>
      <c r="B2553"/>
      <c r="C2553"/>
      <c r="D2553"/>
      <c r="E2553"/>
      <c r="F2553"/>
      <c r="G2553"/>
      <c r="H2553"/>
      <c r="I2553"/>
      <c r="J2553"/>
      <c r="K2553"/>
      <c r="L2553"/>
      <c r="M2553"/>
      <c r="S2553" s="54"/>
    </row>
    <row r="2554" spans="1:19" s="15" customFormat="1" x14ac:dyDescent="0.3">
      <c r="A2554" s="17"/>
      <c r="B2554"/>
      <c r="C2554"/>
      <c r="D2554"/>
      <c r="E2554"/>
      <c r="F2554"/>
      <c r="G2554"/>
      <c r="H2554"/>
      <c r="I2554"/>
      <c r="J2554"/>
      <c r="K2554"/>
      <c r="L2554"/>
      <c r="M2554"/>
      <c r="S2554" s="54"/>
    </row>
    <row r="2555" spans="1:19" s="15" customFormat="1" x14ac:dyDescent="0.3">
      <c r="A2555" s="17"/>
      <c r="B2555"/>
      <c r="C2555"/>
      <c r="D2555"/>
      <c r="E2555"/>
      <c r="F2555"/>
      <c r="G2555"/>
      <c r="H2555"/>
      <c r="I2555"/>
      <c r="J2555"/>
      <c r="K2555"/>
      <c r="L2555"/>
      <c r="M2555"/>
      <c r="S2555" s="54"/>
    </row>
    <row r="2556" spans="1:19" s="15" customFormat="1" x14ac:dyDescent="0.3">
      <c r="A2556" s="17"/>
      <c r="B2556"/>
      <c r="C2556"/>
      <c r="D2556"/>
      <c r="E2556"/>
      <c r="F2556"/>
      <c r="G2556"/>
      <c r="H2556"/>
      <c r="I2556"/>
      <c r="J2556"/>
      <c r="K2556"/>
      <c r="L2556"/>
      <c r="M2556"/>
      <c r="S2556" s="54"/>
    </row>
    <row r="2557" spans="1:19" s="15" customFormat="1" x14ac:dyDescent="0.3">
      <c r="A2557" s="17"/>
      <c r="B2557"/>
      <c r="C2557"/>
      <c r="D2557"/>
      <c r="E2557"/>
      <c r="F2557"/>
      <c r="G2557"/>
      <c r="H2557"/>
      <c r="I2557"/>
      <c r="J2557"/>
      <c r="K2557"/>
      <c r="L2557"/>
      <c r="M2557"/>
      <c r="S2557" s="54"/>
    </row>
    <row r="2558" spans="1:19" s="15" customFormat="1" x14ac:dyDescent="0.3">
      <c r="A2558" s="17"/>
      <c r="B2558"/>
      <c r="C2558"/>
      <c r="D2558"/>
      <c r="E2558"/>
      <c r="F2558"/>
      <c r="G2558"/>
      <c r="H2558"/>
      <c r="I2558"/>
      <c r="J2558"/>
      <c r="K2558"/>
      <c r="L2558"/>
      <c r="M2558"/>
      <c r="S2558" s="54"/>
    </row>
    <row r="2559" spans="1:19" s="15" customFormat="1" x14ac:dyDescent="0.3">
      <c r="A2559" s="17"/>
      <c r="B2559"/>
      <c r="C2559"/>
      <c r="D2559"/>
      <c r="E2559"/>
      <c r="F2559"/>
      <c r="G2559"/>
      <c r="H2559"/>
      <c r="I2559"/>
      <c r="J2559"/>
      <c r="K2559"/>
      <c r="L2559"/>
      <c r="M2559"/>
      <c r="S2559" s="54"/>
    </row>
    <row r="2560" spans="1:19" s="15" customFormat="1" x14ac:dyDescent="0.3">
      <c r="A2560" s="17"/>
      <c r="B2560"/>
      <c r="C2560"/>
      <c r="D2560"/>
      <c r="E2560"/>
      <c r="F2560"/>
      <c r="G2560"/>
      <c r="H2560"/>
      <c r="I2560"/>
      <c r="J2560"/>
      <c r="K2560"/>
      <c r="L2560"/>
      <c r="M2560"/>
      <c r="S2560" s="54"/>
    </row>
    <row r="2561" spans="1:19" s="15" customFormat="1" x14ac:dyDescent="0.3">
      <c r="A2561" s="17"/>
      <c r="B2561"/>
      <c r="C2561"/>
      <c r="D2561"/>
      <c r="E2561"/>
      <c r="F2561"/>
      <c r="G2561"/>
      <c r="H2561"/>
      <c r="I2561"/>
      <c r="J2561"/>
      <c r="K2561"/>
      <c r="L2561"/>
      <c r="M2561"/>
      <c r="S2561" s="54"/>
    </row>
    <row r="2562" spans="1:19" s="15" customFormat="1" x14ac:dyDescent="0.3">
      <c r="A2562" s="17"/>
      <c r="B2562"/>
      <c r="C2562"/>
      <c r="D2562"/>
      <c r="E2562"/>
      <c r="F2562"/>
      <c r="G2562"/>
      <c r="H2562"/>
      <c r="I2562"/>
      <c r="J2562"/>
      <c r="K2562"/>
      <c r="L2562"/>
      <c r="M2562"/>
      <c r="S2562" s="54"/>
    </row>
    <row r="2563" spans="1:19" s="15" customFormat="1" x14ac:dyDescent="0.3">
      <c r="A2563" s="17"/>
      <c r="B2563"/>
      <c r="C2563"/>
      <c r="D2563"/>
      <c r="E2563"/>
      <c r="F2563"/>
      <c r="G2563"/>
      <c r="H2563"/>
      <c r="I2563"/>
      <c r="J2563"/>
      <c r="K2563"/>
      <c r="L2563"/>
      <c r="M2563"/>
      <c r="S2563" s="54"/>
    </row>
    <row r="2564" spans="1:19" s="15" customFormat="1" x14ac:dyDescent="0.3">
      <c r="A2564" s="17"/>
      <c r="B2564"/>
      <c r="C2564"/>
      <c r="D2564"/>
      <c r="E2564"/>
      <c r="F2564"/>
      <c r="G2564"/>
      <c r="H2564"/>
      <c r="I2564"/>
      <c r="J2564"/>
      <c r="K2564"/>
      <c r="L2564"/>
      <c r="M2564"/>
      <c r="S2564" s="54"/>
    </row>
    <row r="2565" spans="1:19" s="15" customFormat="1" x14ac:dyDescent="0.3">
      <c r="A2565" s="17"/>
      <c r="B2565"/>
      <c r="C2565"/>
      <c r="D2565"/>
      <c r="E2565"/>
      <c r="F2565"/>
      <c r="G2565"/>
      <c r="H2565"/>
      <c r="I2565"/>
      <c r="J2565"/>
      <c r="K2565"/>
      <c r="L2565"/>
      <c r="M2565"/>
      <c r="S2565" s="54"/>
    </row>
    <row r="2566" spans="1:19" s="15" customFormat="1" x14ac:dyDescent="0.3">
      <c r="A2566" s="17"/>
      <c r="B2566"/>
      <c r="C2566"/>
      <c r="D2566"/>
      <c r="E2566"/>
      <c r="F2566"/>
      <c r="G2566"/>
      <c r="H2566"/>
      <c r="I2566"/>
      <c r="J2566"/>
      <c r="K2566"/>
      <c r="L2566"/>
      <c r="M2566"/>
      <c r="S2566" s="54"/>
    </row>
    <row r="2567" spans="1:19" s="15" customFormat="1" x14ac:dyDescent="0.3">
      <c r="A2567" s="17"/>
      <c r="B2567"/>
      <c r="C2567"/>
      <c r="D2567"/>
      <c r="E2567"/>
      <c r="F2567"/>
      <c r="G2567"/>
      <c r="H2567"/>
      <c r="I2567"/>
      <c r="J2567"/>
      <c r="K2567"/>
      <c r="L2567"/>
      <c r="M2567"/>
      <c r="S2567" s="54"/>
    </row>
    <row r="2568" spans="1:19" s="15" customFormat="1" x14ac:dyDescent="0.3">
      <c r="A2568" s="17"/>
      <c r="B2568"/>
      <c r="C2568"/>
      <c r="D2568"/>
      <c r="E2568"/>
      <c r="F2568"/>
      <c r="G2568"/>
      <c r="H2568"/>
      <c r="I2568"/>
      <c r="J2568"/>
      <c r="K2568"/>
      <c r="L2568"/>
      <c r="M2568"/>
      <c r="S2568" s="54"/>
    </row>
    <row r="2569" spans="1:19" s="15" customFormat="1" x14ac:dyDescent="0.3">
      <c r="A2569" s="17"/>
      <c r="B2569"/>
      <c r="C2569"/>
      <c r="D2569"/>
      <c r="E2569"/>
      <c r="F2569"/>
      <c r="G2569"/>
      <c r="H2569"/>
      <c r="I2569"/>
      <c r="J2569"/>
      <c r="K2569"/>
      <c r="L2569"/>
      <c r="M2569"/>
      <c r="S2569" s="54"/>
    </row>
    <row r="2570" spans="1:19" s="15" customFormat="1" x14ac:dyDescent="0.3">
      <c r="A2570" s="17"/>
      <c r="B2570"/>
      <c r="C2570"/>
      <c r="D2570"/>
      <c r="E2570"/>
      <c r="F2570"/>
      <c r="G2570"/>
      <c r="H2570"/>
      <c r="I2570"/>
      <c r="J2570"/>
      <c r="K2570"/>
      <c r="L2570"/>
      <c r="M2570"/>
      <c r="S2570" s="54"/>
    </row>
    <row r="2571" spans="1:19" s="15" customFormat="1" x14ac:dyDescent="0.3">
      <c r="A2571" s="17"/>
      <c r="B2571"/>
      <c r="C2571"/>
      <c r="D2571"/>
      <c r="E2571"/>
      <c r="F2571"/>
      <c r="G2571"/>
      <c r="H2571"/>
      <c r="I2571"/>
      <c r="J2571"/>
      <c r="K2571"/>
      <c r="L2571"/>
      <c r="M2571"/>
      <c r="S2571" s="54"/>
    </row>
    <row r="2572" spans="1:19" s="15" customFormat="1" x14ac:dyDescent="0.3">
      <c r="A2572" s="17"/>
      <c r="B2572"/>
      <c r="C2572"/>
      <c r="D2572"/>
      <c r="E2572"/>
      <c r="F2572"/>
      <c r="G2572"/>
      <c r="H2572"/>
      <c r="I2572"/>
      <c r="J2572"/>
      <c r="K2572"/>
      <c r="L2572"/>
      <c r="M2572"/>
      <c r="S2572" s="54"/>
    </row>
    <row r="2573" spans="1:19" s="15" customFormat="1" x14ac:dyDescent="0.3">
      <c r="A2573" s="17"/>
      <c r="B2573"/>
      <c r="C2573"/>
      <c r="D2573"/>
      <c r="E2573"/>
      <c r="F2573"/>
      <c r="G2573"/>
      <c r="H2573"/>
      <c r="I2573"/>
      <c r="J2573"/>
      <c r="K2573"/>
      <c r="L2573"/>
      <c r="M2573"/>
      <c r="S2573" s="54"/>
    </row>
    <row r="2574" spans="1:19" s="15" customFormat="1" x14ac:dyDescent="0.3">
      <c r="A2574" s="17"/>
      <c r="B2574"/>
      <c r="C2574"/>
      <c r="D2574"/>
      <c r="E2574"/>
      <c r="F2574"/>
      <c r="G2574"/>
      <c r="H2574"/>
      <c r="I2574"/>
      <c r="J2574"/>
      <c r="K2574"/>
      <c r="L2574"/>
      <c r="M2574"/>
      <c r="S2574" s="54"/>
    </row>
    <row r="2575" spans="1:19" s="15" customFormat="1" x14ac:dyDescent="0.3">
      <c r="A2575" s="17"/>
      <c r="B2575"/>
      <c r="C2575"/>
      <c r="D2575"/>
      <c r="E2575"/>
      <c r="F2575"/>
      <c r="G2575"/>
      <c r="H2575"/>
      <c r="I2575"/>
      <c r="J2575"/>
      <c r="K2575"/>
      <c r="L2575"/>
      <c r="M2575"/>
      <c r="S2575" s="54"/>
    </row>
    <row r="2576" spans="1:19" s="15" customFormat="1" x14ac:dyDescent="0.3">
      <c r="A2576" s="17"/>
      <c r="B2576"/>
      <c r="C2576"/>
      <c r="D2576"/>
      <c r="E2576"/>
      <c r="F2576"/>
      <c r="G2576"/>
      <c r="H2576"/>
      <c r="I2576"/>
      <c r="J2576"/>
      <c r="K2576"/>
      <c r="L2576"/>
      <c r="M2576"/>
      <c r="S2576" s="54"/>
    </row>
    <row r="2577" spans="1:19" s="15" customFormat="1" x14ac:dyDescent="0.3">
      <c r="A2577" s="17"/>
      <c r="B2577"/>
      <c r="C2577"/>
      <c r="D2577"/>
      <c r="E2577"/>
      <c r="F2577"/>
      <c r="G2577"/>
      <c r="H2577"/>
      <c r="I2577"/>
      <c r="J2577"/>
      <c r="K2577"/>
      <c r="L2577"/>
      <c r="M2577"/>
      <c r="S2577" s="54"/>
    </row>
    <row r="2578" spans="1:19" s="15" customFormat="1" x14ac:dyDescent="0.3">
      <c r="A2578" s="17"/>
      <c r="B2578"/>
      <c r="C2578"/>
      <c r="D2578"/>
      <c r="E2578"/>
      <c r="F2578"/>
      <c r="G2578"/>
      <c r="H2578"/>
      <c r="I2578"/>
      <c r="J2578"/>
      <c r="K2578"/>
      <c r="L2578"/>
      <c r="M2578"/>
      <c r="S2578" s="54"/>
    </row>
    <row r="2579" spans="1:19" s="15" customFormat="1" x14ac:dyDescent="0.3">
      <c r="A2579" s="17"/>
      <c r="B2579"/>
      <c r="C2579"/>
      <c r="D2579"/>
      <c r="E2579"/>
      <c r="F2579"/>
      <c r="G2579"/>
      <c r="H2579"/>
      <c r="I2579"/>
      <c r="J2579"/>
      <c r="K2579"/>
      <c r="L2579"/>
      <c r="M2579"/>
      <c r="S2579" s="54"/>
    </row>
    <row r="2580" spans="1:19" s="15" customFormat="1" x14ac:dyDescent="0.3">
      <c r="A2580" s="17"/>
      <c r="B2580"/>
      <c r="C2580"/>
      <c r="D2580"/>
      <c r="E2580"/>
      <c r="F2580"/>
      <c r="G2580"/>
      <c r="H2580"/>
      <c r="I2580"/>
      <c r="J2580"/>
      <c r="K2580"/>
      <c r="L2580"/>
      <c r="M2580"/>
      <c r="S2580" s="54"/>
    </row>
    <row r="2581" spans="1:19" s="15" customFormat="1" x14ac:dyDescent="0.3">
      <c r="A2581" s="17"/>
      <c r="B2581"/>
      <c r="C2581"/>
      <c r="D2581"/>
      <c r="E2581"/>
      <c r="F2581"/>
      <c r="G2581"/>
      <c r="H2581"/>
      <c r="I2581"/>
      <c r="J2581"/>
      <c r="K2581"/>
      <c r="L2581"/>
      <c r="M2581"/>
      <c r="S2581" s="54"/>
    </row>
    <row r="2582" spans="1:19" s="15" customFormat="1" x14ac:dyDescent="0.3">
      <c r="A2582" s="17"/>
      <c r="B2582"/>
      <c r="C2582"/>
      <c r="D2582"/>
      <c r="E2582"/>
      <c r="F2582"/>
      <c r="G2582"/>
      <c r="H2582"/>
      <c r="I2582"/>
      <c r="J2582"/>
      <c r="K2582"/>
      <c r="L2582"/>
      <c r="M2582"/>
      <c r="S2582" s="54"/>
    </row>
    <row r="2583" spans="1:19" s="15" customFormat="1" x14ac:dyDescent="0.3">
      <c r="A2583" s="17"/>
      <c r="B2583"/>
      <c r="C2583"/>
      <c r="D2583"/>
      <c r="E2583"/>
      <c r="F2583"/>
      <c r="G2583"/>
      <c r="H2583"/>
      <c r="I2583"/>
      <c r="J2583"/>
      <c r="K2583"/>
      <c r="L2583"/>
      <c r="M2583"/>
      <c r="S2583" s="54"/>
    </row>
    <row r="2584" spans="1:19" s="15" customFormat="1" x14ac:dyDescent="0.3">
      <c r="A2584" s="17"/>
      <c r="B2584"/>
      <c r="C2584"/>
      <c r="D2584"/>
      <c r="E2584"/>
      <c r="F2584"/>
      <c r="G2584"/>
      <c r="H2584"/>
      <c r="I2584"/>
      <c r="J2584"/>
      <c r="K2584"/>
      <c r="L2584"/>
      <c r="M2584"/>
      <c r="S2584" s="54"/>
    </row>
    <row r="2585" spans="1:19" s="15" customFormat="1" x14ac:dyDescent="0.3">
      <c r="A2585" s="17"/>
      <c r="B2585"/>
      <c r="C2585"/>
      <c r="D2585"/>
      <c r="E2585"/>
      <c r="F2585"/>
      <c r="G2585"/>
      <c r="H2585"/>
      <c r="I2585"/>
      <c r="J2585"/>
      <c r="K2585"/>
      <c r="L2585"/>
      <c r="M2585"/>
      <c r="S2585" s="54"/>
    </row>
    <row r="2586" spans="1:19" s="15" customFormat="1" x14ac:dyDescent="0.3">
      <c r="A2586" s="17"/>
      <c r="B2586"/>
      <c r="C2586"/>
      <c r="D2586"/>
      <c r="E2586"/>
      <c r="F2586"/>
      <c r="G2586"/>
      <c r="H2586"/>
      <c r="I2586"/>
      <c r="J2586"/>
      <c r="K2586"/>
      <c r="L2586"/>
      <c r="M2586"/>
      <c r="S2586" s="54"/>
    </row>
    <row r="2587" spans="1:19" s="15" customFormat="1" x14ac:dyDescent="0.3">
      <c r="A2587" s="17"/>
      <c r="B2587"/>
      <c r="C2587"/>
      <c r="D2587"/>
      <c r="E2587"/>
      <c r="F2587"/>
      <c r="G2587"/>
      <c r="H2587"/>
      <c r="I2587"/>
      <c r="J2587"/>
      <c r="K2587"/>
      <c r="L2587"/>
      <c r="M2587"/>
      <c r="S2587" s="54"/>
    </row>
    <row r="2588" spans="1:19" s="15" customFormat="1" x14ac:dyDescent="0.3">
      <c r="A2588" s="17"/>
      <c r="B2588"/>
      <c r="C2588"/>
      <c r="D2588"/>
      <c r="E2588"/>
      <c r="F2588"/>
      <c r="G2588"/>
      <c r="H2588"/>
      <c r="I2588"/>
      <c r="J2588"/>
      <c r="K2588"/>
      <c r="L2588"/>
      <c r="M2588"/>
      <c r="S2588" s="54"/>
    </row>
    <row r="2589" spans="1:19" s="15" customFormat="1" x14ac:dyDescent="0.3">
      <c r="A2589" s="17"/>
      <c r="B2589"/>
      <c r="C2589"/>
      <c r="D2589"/>
      <c r="E2589"/>
      <c r="F2589"/>
      <c r="G2589"/>
      <c r="H2589"/>
      <c r="I2589"/>
      <c r="J2589"/>
      <c r="K2589"/>
      <c r="L2589"/>
      <c r="M2589"/>
      <c r="S2589" s="54"/>
    </row>
    <row r="2590" spans="1:19" s="15" customFormat="1" x14ac:dyDescent="0.3">
      <c r="A2590" s="17"/>
      <c r="B2590"/>
      <c r="C2590"/>
      <c r="D2590"/>
      <c r="E2590"/>
      <c r="F2590"/>
      <c r="G2590"/>
      <c r="H2590"/>
      <c r="I2590"/>
      <c r="J2590"/>
      <c r="K2590"/>
      <c r="L2590"/>
      <c r="M2590"/>
      <c r="S2590" s="54"/>
    </row>
    <row r="2591" spans="1:19" s="15" customFormat="1" x14ac:dyDescent="0.3">
      <c r="A2591" s="17"/>
      <c r="B2591"/>
      <c r="C2591"/>
      <c r="D2591"/>
      <c r="E2591"/>
      <c r="F2591"/>
      <c r="G2591"/>
      <c r="H2591"/>
      <c r="I2591"/>
      <c r="J2591"/>
      <c r="K2591"/>
      <c r="L2591"/>
      <c r="M2591"/>
      <c r="S2591" s="54"/>
    </row>
    <row r="2592" spans="1:19" s="15" customFormat="1" x14ac:dyDescent="0.3">
      <c r="A2592" s="17"/>
      <c r="B2592"/>
      <c r="C2592"/>
      <c r="D2592"/>
      <c r="E2592"/>
      <c r="F2592"/>
      <c r="G2592"/>
      <c r="H2592"/>
      <c r="I2592"/>
      <c r="J2592"/>
      <c r="K2592"/>
      <c r="L2592"/>
      <c r="M2592"/>
      <c r="S2592" s="54"/>
    </row>
    <row r="2593" spans="1:19" s="15" customFormat="1" x14ac:dyDescent="0.3">
      <c r="A2593" s="17"/>
      <c r="B2593"/>
      <c r="C2593"/>
      <c r="D2593"/>
      <c r="E2593"/>
      <c r="F2593"/>
      <c r="G2593"/>
      <c r="H2593"/>
      <c r="I2593"/>
      <c r="J2593"/>
      <c r="K2593"/>
      <c r="L2593"/>
      <c r="M2593"/>
      <c r="S2593" s="54"/>
    </row>
    <row r="2594" spans="1:19" s="15" customFormat="1" x14ac:dyDescent="0.3">
      <c r="A2594" s="17"/>
      <c r="B2594"/>
      <c r="C2594"/>
      <c r="D2594"/>
      <c r="E2594"/>
      <c r="F2594"/>
      <c r="G2594"/>
      <c r="H2594"/>
      <c r="I2594"/>
      <c r="J2594"/>
      <c r="K2594"/>
      <c r="L2594"/>
      <c r="M2594"/>
      <c r="S2594" s="54"/>
    </row>
    <row r="2595" spans="1:19" s="15" customFormat="1" x14ac:dyDescent="0.3">
      <c r="A2595" s="17"/>
      <c r="B2595"/>
      <c r="C2595"/>
      <c r="D2595"/>
      <c r="E2595"/>
      <c r="F2595"/>
      <c r="G2595"/>
      <c r="H2595"/>
      <c r="I2595"/>
      <c r="J2595"/>
      <c r="K2595"/>
      <c r="L2595"/>
      <c r="M2595"/>
      <c r="S2595" s="54"/>
    </row>
    <row r="2596" spans="1:19" s="15" customFormat="1" x14ac:dyDescent="0.3">
      <c r="A2596" s="17"/>
      <c r="B2596"/>
      <c r="C2596"/>
      <c r="D2596"/>
      <c r="E2596"/>
      <c r="F2596"/>
      <c r="G2596"/>
      <c r="H2596"/>
      <c r="I2596"/>
      <c r="J2596"/>
      <c r="K2596"/>
      <c r="L2596"/>
      <c r="M2596"/>
      <c r="S2596" s="54"/>
    </row>
    <row r="2597" spans="1:19" s="15" customFormat="1" x14ac:dyDescent="0.3">
      <c r="A2597" s="17"/>
      <c r="B2597"/>
      <c r="C2597"/>
      <c r="D2597"/>
      <c r="E2597"/>
      <c r="F2597"/>
      <c r="G2597"/>
      <c r="H2597"/>
      <c r="I2597"/>
      <c r="J2597"/>
      <c r="K2597"/>
      <c r="L2597"/>
      <c r="M2597"/>
      <c r="S2597" s="54"/>
    </row>
    <row r="2598" spans="1:19" s="15" customFormat="1" x14ac:dyDescent="0.3">
      <c r="A2598" s="17"/>
      <c r="B2598"/>
      <c r="C2598"/>
      <c r="D2598"/>
      <c r="E2598"/>
      <c r="F2598"/>
      <c r="G2598"/>
      <c r="H2598"/>
      <c r="I2598"/>
      <c r="J2598"/>
      <c r="K2598"/>
      <c r="L2598"/>
      <c r="M2598"/>
      <c r="S2598" s="54"/>
    </row>
    <row r="2599" spans="1:19" s="15" customFormat="1" x14ac:dyDescent="0.3">
      <c r="A2599" s="17"/>
      <c r="B2599"/>
      <c r="C2599"/>
      <c r="D2599"/>
      <c r="E2599"/>
      <c r="F2599"/>
      <c r="G2599"/>
      <c r="H2599"/>
      <c r="I2599"/>
      <c r="J2599"/>
      <c r="K2599"/>
      <c r="L2599"/>
      <c r="M2599"/>
      <c r="S2599" s="54"/>
    </row>
    <row r="2600" spans="1:19" s="15" customFormat="1" x14ac:dyDescent="0.3">
      <c r="A2600" s="17"/>
      <c r="B2600"/>
      <c r="C2600"/>
      <c r="D2600"/>
      <c r="E2600"/>
      <c r="F2600"/>
      <c r="G2600"/>
      <c r="H2600"/>
      <c r="I2600"/>
      <c r="J2600"/>
      <c r="K2600"/>
      <c r="L2600"/>
      <c r="M2600"/>
      <c r="S2600" s="54"/>
    </row>
    <row r="2601" spans="1:19" s="15" customFormat="1" x14ac:dyDescent="0.3">
      <c r="A2601" s="17"/>
      <c r="B2601"/>
      <c r="C2601"/>
      <c r="D2601"/>
      <c r="E2601"/>
      <c r="F2601"/>
      <c r="G2601"/>
      <c r="H2601"/>
      <c r="I2601"/>
      <c r="J2601"/>
      <c r="K2601"/>
      <c r="L2601"/>
      <c r="M2601"/>
      <c r="S2601" s="54"/>
    </row>
    <row r="2602" spans="1:19" s="15" customFormat="1" x14ac:dyDescent="0.3">
      <c r="A2602" s="17"/>
      <c r="B2602"/>
      <c r="C2602"/>
      <c r="D2602"/>
      <c r="E2602"/>
      <c r="F2602"/>
      <c r="G2602"/>
      <c r="H2602"/>
      <c r="I2602"/>
      <c r="J2602"/>
      <c r="K2602"/>
      <c r="L2602"/>
      <c r="M2602"/>
      <c r="S2602" s="54"/>
    </row>
    <row r="2603" spans="1:19" s="15" customFormat="1" x14ac:dyDescent="0.3">
      <c r="A2603" s="17"/>
      <c r="B2603"/>
      <c r="C2603"/>
      <c r="D2603"/>
      <c r="E2603"/>
      <c r="F2603"/>
      <c r="G2603"/>
      <c r="H2603"/>
      <c r="I2603"/>
      <c r="J2603"/>
      <c r="K2603"/>
      <c r="L2603"/>
      <c r="M2603"/>
      <c r="S2603" s="54"/>
    </row>
    <row r="2604" spans="1:19" s="15" customFormat="1" x14ac:dyDescent="0.3">
      <c r="A2604" s="17"/>
      <c r="B2604"/>
      <c r="C2604"/>
      <c r="D2604"/>
      <c r="E2604"/>
      <c r="F2604"/>
      <c r="G2604"/>
      <c r="H2604"/>
      <c r="I2604"/>
      <c r="J2604"/>
      <c r="K2604"/>
      <c r="L2604"/>
      <c r="M2604"/>
      <c r="S2604" s="54"/>
    </row>
    <row r="2605" spans="1:19" s="15" customFormat="1" x14ac:dyDescent="0.3">
      <c r="A2605" s="17"/>
      <c r="B2605"/>
      <c r="C2605"/>
      <c r="D2605"/>
      <c r="E2605"/>
      <c r="F2605"/>
      <c r="G2605"/>
      <c r="H2605"/>
      <c r="I2605"/>
      <c r="J2605"/>
      <c r="K2605"/>
      <c r="L2605"/>
      <c r="M2605"/>
      <c r="S2605" s="54"/>
    </row>
    <row r="2606" spans="1:19" s="15" customFormat="1" x14ac:dyDescent="0.3">
      <c r="A2606" s="17"/>
      <c r="B2606"/>
      <c r="C2606"/>
      <c r="D2606"/>
      <c r="E2606"/>
      <c r="F2606"/>
      <c r="G2606"/>
      <c r="H2606"/>
      <c r="I2606"/>
      <c r="J2606"/>
      <c r="K2606"/>
      <c r="L2606"/>
      <c r="M2606"/>
      <c r="S2606" s="54"/>
    </row>
    <row r="2607" spans="1:19" s="15" customFormat="1" x14ac:dyDescent="0.3">
      <c r="A2607" s="17"/>
      <c r="B2607"/>
      <c r="C2607"/>
      <c r="D2607"/>
      <c r="E2607"/>
      <c r="F2607"/>
      <c r="G2607"/>
      <c r="H2607"/>
      <c r="I2607"/>
      <c r="J2607"/>
      <c r="K2607"/>
      <c r="L2607"/>
      <c r="M2607"/>
      <c r="S2607" s="54"/>
    </row>
    <row r="2608" spans="1:19" s="15" customFormat="1" x14ac:dyDescent="0.3">
      <c r="A2608" s="17"/>
      <c r="B2608"/>
      <c r="C2608"/>
      <c r="D2608"/>
      <c r="E2608"/>
      <c r="F2608"/>
      <c r="G2608"/>
      <c r="H2608"/>
      <c r="I2608"/>
      <c r="J2608"/>
      <c r="K2608"/>
      <c r="L2608"/>
      <c r="M2608"/>
      <c r="S2608" s="54"/>
    </row>
    <row r="2609" spans="1:19" s="15" customFormat="1" x14ac:dyDescent="0.3">
      <c r="A2609" s="17"/>
      <c r="B2609"/>
      <c r="C2609"/>
      <c r="D2609"/>
      <c r="E2609"/>
      <c r="F2609"/>
      <c r="G2609"/>
      <c r="H2609"/>
      <c r="I2609"/>
      <c r="J2609"/>
      <c r="K2609"/>
      <c r="L2609"/>
      <c r="M2609"/>
      <c r="S2609" s="54"/>
    </row>
    <row r="2610" spans="1:19" s="15" customFormat="1" x14ac:dyDescent="0.3">
      <c r="A2610" s="17"/>
      <c r="B2610"/>
      <c r="C2610"/>
      <c r="D2610"/>
      <c r="E2610"/>
      <c r="F2610"/>
      <c r="G2610"/>
      <c r="H2610"/>
      <c r="I2610"/>
      <c r="J2610"/>
      <c r="K2610"/>
      <c r="L2610"/>
      <c r="M2610"/>
      <c r="S2610" s="54"/>
    </row>
    <row r="2611" spans="1:19" s="15" customFormat="1" x14ac:dyDescent="0.3">
      <c r="A2611" s="17"/>
      <c r="B2611"/>
      <c r="C2611"/>
      <c r="D2611"/>
      <c r="E2611"/>
      <c r="F2611"/>
      <c r="G2611"/>
      <c r="H2611"/>
      <c r="I2611"/>
      <c r="J2611"/>
      <c r="K2611"/>
      <c r="L2611"/>
      <c r="M2611"/>
      <c r="S2611" s="54"/>
    </row>
    <row r="2612" spans="1:19" s="15" customFormat="1" x14ac:dyDescent="0.3">
      <c r="A2612" s="17"/>
      <c r="B2612"/>
      <c r="C2612"/>
      <c r="D2612"/>
      <c r="E2612"/>
      <c r="F2612"/>
      <c r="G2612"/>
      <c r="H2612"/>
      <c r="I2612"/>
      <c r="J2612"/>
      <c r="K2612"/>
      <c r="L2612"/>
      <c r="M2612"/>
      <c r="S2612" s="54"/>
    </row>
    <row r="2613" spans="1:19" s="15" customFormat="1" x14ac:dyDescent="0.3">
      <c r="A2613" s="17"/>
      <c r="B2613"/>
      <c r="C2613"/>
      <c r="D2613"/>
      <c r="E2613"/>
      <c r="F2613"/>
      <c r="G2613"/>
      <c r="H2613"/>
      <c r="I2613"/>
      <c r="J2613"/>
      <c r="K2613"/>
      <c r="L2613"/>
      <c r="M2613"/>
      <c r="S2613" s="54"/>
    </row>
    <row r="2614" spans="1:19" s="15" customFormat="1" x14ac:dyDescent="0.3">
      <c r="A2614" s="17"/>
      <c r="B2614"/>
      <c r="C2614"/>
      <c r="D2614"/>
      <c r="E2614"/>
      <c r="F2614"/>
      <c r="G2614"/>
      <c r="H2614"/>
      <c r="I2614"/>
      <c r="J2614"/>
      <c r="K2614"/>
      <c r="L2614"/>
      <c r="M2614"/>
      <c r="S2614" s="54"/>
    </row>
    <row r="2615" spans="1:19" s="15" customFormat="1" x14ac:dyDescent="0.3">
      <c r="A2615" s="17"/>
      <c r="B2615"/>
      <c r="C2615"/>
      <c r="D2615"/>
      <c r="E2615"/>
      <c r="F2615"/>
      <c r="G2615"/>
      <c r="H2615"/>
      <c r="I2615"/>
      <c r="J2615"/>
      <c r="K2615"/>
      <c r="L2615"/>
      <c r="M2615"/>
      <c r="S2615" s="54"/>
    </row>
    <row r="2616" spans="1:19" s="15" customFormat="1" x14ac:dyDescent="0.3">
      <c r="A2616" s="17"/>
      <c r="B2616"/>
      <c r="C2616"/>
      <c r="D2616"/>
      <c r="E2616"/>
      <c r="F2616"/>
      <c r="G2616"/>
      <c r="H2616"/>
      <c r="I2616"/>
      <c r="J2616"/>
      <c r="K2616"/>
      <c r="L2616"/>
      <c r="M2616"/>
      <c r="S2616" s="54"/>
    </row>
    <row r="2617" spans="1:19" s="15" customFormat="1" x14ac:dyDescent="0.3">
      <c r="A2617" s="17"/>
      <c r="B2617"/>
      <c r="C2617"/>
      <c r="D2617"/>
      <c r="E2617"/>
      <c r="F2617"/>
      <c r="G2617"/>
      <c r="H2617"/>
      <c r="I2617"/>
      <c r="J2617"/>
      <c r="K2617"/>
      <c r="L2617"/>
      <c r="M2617"/>
      <c r="S2617" s="54"/>
    </row>
    <row r="2618" spans="1:19" s="15" customFormat="1" x14ac:dyDescent="0.3">
      <c r="A2618" s="17"/>
      <c r="B2618"/>
      <c r="C2618"/>
      <c r="D2618"/>
      <c r="E2618"/>
      <c r="F2618"/>
      <c r="G2618"/>
      <c r="H2618"/>
      <c r="I2618"/>
      <c r="J2618"/>
      <c r="K2618"/>
      <c r="L2618"/>
      <c r="M2618"/>
      <c r="S2618" s="54"/>
    </row>
    <row r="2619" spans="1:19" s="15" customFormat="1" x14ac:dyDescent="0.3">
      <c r="A2619" s="17"/>
      <c r="B2619"/>
      <c r="C2619"/>
      <c r="D2619"/>
      <c r="E2619"/>
      <c r="F2619"/>
      <c r="G2619"/>
      <c r="H2619"/>
      <c r="I2619"/>
      <c r="J2619"/>
      <c r="K2619"/>
      <c r="L2619"/>
      <c r="M2619"/>
      <c r="S2619" s="54"/>
    </row>
    <row r="2620" spans="1:19" s="15" customFormat="1" x14ac:dyDescent="0.3">
      <c r="A2620" s="17"/>
      <c r="B2620"/>
      <c r="C2620"/>
      <c r="D2620"/>
      <c r="E2620"/>
      <c r="F2620"/>
      <c r="G2620"/>
      <c r="H2620"/>
      <c r="I2620"/>
      <c r="J2620"/>
      <c r="K2620"/>
      <c r="L2620"/>
      <c r="M2620"/>
      <c r="S2620" s="54"/>
    </row>
    <row r="2621" spans="1:19" s="15" customFormat="1" x14ac:dyDescent="0.3">
      <c r="A2621" s="17"/>
      <c r="B2621"/>
      <c r="C2621"/>
      <c r="D2621"/>
      <c r="E2621"/>
      <c r="F2621"/>
      <c r="G2621"/>
      <c r="H2621"/>
      <c r="I2621"/>
      <c r="J2621"/>
      <c r="K2621"/>
      <c r="L2621"/>
      <c r="M2621"/>
      <c r="S2621" s="54"/>
    </row>
    <row r="2622" spans="1:19" s="15" customFormat="1" x14ac:dyDescent="0.3">
      <c r="A2622" s="17"/>
      <c r="B2622"/>
      <c r="C2622"/>
      <c r="D2622"/>
      <c r="E2622"/>
      <c r="F2622"/>
      <c r="G2622"/>
      <c r="H2622"/>
      <c r="I2622"/>
      <c r="J2622"/>
      <c r="K2622"/>
      <c r="L2622"/>
      <c r="M2622"/>
      <c r="S2622" s="54"/>
    </row>
    <row r="2623" spans="1:19" s="15" customFormat="1" x14ac:dyDescent="0.3">
      <c r="A2623" s="17"/>
      <c r="B2623"/>
      <c r="C2623"/>
      <c r="D2623"/>
      <c r="E2623"/>
      <c r="F2623"/>
      <c r="G2623"/>
      <c r="H2623"/>
      <c r="I2623"/>
      <c r="J2623"/>
      <c r="K2623"/>
      <c r="L2623"/>
      <c r="M2623"/>
      <c r="S2623" s="54"/>
    </row>
    <row r="2624" spans="1:19" s="15" customFormat="1" x14ac:dyDescent="0.3">
      <c r="A2624" s="17"/>
      <c r="B2624"/>
      <c r="C2624"/>
      <c r="D2624"/>
      <c r="E2624"/>
      <c r="F2624"/>
      <c r="G2624"/>
      <c r="H2624"/>
      <c r="I2624"/>
      <c r="J2624"/>
      <c r="K2624"/>
      <c r="L2624"/>
      <c r="M2624"/>
      <c r="S2624" s="54"/>
    </row>
    <row r="2625" spans="1:19" s="15" customFormat="1" x14ac:dyDescent="0.3">
      <c r="A2625" s="17"/>
      <c r="B2625"/>
      <c r="C2625"/>
      <c r="D2625"/>
      <c r="E2625"/>
      <c r="F2625"/>
      <c r="G2625"/>
      <c r="H2625"/>
      <c r="I2625"/>
      <c r="J2625"/>
      <c r="K2625"/>
      <c r="L2625"/>
      <c r="M2625"/>
      <c r="S2625" s="54"/>
    </row>
    <row r="2626" spans="1:19" s="15" customFormat="1" x14ac:dyDescent="0.3">
      <c r="A2626" s="17"/>
      <c r="B2626"/>
      <c r="C2626"/>
      <c r="D2626"/>
      <c r="E2626"/>
      <c r="F2626"/>
      <c r="G2626"/>
      <c r="H2626"/>
      <c r="I2626"/>
      <c r="J2626"/>
      <c r="K2626"/>
      <c r="L2626"/>
      <c r="M2626"/>
      <c r="S2626" s="54"/>
    </row>
    <row r="2627" spans="1:19" s="15" customFormat="1" x14ac:dyDescent="0.3">
      <c r="A2627" s="17"/>
      <c r="B2627"/>
      <c r="C2627"/>
      <c r="D2627"/>
      <c r="E2627"/>
      <c r="F2627"/>
      <c r="G2627"/>
      <c r="H2627"/>
      <c r="I2627"/>
      <c r="J2627"/>
      <c r="K2627"/>
      <c r="L2627"/>
      <c r="M2627"/>
      <c r="S2627" s="54"/>
    </row>
    <row r="2628" spans="1:19" s="15" customFormat="1" x14ac:dyDescent="0.3">
      <c r="A2628" s="17"/>
      <c r="B2628"/>
      <c r="C2628"/>
      <c r="D2628"/>
      <c r="E2628"/>
      <c r="F2628"/>
      <c r="G2628"/>
      <c r="H2628"/>
      <c r="I2628"/>
      <c r="J2628"/>
      <c r="K2628"/>
      <c r="L2628"/>
      <c r="M2628"/>
      <c r="S2628" s="54"/>
    </row>
    <row r="2629" spans="1:19" s="15" customFormat="1" x14ac:dyDescent="0.3">
      <c r="A2629" s="17"/>
      <c r="B2629"/>
      <c r="C2629"/>
      <c r="D2629"/>
      <c r="E2629"/>
      <c r="F2629"/>
      <c r="G2629"/>
      <c r="H2629"/>
      <c r="I2629"/>
      <c r="J2629"/>
      <c r="K2629"/>
      <c r="L2629"/>
      <c r="M2629"/>
      <c r="S2629" s="54"/>
    </row>
    <row r="2630" spans="1:19" s="15" customFormat="1" x14ac:dyDescent="0.3">
      <c r="A2630" s="17"/>
      <c r="B2630"/>
      <c r="C2630"/>
      <c r="D2630"/>
      <c r="E2630"/>
      <c r="F2630"/>
      <c r="G2630"/>
      <c r="H2630"/>
      <c r="I2630"/>
      <c r="J2630"/>
      <c r="K2630"/>
      <c r="L2630"/>
      <c r="M2630"/>
      <c r="S2630" s="54"/>
    </row>
    <row r="2631" spans="1:19" s="15" customFormat="1" x14ac:dyDescent="0.3">
      <c r="A2631" s="17"/>
      <c r="B2631"/>
      <c r="C2631"/>
      <c r="D2631"/>
      <c r="E2631"/>
      <c r="F2631"/>
      <c r="G2631"/>
      <c r="H2631"/>
      <c r="I2631"/>
      <c r="J2631"/>
      <c r="K2631"/>
      <c r="L2631"/>
      <c r="M2631"/>
      <c r="S2631" s="54"/>
    </row>
    <row r="2632" spans="1:19" s="15" customFormat="1" x14ac:dyDescent="0.3">
      <c r="A2632" s="17"/>
      <c r="B2632"/>
      <c r="C2632"/>
      <c r="D2632"/>
      <c r="E2632"/>
      <c r="F2632"/>
      <c r="G2632"/>
      <c r="H2632"/>
      <c r="I2632"/>
      <c r="J2632"/>
      <c r="K2632"/>
      <c r="L2632"/>
      <c r="M2632"/>
      <c r="S2632" s="54"/>
    </row>
    <row r="2633" spans="1:19" s="15" customFormat="1" x14ac:dyDescent="0.3">
      <c r="A2633" s="17"/>
      <c r="B2633"/>
      <c r="C2633"/>
      <c r="D2633"/>
      <c r="E2633"/>
      <c r="F2633"/>
      <c r="G2633"/>
      <c r="H2633"/>
      <c r="I2633"/>
      <c r="J2633"/>
      <c r="K2633"/>
      <c r="L2633"/>
      <c r="M2633"/>
      <c r="S2633" s="54"/>
    </row>
    <row r="2634" spans="1:19" s="15" customFormat="1" x14ac:dyDescent="0.3">
      <c r="A2634" s="17"/>
      <c r="B2634"/>
      <c r="C2634"/>
      <c r="D2634"/>
      <c r="E2634"/>
      <c r="F2634"/>
      <c r="G2634"/>
      <c r="H2634"/>
      <c r="I2634"/>
      <c r="J2634"/>
      <c r="K2634"/>
      <c r="L2634"/>
      <c r="M2634"/>
      <c r="S2634" s="54"/>
    </row>
    <row r="2635" spans="1:19" s="15" customFormat="1" x14ac:dyDescent="0.3">
      <c r="A2635" s="17"/>
      <c r="B2635"/>
      <c r="C2635"/>
      <c r="D2635"/>
      <c r="E2635"/>
      <c r="F2635"/>
      <c r="G2635"/>
      <c r="H2635"/>
      <c r="I2635"/>
      <c r="J2635"/>
      <c r="K2635"/>
      <c r="L2635"/>
      <c r="M2635"/>
      <c r="S2635" s="54"/>
    </row>
    <row r="2636" spans="1:19" s="15" customFormat="1" x14ac:dyDescent="0.3">
      <c r="A2636" s="17"/>
      <c r="B2636"/>
      <c r="C2636"/>
      <c r="D2636"/>
      <c r="E2636"/>
      <c r="F2636"/>
      <c r="G2636"/>
      <c r="H2636"/>
      <c r="I2636"/>
      <c r="J2636"/>
      <c r="K2636"/>
      <c r="L2636"/>
      <c r="M2636"/>
      <c r="S2636" s="54"/>
    </row>
    <row r="2637" spans="1:19" s="15" customFormat="1" x14ac:dyDescent="0.3">
      <c r="A2637" s="17"/>
      <c r="B2637"/>
      <c r="C2637"/>
      <c r="D2637"/>
      <c r="E2637"/>
      <c r="F2637"/>
      <c r="G2637"/>
      <c r="H2637"/>
      <c r="I2637"/>
      <c r="J2637"/>
      <c r="K2637"/>
      <c r="L2637"/>
      <c r="M2637"/>
      <c r="S2637" s="54"/>
    </row>
    <row r="2638" spans="1:19" s="15" customFormat="1" x14ac:dyDescent="0.3">
      <c r="A2638" s="17"/>
      <c r="B2638"/>
      <c r="C2638"/>
      <c r="D2638"/>
      <c r="E2638"/>
      <c r="F2638"/>
      <c r="G2638"/>
      <c r="H2638"/>
      <c r="I2638"/>
      <c r="J2638"/>
      <c r="K2638"/>
      <c r="L2638"/>
      <c r="M2638"/>
      <c r="S2638" s="54"/>
    </row>
    <row r="2639" spans="1:19" s="15" customFormat="1" x14ac:dyDescent="0.3">
      <c r="A2639" s="17"/>
      <c r="B2639"/>
      <c r="C2639"/>
      <c r="D2639"/>
      <c r="E2639"/>
      <c r="F2639"/>
      <c r="G2639"/>
      <c r="H2639"/>
      <c r="I2639"/>
      <c r="J2639"/>
      <c r="K2639"/>
      <c r="L2639"/>
      <c r="M2639"/>
      <c r="S2639" s="54"/>
    </row>
    <row r="2640" spans="1:19" s="15" customFormat="1" x14ac:dyDescent="0.3">
      <c r="A2640" s="17"/>
      <c r="B2640"/>
      <c r="C2640"/>
      <c r="D2640"/>
      <c r="E2640"/>
      <c r="F2640"/>
      <c r="G2640"/>
      <c r="H2640"/>
      <c r="I2640"/>
      <c r="J2640"/>
      <c r="K2640"/>
      <c r="L2640"/>
      <c r="M2640"/>
      <c r="S2640" s="54"/>
    </row>
    <row r="2641" spans="1:19" s="15" customFormat="1" x14ac:dyDescent="0.3">
      <c r="A2641" s="17"/>
      <c r="B2641"/>
      <c r="C2641"/>
      <c r="D2641"/>
      <c r="E2641"/>
      <c r="F2641"/>
      <c r="G2641"/>
      <c r="H2641"/>
      <c r="I2641"/>
      <c r="J2641"/>
      <c r="K2641"/>
      <c r="L2641"/>
      <c r="M2641"/>
      <c r="S2641" s="54"/>
    </row>
    <row r="2642" spans="1:19" s="15" customFormat="1" x14ac:dyDescent="0.3">
      <c r="A2642" s="17"/>
      <c r="B2642"/>
      <c r="C2642"/>
      <c r="D2642"/>
      <c r="E2642"/>
      <c r="F2642"/>
      <c r="G2642"/>
      <c r="H2642"/>
      <c r="I2642"/>
      <c r="J2642"/>
      <c r="K2642"/>
      <c r="L2642"/>
      <c r="M2642"/>
      <c r="S2642" s="54"/>
    </row>
    <row r="2643" spans="1:19" s="15" customFormat="1" x14ac:dyDescent="0.3">
      <c r="A2643" s="17"/>
      <c r="B2643"/>
      <c r="C2643"/>
      <c r="D2643"/>
      <c r="E2643"/>
      <c r="F2643"/>
      <c r="G2643"/>
      <c r="H2643"/>
      <c r="I2643"/>
      <c r="J2643"/>
      <c r="K2643"/>
      <c r="L2643"/>
      <c r="M2643"/>
      <c r="S2643" s="54"/>
    </row>
    <row r="2644" spans="1:19" s="15" customFormat="1" x14ac:dyDescent="0.3">
      <c r="A2644" s="17"/>
      <c r="B2644"/>
      <c r="C2644"/>
      <c r="D2644"/>
      <c r="E2644"/>
      <c r="F2644"/>
      <c r="G2644"/>
      <c r="H2644"/>
      <c r="I2644"/>
      <c r="J2644"/>
      <c r="K2644"/>
      <c r="L2644"/>
      <c r="M2644"/>
      <c r="S2644" s="54"/>
    </row>
    <row r="2645" spans="1:19" s="15" customFormat="1" x14ac:dyDescent="0.3">
      <c r="A2645" s="17"/>
      <c r="B2645"/>
      <c r="C2645"/>
      <c r="D2645"/>
      <c r="E2645"/>
      <c r="F2645"/>
      <c r="G2645"/>
      <c r="H2645"/>
      <c r="I2645"/>
      <c r="J2645"/>
      <c r="K2645"/>
      <c r="L2645"/>
      <c r="M2645"/>
      <c r="S2645" s="54"/>
    </row>
    <row r="2646" spans="1:19" s="15" customFormat="1" x14ac:dyDescent="0.3">
      <c r="A2646" s="17"/>
      <c r="B2646"/>
      <c r="C2646"/>
      <c r="D2646"/>
      <c r="E2646"/>
      <c r="F2646"/>
      <c r="G2646"/>
      <c r="H2646"/>
      <c r="I2646"/>
      <c r="J2646"/>
      <c r="K2646"/>
      <c r="L2646"/>
      <c r="M2646"/>
      <c r="S2646" s="54"/>
    </row>
    <row r="2647" spans="1:19" s="15" customFormat="1" x14ac:dyDescent="0.3">
      <c r="A2647" s="17"/>
      <c r="B2647"/>
      <c r="C2647"/>
      <c r="D2647"/>
      <c r="E2647"/>
      <c r="F2647"/>
      <c r="G2647"/>
      <c r="H2647"/>
      <c r="I2647"/>
      <c r="J2647"/>
      <c r="K2647"/>
      <c r="L2647"/>
      <c r="M2647"/>
      <c r="S2647" s="54"/>
    </row>
    <row r="2648" spans="1:19" s="15" customFormat="1" x14ac:dyDescent="0.3">
      <c r="A2648" s="17"/>
      <c r="B2648"/>
      <c r="C2648"/>
      <c r="D2648"/>
      <c r="E2648"/>
      <c r="F2648"/>
      <c r="G2648"/>
      <c r="H2648"/>
      <c r="I2648"/>
      <c r="J2648"/>
      <c r="K2648"/>
      <c r="L2648"/>
      <c r="M2648"/>
      <c r="S2648" s="54"/>
    </row>
    <row r="2649" spans="1:19" s="15" customFormat="1" x14ac:dyDescent="0.3">
      <c r="A2649" s="17"/>
      <c r="B2649"/>
      <c r="C2649"/>
      <c r="D2649"/>
      <c r="E2649"/>
      <c r="F2649"/>
      <c r="G2649"/>
      <c r="H2649"/>
      <c r="I2649"/>
      <c r="J2649"/>
      <c r="K2649"/>
      <c r="L2649"/>
      <c r="M2649"/>
      <c r="S2649" s="54"/>
    </row>
    <row r="2650" spans="1:19" s="15" customFormat="1" x14ac:dyDescent="0.3">
      <c r="A2650" s="17"/>
      <c r="B2650"/>
      <c r="C2650"/>
      <c r="D2650"/>
      <c r="E2650"/>
      <c r="F2650"/>
      <c r="G2650"/>
      <c r="H2650"/>
      <c r="I2650"/>
      <c r="J2650"/>
      <c r="K2650"/>
      <c r="L2650"/>
      <c r="M2650"/>
      <c r="S2650" s="54"/>
    </row>
    <row r="2651" spans="1:19" s="15" customFormat="1" x14ac:dyDescent="0.3">
      <c r="A2651" s="17"/>
      <c r="B2651"/>
      <c r="C2651"/>
      <c r="D2651"/>
      <c r="E2651"/>
      <c r="F2651"/>
      <c r="G2651"/>
      <c r="H2651"/>
      <c r="I2651"/>
      <c r="J2651"/>
      <c r="K2651"/>
      <c r="L2651"/>
      <c r="M2651"/>
      <c r="S2651" s="54"/>
    </row>
    <row r="2652" spans="1:19" s="15" customFormat="1" x14ac:dyDescent="0.3">
      <c r="A2652" s="17"/>
      <c r="B2652"/>
      <c r="C2652"/>
      <c r="D2652"/>
      <c r="E2652"/>
      <c r="F2652"/>
      <c r="G2652"/>
      <c r="H2652"/>
      <c r="I2652"/>
      <c r="J2652"/>
      <c r="K2652"/>
      <c r="L2652"/>
      <c r="M2652"/>
      <c r="S2652" s="54"/>
    </row>
    <row r="2653" spans="1:19" s="15" customFormat="1" x14ac:dyDescent="0.3">
      <c r="A2653" s="17"/>
      <c r="B2653"/>
      <c r="C2653"/>
      <c r="D2653"/>
      <c r="E2653"/>
      <c r="F2653"/>
      <c r="G2653"/>
      <c r="H2653"/>
      <c r="I2653"/>
      <c r="J2653"/>
      <c r="K2653"/>
      <c r="L2653"/>
      <c r="M2653"/>
      <c r="S2653" s="54"/>
    </row>
    <row r="2654" spans="1:19" s="15" customFormat="1" x14ac:dyDescent="0.3">
      <c r="A2654" s="17"/>
      <c r="B2654"/>
      <c r="C2654"/>
      <c r="D2654"/>
      <c r="E2654"/>
      <c r="F2654"/>
      <c r="G2654"/>
      <c r="H2654"/>
      <c r="I2654"/>
      <c r="J2654"/>
      <c r="K2654"/>
      <c r="L2654"/>
      <c r="M2654"/>
      <c r="S2654" s="54"/>
    </row>
    <row r="2655" spans="1:19" s="15" customFormat="1" x14ac:dyDescent="0.3">
      <c r="A2655" s="17"/>
      <c r="B2655"/>
      <c r="C2655"/>
      <c r="D2655"/>
      <c r="E2655"/>
      <c r="F2655"/>
      <c r="G2655"/>
      <c r="H2655"/>
      <c r="I2655"/>
      <c r="J2655"/>
      <c r="K2655"/>
      <c r="L2655"/>
      <c r="M2655"/>
      <c r="S2655" s="54"/>
    </row>
    <row r="2656" spans="1:19" s="15" customFormat="1" x14ac:dyDescent="0.3">
      <c r="A2656" s="17"/>
      <c r="B2656"/>
      <c r="C2656"/>
      <c r="D2656"/>
      <c r="E2656"/>
      <c r="F2656"/>
      <c r="G2656"/>
      <c r="H2656"/>
      <c r="I2656"/>
      <c r="J2656"/>
      <c r="K2656"/>
      <c r="L2656"/>
      <c r="M2656"/>
      <c r="S2656" s="54"/>
    </row>
    <row r="2657" spans="1:19" s="15" customFormat="1" x14ac:dyDescent="0.3">
      <c r="A2657" s="17"/>
      <c r="B2657"/>
      <c r="C2657"/>
      <c r="D2657"/>
      <c r="E2657"/>
      <c r="F2657"/>
      <c r="G2657"/>
      <c r="H2657"/>
      <c r="I2657"/>
      <c r="J2657"/>
      <c r="K2657"/>
      <c r="L2657"/>
      <c r="M2657"/>
      <c r="S2657" s="54"/>
    </row>
    <row r="2658" spans="1:19" s="15" customFormat="1" x14ac:dyDescent="0.3">
      <c r="A2658" s="17"/>
      <c r="B2658"/>
      <c r="C2658"/>
      <c r="D2658"/>
      <c r="E2658"/>
      <c r="F2658"/>
      <c r="G2658"/>
      <c r="H2658"/>
      <c r="I2658"/>
      <c r="J2658"/>
      <c r="K2658"/>
      <c r="L2658"/>
      <c r="M2658"/>
      <c r="S2658" s="54"/>
    </row>
    <row r="2659" spans="1:19" s="15" customFormat="1" x14ac:dyDescent="0.3">
      <c r="A2659" s="17"/>
      <c r="B2659"/>
      <c r="C2659"/>
      <c r="D2659"/>
      <c r="E2659"/>
      <c r="F2659"/>
      <c r="G2659"/>
      <c r="H2659"/>
      <c r="I2659"/>
      <c r="J2659"/>
      <c r="K2659"/>
      <c r="L2659"/>
      <c r="M2659"/>
      <c r="S2659" s="54"/>
    </row>
    <row r="2660" spans="1:19" s="15" customFormat="1" x14ac:dyDescent="0.3">
      <c r="A2660" s="17"/>
      <c r="B2660"/>
      <c r="C2660"/>
      <c r="D2660"/>
      <c r="E2660"/>
      <c r="F2660"/>
      <c r="G2660"/>
      <c r="H2660"/>
      <c r="I2660"/>
      <c r="J2660"/>
      <c r="K2660"/>
      <c r="L2660"/>
      <c r="M2660"/>
      <c r="S2660" s="54"/>
    </row>
    <row r="2661" spans="1:19" s="15" customFormat="1" x14ac:dyDescent="0.3">
      <c r="A2661" s="17"/>
      <c r="B2661"/>
      <c r="C2661"/>
      <c r="D2661"/>
      <c r="E2661"/>
      <c r="F2661"/>
      <c r="G2661"/>
      <c r="H2661"/>
      <c r="I2661"/>
      <c r="J2661"/>
      <c r="K2661"/>
      <c r="L2661"/>
      <c r="M2661"/>
      <c r="S2661" s="54"/>
    </row>
    <row r="2662" spans="1:19" s="15" customFormat="1" x14ac:dyDescent="0.3">
      <c r="A2662" s="17"/>
      <c r="B2662"/>
      <c r="C2662"/>
      <c r="D2662"/>
      <c r="E2662"/>
      <c r="F2662"/>
      <c r="G2662"/>
      <c r="H2662"/>
      <c r="I2662"/>
      <c r="J2662"/>
      <c r="K2662"/>
      <c r="L2662"/>
      <c r="M2662"/>
      <c r="S2662" s="54"/>
    </row>
    <row r="2663" spans="1:19" s="15" customFormat="1" x14ac:dyDescent="0.3">
      <c r="A2663" s="17"/>
      <c r="B2663"/>
      <c r="C2663"/>
      <c r="D2663"/>
      <c r="E2663"/>
      <c r="F2663"/>
      <c r="G2663"/>
      <c r="H2663"/>
      <c r="I2663"/>
      <c r="J2663"/>
      <c r="K2663"/>
      <c r="L2663"/>
      <c r="M2663"/>
      <c r="S2663" s="54"/>
    </row>
    <row r="2664" spans="1:19" s="15" customFormat="1" x14ac:dyDescent="0.3">
      <c r="A2664" s="17"/>
      <c r="B2664"/>
      <c r="C2664"/>
      <c r="D2664"/>
      <c r="E2664"/>
      <c r="F2664"/>
      <c r="G2664"/>
      <c r="H2664"/>
      <c r="I2664"/>
      <c r="J2664"/>
      <c r="K2664"/>
      <c r="L2664"/>
      <c r="M2664"/>
      <c r="S2664" s="54"/>
    </row>
    <row r="2665" spans="1:19" s="15" customFormat="1" x14ac:dyDescent="0.3">
      <c r="A2665" s="17"/>
      <c r="B2665"/>
      <c r="C2665"/>
      <c r="D2665"/>
      <c r="E2665"/>
      <c r="F2665"/>
      <c r="G2665"/>
      <c r="H2665"/>
      <c r="I2665"/>
      <c r="J2665"/>
      <c r="K2665"/>
      <c r="L2665"/>
      <c r="M2665"/>
      <c r="S2665" s="54"/>
    </row>
    <row r="2666" spans="1:19" s="15" customFormat="1" x14ac:dyDescent="0.3">
      <c r="A2666" s="17"/>
      <c r="B2666"/>
      <c r="C2666"/>
      <c r="D2666"/>
      <c r="E2666"/>
      <c r="F2666"/>
      <c r="G2666"/>
      <c r="H2666"/>
      <c r="I2666"/>
      <c r="J2666"/>
      <c r="K2666"/>
      <c r="L2666"/>
      <c r="M2666"/>
      <c r="S2666" s="54"/>
    </row>
    <row r="2667" spans="1:19" s="15" customFormat="1" x14ac:dyDescent="0.3">
      <c r="A2667" s="17"/>
      <c r="B2667"/>
      <c r="C2667"/>
      <c r="D2667"/>
      <c r="E2667"/>
      <c r="F2667"/>
      <c r="G2667"/>
      <c r="H2667"/>
      <c r="I2667"/>
      <c r="J2667"/>
      <c r="K2667"/>
      <c r="L2667"/>
      <c r="M2667"/>
      <c r="S2667" s="54"/>
    </row>
    <row r="2668" spans="1:19" s="15" customFormat="1" x14ac:dyDescent="0.3">
      <c r="A2668" s="17"/>
      <c r="B2668"/>
      <c r="C2668"/>
      <c r="D2668"/>
      <c r="E2668"/>
      <c r="F2668"/>
      <c r="G2668"/>
      <c r="H2668"/>
      <c r="I2668"/>
      <c r="J2668"/>
      <c r="K2668"/>
      <c r="L2668"/>
      <c r="M2668"/>
      <c r="S2668" s="54"/>
    </row>
    <row r="2669" spans="1:19" s="15" customFormat="1" x14ac:dyDescent="0.3">
      <c r="A2669" s="17"/>
      <c r="B2669"/>
      <c r="C2669"/>
      <c r="D2669"/>
      <c r="E2669"/>
      <c r="F2669"/>
      <c r="G2669"/>
      <c r="H2669"/>
      <c r="I2669"/>
      <c r="J2669"/>
      <c r="K2669"/>
      <c r="L2669"/>
      <c r="M2669"/>
      <c r="S2669" s="54"/>
    </row>
    <row r="2670" spans="1:19" s="15" customFormat="1" x14ac:dyDescent="0.3">
      <c r="A2670" s="17"/>
      <c r="B2670"/>
      <c r="C2670"/>
      <c r="D2670"/>
      <c r="E2670"/>
      <c r="F2670"/>
      <c r="G2670"/>
      <c r="H2670"/>
      <c r="I2670"/>
      <c r="J2670"/>
      <c r="K2670"/>
      <c r="L2670"/>
      <c r="M2670"/>
      <c r="S2670" s="54"/>
    </row>
    <row r="2671" spans="1:19" s="15" customFormat="1" x14ac:dyDescent="0.3">
      <c r="A2671" s="17"/>
      <c r="B2671"/>
      <c r="C2671"/>
      <c r="D2671"/>
      <c r="E2671"/>
      <c r="F2671"/>
      <c r="G2671"/>
      <c r="H2671"/>
      <c r="I2671"/>
      <c r="J2671"/>
      <c r="K2671"/>
      <c r="L2671"/>
      <c r="M2671"/>
      <c r="S2671" s="54"/>
    </row>
    <row r="2672" spans="1:19" s="15" customFormat="1" x14ac:dyDescent="0.3">
      <c r="A2672" s="17"/>
      <c r="B2672"/>
      <c r="C2672"/>
      <c r="D2672"/>
      <c r="E2672"/>
      <c r="F2672"/>
      <c r="G2672"/>
      <c r="H2672"/>
      <c r="I2672"/>
      <c r="J2672"/>
      <c r="K2672"/>
      <c r="L2672"/>
      <c r="M2672"/>
      <c r="S2672" s="54"/>
    </row>
    <row r="2673" spans="1:19" s="15" customFormat="1" x14ac:dyDescent="0.3">
      <c r="A2673" s="17"/>
      <c r="B2673"/>
      <c r="C2673"/>
      <c r="D2673"/>
      <c r="E2673"/>
      <c r="F2673"/>
      <c r="G2673"/>
      <c r="H2673"/>
      <c r="I2673"/>
      <c r="J2673"/>
      <c r="K2673"/>
      <c r="L2673"/>
      <c r="M2673"/>
      <c r="S2673" s="54"/>
    </row>
    <row r="2674" spans="1:19" s="15" customFormat="1" x14ac:dyDescent="0.3">
      <c r="A2674" s="17"/>
      <c r="B2674"/>
      <c r="C2674"/>
      <c r="D2674"/>
      <c r="E2674"/>
      <c r="F2674"/>
      <c r="G2674"/>
      <c r="H2674"/>
      <c r="I2674"/>
      <c r="J2674"/>
      <c r="K2674"/>
      <c r="L2674"/>
      <c r="M2674"/>
      <c r="S2674" s="54"/>
    </row>
    <row r="2675" spans="1:19" s="15" customFormat="1" x14ac:dyDescent="0.3">
      <c r="A2675" s="17"/>
      <c r="B2675"/>
      <c r="C2675"/>
      <c r="D2675"/>
      <c r="E2675"/>
      <c r="F2675"/>
      <c r="G2675"/>
      <c r="H2675"/>
      <c r="I2675"/>
      <c r="J2675"/>
      <c r="K2675"/>
      <c r="L2675"/>
      <c r="M2675"/>
      <c r="S2675" s="54"/>
    </row>
    <row r="2676" spans="1:19" s="15" customFormat="1" x14ac:dyDescent="0.3">
      <c r="A2676" s="17"/>
      <c r="B2676"/>
      <c r="C2676"/>
      <c r="D2676"/>
      <c r="E2676"/>
      <c r="F2676"/>
      <c r="G2676"/>
      <c r="H2676"/>
      <c r="I2676"/>
      <c r="J2676"/>
      <c r="K2676"/>
      <c r="L2676"/>
      <c r="M2676"/>
      <c r="S2676" s="54"/>
    </row>
    <row r="2677" spans="1:19" s="15" customFormat="1" x14ac:dyDescent="0.3">
      <c r="A2677" s="17"/>
      <c r="B2677"/>
      <c r="C2677"/>
      <c r="D2677"/>
      <c r="E2677"/>
      <c r="F2677"/>
      <c r="G2677"/>
      <c r="H2677"/>
      <c r="I2677"/>
      <c r="J2677"/>
      <c r="K2677"/>
      <c r="L2677"/>
      <c r="M2677"/>
      <c r="S2677" s="54"/>
    </row>
    <row r="2678" spans="1:19" s="15" customFormat="1" x14ac:dyDescent="0.3">
      <c r="A2678" s="17"/>
      <c r="B2678"/>
      <c r="C2678"/>
      <c r="D2678"/>
      <c r="E2678"/>
      <c r="F2678"/>
      <c r="G2678"/>
      <c r="H2678"/>
      <c r="I2678"/>
      <c r="J2678"/>
      <c r="K2678"/>
      <c r="L2678"/>
      <c r="M2678"/>
      <c r="S2678" s="54"/>
    </row>
    <row r="2679" spans="1:19" s="15" customFormat="1" x14ac:dyDescent="0.3">
      <c r="A2679" s="17"/>
      <c r="B2679"/>
      <c r="C2679"/>
      <c r="D2679"/>
      <c r="E2679"/>
      <c r="F2679"/>
      <c r="G2679"/>
      <c r="H2679"/>
      <c r="I2679"/>
      <c r="J2679"/>
      <c r="K2679"/>
      <c r="L2679"/>
      <c r="M2679"/>
      <c r="S2679" s="54"/>
    </row>
    <row r="2680" spans="1:19" s="15" customFormat="1" x14ac:dyDescent="0.3">
      <c r="A2680" s="17"/>
      <c r="B2680"/>
      <c r="C2680"/>
      <c r="D2680"/>
      <c r="E2680"/>
      <c r="F2680"/>
      <c r="G2680"/>
      <c r="H2680"/>
      <c r="I2680"/>
      <c r="J2680"/>
      <c r="K2680"/>
      <c r="L2680"/>
      <c r="M2680"/>
      <c r="S2680" s="54"/>
    </row>
    <row r="2681" spans="1:19" s="15" customFormat="1" x14ac:dyDescent="0.3">
      <c r="A2681" s="17"/>
      <c r="B2681"/>
      <c r="C2681"/>
      <c r="D2681"/>
      <c r="E2681"/>
      <c r="F2681"/>
      <c r="G2681"/>
      <c r="H2681"/>
      <c r="I2681"/>
      <c r="J2681"/>
      <c r="K2681"/>
      <c r="L2681"/>
      <c r="M2681"/>
      <c r="S2681" s="54"/>
    </row>
    <row r="2682" spans="1:19" s="15" customFormat="1" x14ac:dyDescent="0.3">
      <c r="A2682" s="17"/>
      <c r="B2682"/>
      <c r="C2682"/>
      <c r="D2682"/>
      <c r="E2682"/>
      <c r="F2682"/>
      <c r="G2682"/>
      <c r="H2682"/>
      <c r="I2682"/>
      <c r="J2682"/>
      <c r="K2682"/>
      <c r="L2682"/>
      <c r="M2682"/>
      <c r="S2682" s="54"/>
    </row>
    <row r="2683" spans="1:19" s="15" customFormat="1" x14ac:dyDescent="0.3">
      <c r="A2683" s="17"/>
      <c r="B2683"/>
      <c r="C2683"/>
      <c r="D2683"/>
      <c r="E2683"/>
      <c r="F2683"/>
      <c r="G2683"/>
      <c r="H2683"/>
      <c r="I2683"/>
      <c r="J2683"/>
      <c r="K2683"/>
      <c r="L2683"/>
      <c r="M2683"/>
      <c r="S2683" s="54"/>
    </row>
    <row r="2684" spans="1:19" s="15" customFormat="1" x14ac:dyDescent="0.3">
      <c r="A2684" s="17"/>
      <c r="B2684"/>
      <c r="C2684"/>
      <c r="D2684"/>
      <c r="E2684"/>
      <c r="F2684"/>
      <c r="G2684"/>
      <c r="H2684"/>
      <c r="I2684"/>
      <c r="J2684"/>
      <c r="K2684"/>
      <c r="L2684"/>
      <c r="M2684"/>
      <c r="S2684" s="54"/>
    </row>
    <row r="2685" spans="1:19" s="15" customFormat="1" x14ac:dyDescent="0.3">
      <c r="A2685" s="17"/>
      <c r="B2685"/>
      <c r="C2685"/>
      <c r="D2685"/>
      <c r="E2685"/>
      <c r="F2685"/>
      <c r="G2685"/>
      <c r="H2685"/>
      <c r="I2685"/>
      <c r="J2685"/>
      <c r="K2685"/>
      <c r="L2685"/>
      <c r="M2685"/>
      <c r="S2685" s="54"/>
    </row>
    <row r="2686" spans="1:19" s="15" customFormat="1" x14ac:dyDescent="0.3">
      <c r="A2686" s="17"/>
      <c r="B2686"/>
      <c r="C2686"/>
      <c r="D2686"/>
      <c r="E2686"/>
      <c r="F2686"/>
      <c r="G2686"/>
      <c r="H2686"/>
      <c r="I2686"/>
      <c r="J2686"/>
      <c r="K2686"/>
      <c r="L2686"/>
      <c r="M2686"/>
      <c r="S2686" s="54"/>
    </row>
    <row r="2687" spans="1:19" s="15" customFormat="1" x14ac:dyDescent="0.3">
      <c r="A2687" s="17"/>
      <c r="B2687"/>
      <c r="C2687"/>
      <c r="D2687"/>
      <c r="E2687"/>
      <c r="F2687"/>
      <c r="G2687"/>
      <c r="H2687"/>
      <c r="I2687"/>
      <c r="J2687"/>
      <c r="K2687"/>
      <c r="L2687"/>
      <c r="M2687"/>
      <c r="S2687" s="54"/>
    </row>
    <row r="2688" spans="1:19" s="15" customFormat="1" x14ac:dyDescent="0.3">
      <c r="A2688" s="17"/>
      <c r="B2688"/>
      <c r="C2688"/>
      <c r="D2688"/>
      <c r="E2688"/>
      <c r="F2688"/>
      <c r="G2688"/>
      <c r="H2688"/>
      <c r="I2688"/>
      <c r="J2688"/>
      <c r="K2688"/>
      <c r="L2688"/>
      <c r="M2688"/>
      <c r="S2688" s="54"/>
    </row>
    <row r="2689" spans="1:19" s="15" customFormat="1" x14ac:dyDescent="0.3">
      <c r="A2689" s="17"/>
      <c r="B2689"/>
      <c r="C2689"/>
      <c r="D2689"/>
      <c r="E2689"/>
      <c r="F2689"/>
      <c r="G2689"/>
      <c r="H2689"/>
      <c r="I2689"/>
      <c r="J2689"/>
      <c r="K2689"/>
      <c r="L2689"/>
      <c r="M2689"/>
      <c r="S2689" s="54"/>
    </row>
    <row r="2690" spans="1:19" s="15" customFormat="1" x14ac:dyDescent="0.3">
      <c r="A2690" s="17"/>
      <c r="B2690"/>
      <c r="C2690"/>
      <c r="D2690"/>
      <c r="E2690"/>
      <c r="F2690"/>
      <c r="G2690"/>
      <c r="H2690"/>
      <c r="I2690"/>
      <c r="J2690"/>
      <c r="K2690"/>
      <c r="L2690"/>
      <c r="M2690"/>
      <c r="S2690" s="54"/>
    </row>
    <row r="2691" spans="1:19" s="15" customFormat="1" x14ac:dyDescent="0.3">
      <c r="A2691" s="17"/>
      <c r="B2691"/>
      <c r="C2691"/>
      <c r="D2691"/>
      <c r="E2691"/>
      <c r="F2691"/>
      <c r="G2691"/>
      <c r="H2691"/>
      <c r="I2691"/>
      <c r="J2691"/>
      <c r="K2691"/>
      <c r="L2691"/>
      <c r="M2691"/>
      <c r="S2691" s="54"/>
    </row>
    <row r="2692" spans="1:19" s="15" customFormat="1" x14ac:dyDescent="0.3">
      <c r="A2692" s="17"/>
      <c r="B2692"/>
      <c r="C2692"/>
      <c r="D2692"/>
      <c r="E2692"/>
      <c r="F2692"/>
      <c r="G2692"/>
      <c r="H2692"/>
      <c r="I2692"/>
      <c r="J2692"/>
      <c r="K2692"/>
      <c r="L2692"/>
      <c r="M2692"/>
      <c r="S2692" s="54"/>
    </row>
    <row r="2693" spans="1:19" s="15" customFormat="1" x14ac:dyDescent="0.3">
      <c r="A2693" s="17"/>
      <c r="B2693"/>
      <c r="C2693"/>
      <c r="D2693"/>
      <c r="E2693"/>
      <c r="F2693"/>
      <c r="G2693"/>
      <c r="H2693"/>
      <c r="I2693"/>
      <c r="J2693"/>
      <c r="K2693"/>
      <c r="L2693"/>
      <c r="M2693"/>
      <c r="S2693" s="54"/>
    </row>
    <row r="2694" spans="1:19" s="15" customFormat="1" x14ac:dyDescent="0.3">
      <c r="A2694" s="17"/>
      <c r="B2694"/>
      <c r="C2694"/>
      <c r="D2694"/>
      <c r="E2694"/>
      <c r="F2694"/>
      <c r="G2694"/>
      <c r="H2694"/>
      <c r="I2694"/>
      <c r="J2694"/>
      <c r="K2694"/>
      <c r="L2694"/>
      <c r="M2694"/>
      <c r="S2694" s="54"/>
    </row>
    <row r="2695" spans="1:19" s="15" customFormat="1" x14ac:dyDescent="0.3">
      <c r="A2695" s="17"/>
      <c r="B2695"/>
      <c r="C2695"/>
      <c r="D2695"/>
      <c r="E2695"/>
      <c r="F2695"/>
      <c r="G2695"/>
      <c r="H2695"/>
      <c r="I2695"/>
      <c r="J2695"/>
      <c r="K2695"/>
      <c r="L2695"/>
      <c r="M2695"/>
      <c r="S2695" s="54"/>
    </row>
    <row r="2696" spans="1:19" s="15" customFormat="1" x14ac:dyDescent="0.3">
      <c r="A2696" s="17"/>
      <c r="B2696"/>
      <c r="C2696"/>
      <c r="D2696"/>
      <c r="E2696"/>
      <c r="F2696"/>
      <c r="G2696"/>
      <c r="H2696"/>
      <c r="I2696"/>
      <c r="J2696"/>
      <c r="K2696"/>
      <c r="L2696"/>
      <c r="M2696"/>
      <c r="S2696" s="54"/>
    </row>
    <row r="2697" spans="1:19" s="15" customFormat="1" x14ac:dyDescent="0.3">
      <c r="A2697" s="17"/>
      <c r="B2697"/>
      <c r="C2697"/>
      <c r="D2697"/>
      <c r="E2697"/>
      <c r="F2697"/>
      <c r="G2697"/>
      <c r="H2697"/>
      <c r="I2697"/>
      <c r="J2697"/>
      <c r="K2697"/>
      <c r="L2697"/>
      <c r="M2697"/>
      <c r="S2697" s="54"/>
    </row>
    <row r="2698" spans="1:19" s="15" customFormat="1" x14ac:dyDescent="0.3">
      <c r="A2698" s="17"/>
      <c r="B2698"/>
      <c r="C2698"/>
      <c r="D2698"/>
      <c r="E2698"/>
      <c r="F2698"/>
      <c r="G2698"/>
      <c r="H2698"/>
      <c r="I2698"/>
      <c r="J2698"/>
      <c r="K2698"/>
      <c r="L2698"/>
      <c r="M2698"/>
      <c r="S2698" s="54"/>
    </row>
    <row r="2699" spans="1:19" s="15" customFormat="1" x14ac:dyDescent="0.3">
      <c r="A2699" s="17"/>
      <c r="B2699"/>
      <c r="C2699"/>
      <c r="D2699"/>
      <c r="E2699"/>
      <c r="F2699"/>
      <c r="G2699"/>
      <c r="H2699"/>
      <c r="I2699"/>
      <c r="J2699"/>
      <c r="K2699"/>
      <c r="L2699"/>
      <c r="M2699"/>
      <c r="S2699" s="54"/>
    </row>
    <row r="2700" spans="1:19" s="15" customFormat="1" x14ac:dyDescent="0.3">
      <c r="A2700" s="17"/>
      <c r="B2700"/>
      <c r="C2700"/>
      <c r="D2700"/>
      <c r="E2700"/>
      <c r="F2700"/>
      <c r="G2700"/>
      <c r="H2700"/>
      <c r="I2700"/>
      <c r="J2700"/>
      <c r="K2700"/>
      <c r="L2700"/>
      <c r="M2700"/>
      <c r="S2700" s="54"/>
    </row>
    <row r="2701" spans="1:19" s="15" customFormat="1" x14ac:dyDescent="0.3">
      <c r="A2701" s="17"/>
      <c r="B2701"/>
      <c r="C2701"/>
      <c r="D2701"/>
      <c r="E2701"/>
      <c r="F2701"/>
      <c r="G2701"/>
      <c r="H2701"/>
      <c r="I2701"/>
      <c r="J2701"/>
      <c r="K2701"/>
      <c r="L2701"/>
      <c r="M2701"/>
      <c r="S2701" s="54"/>
    </row>
    <row r="2702" spans="1:19" s="15" customFormat="1" x14ac:dyDescent="0.3">
      <c r="A2702" s="17"/>
      <c r="B2702"/>
      <c r="C2702"/>
      <c r="D2702"/>
      <c r="E2702"/>
      <c r="F2702"/>
      <c r="G2702"/>
      <c r="H2702"/>
      <c r="I2702"/>
      <c r="J2702"/>
      <c r="K2702"/>
      <c r="L2702"/>
      <c r="M2702"/>
      <c r="S2702" s="54"/>
    </row>
    <row r="2703" spans="1:19" s="15" customFormat="1" x14ac:dyDescent="0.3">
      <c r="A2703" s="17"/>
      <c r="B2703"/>
      <c r="C2703"/>
      <c r="D2703"/>
      <c r="E2703"/>
      <c r="F2703"/>
      <c r="G2703"/>
      <c r="H2703"/>
      <c r="I2703"/>
      <c r="J2703"/>
      <c r="K2703"/>
      <c r="L2703"/>
      <c r="M2703"/>
      <c r="S2703" s="54"/>
    </row>
    <row r="2704" spans="1:19" s="15" customFormat="1" x14ac:dyDescent="0.3">
      <c r="A2704" s="17"/>
      <c r="B2704"/>
      <c r="C2704"/>
      <c r="D2704"/>
      <c r="E2704"/>
      <c r="F2704"/>
      <c r="G2704"/>
      <c r="H2704"/>
      <c r="I2704"/>
      <c r="J2704"/>
      <c r="K2704"/>
      <c r="L2704"/>
      <c r="M2704"/>
      <c r="S2704" s="54"/>
    </row>
    <row r="2705" spans="1:19" s="15" customFormat="1" x14ac:dyDescent="0.3">
      <c r="A2705" s="17"/>
      <c r="B2705"/>
      <c r="C2705"/>
      <c r="D2705"/>
      <c r="E2705"/>
      <c r="F2705"/>
      <c r="G2705"/>
      <c r="H2705"/>
      <c r="I2705"/>
      <c r="J2705"/>
      <c r="K2705"/>
      <c r="L2705"/>
      <c r="M2705"/>
      <c r="S2705" s="54"/>
    </row>
    <row r="2706" spans="1:19" s="15" customFormat="1" x14ac:dyDescent="0.3">
      <c r="A2706" s="17"/>
      <c r="B2706"/>
      <c r="C2706"/>
      <c r="D2706"/>
      <c r="E2706"/>
      <c r="F2706"/>
      <c r="G2706"/>
      <c r="H2706"/>
      <c r="I2706"/>
      <c r="J2706"/>
      <c r="K2706"/>
      <c r="L2706"/>
      <c r="M2706"/>
      <c r="S2706" s="54"/>
    </row>
    <row r="2707" spans="1:19" s="15" customFormat="1" x14ac:dyDescent="0.3">
      <c r="A2707" s="17"/>
      <c r="B2707"/>
      <c r="C2707"/>
      <c r="D2707"/>
      <c r="E2707"/>
      <c r="F2707"/>
      <c r="G2707"/>
      <c r="H2707"/>
      <c r="I2707"/>
      <c r="J2707"/>
      <c r="K2707"/>
      <c r="L2707"/>
      <c r="M2707"/>
      <c r="S2707" s="54"/>
    </row>
    <row r="2708" spans="1:19" s="15" customFormat="1" x14ac:dyDescent="0.3">
      <c r="A2708" s="17"/>
      <c r="B2708"/>
      <c r="C2708"/>
      <c r="D2708"/>
      <c r="E2708"/>
      <c r="F2708"/>
      <c r="G2708"/>
      <c r="H2708"/>
      <c r="I2708"/>
      <c r="J2708"/>
      <c r="K2708"/>
      <c r="L2708"/>
      <c r="M2708"/>
      <c r="S2708" s="54"/>
    </row>
    <row r="2709" spans="1:19" s="15" customFormat="1" x14ac:dyDescent="0.3">
      <c r="A2709" s="17"/>
      <c r="B2709"/>
      <c r="C2709"/>
      <c r="D2709"/>
      <c r="E2709"/>
      <c r="F2709"/>
      <c r="G2709"/>
      <c r="H2709"/>
      <c r="I2709"/>
      <c r="J2709"/>
      <c r="K2709"/>
      <c r="L2709"/>
      <c r="M2709"/>
      <c r="S2709" s="54"/>
    </row>
    <row r="2710" spans="1:19" s="15" customFormat="1" x14ac:dyDescent="0.3">
      <c r="A2710" s="17"/>
      <c r="B2710"/>
      <c r="C2710"/>
      <c r="D2710"/>
      <c r="E2710"/>
      <c r="F2710"/>
      <c r="G2710"/>
      <c r="H2710"/>
      <c r="I2710"/>
      <c r="J2710"/>
      <c r="K2710"/>
      <c r="L2710"/>
      <c r="M2710"/>
      <c r="S2710" s="54"/>
    </row>
    <row r="2711" spans="1:19" s="15" customFormat="1" x14ac:dyDescent="0.3">
      <c r="A2711" s="17"/>
      <c r="B2711"/>
      <c r="C2711"/>
      <c r="D2711"/>
      <c r="E2711"/>
      <c r="F2711"/>
      <c r="G2711"/>
      <c r="H2711"/>
      <c r="I2711"/>
      <c r="J2711"/>
      <c r="K2711"/>
      <c r="L2711"/>
      <c r="M2711"/>
      <c r="S2711" s="54"/>
    </row>
    <row r="2712" spans="1:19" s="15" customFormat="1" x14ac:dyDescent="0.3">
      <c r="A2712" s="17"/>
      <c r="B2712"/>
      <c r="C2712"/>
      <c r="D2712"/>
      <c r="E2712"/>
      <c r="F2712"/>
      <c r="G2712"/>
      <c r="H2712"/>
      <c r="I2712"/>
      <c r="J2712"/>
      <c r="K2712"/>
      <c r="L2712"/>
      <c r="M2712"/>
      <c r="S2712" s="54"/>
    </row>
    <row r="2713" spans="1:19" s="15" customFormat="1" x14ac:dyDescent="0.3">
      <c r="A2713" s="17"/>
      <c r="B2713"/>
      <c r="C2713"/>
      <c r="D2713"/>
      <c r="E2713"/>
      <c r="F2713"/>
      <c r="G2713"/>
      <c r="H2713"/>
      <c r="I2713"/>
      <c r="J2713"/>
      <c r="K2713"/>
      <c r="L2713"/>
      <c r="M2713"/>
      <c r="S2713" s="54"/>
    </row>
    <row r="2714" spans="1:19" s="15" customFormat="1" x14ac:dyDescent="0.3">
      <c r="A2714" s="17"/>
      <c r="B2714"/>
      <c r="C2714"/>
      <c r="D2714"/>
      <c r="E2714"/>
      <c r="F2714"/>
      <c r="G2714"/>
      <c r="H2714"/>
      <c r="I2714"/>
      <c r="J2714"/>
      <c r="K2714"/>
      <c r="L2714"/>
      <c r="M2714"/>
      <c r="S2714" s="54"/>
    </row>
    <row r="2715" spans="1:19" s="15" customFormat="1" x14ac:dyDescent="0.3">
      <c r="A2715" s="17"/>
      <c r="B2715"/>
      <c r="C2715"/>
      <c r="D2715"/>
      <c r="E2715"/>
      <c r="F2715"/>
      <c r="G2715"/>
      <c r="H2715"/>
      <c r="I2715"/>
      <c r="J2715"/>
      <c r="K2715"/>
      <c r="L2715"/>
      <c r="M2715"/>
      <c r="S2715" s="54"/>
    </row>
    <row r="2716" spans="1:19" s="15" customFormat="1" x14ac:dyDescent="0.3">
      <c r="A2716" s="17"/>
      <c r="B2716"/>
      <c r="C2716"/>
      <c r="D2716"/>
      <c r="E2716"/>
      <c r="F2716"/>
      <c r="G2716"/>
      <c r="H2716"/>
      <c r="I2716"/>
      <c r="J2716"/>
      <c r="K2716"/>
      <c r="L2716"/>
      <c r="M2716"/>
      <c r="S2716" s="54"/>
    </row>
    <row r="2717" spans="1:19" s="15" customFormat="1" x14ac:dyDescent="0.3">
      <c r="A2717" s="17"/>
      <c r="B2717"/>
      <c r="C2717"/>
      <c r="D2717"/>
      <c r="E2717"/>
      <c r="F2717"/>
      <c r="G2717"/>
      <c r="H2717"/>
      <c r="I2717"/>
      <c r="J2717"/>
      <c r="K2717"/>
      <c r="L2717"/>
      <c r="M2717"/>
      <c r="S2717" s="54"/>
    </row>
    <row r="2718" spans="1:19" s="15" customFormat="1" x14ac:dyDescent="0.3">
      <c r="A2718" s="17"/>
      <c r="B2718"/>
      <c r="C2718"/>
      <c r="D2718"/>
      <c r="E2718"/>
      <c r="F2718"/>
      <c r="G2718"/>
      <c r="H2718"/>
      <c r="I2718"/>
      <c r="J2718"/>
      <c r="K2718"/>
      <c r="L2718"/>
      <c r="M2718"/>
      <c r="S2718" s="54"/>
    </row>
    <row r="2719" spans="1:19" s="15" customFormat="1" x14ac:dyDescent="0.3">
      <c r="A2719" s="17"/>
      <c r="B2719"/>
      <c r="C2719"/>
      <c r="D2719"/>
      <c r="E2719"/>
      <c r="F2719"/>
      <c r="G2719"/>
      <c r="H2719"/>
      <c r="I2719"/>
      <c r="J2719"/>
      <c r="K2719"/>
      <c r="L2719"/>
      <c r="M2719"/>
      <c r="S2719" s="54"/>
    </row>
    <row r="2720" spans="1:19" s="15" customFormat="1" x14ac:dyDescent="0.3">
      <c r="A2720" s="17"/>
      <c r="B2720"/>
      <c r="C2720"/>
      <c r="D2720"/>
      <c r="E2720"/>
      <c r="F2720"/>
      <c r="G2720"/>
      <c r="H2720"/>
      <c r="I2720"/>
      <c r="J2720"/>
      <c r="K2720"/>
      <c r="L2720"/>
      <c r="M2720"/>
      <c r="S2720" s="54"/>
    </row>
    <row r="2721" spans="1:19" s="15" customFormat="1" x14ac:dyDescent="0.3">
      <c r="A2721" s="17"/>
      <c r="B2721"/>
      <c r="C2721"/>
      <c r="D2721"/>
      <c r="E2721"/>
      <c r="F2721"/>
      <c r="G2721"/>
      <c r="H2721"/>
      <c r="I2721"/>
      <c r="J2721"/>
      <c r="K2721"/>
      <c r="L2721"/>
      <c r="M2721"/>
      <c r="S2721" s="54"/>
    </row>
    <row r="2722" spans="1:19" s="15" customFormat="1" x14ac:dyDescent="0.3">
      <c r="A2722" s="17"/>
      <c r="B2722"/>
      <c r="C2722"/>
      <c r="D2722"/>
      <c r="E2722"/>
      <c r="F2722"/>
      <c r="G2722"/>
      <c r="H2722"/>
      <c r="I2722"/>
      <c r="J2722"/>
      <c r="K2722"/>
      <c r="L2722"/>
      <c r="M2722"/>
      <c r="S2722" s="54"/>
    </row>
    <row r="2723" spans="1:19" s="15" customFormat="1" x14ac:dyDescent="0.3">
      <c r="A2723" s="17"/>
      <c r="B2723"/>
      <c r="C2723"/>
      <c r="D2723"/>
      <c r="E2723"/>
      <c r="F2723"/>
      <c r="G2723"/>
      <c r="H2723"/>
      <c r="I2723"/>
      <c r="J2723"/>
      <c r="K2723"/>
      <c r="L2723"/>
      <c r="M2723"/>
      <c r="S2723" s="54"/>
    </row>
    <row r="2724" spans="1:19" s="15" customFormat="1" x14ac:dyDescent="0.3">
      <c r="A2724" s="17"/>
      <c r="B2724"/>
      <c r="C2724"/>
      <c r="D2724"/>
      <c r="E2724"/>
      <c r="F2724"/>
      <c r="G2724"/>
      <c r="H2724"/>
      <c r="I2724"/>
      <c r="J2724"/>
      <c r="K2724"/>
      <c r="L2724"/>
      <c r="M2724"/>
      <c r="S2724" s="54"/>
    </row>
    <row r="2725" spans="1:19" s="15" customFormat="1" x14ac:dyDescent="0.3">
      <c r="A2725" s="17"/>
      <c r="B2725"/>
      <c r="C2725"/>
      <c r="D2725"/>
      <c r="E2725"/>
      <c r="F2725"/>
      <c r="G2725"/>
      <c r="H2725"/>
      <c r="I2725"/>
      <c r="J2725"/>
      <c r="K2725"/>
      <c r="L2725"/>
      <c r="M2725"/>
      <c r="S2725" s="54"/>
    </row>
    <row r="2726" spans="1:19" s="15" customFormat="1" x14ac:dyDescent="0.3">
      <c r="A2726" s="17"/>
      <c r="B2726"/>
      <c r="C2726"/>
      <c r="D2726"/>
      <c r="E2726"/>
      <c r="F2726"/>
      <c r="G2726"/>
      <c r="H2726"/>
      <c r="I2726"/>
      <c r="J2726"/>
      <c r="K2726"/>
      <c r="L2726"/>
      <c r="M2726"/>
      <c r="S2726" s="54"/>
    </row>
    <row r="2727" spans="1:19" s="15" customFormat="1" x14ac:dyDescent="0.3">
      <c r="A2727" s="17"/>
      <c r="B2727"/>
      <c r="C2727"/>
      <c r="D2727"/>
      <c r="E2727"/>
      <c r="F2727"/>
      <c r="G2727"/>
      <c r="H2727"/>
      <c r="I2727"/>
      <c r="J2727"/>
      <c r="K2727"/>
      <c r="L2727"/>
      <c r="M2727"/>
      <c r="S2727" s="54"/>
    </row>
    <row r="2728" spans="1:19" s="15" customFormat="1" x14ac:dyDescent="0.3">
      <c r="A2728" s="17"/>
      <c r="B2728"/>
      <c r="C2728"/>
      <c r="D2728"/>
      <c r="E2728"/>
      <c r="F2728"/>
      <c r="G2728"/>
      <c r="H2728"/>
      <c r="I2728"/>
      <c r="J2728"/>
      <c r="K2728"/>
      <c r="L2728"/>
      <c r="M2728"/>
      <c r="S2728" s="54"/>
    </row>
    <row r="2729" spans="1:19" s="15" customFormat="1" x14ac:dyDescent="0.3">
      <c r="A2729" s="17"/>
      <c r="B2729"/>
      <c r="C2729"/>
      <c r="D2729"/>
      <c r="E2729"/>
      <c r="F2729"/>
      <c r="G2729"/>
      <c r="H2729"/>
      <c r="I2729"/>
      <c r="J2729"/>
      <c r="K2729"/>
      <c r="L2729"/>
      <c r="M2729"/>
      <c r="S2729" s="54"/>
    </row>
    <row r="2730" spans="1:19" s="15" customFormat="1" x14ac:dyDescent="0.3">
      <c r="A2730" s="17"/>
      <c r="B2730"/>
      <c r="C2730"/>
      <c r="D2730"/>
      <c r="E2730"/>
      <c r="F2730"/>
      <c r="G2730"/>
      <c r="H2730"/>
      <c r="I2730"/>
      <c r="J2730"/>
      <c r="K2730"/>
      <c r="L2730"/>
      <c r="M2730"/>
      <c r="S2730" s="54"/>
    </row>
    <row r="2731" spans="1:19" s="15" customFormat="1" x14ac:dyDescent="0.3">
      <c r="A2731" s="17"/>
      <c r="B2731"/>
      <c r="C2731"/>
      <c r="D2731"/>
      <c r="E2731"/>
      <c r="F2731"/>
      <c r="G2731"/>
      <c r="H2731"/>
      <c r="I2731"/>
      <c r="J2731"/>
      <c r="K2731"/>
      <c r="L2731"/>
      <c r="M2731"/>
      <c r="S2731" s="54"/>
    </row>
    <row r="2732" spans="1:19" s="15" customFormat="1" x14ac:dyDescent="0.3">
      <c r="A2732" s="17"/>
      <c r="B2732"/>
      <c r="C2732"/>
      <c r="D2732"/>
      <c r="E2732"/>
      <c r="F2732"/>
      <c r="G2732"/>
      <c r="H2732"/>
      <c r="I2732"/>
      <c r="J2732"/>
      <c r="K2732"/>
      <c r="L2732"/>
      <c r="M2732"/>
      <c r="S2732" s="54"/>
    </row>
    <row r="2733" spans="1:19" s="15" customFormat="1" x14ac:dyDescent="0.3">
      <c r="A2733" s="17"/>
      <c r="B2733"/>
      <c r="C2733"/>
      <c r="D2733"/>
      <c r="E2733"/>
      <c r="F2733"/>
      <c r="G2733"/>
      <c r="H2733"/>
      <c r="I2733"/>
      <c r="J2733"/>
      <c r="K2733"/>
      <c r="L2733"/>
      <c r="M2733"/>
      <c r="S2733" s="54"/>
    </row>
    <row r="2734" spans="1:19" s="15" customFormat="1" x14ac:dyDescent="0.3">
      <c r="A2734" s="17"/>
      <c r="B2734"/>
      <c r="C2734"/>
      <c r="D2734"/>
      <c r="E2734"/>
      <c r="F2734"/>
      <c r="G2734"/>
      <c r="H2734"/>
      <c r="I2734"/>
      <c r="J2734"/>
      <c r="K2734"/>
      <c r="L2734"/>
      <c r="M2734"/>
      <c r="S2734" s="54"/>
    </row>
    <row r="2735" spans="1:19" s="15" customFormat="1" x14ac:dyDescent="0.3">
      <c r="A2735" s="17"/>
      <c r="B2735"/>
      <c r="C2735"/>
      <c r="D2735"/>
      <c r="E2735"/>
      <c r="F2735"/>
      <c r="G2735"/>
      <c r="H2735"/>
      <c r="I2735"/>
      <c r="J2735"/>
      <c r="K2735"/>
      <c r="L2735"/>
      <c r="M2735"/>
      <c r="S2735" s="54"/>
    </row>
    <row r="2736" spans="1:19" s="15" customFormat="1" x14ac:dyDescent="0.3">
      <c r="A2736" s="17"/>
      <c r="B2736"/>
      <c r="C2736"/>
      <c r="D2736"/>
      <c r="E2736"/>
      <c r="F2736"/>
      <c r="G2736"/>
      <c r="H2736"/>
      <c r="I2736"/>
      <c r="J2736"/>
      <c r="K2736"/>
      <c r="L2736"/>
      <c r="M2736"/>
      <c r="S2736" s="54"/>
    </row>
    <row r="2737" spans="1:19" s="15" customFormat="1" x14ac:dyDescent="0.3">
      <c r="A2737" s="17"/>
      <c r="B2737"/>
      <c r="C2737"/>
      <c r="D2737"/>
      <c r="E2737"/>
      <c r="F2737"/>
      <c r="G2737"/>
      <c r="H2737"/>
      <c r="I2737"/>
      <c r="J2737"/>
      <c r="K2737"/>
      <c r="L2737"/>
      <c r="M2737"/>
      <c r="S2737" s="54"/>
    </row>
    <row r="2738" spans="1:19" s="15" customFormat="1" x14ac:dyDescent="0.3">
      <c r="A2738" s="17"/>
      <c r="B2738"/>
      <c r="C2738"/>
      <c r="D2738"/>
      <c r="E2738"/>
      <c r="F2738"/>
      <c r="G2738"/>
      <c r="H2738"/>
      <c r="I2738"/>
      <c r="J2738"/>
      <c r="K2738"/>
      <c r="L2738"/>
      <c r="M2738"/>
      <c r="S2738" s="54"/>
    </row>
    <row r="2739" spans="1:19" s="15" customFormat="1" x14ac:dyDescent="0.3">
      <c r="A2739" s="17"/>
      <c r="B2739"/>
      <c r="C2739"/>
      <c r="D2739"/>
      <c r="E2739"/>
      <c r="F2739"/>
      <c r="G2739"/>
      <c r="H2739"/>
      <c r="I2739"/>
      <c r="J2739"/>
      <c r="K2739"/>
      <c r="L2739"/>
      <c r="M2739"/>
      <c r="S2739" s="54"/>
    </row>
    <row r="2740" spans="1:19" s="15" customFormat="1" x14ac:dyDescent="0.3">
      <c r="A2740" s="17"/>
      <c r="B2740"/>
      <c r="C2740"/>
      <c r="D2740"/>
      <c r="E2740"/>
      <c r="F2740"/>
      <c r="G2740"/>
      <c r="H2740"/>
      <c r="I2740"/>
      <c r="J2740"/>
      <c r="K2740"/>
      <c r="L2740"/>
      <c r="M2740"/>
      <c r="S2740" s="54"/>
    </row>
    <row r="2741" spans="1:19" s="15" customFormat="1" x14ac:dyDescent="0.3">
      <c r="A2741" s="17"/>
      <c r="B2741"/>
      <c r="C2741"/>
      <c r="D2741"/>
      <c r="E2741"/>
      <c r="F2741"/>
      <c r="G2741"/>
      <c r="H2741"/>
      <c r="I2741"/>
      <c r="J2741"/>
      <c r="K2741"/>
      <c r="L2741"/>
      <c r="M2741"/>
      <c r="S2741" s="54"/>
    </row>
    <row r="2742" spans="1:19" s="15" customFormat="1" x14ac:dyDescent="0.3">
      <c r="A2742" s="17"/>
      <c r="B2742"/>
      <c r="C2742"/>
      <c r="D2742"/>
      <c r="E2742"/>
      <c r="F2742"/>
      <c r="G2742"/>
      <c r="H2742"/>
      <c r="I2742"/>
      <c r="J2742"/>
      <c r="K2742"/>
      <c r="L2742"/>
      <c r="M2742"/>
      <c r="S2742" s="54"/>
    </row>
    <row r="2743" spans="1:19" s="15" customFormat="1" x14ac:dyDescent="0.3">
      <c r="A2743" s="17"/>
      <c r="B2743"/>
      <c r="C2743"/>
      <c r="D2743"/>
      <c r="E2743"/>
      <c r="F2743"/>
      <c r="G2743"/>
      <c r="H2743"/>
      <c r="I2743"/>
      <c r="J2743"/>
      <c r="K2743"/>
      <c r="L2743"/>
      <c r="M2743"/>
      <c r="S2743" s="54"/>
    </row>
    <row r="2744" spans="1:19" s="15" customFormat="1" x14ac:dyDescent="0.3">
      <c r="A2744" s="17"/>
      <c r="B2744"/>
      <c r="C2744"/>
      <c r="D2744"/>
      <c r="E2744"/>
      <c r="F2744"/>
      <c r="G2744"/>
      <c r="H2744"/>
      <c r="I2744"/>
      <c r="J2744"/>
      <c r="K2744"/>
      <c r="L2744"/>
      <c r="M2744"/>
      <c r="S2744" s="54"/>
    </row>
    <row r="2745" spans="1:19" s="15" customFormat="1" x14ac:dyDescent="0.3">
      <c r="A2745" s="17"/>
      <c r="B2745"/>
      <c r="C2745"/>
      <c r="D2745"/>
      <c r="E2745"/>
      <c r="F2745"/>
      <c r="G2745"/>
      <c r="H2745"/>
      <c r="I2745"/>
      <c r="J2745"/>
      <c r="K2745"/>
      <c r="L2745"/>
      <c r="M2745"/>
      <c r="S2745" s="54"/>
    </row>
    <row r="2746" spans="1:19" s="15" customFormat="1" x14ac:dyDescent="0.3">
      <c r="A2746" s="17"/>
      <c r="B2746"/>
      <c r="C2746"/>
      <c r="D2746"/>
      <c r="E2746"/>
      <c r="F2746"/>
      <c r="G2746"/>
      <c r="H2746"/>
      <c r="I2746"/>
      <c r="J2746"/>
      <c r="K2746"/>
      <c r="L2746"/>
      <c r="M2746"/>
      <c r="S2746" s="54"/>
    </row>
    <row r="2747" spans="1:19" s="15" customFormat="1" x14ac:dyDescent="0.3">
      <c r="A2747" s="17"/>
      <c r="B2747"/>
      <c r="C2747"/>
      <c r="D2747"/>
      <c r="E2747"/>
      <c r="F2747"/>
      <c r="G2747"/>
      <c r="H2747"/>
      <c r="I2747"/>
      <c r="J2747"/>
      <c r="K2747"/>
      <c r="L2747"/>
      <c r="M2747"/>
      <c r="S2747" s="54"/>
    </row>
    <row r="2748" spans="1:19" s="15" customFormat="1" x14ac:dyDescent="0.3">
      <c r="A2748" s="17"/>
      <c r="B2748"/>
      <c r="C2748"/>
      <c r="D2748"/>
      <c r="E2748"/>
      <c r="F2748"/>
      <c r="G2748"/>
      <c r="H2748"/>
      <c r="I2748"/>
      <c r="J2748"/>
      <c r="K2748"/>
      <c r="L2748"/>
      <c r="M2748"/>
      <c r="S2748" s="54"/>
    </row>
    <row r="2749" spans="1:19" s="15" customFormat="1" x14ac:dyDescent="0.3">
      <c r="A2749" s="17"/>
      <c r="B2749"/>
      <c r="C2749"/>
      <c r="D2749"/>
      <c r="E2749"/>
      <c r="F2749"/>
      <c r="G2749"/>
      <c r="H2749"/>
      <c r="I2749"/>
      <c r="J2749"/>
      <c r="K2749"/>
      <c r="L2749"/>
      <c r="M2749"/>
      <c r="S2749" s="54"/>
    </row>
    <row r="2750" spans="1:19" s="15" customFormat="1" x14ac:dyDescent="0.3">
      <c r="A2750" s="17"/>
      <c r="B2750"/>
      <c r="C2750"/>
      <c r="D2750"/>
      <c r="E2750"/>
      <c r="F2750"/>
      <c r="G2750"/>
      <c r="H2750"/>
      <c r="I2750"/>
      <c r="J2750"/>
      <c r="K2750"/>
      <c r="L2750"/>
      <c r="M2750"/>
      <c r="S2750" s="54"/>
    </row>
    <row r="2751" spans="1:19" s="15" customFormat="1" x14ac:dyDescent="0.3">
      <c r="A2751" s="17"/>
      <c r="B2751"/>
      <c r="C2751"/>
      <c r="D2751"/>
      <c r="E2751"/>
      <c r="F2751"/>
      <c r="G2751"/>
      <c r="H2751"/>
      <c r="I2751"/>
      <c r="J2751"/>
      <c r="K2751"/>
      <c r="L2751"/>
      <c r="M2751"/>
      <c r="S2751" s="54"/>
    </row>
    <row r="2752" spans="1:19" s="15" customFormat="1" x14ac:dyDescent="0.3">
      <c r="A2752" s="17"/>
      <c r="B2752"/>
      <c r="C2752"/>
      <c r="D2752"/>
      <c r="E2752"/>
      <c r="F2752"/>
      <c r="G2752"/>
      <c r="H2752"/>
      <c r="I2752"/>
      <c r="J2752"/>
      <c r="K2752"/>
      <c r="L2752"/>
      <c r="M2752"/>
      <c r="S2752" s="54"/>
    </row>
    <row r="2753" spans="1:19" s="15" customFormat="1" x14ac:dyDescent="0.3">
      <c r="A2753" s="17"/>
      <c r="B2753"/>
      <c r="C2753"/>
      <c r="D2753"/>
      <c r="E2753"/>
      <c r="F2753"/>
      <c r="G2753"/>
      <c r="H2753"/>
      <c r="I2753"/>
      <c r="J2753"/>
      <c r="K2753"/>
      <c r="L2753"/>
      <c r="M2753"/>
      <c r="S2753" s="54"/>
    </row>
    <row r="2754" spans="1:19" s="15" customFormat="1" x14ac:dyDescent="0.3">
      <c r="A2754" s="17"/>
      <c r="B2754"/>
      <c r="C2754"/>
      <c r="D2754"/>
      <c r="E2754"/>
      <c r="F2754"/>
      <c r="G2754"/>
      <c r="H2754"/>
      <c r="I2754"/>
      <c r="J2754"/>
      <c r="K2754"/>
      <c r="L2754"/>
      <c r="M2754"/>
      <c r="S2754" s="54"/>
    </row>
    <row r="2755" spans="1:19" s="15" customFormat="1" x14ac:dyDescent="0.3">
      <c r="A2755" s="17"/>
      <c r="B2755"/>
      <c r="C2755"/>
      <c r="D2755"/>
      <c r="E2755"/>
      <c r="F2755"/>
      <c r="G2755"/>
      <c r="H2755"/>
      <c r="I2755"/>
      <c r="J2755"/>
      <c r="K2755"/>
      <c r="L2755"/>
      <c r="M2755"/>
      <c r="S2755" s="54"/>
    </row>
    <row r="2756" spans="1:19" s="15" customFormat="1" x14ac:dyDescent="0.3">
      <c r="A2756" s="17"/>
      <c r="B2756"/>
      <c r="C2756"/>
      <c r="D2756"/>
      <c r="E2756"/>
      <c r="F2756"/>
      <c r="G2756"/>
      <c r="H2756"/>
      <c r="I2756"/>
      <c r="J2756"/>
      <c r="K2756"/>
      <c r="L2756"/>
      <c r="M2756"/>
      <c r="S2756" s="54"/>
    </row>
    <row r="2757" spans="1:19" s="15" customFormat="1" x14ac:dyDescent="0.3">
      <c r="A2757" s="17"/>
      <c r="B2757"/>
      <c r="C2757"/>
      <c r="D2757"/>
      <c r="E2757"/>
      <c r="F2757"/>
      <c r="G2757"/>
      <c r="H2757"/>
      <c r="I2757"/>
      <c r="J2757"/>
      <c r="K2757"/>
      <c r="L2757"/>
      <c r="M2757"/>
      <c r="S2757" s="54"/>
    </row>
    <row r="2758" spans="1:19" s="15" customFormat="1" x14ac:dyDescent="0.3">
      <c r="A2758" s="17"/>
      <c r="B2758"/>
      <c r="C2758"/>
      <c r="D2758"/>
      <c r="E2758"/>
      <c r="F2758"/>
      <c r="G2758"/>
      <c r="H2758"/>
      <c r="I2758"/>
      <c r="J2758"/>
      <c r="K2758"/>
      <c r="L2758"/>
      <c r="M2758"/>
      <c r="S2758" s="54"/>
    </row>
    <row r="2759" spans="1:19" s="15" customFormat="1" x14ac:dyDescent="0.3">
      <c r="A2759" s="17"/>
      <c r="B2759"/>
      <c r="C2759"/>
      <c r="D2759"/>
      <c r="E2759"/>
      <c r="F2759"/>
      <c r="G2759"/>
      <c r="H2759"/>
      <c r="I2759"/>
      <c r="J2759"/>
      <c r="K2759"/>
      <c r="L2759"/>
      <c r="M2759"/>
      <c r="S2759" s="54"/>
    </row>
    <row r="2760" spans="1:19" s="15" customFormat="1" x14ac:dyDescent="0.3">
      <c r="A2760" s="17"/>
      <c r="B2760"/>
      <c r="C2760"/>
      <c r="D2760"/>
      <c r="E2760"/>
      <c r="F2760"/>
      <c r="G2760"/>
      <c r="H2760"/>
      <c r="I2760"/>
      <c r="J2760"/>
      <c r="K2760"/>
      <c r="L2760"/>
      <c r="M2760"/>
      <c r="S2760" s="54"/>
    </row>
    <row r="2761" spans="1:19" s="15" customFormat="1" x14ac:dyDescent="0.3">
      <c r="A2761" s="17"/>
      <c r="B2761"/>
      <c r="C2761"/>
      <c r="D2761"/>
      <c r="E2761"/>
      <c r="F2761"/>
      <c r="G2761"/>
      <c r="H2761"/>
      <c r="I2761"/>
      <c r="J2761"/>
      <c r="K2761"/>
      <c r="L2761"/>
      <c r="M2761"/>
      <c r="S2761" s="54"/>
    </row>
    <row r="2762" spans="1:19" s="15" customFormat="1" x14ac:dyDescent="0.3">
      <c r="A2762" s="17"/>
      <c r="B2762"/>
      <c r="C2762"/>
      <c r="D2762"/>
      <c r="E2762"/>
      <c r="F2762"/>
      <c r="G2762"/>
      <c r="H2762"/>
      <c r="I2762"/>
      <c r="J2762"/>
      <c r="K2762"/>
      <c r="L2762"/>
      <c r="M2762"/>
      <c r="S2762" s="54"/>
    </row>
    <row r="2763" spans="1:19" s="15" customFormat="1" x14ac:dyDescent="0.3">
      <c r="A2763" s="17"/>
      <c r="B2763"/>
      <c r="C2763"/>
      <c r="D2763"/>
      <c r="E2763"/>
      <c r="F2763"/>
      <c r="G2763"/>
      <c r="H2763"/>
      <c r="I2763"/>
      <c r="J2763"/>
      <c r="K2763"/>
      <c r="L2763"/>
      <c r="M2763"/>
      <c r="S2763" s="54"/>
    </row>
    <row r="2764" spans="1:19" s="15" customFormat="1" x14ac:dyDescent="0.3">
      <c r="A2764" s="17"/>
      <c r="B2764"/>
      <c r="C2764"/>
      <c r="D2764"/>
      <c r="E2764"/>
      <c r="F2764"/>
      <c r="G2764"/>
      <c r="H2764"/>
      <c r="I2764"/>
      <c r="J2764"/>
      <c r="K2764"/>
      <c r="L2764"/>
      <c r="M2764"/>
      <c r="S2764" s="54"/>
    </row>
    <row r="2765" spans="1:19" s="15" customFormat="1" x14ac:dyDescent="0.3">
      <c r="A2765" s="17"/>
      <c r="B2765"/>
      <c r="C2765"/>
      <c r="D2765"/>
      <c r="E2765"/>
      <c r="F2765"/>
      <c r="G2765"/>
      <c r="H2765"/>
      <c r="I2765"/>
      <c r="J2765"/>
      <c r="K2765"/>
      <c r="L2765"/>
      <c r="M2765"/>
      <c r="S2765" s="54"/>
    </row>
    <row r="2766" spans="1:19" s="15" customFormat="1" x14ac:dyDescent="0.3">
      <c r="A2766" s="17"/>
      <c r="B2766"/>
      <c r="C2766"/>
      <c r="D2766"/>
      <c r="E2766"/>
      <c r="F2766"/>
      <c r="G2766"/>
      <c r="H2766"/>
      <c r="I2766"/>
      <c r="J2766"/>
      <c r="K2766"/>
      <c r="L2766"/>
      <c r="M2766"/>
      <c r="S2766" s="54"/>
    </row>
    <row r="2767" spans="1:19" s="15" customFormat="1" x14ac:dyDescent="0.3">
      <c r="A2767" s="17"/>
      <c r="B2767"/>
      <c r="C2767"/>
      <c r="D2767"/>
      <c r="E2767"/>
      <c r="F2767"/>
      <c r="G2767"/>
      <c r="H2767"/>
      <c r="I2767"/>
      <c r="J2767"/>
      <c r="K2767"/>
      <c r="L2767"/>
      <c r="M2767"/>
      <c r="S2767" s="54"/>
    </row>
    <row r="2768" spans="1:19" s="15" customFormat="1" x14ac:dyDescent="0.3">
      <c r="A2768" s="17"/>
      <c r="B2768"/>
      <c r="C2768"/>
      <c r="D2768"/>
      <c r="E2768"/>
      <c r="F2768"/>
      <c r="G2768"/>
      <c r="H2768"/>
      <c r="I2768"/>
      <c r="J2768"/>
      <c r="K2768"/>
      <c r="L2768"/>
      <c r="M2768"/>
      <c r="S2768" s="54"/>
    </row>
    <row r="2769" spans="1:19" s="15" customFormat="1" x14ac:dyDescent="0.3">
      <c r="A2769" s="17"/>
      <c r="B2769"/>
      <c r="C2769"/>
      <c r="D2769"/>
      <c r="E2769"/>
      <c r="F2769"/>
      <c r="G2769"/>
      <c r="H2769"/>
      <c r="I2769"/>
      <c r="J2769"/>
      <c r="K2769"/>
      <c r="L2769"/>
      <c r="M2769"/>
      <c r="S2769" s="54"/>
    </row>
    <row r="2770" spans="1:19" s="15" customFormat="1" x14ac:dyDescent="0.3">
      <c r="A2770" s="17"/>
      <c r="B2770"/>
      <c r="C2770"/>
      <c r="D2770"/>
      <c r="E2770"/>
      <c r="F2770"/>
      <c r="G2770"/>
      <c r="H2770"/>
      <c r="I2770"/>
      <c r="J2770"/>
      <c r="K2770"/>
      <c r="L2770"/>
      <c r="M2770"/>
      <c r="S2770" s="54"/>
    </row>
    <row r="2771" spans="1:19" s="15" customFormat="1" x14ac:dyDescent="0.3">
      <c r="A2771" s="17"/>
      <c r="B2771"/>
      <c r="C2771"/>
      <c r="D2771"/>
      <c r="E2771"/>
      <c r="F2771"/>
      <c r="G2771"/>
      <c r="H2771"/>
      <c r="I2771"/>
      <c r="J2771"/>
      <c r="K2771"/>
      <c r="L2771"/>
      <c r="M2771"/>
      <c r="S2771" s="54"/>
    </row>
    <row r="2772" spans="1:19" s="15" customFormat="1" x14ac:dyDescent="0.3">
      <c r="A2772" s="17"/>
      <c r="B2772"/>
      <c r="C2772"/>
      <c r="D2772"/>
      <c r="E2772"/>
      <c r="F2772"/>
      <c r="G2772"/>
      <c r="H2772"/>
      <c r="I2772"/>
      <c r="J2772"/>
      <c r="K2772"/>
      <c r="L2772"/>
      <c r="M2772"/>
      <c r="S2772" s="54"/>
    </row>
    <row r="2773" spans="1:19" s="15" customFormat="1" x14ac:dyDescent="0.3">
      <c r="A2773" s="17"/>
      <c r="B2773"/>
      <c r="C2773"/>
      <c r="D2773"/>
      <c r="E2773"/>
      <c r="F2773"/>
      <c r="G2773"/>
      <c r="H2773"/>
      <c r="I2773"/>
      <c r="J2773"/>
      <c r="K2773"/>
      <c r="L2773"/>
      <c r="M2773"/>
      <c r="S2773" s="54"/>
    </row>
    <row r="2774" spans="1:19" s="15" customFormat="1" x14ac:dyDescent="0.3">
      <c r="A2774" s="17"/>
      <c r="B2774"/>
      <c r="C2774"/>
      <c r="D2774"/>
      <c r="E2774"/>
      <c r="F2774"/>
      <c r="G2774"/>
      <c r="H2774"/>
      <c r="I2774"/>
      <c r="J2774"/>
      <c r="K2774"/>
      <c r="L2774"/>
      <c r="M2774"/>
      <c r="S2774" s="54"/>
    </row>
    <row r="2775" spans="1:19" s="15" customFormat="1" x14ac:dyDescent="0.3">
      <c r="A2775" s="17"/>
      <c r="B2775"/>
      <c r="C2775"/>
      <c r="D2775"/>
      <c r="E2775"/>
      <c r="F2775"/>
      <c r="G2775"/>
      <c r="H2775"/>
      <c r="I2775"/>
      <c r="J2775"/>
      <c r="K2775"/>
      <c r="L2775"/>
      <c r="M2775"/>
      <c r="S2775" s="54"/>
    </row>
    <row r="2776" spans="1:19" s="15" customFormat="1" x14ac:dyDescent="0.3">
      <c r="A2776" s="17"/>
      <c r="B2776"/>
      <c r="C2776"/>
      <c r="D2776"/>
      <c r="E2776"/>
      <c r="F2776"/>
      <c r="G2776"/>
      <c r="H2776"/>
      <c r="I2776"/>
      <c r="J2776"/>
      <c r="K2776"/>
      <c r="L2776"/>
      <c r="M2776"/>
      <c r="S2776" s="54"/>
    </row>
    <row r="2777" spans="1:19" s="15" customFormat="1" x14ac:dyDescent="0.3">
      <c r="A2777" s="17"/>
      <c r="B2777"/>
      <c r="C2777"/>
      <c r="D2777"/>
      <c r="E2777"/>
      <c r="F2777"/>
      <c r="G2777"/>
      <c r="H2777"/>
      <c r="I2777"/>
      <c r="J2777"/>
      <c r="K2777"/>
      <c r="L2777"/>
      <c r="M2777"/>
      <c r="S2777" s="54"/>
    </row>
    <row r="2778" spans="1:19" s="15" customFormat="1" x14ac:dyDescent="0.3">
      <c r="A2778" s="17"/>
      <c r="B2778"/>
      <c r="C2778"/>
      <c r="D2778"/>
      <c r="E2778"/>
      <c r="F2778"/>
      <c r="G2778"/>
      <c r="H2778"/>
      <c r="I2778"/>
      <c r="J2778"/>
      <c r="K2778"/>
      <c r="L2778"/>
      <c r="M2778"/>
      <c r="S2778" s="54"/>
    </row>
    <row r="2779" spans="1:19" s="15" customFormat="1" x14ac:dyDescent="0.3">
      <c r="A2779" s="17"/>
      <c r="B2779"/>
      <c r="C2779"/>
      <c r="D2779"/>
      <c r="E2779"/>
      <c r="F2779"/>
      <c r="G2779"/>
      <c r="H2779"/>
      <c r="I2779"/>
      <c r="J2779"/>
      <c r="K2779"/>
      <c r="L2779"/>
      <c r="M2779"/>
      <c r="S2779" s="54"/>
    </row>
    <row r="2780" spans="1:19" s="15" customFormat="1" x14ac:dyDescent="0.3">
      <c r="A2780" s="17"/>
      <c r="B2780"/>
      <c r="C2780"/>
      <c r="D2780"/>
      <c r="E2780"/>
      <c r="F2780"/>
      <c r="G2780"/>
      <c r="H2780"/>
      <c r="I2780"/>
      <c r="J2780"/>
      <c r="K2780"/>
      <c r="L2780"/>
      <c r="M2780"/>
      <c r="S2780" s="54"/>
    </row>
    <row r="2781" spans="1:19" s="15" customFormat="1" x14ac:dyDescent="0.3">
      <c r="A2781" s="17"/>
      <c r="B2781"/>
      <c r="C2781"/>
      <c r="D2781"/>
      <c r="E2781"/>
      <c r="F2781"/>
      <c r="G2781"/>
      <c r="H2781"/>
      <c r="I2781"/>
      <c r="J2781"/>
      <c r="K2781"/>
      <c r="L2781"/>
      <c r="M2781"/>
      <c r="S2781" s="54"/>
    </row>
    <row r="2782" spans="1:19" s="15" customFormat="1" x14ac:dyDescent="0.3">
      <c r="A2782" s="17"/>
      <c r="B2782"/>
      <c r="C2782"/>
      <c r="D2782"/>
      <c r="E2782"/>
      <c r="F2782"/>
      <c r="G2782"/>
      <c r="H2782"/>
      <c r="I2782"/>
      <c r="J2782"/>
      <c r="K2782"/>
      <c r="L2782"/>
      <c r="M2782"/>
      <c r="S2782" s="54"/>
    </row>
    <row r="2783" spans="1:19" s="15" customFormat="1" x14ac:dyDescent="0.3">
      <c r="A2783" s="17"/>
      <c r="B2783"/>
      <c r="C2783"/>
      <c r="D2783"/>
      <c r="E2783"/>
      <c r="F2783"/>
      <c r="G2783"/>
      <c r="H2783"/>
      <c r="I2783"/>
      <c r="J2783"/>
      <c r="K2783"/>
      <c r="L2783"/>
      <c r="M2783"/>
      <c r="S2783" s="54"/>
    </row>
    <row r="2784" spans="1:19" s="15" customFormat="1" x14ac:dyDescent="0.3">
      <c r="A2784" s="17"/>
      <c r="B2784"/>
      <c r="C2784"/>
      <c r="D2784"/>
      <c r="E2784"/>
      <c r="F2784"/>
      <c r="G2784"/>
      <c r="H2784"/>
      <c r="I2784"/>
      <c r="J2784"/>
      <c r="K2784"/>
      <c r="L2784"/>
      <c r="M2784"/>
      <c r="S2784" s="54"/>
    </row>
    <row r="2785" spans="1:19" s="15" customFormat="1" x14ac:dyDescent="0.3">
      <c r="A2785" s="17"/>
      <c r="B2785"/>
      <c r="C2785"/>
      <c r="D2785"/>
      <c r="E2785"/>
      <c r="F2785"/>
      <c r="G2785"/>
      <c r="H2785"/>
      <c r="I2785"/>
      <c r="J2785"/>
      <c r="K2785"/>
      <c r="L2785"/>
      <c r="M2785"/>
      <c r="S2785" s="54"/>
    </row>
    <row r="2786" spans="1:19" s="15" customFormat="1" x14ac:dyDescent="0.3">
      <c r="A2786" s="17"/>
      <c r="B2786"/>
      <c r="C2786"/>
      <c r="D2786"/>
      <c r="E2786"/>
      <c r="F2786"/>
      <c r="G2786"/>
      <c r="H2786"/>
      <c r="I2786"/>
      <c r="J2786"/>
      <c r="K2786"/>
      <c r="L2786"/>
      <c r="M2786"/>
      <c r="S2786" s="54"/>
    </row>
    <row r="2787" spans="1:19" s="15" customFormat="1" x14ac:dyDescent="0.3">
      <c r="A2787" s="17"/>
      <c r="B2787"/>
      <c r="C2787"/>
      <c r="D2787"/>
      <c r="E2787"/>
      <c r="F2787"/>
      <c r="G2787"/>
      <c r="H2787"/>
      <c r="I2787"/>
      <c r="J2787"/>
      <c r="K2787"/>
      <c r="L2787"/>
      <c r="M2787"/>
      <c r="S2787" s="54"/>
    </row>
    <row r="2788" spans="1:19" s="15" customFormat="1" x14ac:dyDescent="0.3">
      <c r="A2788" s="17"/>
      <c r="B2788"/>
      <c r="C2788"/>
      <c r="D2788"/>
      <c r="E2788"/>
      <c r="F2788"/>
      <c r="G2788"/>
      <c r="H2788"/>
      <c r="I2788"/>
      <c r="J2788"/>
      <c r="K2788"/>
      <c r="L2788"/>
      <c r="M2788"/>
      <c r="S2788" s="54"/>
    </row>
    <row r="2789" spans="1:19" s="15" customFormat="1" x14ac:dyDescent="0.3">
      <c r="A2789" s="17"/>
      <c r="B2789"/>
      <c r="C2789"/>
      <c r="D2789"/>
      <c r="E2789"/>
      <c r="F2789"/>
      <c r="G2789"/>
      <c r="H2789"/>
      <c r="I2789"/>
      <c r="J2789"/>
      <c r="K2789"/>
      <c r="L2789"/>
      <c r="M2789"/>
      <c r="S2789" s="54"/>
    </row>
    <row r="2790" spans="1:19" s="15" customFormat="1" x14ac:dyDescent="0.3">
      <c r="A2790" s="17"/>
      <c r="B2790"/>
      <c r="C2790"/>
      <c r="D2790"/>
      <c r="E2790"/>
      <c r="F2790"/>
      <c r="G2790"/>
      <c r="H2790"/>
      <c r="I2790"/>
      <c r="J2790"/>
      <c r="K2790"/>
      <c r="L2790"/>
      <c r="M2790"/>
      <c r="S2790" s="54"/>
    </row>
    <row r="2791" spans="1:19" s="15" customFormat="1" x14ac:dyDescent="0.3">
      <c r="A2791" s="17"/>
      <c r="B2791"/>
      <c r="C2791"/>
      <c r="D2791"/>
      <c r="E2791"/>
      <c r="F2791"/>
      <c r="G2791"/>
      <c r="H2791"/>
      <c r="I2791"/>
      <c r="J2791"/>
      <c r="K2791"/>
      <c r="L2791"/>
      <c r="M2791"/>
      <c r="S2791" s="54"/>
    </row>
    <row r="2792" spans="1:19" s="15" customFormat="1" x14ac:dyDescent="0.3">
      <c r="A2792" s="17"/>
      <c r="B2792"/>
      <c r="C2792"/>
      <c r="D2792"/>
      <c r="E2792"/>
      <c r="F2792"/>
      <c r="G2792"/>
      <c r="H2792"/>
      <c r="I2792"/>
      <c r="J2792"/>
      <c r="K2792"/>
      <c r="L2792"/>
      <c r="M2792"/>
      <c r="S2792" s="54"/>
    </row>
    <row r="2793" spans="1:19" s="15" customFormat="1" x14ac:dyDescent="0.3">
      <c r="A2793" s="17"/>
      <c r="B2793"/>
      <c r="C2793"/>
      <c r="D2793"/>
      <c r="E2793"/>
      <c r="F2793"/>
      <c r="G2793"/>
      <c r="H2793"/>
      <c r="I2793"/>
      <c r="J2793"/>
      <c r="K2793"/>
      <c r="L2793"/>
      <c r="M2793"/>
      <c r="S2793" s="54"/>
    </row>
    <row r="2794" spans="1:19" s="15" customFormat="1" x14ac:dyDescent="0.3">
      <c r="A2794" s="17"/>
      <c r="B2794"/>
      <c r="C2794"/>
      <c r="D2794"/>
      <c r="E2794"/>
      <c r="F2794"/>
      <c r="G2794"/>
      <c r="H2794"/>
      <c r="I2794"/>
      <c r="J2794"/>
      <c r="K2794"/>
      <c r="L2794"/>
      <c r="M2794"/>
      <c r="S2794" s="54"/>
    </row>
    <row r="2795" spans="1:19" s="15" customFormat="1" x14ac:dyDescent="0.3">
      <c r="A2795" s="17"/>
      <c r="B2795"/>
      <c r="C2795"/>
      <c r="D2795"/>
      <c r="E2795"/>
      <c r="F2795"/>
      <c r="G2795"/>
      <c r="H2795"/>
      <c r="I2795"/>
      <c r="J2795"/>
      <c r="K2795"/>
      <c r="L2795"/>
      <c r="M2795"/>
      <c r="S2795" s="54"/>
    </row>
    <row r="2796" spans="1:19" s="15" customFormat="1" x14ac:dyDescent="0.3">
      <c r="A2796" s="17"/>
      <c r="B2796"/>
      <c r="C2796"/>
      <c r="D2796"/>
      <c r="E2796"/>
      <c r="F2796"/>
      <c r="G2796"/>
      <c r="H2796"/>
      <c r="I2796"/>
      <c r="J2796"/>
      <c r="K2796"/>
      <c r="L2796"/>
      <c r="M2796"/>
      <c r="S2796" s="54"/>
    </row>
    <row r="2797" spans="1:19" s="15" customFormat="1" x14ac:dyDescent="0.3">
      <c r="A2797" s="17"/>
      <c r="B2797"/>
      <c r="C2797"/>
      <c r="D2797"/>
      <c r="E2797"/>
      <c r="F2797"/>
      <c r="G2797"/>
      <c r="H2797"/>
      <c r="I2797"/>
      <c r="J2797"/>
      <c r="K2797"/>
      <c r="L2797"/>
      <c r="M2797"/>
      <c r="S2797" s="54"/>
    </row>
    <row r="2798" spans="1:19" s="15" customFormat="1" x14ac:dyDescent="0.3">
      <c r="A2798" s="17"/>
      <c r="B2798"/>
      <c r="C2798"/>
      <c r="D2798"/>
      <c r="E2798"/>
      <c r="F2798"/>
      <c r="G2798"/>
      <c r="H2798"/>
      <c r="I2798"/>
      <c r="J2798"/>
      <c r="K2798"/>
      <c r="L2798"/>
      <c r="M2798"/>
      <c r="S2798" s="54"/>
    </row>
    <row r="2799" spans="1:19" s="15" customFormat="1" x14ac:dyDescent="0.3">
      <c r="A2799" s="17"/>
      <c r="B2799"/>
      <c r="C2799"/>
      <c r="D2799"/>
      <c r="E2799"/>
      <c r="F2799"/>
      <c r="G2799"/>
      <c r="H2799"/>
      <c r="I2799"/>
      <c r="J2799"/>
      <c r="K2799"/>
      <c r="L2799"/>
      <c r="M2799"/>
      <c r="S2799" s="54"/>
    </row>
    <row r="2800" spans="1:19" s="15" customFormat="1" x14ac:dyDescent="0.3">
      <c r="A2800" s="17"/>
      <c r="B2800"/>
      <c r="C2800"/>
      <c r="D2800"/>
      <c r="E2800"/>
      <c r="F2800"/>
      <c r="G2800"/>
      <c r="H2800"/>
      <c r="I2800"/>
      <c r="J2800"/>
      <c r="K2800"/>
      <c r="L2800"/>
      <c r="M2800"/>
      <c r="S2800" s="54"/>
    </row>
    <row r="2801" spans="1:19" s="15" customFormat="1" x14ac:dyDescent="0.3">
      <c r="A2801" s="17"/>
      <c r="B2801"/>
      <c r="C2801"/>
      <c r="D2801"/>
      <c r="E2801"/>
      <c r="F2801"/>
      <c r="G2801"/>
      <c r="H2801"/>
      <c r="I2801"/>
      <c r="J2801"/>
      <c r="K2801"/>
      <c r="L2801"/>
      <c r="M2801"/>
      <c r="S2801" s="54"/>
    </row>
    <row r="2802" spans="1:19" s="15" customFormat="1" x14ac:dyDescent="0.3">
      <c r="A2802" s="17"/>
      <c r="B2802"/>
      <c r="C2802"/>
      <c r="D2802"/>
      <c r="E2802"/>
      <c r="F2802"/>
      <c r="G2802"/>
      <c r="H2802"/>
      <c r="I2802"/>
      <c r="J2802"/>
      <c r="K2802"/>
      <c r="L2802"/>
      <c r="M2802"/>
      <c r="S2802" s="54"/>
    </row>
    <row r="2803" spans="1:19" s="15" customFormat="1" x14ac:dyDescent="0.3">
      <c r="A2803" s="17"/>
      <c r="B2803"/>
      <c r="C2803"/>
      <c r="D2803"/>
      <c r="E2803"/>
      <c r="F2803"/>
      <c r="G2803"/>
      <c r="H2803"/>
      <c r="I2803"/>
      <c r="J2803"/>
      <c r="K2803"/>
      <c r="L2803"/>
      <c r="M2803"/>
      <c r="S2803" s="54"/>
    </row>
    <row r="2804" spans="1:19" s="15" customFormat="1" x14ac:dyDescent="0.3">
      <c r="A2804" s="17"/>
      <c r="B2804"/>
      <c r="C2804"/>
      <c r="D2804"/>
      <c r="E2804"/>
      <c r="F2804"/>
      <c r="G2804"/>
      <c r="H2804"/>
      <c r="I2804"/>
      <c r="J2804"/>
      <c r="K2804"/>
      <c r="L2804"/>
      <c r="M2804"/>
      <c r="S2804" s="54"/>
    </row>
    <row r="2805" spans="1:19" s="15" customFormat="1" x14ac:dyDescent="0.3">
      <c r="A2805" s="17"/>
      <c r="B2805"/>
      <c r="C2805"/>
      <c r="D2805"/>
      <c r="E2805"/>
      <c r="F2805"/>
      <c r="G2805"/>
      <c r="H2805"/>
      <c r="I2805"/>
      <c r="J2805"/>
      <c r="K2805"/>
      <c r="L2805"/>
      <c r="M2805"/>
      <c r="S2805" s="54"/>
    </row>
    <row r="2806" spans="1:19" s="15" customFormat="1" x14ac:dyDescent="0.3">
      <c r="A2806" s="17"/>
      <c r="B2806"/>
      <c r="C2806"/>
      <c r="D2806"/>
      <c r="E2806"/>
      <c r="F2806"/>
      <c r="G2806"/>
      <c r="H2806"/>
      <c r="I2806"/>
      <c r="J2806"/>
      <c r="K2806"/>
      <c r="L2806"/>
      <c r="M2806"/>
      <c r="S2806" s="54"/>
    </row>
    <row r="2807" spans="1:19" s="15" customFormat="1" x14ac:dyDescent="0.3">
      <c r="A2807" s="17"/>
      <c r="B2807"/>
      <c r="C2807"/>
      <c r="D2807"/>
      <c r="E2807"/>
      <c r="F2807"/>
      <c r="G2807"/>
      <c r="H2807"/>
      <c r="I2807"/>
      <c r="J2807"/>
      <c r="K2807"/>
      <c r="L2807"/>
      <c r="M2807"/>
      <c r="S2807" s="54"/>
    </row>
    <row r="2808" spans="1:19" s="15" customFormat="1" x14ac:dyDescent="0.3">
      <c r="A2808" s="17"/>
      <c r="B2808"/>
      <c r="C2808"/>
      <c r="D2808"/>
      <c r="E2808"/>
      <c r="F2808"/>
      <c r="G2808"/>
      <c r="H2808"/>
      <c r="I2808"/>
      <c r="J2808"/>
      <c r="K2808"/>
      <c r="L2808"/>
      <c r="M2808"/>
      <c r="S2808" s="54"/>
    </row>
    <row r="2809" spans="1:19" s="15" customFormat="1" x14ac:dyDescent="0.3">
      <c r="A2809" s="17"/>
      <c r="B2809"/>
      <c r="C2809"/>
      <c r="D2809"/>
      <c r="E2809"/>
      <c r="F2809"/>
      <c r="G2809"/>
      <c r="H2809"/>
      <c r="I2809"/>
      <c r="J2809"/>
      <c r="K2809"/>
      <c r="L2809"/>
      <c r="M2809"/>
      <c r="S2809" s="54"/>
    </row>
    <row r="2810" spans="1:19" s="15" customFormat="1" x14ac:dyDescent="0.3">
      <c r="A2810" s="17"/>
      <c r="B2810"/>
      <c r="C2810"/>
      <c r="D2810"/>
      <c r="E2810"/>
      <c r="F2810"/>
      <c r="G2810"/>
      <c r="H2810"/>
      <c r="I2810"/>
      <c r="J2810"/>
      <c r="K2810"/>
      <c r="L2810"/>
      <c r="M2810"/>
      <c r="S2810" s="54"/>
    </row>
    <row r="2811" spans="1:19" s="15" customFormat="1" x14ac:dyDescent="0.3">
      <c r="A2811" s="17"/>
      <c r="B2811"/>
      <c r="C2811"/>
      <c r="D2811"/>
      <c r="E2811"/>
      <c r="F2811"/>
      <c r="G2811"/>
      <c r="H2811"/>
      <c r="I2811"/>
      <c r="J2811"/>
      <c r="K2811"/>
      <c r="L2811"/>
      <c r="M2811"/>
      <c r="S2811" s="54"/>
    </row>
    <row r="2812" spans="1:19" s="15" customFormat="1" x14ac:dyDescent="0.3">
      <c r="A2812" s="17"/>
      <c r="B2812"/>
      <c r="C2812"/>
      <c r="D2812"/>
      <c r="E2812"/>
      <c r="F2812"/>
      <c r="G2812"/>
      <c r="H2812"/>
      <c r="I2812"/>
      <c r="J2812"/>
      <c r="K2812"/>
      <c r="L2812"/>
      <c r="M2812"/>
      <c r="S2812" s="54"/>
    </row>
    <row r="2813" spans="1:19" s="15" customFormat="1" x14ac:dyDescent="0.3">
      <c r="A2813" s="17"/>
      <c r="B2813"/>
      <c r="C2813"/>
      <c r="D2813"/>
      <c r="E2813"/>
      <c r="F2813"/>
      <c r="G2813"/>
      <c r="H2813"/>
      <c r="I2813"/>
      <c r="J2813"/>
      <c r="K2813"/>
      <c r="L2813"/>
      <c r="M2813"/>
      <c r="S2813" s="54"/>
    </row>
    <row r="2814" spans="1:19" s="15" customFormat="1" x14ac:dyDescent="0.3">
      <c r="A2814" s="17"/>
      <c r="B2814"/>
      <c r="C2814"/>
      <c r="D2814"/>
      <c r="E2814"/>
      <c r="F2814"/>
      <c r="G2814"/>
      <c r="H2814"/>
      <c r="I2814"/>
      <c r="J2814"/>
      <c r="K2814"/>
      <c r="L2814"/>
      <c r="M2814"/>
      <c r="S2814" s="54"/>
    </row>
    <row r="2815" spans="1:19" s="15" customFormat="1" x14ac:dyDescent="0.3">
      <c r="A2815" s="17"/>
      <c r="B2815"/>
      <c r="C2815"/>
      <c r="D2815"/>
      <c r="E2815"/>
      <c r="F2815"/>
      <c r="G2815"/>
      <c r="H2815"/>
      <c r="I2815"/>
      <c r="J2815"/>
      <c r="K2815"/>
      <c r="L2815"/>
      <c r="M2815"/>
      <c r="S2815" s="54"/>
    </row>
    <row r="2816" spans="1:19" s="15" customFormat="1" x14ac:dyDescent="0.3">
      <c r="A2816" s="17"/>
      <c r="B2816"/>
      <c r="C2816"/>
      <c r="D2816"/>
      <c r="E2816"/>
      <c r="F2816"/>
      <c r="G2816"/>
      <c r="H2816"/>
      <c r="I2816"/>
      <c r="J2816"/>
      <c r="K2816"/>
      <c r="L2816"/>
      <c r="M2816"/>
      <c r="S2816" s="54"/>
    </row>
    <row r="2817" spans="1:19" s="15" customFormat="1" x14ac:dyDescent="0.3">
      <c r="A2817" s="17"/>
      <c r="B2817"/>
      <c r="C2817"/>
      <c r="D2817"/>
      <c r="E2817"/>
      <c r="F2817"/>
      <c r="G2817"/>
      <c r="H2817"/>
      <c r="I2817"/>
      <c r="J2817"/>
      <c r="K2817"/>
      <c r="L2817"/>
      <c r="M2817"/>
      <c r="S2817" s="54"/>
    </row>
    <row r="2818" spans="1:19" s="15" customFormat="1" x14ac:dyDescent="0.3">
      <c r="A2818" s="17"/>
      <c r="B2818"/>
      <c r="C2818"/>
      <c r="D2818"/>
      <c r="E2818"/>
      <c r="F2818"/>
      <c r="G2818"/>
      <c r="H2818"/>
      <c r="I2818"/>
      <c r="J2818"/>
      <c r="K2818"/>
      <c r="L2818"/>
      <c r="M2818"/>
      <c r="S2818" s="54"/>
    </row>
    <row r="2819" spans="1:19" s="15" customFormat="1" x14ac:dyDescent="0.3">
      <c r="A2819" s="17"/>
      <c r="B2819"/>
      <c r="C2819"/>
      <c r="D2819"/>
      <c r="E2819"/>
      <c r="F2819"/>
      <c r="G2819"/>
      <c r="H2819"/>
      <c r="I2819"/>
      <c r="J2819"/>
      <c r="K2819"/>
      <c r="L2819"/>
      <c r="M2819"/>
      <c r="S2819" s="54"/>
    </row>
    <row r="2820" spans="1:19" s="15" customFormat="1" x14ac:dyDescent="0.3">
      <c r="A2820" s="17"/>
      <c r="B2820"/>
      <c r="C2820"/>
      <c r="D2820"/>
      <c r="E2820"/>
      <c r="F2820"/>
      <c r="G2820"/>
      <c r="H2820"/>
      <c r="I2820"/>
      <c r="J2820"/>
      <c r="K2820"/>
      <c r="L2820"/>
      <c r="M2820"/>
      <c r="S2820" s="54"/>
    </row>
    <row r="2821" spans="1:19" s="15" customFormat="1" x14ac:dyDescent="0.3">
      <c r="A2821" s="17"/>
      <c r="B2821"/>
      <c r="C2821"/>
      <c r="D2821"/>
      <c r="E2821"/>
      <c r="F2821"/>
      <c r="G2821"/>
      <c r="H2821"/>
      <c r="I2821"/>
      <c r="J2821"/>
      <c r="K2821"/>
      <c r="L2821"/>
      <c r="M2821"/>
      <c r="S2821" s="54"/>
    </row>
    <row r="2822" spans="1:19" s="15" customFormat="1" x14ac:dyDescent="0.3">
      <c r="A2822" s="17"/>
      <c r="B2822"/>
      <c r="C2822"/>
      <c r="D2822"/>
      <c r="E2822"/>
      <c r="F2822"/>
      <c r="G2822"/>
      <c r="H2822"/>
      <c r="I2822"/>
      <c r="J2822"/>
      <c r="K2822"/>
      <c r="L2822"/>
      <c r="M2822"/>
      <c r="S2822" s="54"/>
    </row>
    <row r="2823" spans="1:19" s="15" customFormat="1" x14ac:dyDescent="0.3">
      <c r="A2823" s="17"/>
      <c r="B2823"/>
      <c r="C2823"/>
      <c r="D2823"/>
      <c r="E2823"/>
      <c r="F2823"/>
      <c r="G2823"/>
      <c r="H2823"/>
      <c r="I2823"/>
      <c r="J2823"/>
      <c r="K2823"/>
      <c r="L2823"/>
      <c r="M2823"/>
      <c r="S2823" s="54"/>
    </row>
    <row r="2824" spans="1:19" s="15" customFormat="1" x14ac:dyDescent="0.3">
      <c r="A2824" s="17"/>
      <c r="B2824"/>
      <c r="C2824"/>
      <c r="D2824"/>
      <c r="E2824"/>
      <c r="F2824"/>
      <c r="G2824"/>
      <c r="H2824"/>
      <c r="I2824"/>
      <c r="J2824"/>
      <c r="K2824"/>
      <c r="L2824"/>
      <c r="M2824"/>
      <c r="S2824" s="54"/>
    </row>
    <row r="2825" spans="1:19" s="15" customFormat="1" x14ac:dyDescent="0.3">
      <c r="A2825" s="17"/>
      <c r="B2825"/>
      <c r="C2825"/>
      <c r="D2825"/>
      <c r="E2825"/>
      <c r="F2825"/>
      <c r="G2825"/>
      <c r="H2825"/>
      <c r="I2825"/>
      <c r="J2825"/>
      <c r="K2825"/>
      <c r="L2825"/>
      <c r="M2825"/>
      <c r="S2825" s="54"/>
    </row>
    <row r="2826" spans="1:19" s="15" customFormat="1" x14ac:dyDescent="0.3">
      <c r="A2826" s="17"/>
      <c r="B2826"/>
      <c r="C2826"/>
      <c r="D2826"/>
      <c r="E2826"/>
      <c r="F2826"/>
      <c r="G2826"/>
      <c r="H2826"/>
      <c r="I2826"/>
      <c r="J2826"/>
      <c r="K2826"/>
      <c r="L2826"/>
      <c r="M2826"/>
      <c r="S2826" s="54"/>
    </row>
    <row r="2827" spans="1:19" s="15" customFormat="1" x14ac:dyDescent="0.3">
      <c r="A2827" s="17"/>
      <c r="B2827"/>
      <c r="C2827"/>
      <c r="D2827"/>
      <c r="E2827"/>
      <c r="F2827"/>
      <c r="G2827"/>
      <c r="H2827"/>
      <c r="I2827"/>
      <c r="J2827"/>
      <c r="K2827"/>
      <c r="L2827"/>
      <c r="M2827"/>
      <c r="S2827" s="54"/>
    </row>
    <row r="2828" spans="1:19" s="15" customFormat="1" x14ac:dyDescent="0.3">
      <c r="A2828" s="17"/>
      <c r="B2828"/>
      <c r="C2828"/>
      <c r="D2828"/>
      <c r="E2828"/>
      <c r="F2828"/>
      <c r="G2828"/>
      <c r="H2828"/>
      <c r="I2828"/>
      <c r="J2828"/>
      <c r="K2828"/>
      <c r="L2828"/>
      <c r="M2828"/>
      <c r="S2828" s="54"/>
    </row>
    <row r="2829" spans="1:19" s="15" customFormat="1" x14ac:dyDescent="0.3">
      <c r="A2829" s="17"/>
      <c r="B2829"/>
      <c r="C2829"/>
      <c r="D2829"/>
      <c r="E2829"/>
      <c r="F2829"/>
      <c r="G2829"/>
      <c r="H2829"/>
      <c r="I2829"/>
      <c r="J2829"/>
      <c r="K2829"/>
      <c r="L2829"/>
      <c r="M2829"/>
      <c r="S2829" s="54"/>
    </row>
    <row r="2830" spans="1:19" s="15" customFormat="1" x14ac:dyDescent="0.3">
      <c r="A2830" s="17"/>
      <c r="B2830"/>
      <c r="C2830"/>
      <c r="D2830"/>
      <c r="E2830"/>
      <c r="F2830"/>
      <c r="G2830"/>
      <c r="H2830"/>
      <c r="I2830"/>
      <c r="J2830"/>
      <c r="K2830"/>
      <c r="L2830"/>
      <c r="M2830"/>
      <c r="S2830" s="54"/>
    </row>
    <row r="2831" spans="1:19" s="15" customFormat="1" x14ac:dyDescent="0.3">
      <c r="A2831" s="17"/>
      <c r="B2831"/>
      <c r="C2831"/>
      <c r="D2831"/>
      <c r="E2831"/>
      <c r="F2831"/>
      <c r="G2831"/>
      <c r="H2831"/>
      <c r="I2831"/>
      <c r="J2831"/>
      <c r="K2831"/>
      <c r="L2831"/>
      <c r="M2831"/>
      <c r="S2831" s="54"/>
    </row>
    <row r="2832" spans="1:19" s="15" customFormat="1" x14ac:dyDescent="0.3">
      <c r="A2832" s="17"/>
      <c r="B2832"/>
      <c r="C2832"/>
      <c r="D2832"/>
      <c r="E2832"/>
      <c r="F2832"/>
      <c r="G2832"/>
      <c r="H2832"/>
      <c r="I2832"/>
      <c r="J2832"/>
      <c r="K2832"/>
      <c r="L2832"/>
      <c r="M2832"/>
      <c r="S2832" s="54"/>
    </row>
    <row r="2833" spans="1:19" s="15" customFormat="1" x14ac:dyDescent="0.3">
      <c r="A2833" s="17"/>
      <c r="B2833"/>
      <c r="C2833"/>
      <c r="D2833"/>
      <c r="E2833"/>
      <c r="F2833"/>
      <c r="G2833"/>
      <c r="H2833"/>
      <c r="I2833"/>
      <c r="J2833"/>
      <c r="K2833"/>
      <c r="L2833"/>
      <c r="M2833"/>
      <c r="S2833" s="54"/>
    </row>
    <row r="2834" spans="1:19" s="15" customFormat="1" x14ac:dyDescent="0.3">
      <c r="A2834" s="17"/>
      <c r="B2834"/>
      <c r="C2834"/>
      <c r="D2834"/>
      <c r="E2834"/>
      <c r="F2834"/>
      <c r="G2834"/>
      <c r="H2834"/>
      <c r="I2834"/>
      <c r="J2834"/>
      <c r="K2834"/>
      <c r="L2834"/>
      <c r="M2834"/>
      <c r="S2834" s="54"/>
    </row>
    <row r="2835" spans="1:19" s="15" customFormat="1" x14ac:dyDescent="0.3">
      <c r="A2835" s="17"/>
      <c r="B2835"/>
      <c r="C2835"/>
      <c r="D2835"/>
      <c r="E2835"/>
      <c r="F2835"/>
      <c r="G2835"/>
      <c r="H2835"/>
      <c r="I2835"/>
      <c r="J2835"/>
      <c r="K2835"/>
      <c r="L2835"/>
      <c r="M2835"/>
      <c r="S2835" s="54"/>
    </row>
    <row r="2836" spans="1:19" s="15" customFormat="1" x14ac:dyDescent="0.3">
      <c r="A2836" s="17"/>
      <c r="B2836"/>
      <c r="C2836"/>
      <c r="D2836"/>
      <c r="E2836"/>
      <c r="F2836"/>
      <c r="G2836"/>
      <c r="H2836"/>
      <c r="I2836"/>
      <c r="J2836"/>
      <c r="K2836"/>
      <c r="L2836"/>
      <c r="M2836"/>
      <c r="S2836" s="54"/>
    </row>
    <row r="2837" spans="1:19" s="15" customFormat="1" x14ac:dyDescent="0.3">
      <c r="A2837" s="17"/>
      <c r="B2837"/>
      <c r="C2837"/>
      <c r="D2837"/>
      <c r="E2837"/>
      <c r="F2837"/>
      <c r="G2837"/>
      <c r="H2837"/>
      <c r="I2837"/>
      <c r="J2837"/>
      <c r="K2837"/>
      <c r="L2837"/>
      <c r="M2837"/>
      <c r="S2837" s="54"/>
    </row>
    <row r="2838" spans="1:19" s="15" customFormat="1" x14ac:dyDescent="0.3">
      <c r="A2838" s="17"/>
      <c r="B2838"/>
      <c r="C2838"/>
      <c r="D2838"/>
      <c r="E2838"/>
      <c r="F2838"/>
      <c r="G2838"/>
      <c r="H2838"/>
      <c r="I2838"/>
      <c r="J2838"/>
      <c r="K2838"/>
      <c r="L2838"/>
      <c r="M2838"/>
      <c r="S2838" s="54"/>
    </row>
    <row r="2839" spans="1:19" s="15" customFormat="1" x14ac:dyDescent="0.3">
      <c r="A2839" s="17"/>
      <c r="B2839"/>
      <c r="C2839"/>
      <c r="D2839"/>
      <c r="E2839"/>
      <c r="F2839"/>
      <c r="G2839"/>
      <c r="H2839"/>
      <c r="I2839"/>
      <c r="J2839"/>
      <c r="K2839"/>
      <c r="L2839"/>
      <c r="M2839"/>
      <c r="S2839" s="54"/>
    </row>
    <row r="2840" spans="1:19" s="15" customFormat="1" x14ac:dyDescent="0.3">
      <c r="A2840" s="17"/>
      <c r="B2840"/>
      <c r="C2840"/>
      <c r="D2840"/>
      <c r="E2840"/>
      <c r="F2840"/>
      <c r="G2840"/>
      <c r="H2840"/>
      <c r="I2840"/>
      <c r="J2840"/>
      <c r="K2840"/>
      <c r="L2840"/>
      <c r="M2840"/>
      <c r="S2840" s="54"/>
    </row>
    <row r="2841" spans="1:19" s="15" customFormat="1" x14ac:dyDescent="0.3">
      <c r="A2841" s="17"/>
      <c r="B2841"/>
      <c r="C2841"/>
      <c r="D2841"/>
      <c r="E2841"/>
      <c r="F2841"/>
      <c r="G2841"/>
      <c r="H2841"/>
      <c r="I2841"/>
      <c r="J2841"/>
      <c r="K2841"/>
      <c r="L2841"/>
      <c r="M2841"/>
      <c r="S2841" s="54"/>
    </row>
    <row r="2842" spans="1:19" s="15" customFormat="1" x14ac:dyDescent="0.3">
      <c r="A2842" s="17"/>
      <c r="B2842"/>
      <c r="C2842"/>
      <c r="D2842"/>
      <c r="E2842"/>
      <c r="F2842"/>
      <c r="G2842"/>
      <c r="H2842"/>
      <c r="I2842"/>
      <c r="J2842"/>
      <c r="K2842"/>
      <c r="L2842"/>
      <c r="M2842"/>
      <c r="S2842" s="54"/>
    </row>
    <row r="2843" spans="1:19" s="15" customFormat="1" x14ac:dyDescent="0.3">
      <c r="A2843" s="17"/>
      <c r="B2843"/>
      <c r="C2843"/>
      <c r="D2843"/>
      <c r="E2843"/>
      <c r="F2843"/>
      <c r="G2843"/>
      <c r="H2843"/>
      <c r="I2843"/>
      <c r="J2843"/>
      <c r="K2843"/>
      <c r="L2843"/>
      <c r="M2843"/>
      <c r="S2843" s="54"/>
    </row>
    <row r="2844" spans="1:19" s="15" customFormat="1" x14ac:dyDescent="0.3">
      <c r="A2844" s="17"/>
      <c r="B2844"/>
      <c r="C2844"/>
      <c r="D2844"/>
      <c r="E2844"/>
      <c r="F2844"/>
      <c r="G2844"/>
      <c r="H2844"/>
      <c r="I2844"/>
      <c r="J2844"/>
      <c r="K2844"/>
      <c r="L2844"/>
      <c r="M2844"/>
      <c r="S2844" s="54"/>
    </row>
    <row r="2845" spans="1:19" s="15" customFormat="1" x14ac:dyDescent="0.3">
      <c r="A2845" s="17"/>
      <c r="B2845"/>
      <c r="C2845"/>
      <c r="D2845"/>
      <c r="E2845"/>
      <c r="F2845"/>
      <c r="G2845"/>
      <c r="H2845"/>
      <c r="I2845"/>
      <c r="J2845"/>
      <c r="K2845"/>
      <c r="L2845"/>
      <c r="M2845"/>
      <c r="S2845" s="54"/>
    </row>
    <row r="2846" spans="1:19" s="15" customFormat="1" x14ac:dyDescent="0.3">
      <c r="A2846" s="17"/>
      <c r="B2846"/>
      <c r="C2846"/>
      <c r="D2846"/>
      <c r="E2846"/>
      <c r="F2846"/>
      <c r="G2846"/>
      <c r="H2846"/>
      <c r="I2846"/>
      <c r="J2846"/>
      <c r="K2846"/>
      <c r="L2846"/>
      <c r="M2846"/>
      <c r="S2846" s="54"/>
    </row>
    <row r="2847" spans="1:19" s="15" customFormat="1" x14ac:dyDescent="0.3">
      <c r="A2847" s="17"/>
      <c r="B2847"/>
      <c r="C2847"/>
      <c r="D2847"/>
      <c r="E2847"/>
      <c r="F2847"/>
      <c r="G2847"/>
      <c r="H2847"/>
      <c r="I2847"/>
      <c r="J2847"/>
      <c r="K2847"/>
      <c r="L2847"/>
      <c r="M2847"/>
      <c r="S2847" s="54"/>
    </row>
    <row r="2848" spans="1:19" s="15" customFormat="1" x14ac:dyDescent="0.3">
      <c r="A2848" s="17"/>
      <c r="B2848"/>
      <c r="C2848"/>
      <c r="D2848"/>
      <c r="E2848"/>
      <c r="F2848"/>
      <c r="G2848"/>
      <c r="H2848"/>
      <c r="I2848"/>
      <c r="J2848"/>
      <c r="K2848"/>
      <c r="L2848"/>
      <c r="M2848"/>
      <c r="S2848" s="54"/>
    </row>
    <row r="2849" spans="1:19" s="15" customFormat="1" x14ac:dyDescent="0.3">
      <c r="A2849" s="17"/>
      <c r="B2849"/>
      <c r="C2849"/>
      <c r="D2849"/>
      <c r="E2849"/>
      <c r="F2849"/>
      <c r="G2849"/>
      <c r="H2849"/>
      <c r="I2849"/>
      <c r="J2849"/>
      <c r="K2849"/>
      <c r="L2849"/>
      <c r="M2849"/>
      <c r="S2849" s="54"/>
    </row>
    <row r="2850" spans="1:19" s="15" customFormat="1" x14ac:dyDescent="0.3">
      <c r="A2850" s="17"/>
      <c r="B2850"/>
      <c r="C2850"/>
      <c r="D2850"/>
      <c r="E2850"/>
      <c r="F2850"/>
      <c r="G2850"/>
      <c r="H2850"/>
      <c r="I2850"/>
      <c r="J2850"/>
      <c r="K2850"/>
      <c r="L2850"/>
      <c r="M2850"/>
      <c r="S2850" s="54"/>
    </row>
    <row r="2851" spans="1:19" s="15" customFormat="1" x14ac:dyDescent="0.3">
      <c r="A2851" s="17"/>
      <c r="B2851"/>
      <c r="C2851"/>
      <c r="D2851"/>
      <c r="E2851"/>
      <c r="F2851"/>
      <c r="G2851"/>
      <c r="H2851"/>
      <c r="I2851"/>
      <c r="J2851"/>
      <c r="K2851"/>
      <c r="L2851"/>
      <c r="M2851"/>
      <c r="S2851" s="54"/>
    </row>
    <row r="2852" spans="1:19" s="15" customFormat="1" x14ac:dyDescent="0.3">
      <c r="A2852" s="17"/>
      <c r="B2852"/>
      <c r="C2852"/>
      <c r="D2852"/>
      <c r="E2852"/>
      <c r="F2852"/>
      <c r="G2852"/>
      <c r="H2852"/>
      <c r="I2852"/>
      <c r="J2852"/>
      <c r="K2852"/>
      <c r="L2852"/>
      <c r="M2852"/>
      <c r="S2852" s="54"/>
    </row>
    <row r="2853" spans="1:19" s="15" customFormat="1" x14ac:dyDescent="0.3">
      <c r="A2853" s="17"/>
      <c r="B2853"/>
      <c r="C2853"/>
      <c r="D2853"/>
      <c r="E2853"/>
      <c r="F2853"/>
      <c r="G2853"/>
      <c r="H2853"/>
      <c r="I2853"/>
      <c r="J2853"/>
      <c r="K2853"/>
      <c r="L2853"/>
      <c r="M2853"/>
      <c r="S2853" s="54"/>
    </row>
    <row r="2854" spans="1:19" s="15" customFormat="1" x14ac:dyDescent="0.3">
      <c r="A2854" s="17"/>
      <c r="B2854"/>
      <c r="C2854"/>
      <c r="D2854"/>
      <c r="E2854"/>
      <c r="F2854"/>
      <c r="G2854"/>
      <c r="H2854"/>
      <c r="I2854"/>
      <c r="J2854"/>
      <c r="K2854"/>
      <c r="L2854"/>
      <c r="M2854"/>
      <c r="S2854" s="54"/>
    </row>
    <row r="2855" spans="1:19" s="15" customFormat="1" x14ac:dyDescent="0.3">
      <c r="A2855" s="17"/>
      <c r="B2855"/>
      <c r="C2855"/>
      <c r="D2855"/>
      <c r="E2855"/>
      <c r="F2855"/>
      <c r="G2855"/>
      <c r="H2855"/>
      <c r="I2855"/>
      <c r="J2855"/>
      <c r="K2855"/>
      <c r="L2855"/>
      <c r="M2855"/>
      <c r="S2855" s="54"/>
    </row>
    <row r="2856" spans="1:19" s="15" customFormat="1" x14ac:dyDescent="0.3">
      <c r="A2856" s="17"/>
      <c r="B2856"/>
      <c r="C2856"/>
      <c r="D2856"/>
      <c r="E2856"/>
      <c r="F2856"/>
      <c r="G2856"/>
      <c r="H2856"/>
      <c r="I2856"/>
      <c r="J2856"/>
      <c r="K2856"/>
      <c r="L2856"/>
      <c r="M2856"/>
      <c r="S2856" s="54"/>
    </row>
    <row r="2857" spans="1:19" s="15" customFormat="1" x14ac:dyDescent="0.3">
      <c r="A2857" s="17"/>
      <c r="B2857"/>
      <c r="C2857"/>
      <c r="D2857"/>
      <c r="E2857"/>
      <c r="F2857"/>
      <c r="G2857"/>
      <c r="H2857"/>
      <c r="I2857"/>
      <c r="J2857"/>
      <c r="K2857"/>
      <c r="L2857"/>
      <c r="M2857"/>
      <c r="S2857" s="54"/>
    </row>
    <row r="2858" spans="1:19" s="15" customFormat="1" x14ac:dyDescent="0.3">
      <c r="A2858" s="17"/>
      <c r="B2858"/>
      <c r="C2858"/>
      <c r="D2858"/>
      <c r="E2858"/>
      <c r="F2858"/>
      <c r="G2858"/>
      <c r="H2858"/>
      <c r="I2858"/>
      <c r="J2858"/>
      <c r="K2858"/>
      <c r="L2858"/>
      <c r="M2858"/>
      <c r="S2858" s="54"/>
    </row>
    <row r="2859" spans="1:19" s="15" customFormat="1" x14ac:dyDescent="0.3">
      <c r="A2859" s="17"/>
      <c r="B2859"/>
      <c r="C2859"/>
      <c r="D2859"/>
      <c r="E2859"/>
      <c r="F2859"/>
      <c r="G2859"/>
      <c r="H2859"/>
      <c r="I2859"/>
      <c r="J2859"/>
      <c r="K2859"/>
      <c r="L2859"/>
      <c r="M2859"/>
      <c r="S2859" s="54"/>
    </row>
    <row r="2860" spans="1:19" s="15" customFormat="1" x14ac:dyDescent="0.3">
      <c r="A2860" s="17"/>
      <c r="B2860"/>
      <c r="C2860"/>
      <c r="D2860"/>
      <c r="E2860"/>
      <c r="F2860"/>
      <c r="G2860"/>
      <c r="H2860"/>
      <c r="I2860"/>
      <c r="J2860"/>
      <c r="K2860"/>
      <c r="L2860"/>
      <c r="M2860"/>
      <c r="S2860" s="54"/>
    </row>
    <row r="2861" spans="1:19" s="15" customFormat="1" x14ac:dyDescent="0.3">
      <c r="A2861" s="17"/>
      <c r="B2861"/>
      <c r="C2861"/>
      <c r="D2861"/>
      <c r="E2861"/>
      <c r="F2861"/>
      <c r="G2861"/>
      <c r="H2861"/>
      <c r="I2861"/>
      <c r="J2861"/>
      <c r="K2861"/>
      <c r="L2861"/>
      <c r="M2861"/>
      <c r="S2861" s="54"/>
    </row>
    <row r="2862" spans="1:19" s="15" customFormat="1" x14ac:dyDescent="0.3">
      <c r="A2862" s="17"/>
      <c r="B2862"/>
      <c r="C2862"/>
      <c r="D2862"/>
      <c r="E2862"/>
      <c r="F2862"/>
      <c r="G2862"/>
      <c r="H2862"/>
      <c r="I2862"/>
      <c r="J2862"/>
      <c r="K2862"/>
      <c r="L2862"/>
      <c r="M2862"/>
      <c r="S2862" s="54"/>
    </row>
    <row r="2863" spans="1:19" s="15" customFormat="1" x14ac:dyDescent="0.3">
      <c r="A2863" s="17"/>
      <c r="B2863"/>
      <c r="C2863"/>
      <c r="D2863"/>
      <c r="E2863"/>
      <c r="F2863"/>
      <c r="G2863"/>
      <c r="H2863"/>
      <c r="I2863"/>
      <c r="J2863"/>
      <c r="K2863"/>
      <c r="L2863"/>
      <c r="M2863"/>
      <c r="S2863" s="54"/>
    </row>
    <row r="2864" spans="1:19" s="15" customFormat="1" x14ac:dyDescent="0.3">
      <c r="A2864" s="17"/>
      <c r="B2864"/>
      <c r="C2864"/>
      <c r="D2864"/>
      <c r="E2864"/>
      <c r="F2864"/>
      <c r="G2864"/>
      <c r="H2864"/>
      <c r="I2864"/>
      <c r="J2864"/>
      <c r="K2864"/>
      <c r="L2864"/>
      <c r="M2864"/>
      <c r="S2864" s="54"/>
    </row>
    <row r="2865" spans="1:19" s="15" customFormat="1" x14ac:dyDescent="0.3">
      <c r="A2865" s="17"/>
      <c r="B2865"/>
      <c r="C2865"/>
      <c r="D2865"/>
      <c r="E2865"/>
      <c r="F2865"/>
      <c r="G2865"/>
      <c r="H2865"/>
      <c r="I2865"/>
      <c r="J2865"/>
      <c r="K2865"/>
      <c r="L2865"/>
      <c r="M2865"/>
      <c r="S2865" s="54"/>
    </row>
    <row r="2866" spans="1:19" s="15" customFormat="1" x14ac:dyDescent="0.3">
      <c r="A2866" s="17"/>
      <c r="B2866"/>
      <c r="C2866"/>
      <c r="D2866"/>
      <c r="E2866"/>
      <c r="F2866"/>
      <c r="G2866"/>
      <c r="H2866"/>
      <c r="I2866"/>
      <c r="J2866"/>
      <c r="K2866"/>
      <c r="L2866"/>
      <c r="M2866"/>
      <c r="S2866" s="54"/>
    </row>
    <row r="2867" spans="1:19" s="15" customFormat="1" x14ac:dyDescent="0.3">
      <c r="A2867" s="17"/>
      <c r="B2867"/>
      <c r="C2867"/>
      <c r="D2867"/>
      <c r="E2867"/>
      <c r="F2867"/>
      <c r="G2867"/>
      <c r="H2867"/>
      <c r="I2867"/>
      <c r="J2867"/>
      <c r="K2867"/>
      <c r="L2867"/>
      <c r="M2867"/>
      <c r="S2867" s="54"/>
    </row>
    <row r="2868" spans="1:19" s="15" customFormat="1" x14ac:dyDescent="0.3">
      <c r="A2868" s="17"/>
      <c r="B2868"/>
      <c r="C2868"/>
      <c r="D2868"/>
      <c r="E2868"/>
      <c r="F2868"/>
      <c r="G2868"/>
      <c r="H2868"/>
      <c r="I2868"/>
      <c r="J2868"/>
      <c r="K2868"/>
      <c r="L2868"/>
      <c r="M2868"/>
      <c r="S2868" s="54"/>
    </row>
    <row r="2869" spans="1:19" s="15" customFormat="1" x14ac:dyDescent="0.3">
      <c r="A2869" s="17"/>
      <c r="B2869"/>
      <c r="C2869"/>
      <c r="D2869"/>
      <c r="E2869"/>
      <c r="F2869"/>
      <c r="G2869"/>
      <c r="H2869"/>
      <c r="I2869"/>
      <c r="J2869"/>
      <c r="K2869"/>
      <c r="L2869"/>
      <c r="M2869"/>
      <c r="S2869" s="54"/>
    </row>
    <row r="2870" spans="1:19" s="15" customFormat="1" x14ac:dyDescent="0.3">
      <c r="A2870" s="17"/>
      <c r="B2870"/>
      <c r="C2870"/>
      <c r="D2870"/>
      <c r="E2870"/>
      <c r="F2870"/>
      <c r="G2870"/>
      <c r="H2870"/>
      <c r="I2870"/>
      <c r="J2870"/>
      <c r="K2870"/>
      <c r="L2870"/>
      <c r="M2870"/>
      <c r="S2870" s="54"/>
    </row>
    <row r="2871" spans="1:19" s="15" customFormat="1" x14ac:dyDescent="0.3">
      <c r="A2871" s="17"/>
      <c r="B2871"/>
      <c r="C2871"/>
      <c r="D2871"/>
      <c r="E2871"/>
      <c r="F2871"/>
      <c r="G2871"/>
      <c r="H2871"/>
      <c r="I2871"/>
      <c r="J2871"/>
      <c r="K2871"/>
      <c r="L2871"/>
      <c r="M2871"/>
      <c r="S2871" s="54"/>
    </row>
    <row r="2872" spans="1:19" s="15" customFormat="1" x14ac:dyDescent="0.3">
      <c r="A2872" s="17"/>
      <c r="B2872"/>
      <c r="C2872"/>
      <c r="D2872"/>
      <c r="E2872"/>
      <c r="F2872"/>
      <c r="G2872"/>
      <c r="H2872"/>
      <c r="I2872"/>
      <c r="J2872"/>
      <c r="K2872"/>
      <c r="L2872"/>
      <c r="M2872"/>
      <c r="S2872" s="54"/>
    </row>
    <row r="2873" spans="1:19" s="15" customFormat="1" x14ac:dyDescent="0.3">
      <c r="A2873" s="17"/>
      <c r="B2873"/>
      <c r="C2873"/>
      <c r="D2873"/>
      <c r="E2873"/>
      <c r="F2873"/>
      <c r="G2873"/>
      <c r="H2873"/>
      <c r="I2873"/>
      <c r="J2873"/>
      <c r="K2873"/>
      <c r="L2873"/>
      <c r="M2873"/>
      <c r="S2873" s="54"/>
    </row>
    <row r="2874" spans="1:19" s="15" customFormat="1" x14ac:dyDescent="0.3">
      <c r="A2874" s="17"/>
      <c r="B2874"/>
      <c r="C2874"/>
      <c r="D2874"/>
      <c r="E2874"/>
      <c r="F2874"/>
      <c r="G2874"/>
      <c r="H2874"/>
      <c r="I2874"/>
      <c r="J2874"/>
      <c r="K2874"/>
      <c r="L2874"/>
      <c r="M2874"/>
      <c r="S2874" s="54"/>
    </row>
    <row r="2875" spans="1:19" s="15" customFormat="1" x14ac:dyDescent="0.3">
      <c r="A2875" s="17"/>
      <c r="B2875"/>
      <c r="C2875"/>
      <c r="D2875"/>
      <c r="E2875"/>
      <c r="F2875"/>
      <c r="G2875"/>
      <c r="H2875"/>
      <c r="I2875"/>
      <c r="J2875"/>
      <c r="K2875"/>
      <c r="L2875"/>
      <c r="M2875"/>
      <c r="S2875" s="54"/>
    </row>
    <row r="2876" spans="1:19" s="15" customFormat="1" x14ac:dyDescent="0.3">
      <c r="A2876" s="17"/>
      <c r="B2876"/>
      <c r="C2876"/>
      <c r="D2876"/>
      <c r="E2876"/>
      <c r="F2876"/>
      <c r="G2876"/>
      <c r="H2876"/>
      <c r="I2876"/>
      <c r="J2876"/>
      <c r="K2876"/>
      <c r="L2876"/>
      <c r="M2876"/>
      <c r="S2876" s="54"/>
    </row>
    <row r="2877" spans="1:19" s="15" customFormat="1" x14ac:dyDescent="0.3">
      <c r="A2877" s="17"/>
      <c r="B2877"/>
      <c r="C2877"/>
      <c r="D2877"/>
      <c r="E2877"/>
      <c r="F2877"/>
      <c r="G2877"/>
      <c r="H2877"/>
      <c r="I2877"/>
      <c r="J2877"/>
      <c r="K2877"/>
      <c r="L2877"/>
      <c r="M2877"/>
      <c r="S2877" s="54"/>
    </row>
    <row r="2878" spans="1:19" s="15" customFormat="1" x14ac:dyDescent="0.3">
      <c r="A2878" s="17"/>
      <c r="B2878"/>
      <c r="C2878"/>
      <c r="D2878"/>
      <c r="E2878"/>
      <c r="F2878"/>
      <c r="G2878"/>
      <c r="H2878"/>
      <c r="I2878"/>
      <c r="J2878"/>
      <c r="K2878"/>
      <c r="L2878"/>
      <c r="M2878"/>
      <c r="S2878" s="54"/>
    </row>
    <row r="2879" spans="1:19" s="15" customFormat="1" x14ac:dyDescent="0.3">
      <c r="A2879" s="17"/>
      <c r="B2879"/>
      <c r="C2879"/>
      <c r="D2879"/>
      <c r="E2879"/>
      <c r="F2879"/>
      <c r="G2879"/>
      <c r="H2879"/>
      <c r="I2879"/>
      <c r="J2879"/>
      <c r="K2879"/>
      <c r="L2879"/>
      <c r="M2879"/>
      <c r="S2879" s="54"/>
    </row>
    <row r="2880" spans="1:19" s="15" customFormat="1" x14ac:dyDescent="0.3">
      <c r="A2880" s="17"/>
      <c r="B2880"/>
      <c r="C2880"/>
      <c r="D2880"/>
      <c r="E2880"/>
      <c r="F2880"/>
      <c r="G2880"/>
      <c r="H2880"/>
      <c r="I2880"/>
      <c r="J2880"/>
      <c r="K2880"/>
      <c r="L2880"/>
      <c r="M2880"/>
      <c r="S2880" s="54"/>
    </row>
    <row r="2881" spans="1:19" s="15" customFormat="1" x14ac:dyDescent="0.3">
      <c r="A2881" s="17"/>
      <c r="B2881"/>
      <c r="C2881"/>
      <c r="D2881"/>
      <c r="E2881"/>
      <c r="F2881"/>
      <c r="G2881"/>
      <c r="H2881"/>
      <c r="I2881"/>
      <c r="J2881"/>
      <c r="K2881"/>
      <c r="L2881"/>
      <c r="M2881"/>
      <c r="S2881" s="54"/>
    </row>
    <row r="2882" spans="1:19" s="15" customFormat="1" x14ac:dyDescent="0.3">
      <c r="A2882" s="17"/>
      <c r="B2882"/>
      <c r="C2882"/>
      <c r="D2882"/>
      <c r="E2882"/>
      <c r="F2882"/>
      <c r="G2882"/>
      <c r="H2882"/>
      <c r="I2882"/>
      <c r="J2882"/>
      <c r="K2882"/>
      <c r="L2882"/>
      <c r="M2882"/>
      <c r="S2882" s="54"/>
    </row>
    <row r="2883" spans="1:19" s="15" customFormat="1" x14ac:dyDescent="0.3">
      <c r="A2883" s="17"/>
      <c r="B2883"/>
      <c r="C2883"/>
      <c r="D2883"/>
      <c r="E2883"/>
      <c r="F2883"/>
      <c r="G2883"/>
      <c r="H2883"/>
      <c r="I2883"/>
      <c r="J2883"/>
      <c r="K2883"/>
      <c r="L2883"/>
      <c r="M2883"/>
      <c r="S2883" s="54"/>
    </row>
    <row r="2884" spans="1:19" s="15" customFormat="1" x14ac:dyDescent="0.3">
      <c r="A2884" s="17"/>
      <c r="B2884"/>
      <c r="C2884"/>
      <c r="D2884"/>
      <c r="E2884"/>
      <c r="F2884"/>
      <c r="G2884"/>
      <c r="H2884"/>
      <c r="I2884"/>
      <c r="J2884"/>
      <c r="K2884"/>
      <c r="L2884"/>
      <c r="M2884"/>
      <c r="S2884" s="54"/>
    </row>
    <row r="2885" spans="1:19" s="15" customFormat="1" x14ac:dyDescent="0.3">
      <c r="A2885" s="17"/>
      <c r="B2885"/>
      <c r="C2885"/>
      <c r="D2885"/>
      <c r="E2885"/>
      <c r="F2885"/>
      <c r="G2885"/>
      <c r="H2885"/>
      <c r="I2885"/>
      <c r="J2885"/>
      <c r="K2885"/>
      <c r="L2885"/>
      <c r="M2885"/>
      <c r="S2885" s="54"/>
    </row>
    <row r="2886" spans="1:19" s="15" customFormat="1" x14ac:dyDescent="0.3">
      <c r="A2886" s="17"/>
      <c r="B2886"/>
      <c r="C2886"/>
      <c r="D2886"/>
      <c r="E2886"/>
      <c r="F2886"/>
      <c r="G2886"/>
      <c r="H2886"/>
      <c r="I2886"/>
      <c r="J2886"/>
      <c r="K2886"/>
      <c r="L2886"/>
      <c r="M2886"/>
      <c r="S2886" s="54"/>
    </row>
    <row r="2887" spans="1:19" s="15" customFormat="1" x14ac:dyDescent="0.3">
      <c r="A2887" s="17"/>
      <c r="B2887"/>
      <c r="C2887"/>
      <c r="D2887"/>
      <c r="E2887"/>
      <c r="F2887"/>
      <c r="G2887"/>
      <c r="H2887"/>
      <c r="I2887"/>
      <c r="J2887"/>
      <c r="K2887"/>
      <c r="L2887"/>
      <c r="M2887"/>
      <c r="S2887" s="54"/>
    </row>
    <row r="2888" spans="1:19" s="15" customFormat="1" x14ac:dyDescent="0.3">
      <c r="A2888" s="17"/>
      <c r="B2888"/>
      <c r="C2888"/>
      <c r="D2888"/>
      <c r="E2888"/>
      <c r="F2888"/>
      <c r="G2888"/>
      <c r="H2888"/>
      <c r="I2888"/>
      <c r="J2888"/>
      <c r="K2888"/>
      <c r="L2888"/>
      <c r="M2888"/>
      <c r="S2888" s="54"/>
    </row>
    <row r="2889" spans="1:19" s="15" customFormat="1" x14ac:dyDescent="0.3">
      <c r="A2889" s="17"/>
      <c r="B2889"/>
      <c r="C2889"/>
      <c r="D2889"/>
      <c r="E2889"/>
      <c r="F2889"/>
      <c r="G2889"/>
      <c r="H2889"/>
      <c r="I2889"/>
      <c r="J2889"/>
      <c r="K2889"/>
      <c r="L2889"/>
      <c r="M2889"/>
      <c r="S2889" s="54"/>
    </row>
    <row r="2890" spans="1:19" s="15" customFormat="1" x14ac:dyDescent="0.3">
      <c r="A2890" s="17"/>
      <c r="B2890"/>
      <c r="C2890"/>
      <c r="D2890"/>
      <c r="E2890"/>
      <c r="F2890"/>
      <c r="G2890"/>
      <c r="H2890"/>
      <c r="I2890"/>
      <c r="J2890"/>
      <c r="K2890"/>
      <c r="L2890"/>
      <c r="M2890"/>
      <c r="S2890" s="54"/>
    </row>
    <row r="2891" spans="1:19" s="15" customFormat="1" x14ac:dyDescent="0.3">
      <c r="A2891" s="17"/>
      <c r="B2891"/>
      <c r="C2891"/>
      <c r="D2891"/>
      <c r="E2891"/>
      <c r="F2891"/>
      <c r="G2891"/>
      <c r="H2891"/>
      <c r="I2891"/>
      <c r="J2891"/>
      <c r="K2891"/>
      <c r="L2891"/>
      <c r="M2891"/>
      <c r="S2891" s="54"/>
    </row>
    <row r="2892" spans="1:19" s="15" customFormat="1" x14ac:dyDescent="0.3">
      <c r="A2892" s="17"/>
      <c r="B2892"/>
      <c r="C2892"/>
      <c r="D2892"/>
      <c r="E2892"/>
      <c r="F2892"/>
      <c r="G2892"/>
      <c r="H2892"/>
      <c r="I2892"/>
      <c r="J2892"/>
      <c r="K2892"/>
      <c r="L2892"/>
      <c r="M2892"/>
      <c r="S2892" s="54"/>
    </row>
    <row r="2893" spans="1:19" s="15" customFormat="1" x14ac:dyDescent="0.3">
      <c r="A2893" s="17"/>
      <c r="B2893"/>
      <c r="C2893"/>
      <c r="D2893"/>
      <c r="E2893"/>
      <c r="F2893"/>
      <c r="G2893"/>
      <c r="H2893"/>
      <c r="I2893"/>
      <c r="J2893"/>
      <c r="K2893"/>
      <c r="L2893"/>
      <c r="M2893"/>
      <c r="S2893" s="54"/>
    </row>
    <row r="2894" spans="1:19" s="15" customFormat="1" x14ac:dyDescent="0.3">
      <c r="A2894" s="17"/>
      <c r="B2894"/>
      <c r="C2894"/>
      <c r="D2894"/>
      <c r="E2894"/>
      <c r="F2894"/>
      <c r="G2894"/>
      <c r="H2894"/>
      <c r="I2894"/>
      <c r="J2894"/>
      <c r="K2894"/>
      <c r="L2894"/>
      <c r="M2894"/>
      <c r="S2894" s="54"/>
    </row>
    <row r="2895" spans="1:19" s="15" customFormat="1" x14ac:dyDescent="0.3">
      <c r="A2895" s="17"/>
      <c r="B2895"/>
      <c r="C2895"/>
      <c r="D2895"/>
      <c r="E2895"/>
      <c r="F2895"/>
      <c r="G2895"/>
      <c r="H2895"/>
      <c r="I2895"/>
      <c r="J2895"/>
      <c r="K2895"/>
      <c r="L2895"/>
      <c r="M2895"/>
      <c r="S2895" s="54"/>
    </row>
    <row r="2896" spans="1:19" s="15" customFormat="1" x14ac:dyDescent="0.3">
      <c r="A2896" s="17"/>
      <c r="B2896"/>
      <c r="C2896"/>
      <c r="D2896"/>
      <c r="E2896"/>
      <c r="F2896"/>
      <c r="G2896"/>
      <c r="H2896"/>
      <c r="I2896"/>
      <c r="J2896"/>
      <c r="K2896"/>
      <c r="L2896"/>
      <c r="M2896"/>
      <c r="S2896" s="54"/>
    </row>
    <row r="2897" spans="1:19" s="15" customFormat="1" x14ac:dyDescent="0.3">
      <c r="A2897" s="17"/>
      <c r="B2897"/>
      <c r="C2897"/>
      <c r="D2897"/>
      <c r="E2897"/>
      <c r="F2897"/>
      <c r="G2897"/>
      <c r="H2897"/>
      <c r="I2897"/>
      <c r="J2897"/>
      <c r="K2897"/>
      <c r="L2897"/>
      <c r="M2897"/>
      <c r="S2897" s="54"/>
    </row>
    <row r="2898" spans="1:19" s="15" customFormat="1" x14ac:dyDescent="0.3">
      <c r="A2898" s="17"/>
      <c r="B2898"/>
      <c r="C2898"/>
      <c r="D2898"/>
      <c r="E2898"/>
      <c r="F2898"/>
      <c r="G2898"/>
      <c r="H2898"/>
      <c r="I2898"/>
      <c r="J2898"/>
      <c r="K2898"/>
      <c r="L2898"/>
      <c r="M2898"/>
      <c r="S2898" s="54"/>
    </row>
    <row r="2899" spans="1:19" s="15" customFormat="1" x14ac:dyDescent="0.3">
      <c r="A2899" s="17"/>
      <c r="B2899"/>
      <c r="C2899"/>
      <c r="D2899"/>
      <c r="E2899"/>
      <c r="F2899"/>
      <c r="G2899"/>
      <c r="H2899"/>
      <c r="I2899"/>
      <c r="J2899"/>
      <c r="K2899"/>
      <c r="L2899"/>
      <c r="M2899"/>
      <c r="S2899" s="54"/>
    </row>
    <row r="2900" spans="1:19" s="15" customFormat="1" x14ac:dyDescent="0.3">
      <c r="A2900" s="17"/>
      <c r="B2900"/>
      <c r="C2900"/>
      <c r="D2900"/>
      <c r="E2900"/>
      <c r="F2900"/>
      <c r="G2900"/>
      <c r="H2900"/>
      <c r="I2900"/>
      <c r="J2900"/>
      <c r="K2900"/>
      <c r="L2900"/>
      <c r="M2900"/>
      <c r="S2900" s="54"/>
    </row>
    <row r="2901" spans="1:19" s="15" customFormat="1" x14ac:dyDescent="0.3">
      <c r="A2901" s="17"/>
      <c r="B2901"/>
      <c r="C2901"/>
      <c r="D2901"/>
      <c r="E2901"/>
      <c r="F2901"/>
      <c r="G2901"/>
      <c r="H2901"/>
      <c r="I2901"/>
      <c r="J2901"/>
      <c r="K2901"/>
      <c r="L2901"/>
      <c r="M2901"/>
      <c r="S2901" s="54"/>
    </row>
    <row r="2902" spans="1:19" s="15" customFormat="1" x14ac:dyDescent="0.3">
      <c r="A2902" s="17"/>
      <c r="B2902"/>
      <c r="C2902"/>
      <c r="D2902"/>
      <c r="E2902"/>
      <c r="F2902"/>
      <c r="G2902"/>
      <c r="H2902"/>
      <c r="I2902"/>
      <c r="J2902"/>
      <c r="K2902"/>
      <c r="L2902"/>
      <c r="M2902"/>
      <c r="S2902" s="54"/>
    </row>
    <row r="2903" spans="1:19" s="15" customFormat="1" x14ac:dyDescent="0.3">
      <c r="A2903" s="17"/>
      <c r="B2903"/>
      <c r="C2903"/>
      <c r="D2903"/>
      <c r="E2903"/>
      <c r="F2903"/>
      <c r="G2903"/>
      <c r="H2903"/>
      <c r="I2903"/>
      <c r="J2903"/>
      <c r="K2903"/>
      <c r="L2903"/>
      <c r="M2903"/>
      <c r="S2903" s="54"/>
    </row>
    <row r="2904" spans="1:19" s="15" customFormat="1" x14ac:dyDescent="0.3">
      <c r="A2904" s="17"/>
      <c r="B2904"/>
      <c r="C2904"/>
      <c r="D2904"/>
      <c r="E2904"/>
      <c r="F2904"/>
      <c r="G2904"/>
      <c r="H2904"/>
      <c r="I2904"/>
      <c r="J2904"/>
      <c r="K2904"/>
      <c r="L2904"/>
      <c r="M2904"/>
      <c r="S2904" s="54"/>
    </row>
    <row r="2905" spans="1:19" s="15" customFormat="1" x14ac:dyDescent="0.3">
      <c r="A2905" s="17"/>
      <c r="B2905"/>
      <c r="C2905"/>
      <c r="D2905"/>
      <c r="E2905"/>
      <c r="F2905"/>
      <c r="G2905"/>
      <c r="H2905"/>
      <c r="I2905"/>
      <c r="J2905"/>
      <c r="K2905"/>
      <c r="L2905"/>
      <c r="M2905"/>
      <c r="S2905" s="54"/>
    </row>
    <row r="2906" spans="1:19" s="15" customFormat="1" x14ac:dyDescent="0.3">
      <c r="A2906" s="17"/>
      <c r="B2906"/>
      <c r="C2906"/>
      <c r="D2906"/>
      <c r="E2906"/>
      <c r="F2906"/>
      <c r="G2906"/>
      <c r="H2906"/>
      <c r="I2906"/>
      <c r="J2906"/>
      <c r="K2906"/>
      <c r="L2906"/>
      <c r="M2906"/>
      <c r="S2906" s="54"/>
    </row>
    <row r="2907" spans="1:19" s="15" customFormat="1" x14ac:dyDescent="0.3">
      <c r="A2907" s="17"/>
      <c r="B2907"/>
      <c r="C2907"/>
      <c r="D2907"/>
      <c r="E2907"/>
      <c r="F2907"/>
      <c r="G2907"/>
      <c r="H2907"/>
      <c r="I2907"/>
      <c r="J2907"/>
      <c r="K2907"/>
      <c r="L2907"/>
      <c r="M2907"/>
      <c r="S2907" s="54"/>
    </row>
    <row r="2908" spans="1:19" s="15" customFormat="1" x14ac:dyDescent="0.3">
      <c r="A2908" s="17"/>
      <c r="B2908"/>
      <c r="C2908"/>
      <c r="D2908"/>
      <c r="E2908"/>
      <c r="F2908"/>
      <c r="G2908"/>
      <c r="H2908"/>
      <c r="I2908"/>
      <c r="J2908"/>
      <c r="K2908"/>
      <c r="L2908"/>
      <c r="M2908"/>
      <c r="S2908" s="54"/>
    </row>
    <row r="2909" spans="1:19" s="15" customFormat="1" x14ac:dyDescent="0.3">
      <c r="A2909" s="17"/>
      <c r="B2909"/>
      <c r="C2909"/>
      <c r="D2909"/>
      <c r="E2909"/>
      <c r="F2909"/>
      <c r="G2909"/>
      <c r="H2909"/>
      <c r="I2909"/>
      <c r="J2909"/>
      <c r="K2909"/>
      <c r="L2909"/>
      <c r="M2909"/>
      <c r="S2909" s="54"/>
    </row>
    <row r="2910" spans="1:19" s="15" customFormat="1" x14ac:dyDescent="0.3">
      <c r="A2910" s="17"/>
      <c r="B2910"/>
      <c r="C2910"/>
      <c r="D2910"/>
      <c r="E2910"/>
      <c r="F2910"/>
      <c r="G2910"/>
      <c r="H2910"/>
      <c r="I2910"/>
      <c r="J2910"/>
      <c r="K2910"/>
      <c r="L2910"/>
      <c r="M2910"/>
      <c r="S2910" s="54"/>
    </row>
    <row r="2911" spans="1:19" s="15" customFormat="1" x14ac:dyDescent="0.3">
      <c r="A2911" s="17"/>
      <c r="B2911"/>
      <c r="C2911"/>
      <c r="D2911"/>
      <c r="E2911"/>
      <c r="F2911"/>
      <c r="G2911"/>
      <c r="H2911"/>
      <c r="I2911"/>
      <c r="J2911"/>
      <c r="K2911"/>
      <c r="L2911"/>
      <c r="M2911"/>
      <c r="S2911" s="54"/>
    </row>
    <row r="2912" spans="1:19" s="15" customFormat="1" x14ac:dyDescent="0.3">
      <c r="A2912" s="17"/>
      <c r="B2912"/>
      <c r="C2912"/>
      <c r="D2912"/>
      <c r="E2912"/>
      <c r="F2912"/>
      <c r="G2912"/>
      <c r="H2912"/>
      <c r="I2912"/>
      <c r="J2912"/>
      <c r="K2912"/>
      <c r="L2912"/>
      <c r="M2912"/>
      <c r="S2912" s="54"/>
    </row>
    <row r="2913" spans="1:19" s="15" customFormat="1" x14ac:dyDescent="0.3">
      <c r="A2913" s="17"/>
      <c r="B2913"/>
      <c r="C2913"/>
      <c r="D2913"/>
      <c r="E2913"/>
      <c r="F2913"/>
      <c r="G2913"/>
      <c r="H2913"/>
      <c r="I2913"/>
      <c r="J2913"/>
      <c r="K2913"/>
      <c r="L2913"/>
      <c r="M2913"/>
      <c r="S2913" s="54"/>
    </row>
    <row r="2914" spans="1:19" s="15" customFormat="1" x14ac:dyDescent="0.3">
      <c r="A2914" s="17"/>
      <c r="B2914"/>
      <c r="C2914"/>
      <c r="D2914"/>
      <c r="E2914"/>
      <c r="F2914"/>
      <c r="G2914"/>
      <c r="H2914"/>
      <c r="I2914"/>
      <c r="J2914"/>
      <c r="K2914"/>
      <c r="L2914"/>
      <c r="M2914"/>
      <c r="S2914" s="54"/>
    </row>
    <row r="2915" spans="1:19" s="15" customFormat="1" x14ac:dyDescent="0.3">
      <c r="A2915" s="17"/>
      <c r="B2915"/>
      <c r="C2915"/>
      <c r="D2915"/>
      <c r="E2915"/>
      <c r="F2915"/>
      <c r="G2915"/>
      <c r="H2915"/>
      <c r="I2915"/>
      <c r="J2915"/>
      <c r="K2915"/>
      <c r="L2915"/>
      <c r="M2915"/>
      <c r="S2915" s="54"/>
    </row>
    <row r="2916" spans="1:19" s="15" customFormat="1" x14ac:dyDescent="0.3">
      <c r="A2916" s="17"/>
      <c r="B2916"/>
      <c r="C2916"/>
      <c r="D2916"/>
      <c r="E2916"/>
      <c r="F2916"/>
      <c r="G2916"/>
      <c r="H2916"/>
      <c r="I2916"/>
      <c r="J2916"/>
      <c r="K2916"/>
      <c r="L2916"/>
      <c r="M2916"/>
      <c r="S2916" s="54"/>
    </row>
    <row r="2917" spans="1:19" s="15" customFormat="1" x14ac:dyDescent="0.3">
      <c r="A2917" s="17"/>
      <c r="B2917"/>
      <c r="C2917"/>
      <c r="D2917"/>
      <c r="E2917"/>
      <c r="F2917"/>
      <c r="G2917"/>
      <c r="H2917"/>
      <c r="I2917"/>
      <c r="J2917"/>
      <c r="K2917"/>
      <c r="L2917"/>
      <c r="M2917"/>
      <c r="S2917" s="54"/>
    </row>
    <row r="2918" spans="1:19" s="15" customFormat="1" x14ac:dyDescent="0.3">
      <c r="A2918" s="17"/>
      <c r="B2918"/>
      <c r="C2918"/>
      <c r="D2918"/>
      <c r="E2918"/>
      <c r="F2918"/>
      <c r="G2918"/>
      <c r="H2918"/>
      <c r="I2918"/>
      <c r="J2918"/>
      <c r="K2918"/>
      <c r="L2918"/>
      <c r="M2918"/>
      <c r="S2918" s="54"/>
    </row>
    <row r="2919" spans="1:19" s="15" customFormat="1" x14ac:dyDescent="0.3">
      <c r="A2919" s="17"/>
      <c r="B2919"/>
      <c r="C2919"/>
      <c r="D2919"/>
      <c r="E2919"/>
      <c r="F2919"/>
      <c r="G2919"/>
      <c r="H2919"/>
      <c r="I2919"/>
      <c r="J2919"/>
      <c r="K2919"/>
      <c r="L2919"/>
      <c r="M2919"/>
      <c r="S2919" s="54"/>
    </row>
    <row r="2920" spans="1:19" s="15" customFormat="1" x14ac:dyDescent="0.3">
      <c r="A2920" s="17"/>
      <c r="B2920"/>
      <c r="C2920"/>
      <c r="D2920"/>
      <c r="E2920"/>
      <c r="F2920"/>
      <c r="G2920"/>
      <c r="H2920"/>
      <c r="I2920"/>
      <c r="J2920"/>
      <c r="K2920"/>
      <c r="L2920"/>
      <c r="M2920"/>
      <c r="S2920" s="54"/>
    </row>
    <row r="2921" spans="1:19" s="15" customFormat="1" x14ac:dyDescent="0.3">
      <c r="A2921" s="17"/>
      <c r="B2921"/>
      <c r="C2921"/>
      <c r="D2921"/>
      <c r="E2921"/>
      <c r="F2921"/>
      <c r="G2921"/>
      <c r="H2921"/>
      <c r="I2921"/>
      <c r="J2921"/>
      <c r="K2921"/>
      <c r="L2921"/>
      <c r="M2921"/>
      <c r="S2921" s="54"/>
    </row>
    <row r="2922" spans="1:19" s="15" customFormat="1" x14ac:dyDescent="0.3">
      <c r="A2922" s="17"/>
      <c r="B2922"/>
      <c r="C2922"/>
      <c r="D2922"/>
      <c r="E2922"/>
      <c r="F2922"/>
      <c r="G2922"/>
      <c r="H2922"/>
      <c r="I2922"/>
      <c r="J2922"/>
      <c r="K2922"/>
      <c r="L2922"/>
      <c r="M2922"/>
      <c r="S2922" s="54"/>
    </row>
    <row r="2923" spans="1:19" s="15" customFormat="1" x14ac:dyDescent="0.3">
      <c r="A2923" s="17"/>
      <c r="B2923"/>
      <c r="C2923"/>
      <c r="D2923"/>
      <c r="E2923"/>
      <c r="F2923"/>
      <c r="G2923"/>
      <c r="H2923"/>
      <c r="I2923"/>
      <c r="J2923"/>
      <c r="K2923"/>
      <c r="L2923"/>
      <c r="M2923"/>
      <c r="S2923" s="54"/>
    </row>
    <row r="2924" spans="1:19" s="15" customFormat="1" x14ac:dyDescent="0.3">
      <c r="A2924" s="17"/>
      <c r="B2924"/>
      <c r="C2924"/>
      <c r="D2924"/>
      <c r="E2924"/>
      <c r="F2924"/>
      <c r="G2924"/>
      <c r="H2924"/>
      <c r="I2924"/>
      <c r="J2924"/>
      <c r="K2924"/>
      <c r="L2924"/>
      <c r="M2924"/>
      <c r="S2924" s="54"/>
    </row>
    <row r="2925" spans="1:19" s="15" customFormat="1" x14ac:dyDescent="0.3">
      <c r="A2925" s="17"/>
      <c r="B2925"/>
      <c r="C2925"/>
      <c r="D2925"/>
      <c r="E2925"/>
      <c r="F2925"/>
      <c r="G2925"/>
      <c r="H2925"/>
      <c r="I2925"/>
      <c r="J2925"/>
      <c r="K2925"/>
      <c r="L2925"/>
      <c r="M2925"/>
      <c r="S2925" s="54"/>
    </row>
    <row r="2926" spans="1:19" s="15" customFormat="1" x14ac:dyDescent="0.3">
      <c r="A2926" s="17"/>
      <c r="B2926"/>
      <c r="C2926"/>
      <c r="D2926"/>
      <c r="E2926"/>
      <c r="F2926"/>
      <c r="G2926"/>
      <c r="H2926"/>
      <c r="I2926"/>
      <c r="J2926"/>
      <c r="K2926"/>
      <c r="L2926"/>
      <c r="M2926"/>
      <c r="S2926" s="54"/>
    </row>
    <row r="2927" spans="1:19" s="15" customFormat="1" x14ac:dyDescent="0.3">
      <c r="A2927" s="17"/>
      <c r="B2927"/>
      <c r="C2927"/>
      <c r="D2927"/>
      <c r="E2927"/>
      <c r="F2927"/>
      <c r="G2927"/>
      <c r="H2927"/>
      <c r="I2927"/>
      <c r="J2927"/>
      <c r="K2927"/>
      <c r="L2927"/>
      <c r="M2927"/>
      <c r="S2927" s="54"/>
    </row>
    <row r="2928" spans="1:19" s="15" customFormat="1" x14ac:dyDescent="0.3">
      <c r="A2928" s="17"/>
      <c r="B2928"/>
      <c r="C2928"/>
      <c r="D2928"/>
      <c r="E2928"/>
      <c r="F2928"/>
      <c r="G2928"/>
      <c r="H2928"/>
      <c r="I2928"/>
      <c r="J2928"/>
      <c r="K2928"/>
      <c r="L2928"/>
      <c r="M2928"/>
      <c r="S2928" s="54"/>
    </row>
    <row r="2929" spans="1:19" s="15" customFormat="1" x14ac:dyDescent="0.3">
      <c r="A2929" s="17"/>
      <c r="B2929"/>
      <c r="C2929"/>
      <c r="D2929"/>
      <c r="E2929"/>
      <c r="F2929"/>
      <c r="G2929"/>
      <c r="H2929"/>
      <c r="I2929"/>
      <c r="J2929"/>
      <c r="K2929"/>
      <c r="L2929"/>
      <c r="M2929"/>
      <c r="S2929" s="54"/>
    </row>
    <row r="2930" spans="1:19" s="15" customFormat="1" x14ac:dyDescent="0.3">
      <c r="A2930" s="17"/>
      <c r="B2930"/>
      <c r="C2930"/>
      <c r="D2930"/>
      <c r="E2930"/>
      <c r="F2930"/>
      <c r="G2930"/>
      <c r="H2930"/>
      <c r="I2930"/>
      <c r="J2930"/>
      <c r="K2930"/>
      <c r="L2930"/>
      <c r="M2930"/>
      <c r="S2930" s="54"/>
    </row>
    <row r="2931" spans="1:19" s="15" customFormat="1" x14ac:dyDescent="0.3">
      <c r="A2931" s="17"/>
      <c r="B2931"/>
      <c r="C2931"/>
      <c r="D2931"/>
      <c r="E2931"/>
      <c r="F2931"/>
      <c r="G2931"/>
      <c r="H2931"/>
      <c r="I2931"/>
      <c r="J2931"/>
      <c r="K2931"/>
      <c r="L2931"/>
      <c r="M2931"/>
      <c r="S2931" s="54"/>
    </row>
    <row r="2932" spans="1:19" s="15" customFormat="1" x14ac:dyDescent="0.3">
      <c r="A2932" s="17"/>
      <c r="B2932"/>
      <c r="C2932"/>
      <c r="D2932"/>
      <c r="E2932"/>
      <c r="F2932"/>
      <c r="G2932"/>
      <c r="H2932"/>
      <c r="I2932"/>
      <c r="J2932"/>
      <c r="K2932"/>
      <c r="L2932"/>
      <c r="M2932"/>
      <c r="S2932" s="54"/>
    </row>
    <row r="2933" spans="1:19" s="15" customFormat="1" x14ac:dyDescent="0.3">
      <c r="A2933" s="17"/>
      <c r="B2933"/>
      <c r="C2933"/>
      <c r="D2933"/>
      <c r="E2933"/>
      <c r="F2933"/>
      <c r="G2933"/>
      <c r="H2933"/>
      <c r="I2933"/>
      <c r="J2933"/>
      <c r="K2933"/>
      <c r="L2933"/>
      <c r="M2933"/>
      <c r="S2933" s="54"/>
    </row>
    <row r="2934" spans="1:19" s="15" customFormat="1" x14ac:dyDescent="0.3">
      <c r="A2934" s="17"/>
      <c r="B2934"/>
      <c r="C2934"/>
      <c r="D2934"/>
      <c r="E2934"/>
      <c r="F2934"/>
      <c r="G2934"/>
      <c r="H2934"/>
      <c r="I2934"/>
      <c r="J2934"/>
      <c r="K2934"/>
      <c r="L2934"/>
      <c r="M2934"/>
      <c r="S2934" s="54"/>
    </row>
    <row r="2935" spans="1:19" s="15" customFormat="1" x14ac:dyDescent="0.3">
      <c r="A2935" s="17"/>
      <c r="B2935"/>
      <c r="C2935"/>
      <c r="D2935"/>
      <c r="E2935"/>
      <c r="F2935"/>
      <c r="G2935"/>
      <c r="H2935"/>
      <c r="I2935"/>
      <c r="J2935"/>
      <c r="K2935"/>
      <c r="L2935"/>
      <c r="M2935"/>
      <c r="S2935" s="54"/>
    </row>
    <row r="2936" spans="1:19" s="15" customFormat="1" x14ac:dyDescent="0.3">
      <c r="A2936" s="17"/>
      <c r="B2936"/>
      <c r="C2936"/>
      <c r="D2936"/>
      <c r="E2936"/>
      <c r="F2936"/>
      <c r="G2936"/>
      <c r="H2936"/>
      <c r="I2936"/>
      <c r="J2936"/>
      <c r="K2936"/>
      <c r="L2936"/>
      <c r="M2936"/>
      <c r="S2936" s="54"/>
    </row>
    <row r="2937" spans="1:19" s="15" customFormat="1" x14ac:dyDescent="0.3">
      <c r="A2937" s="17"/>
      <c r="B2937"/>
      <c r="C2937"/>
      <c r="D2937"/>
      <c r="E2937"/>
      <c r="F2937"/>
      <c r="G2937"/>
      <c r="H2937"/>
      <c r="I2937"/>
      <c r="J2937"/>
      <c r="K2937"/>
      <c r="L2937"/>
      <c r="M2937"/>
      <c r="S2937" s="54"/>
    </row>
    <row r="2938" spans="1:19" s="15" customFormat="1" x14ac:dyDescent="0.3">
      <c r="A2938" s="17"/>
      <c r="B2938"/>
      <c r="C2938"/>
      <c r="D2938"/>
      <c r="E2938"/>
      <c r="F2938"/>
      <c r="G2938"/>
      <c r="H2938"/>
      <c r="I2938"/>
      <c r="J2938"/>
      <c r="K2938"/>
      <c r="L2938"/>
      <c r="M2938"/>
      <c r="S2938" s="54"/>
    </row>
    <row r="2939" spans="1:19" s="15" customFormat="1" x14ac:dyDescent="0.3">
      <c r="A2939" s="17"/>
      <c r="B2939"/>
      <c r="C2939"/>
      <c r="D2939"/>
      <c r="E2939"/>
      <c r="F2939"/>
      <c r="G2939"/>
      <c r="H2939"/>
      <c r="I2939"/>
      <c r="J2939"/>
      <c r="K2939"/>
      <c r="L2939"/>
      <c r="M2939"/>
      <c r="S2939" s="54"/>
    </row>
    <row r="2940" spans="1:19" s="15" customFormat="1" x14ac:dyDescent="0.3">
      <c r="A2940" s="17"/>
      <c r="B2940"/>
      <c r="C2940"/>
      <c r="D2940"/>
      <c r="E2940"/>
      <c r="F2940"/>
      <c r="G2940"/>
      <c r="H2940"/>
      <c r="I2940"/>
      <c r="J2940"/>
      <c r="K2940"/>
      <c r="L2940"/>
      <c r="M2940"/>
      <c r="S2940" s="54"/>
    </row>
    <row r="2941" spans="1:19" s="15" customFormat="1" x14ac:dyDescent="0.3">
      <c r="A2941" s="17"/>
      <c r="B2941"/>
      <c r="C2941"/>
      <c r="D2941"/>
      <c r="E2941"/>
      <c r="F2941"/>
      <c r="G2941"/>
      <c r="H2941"/>
      <c r="I2941"/>
      <c r="J2941"/>
      <c r="K2941"/>
      <c r="L2941"/>
      <c r="M2941"/>
      <c r="S2941" s="54"/>
    </row>
    <row r="2942" spans="1:19" s="15" customFormat="1" x14ac:dyDescent="0.3">
      <c r="A2942" s="17"/>
      <c r="B2942"/>
      <c r="C2942"/>
      <c r="D2942"/>
      <c r="E2942"/>
      <c r="F2942"/>
      <c r="G2942"/>
      <c r="H2942"/>
      <c r="I2942"/>
      <c r="J2942"/>
      <c r="K2942"/>
      <c r="L2942"/>
      <c r="M2942"/>
      <c r="S2942" s="54"/>
    </row>
    <row r="2943" spans="1:19" s="15" customFormat="1" x14ac:dyDescent="0.3">
      <c r="A2943" s="17"/>
      <c r="B2943"/>
      <c r="C2943"/>
      <c r="D2943"/>
      <c r="E2943"/>
      <c r="F2943"/>
      <c r="G2943"/>
      <c r="H2943"/>
      <c r="I2943"/>
      <c r="J2943"/>
      <c r="K2943"/>
      <c r="L2943"/>
      <c r="M2943"/>
      <c r="S2943" s="54"/>
    </row>
    <row r="2944" spans="1:19" s="15" customFormat="1" x14ac:dyDescent="0.3">
      <c r="A2944" s="17"/>
      <c r="B2944"/>
      <c r="C2944"/>
      <c r="D2944"/>
      <c r="E2944"/>
      <c r="F2944"/>
      <c r="G2944"/>
      <c r="H2944"/>
      <c r="I2944"/>
      <c r="J2944"/>
      <c r="K2944"/>
      <c r="L2944"/>
      <c r="M2944"/>
      <c r="S2944" s="54"/>
    </row>
    <row r="2945" spans="1:19" s="15" customFormat="1" x14ac:dyDescent="0.3">
      <c r="A2945" s="17"/>
      <c r="B2945"/>
      <c r="C2945"/>
      <c r="D2945"/>
      <c r="E2945"/>
      <c r="F2945"/>
      <c r="G2945"/>
      <c r="H2945"/>
      <c r="I2945"/>
      <c r="J2945"/>
      <c r="K2945"/>
      <c r="L2945"/>
      <c r="M2945"/>
      <c r="S2945" s="54"/>
    </row>
    <row r="2946" spans="1:19" s="15" customFormat="1" x14ac:dyDescent="0.3">
      <c r="A2946" s="17"/>
      <c r="B2946"/>
      <c r="C2946"/>
      <c r="D2946"/>
      <c r="E2946"/>
      <c r="F2946"/>
      <c r="G2946"/>
      <c r="H2946"/>
      <c r="I2946"/>
      <c r="J2946"/>
      <c r="K2946"/>
      <c r="L2946"/>
      <c r="M2946"/>
      <c r="S2946" s="54"/>
    </row>
    <row r="2947" spans="1:19" s="15" customFormat="1" x14ac:dyDescent="0.3">
      <c r="A2947" s="17"/>
      <c r="B2947"/>
      <c r="C2947"/>
      <c r="D2947"/>
      <c r="E2947"/>
      <c r="F2947"/>
      <c r="G2947"/>
      <c r="H2947"/>
      <c r="I2947"/>
      <c r="J2947"/>
      <c r="K2947"/>
      <c r="L2947"/>
      <c r="M2947"/>
      <c r="S2947" s="54"/>
    </row>
    <row r="2948" spans="1:19" s="15" customFormat="1" x14ac:dyDescent="0.3">
      <c r="A2948" s="17"/>
      <c r="B2948"/>
      <c r="C2948"/>
      <c r="D2948"/>
      <c r="E2948"/>
      <c r="F2948"/>
      <c r="G2948"/>
      <c r="H2948"/>
      <c r="I2948"/>
      <c r="J2948"/>
      <c r="K2948"/>
      <c r="L2948"/>
      <c r="M2948"/>
      <c r="S2948" s="54"/>
    </row>
    <row r="2949" spans="1:19" s="15" customFormat="1" x14ac:dyDescent="0.3">
      <c r="A2949" s="17"/>
      <c r="B2949"/>
      <c r="C2949"/>
      <c r="D2949"/>
      <c r="E2949"/>
      <c r="F2949"/>
      <c r="G2949"/>
      <c r="H2949"/>
      <c r="I2949"/>
      <c r="J2949"/>
      <c r="K2949"/>
      <c r="L2949"/>
      <c r="M2949"/>
      <c r="S2949" s="54"/>
    </row>
    <row r="2950" spans="1:19" s="15" customFormat="1" x14ac:dyDescent="0.3">
      <c r="A2950" s="17"/>
      <c r="B2950"/>
      <c r="C2950"/>
      <c r="D2950"/>
      <c r="E2950"/>
      <c r="F2950"/>
      <c r="G2950"/>
      <c r="H2950"/>
      <c r="I2950"/>
      <c r="J2950"/>
      <c r="K2950"/>
      <c r="L2950"/>
      <c r="M2950"/>
      <c r="S2950" s="54"/>
    </row>
    <row r="2951" spans="1:19" s="15" customFormat="1" x14ac:dyDescent="0.3">
      <c r="A2951" s="17"/>
      <c r="B2951"/>
      <c r="C2951"/>
      <c r="D2951"/>
      <c r="E2951"/>
      <c r="F2951"/>
      <c r="G2951"/>
      <c r="H2951"/>
      <c r="I2951"/>
      <c r="J2951"/>
      <c r="K2951"/>
      <c r="L2951"/>
      <c r="M2951"/>
      <c r="S2951" s="54"/>
    </row>
    <row r="2952" spans="1:19" s="15" customFormat="1" x14ac:dyDescent="0.3">
      <c r="A2952" s="17"/>
      <c r="B2952"/>
      <c r="C2952"/>
      <c r="D2952"/>
      <c r="E2952"/>
      <c r="F2952"/>
      <c r="G2952"/>
      <c r="H2952"/>
      <c r="I2952"/>
      <c r="J2952"/>
      <c r="K2952"/>
      <c r="L2952"/>
      <c r="M2952"/>
      <c r="S2952" s="54"/>
    </row>
    <row r="2953" spans="1:19" s="15" customFormat="1" x14ac:dyDescent="0.3">
      <c r="A2953" s="17"/>
      <c r="B2953"/>
      <c r="C2953"/>
      <c r="D2953"/>
      <c r="E2953"/>
      <c r="F2953"/>
      <c r="G2953"/>
      <c r="H2953"/>
      <c r="I2953"/>
      <c r="J2953"/>
      <c r="K2953"/>
      <c r="L2953"/>
      <c r="M2953"/>
      <c r="S2953" s="54"/>
    </row>
    <row r="2954" spans="1:19" s="15" customFormat="1" x14ac:dyDescent="0.3">
      <c r="A2954" s="17"/>
      <c r="B2954"/>
      <c r="C2954"/>
      <c r="D2954"/>
      <c r="E2954"/>
      <c r="F2954"/>
      <c r="G2954"/>
      <c r="H2954"/>
      <c r="I2954"/>
      <c r="J2954"/>
      <c r="K2954"/>
      <c r="L2954"/>
      <c r="M2954"/>
      <c r="S2954" s="54"/>
    </row>
    <row r="2955" spans="1:19" s="15" customFormat="1" x14ac:dyDescent="0.3">
      <c r="A2955" s="17"/>
      <c r="B2955"/>
      <c r="C2955"/>
      <c r="D2955"/>
      <c r="E2955"/>
      <c r="F2955"/>
      <c r="G2955"/>
      <c r="H2955"/>
      <c r="I2955"/>
      <c r="J2955"/>
      <c r="K2955"/>
      <c r="L2955"/>
      <c r="M2955"/>
      <c r="S2955" s="54"/>
    </row>
    <row r="2956" spans="1:19" s="15" customFormat="1" x14ac:dyDescent="0.3">
      <c r="A2956" s="17"/>
      <c r="B2956"/>
      <c r="C2956"/>
      <c r="D2956"/>
      <c r="E2956"/>
      <c r="F2956"/>
      <c r="G2956"/>
      <c r="H2956"/>
      <c r="I2956"/>
      <c r="J2956"/>
      <c r="K2956"/>
      <c r="L2956"/>
      <c r="M2956"/>
      <c r="S2956" s="54"/>
    </row>
    <row r="2957" spans="1:19" s="15" customFormat="1" x14ac:dyDescent="0.3">
      <c r="A2957" s="17"/>
      <c r="B2957"/>
      <c r="C2957"/>
      <c r="D2957"/>
      <c r="E2957"/>
      <c r="F2957"/>
      <c r="G2957"/>
      <c r="H2957"/>
      <c r="I2957"/>
      <c r="J2957"/>
      <c r="K2957"/>
      <c r="L2957"/>
      <c r="M2957"/>
      <c r="S2957" s="54"/>
    </row>
    <row r="2958" spans="1:19" s="15" customFormat="1" x14ac:dyDescent="0.3">
      <c r="A2958" s="17"/>
      <c r="B2958"/>
      <c r="C2958"/>
      <c r="D2958"/>
      <c r="E2958"/>
      <c r="F2958"/>
      <c r="G2958"/>
      <c r="H2958"/>
      <c r="I2958"/>
      <c r="J2958"/>
      <c r="K2958"/>
      <c r="L2958"/>
      <c r="M2958"/>
      <c r="S2958" s="54"/>
    </row>
    <row r="2959" spans="1:19" s="15" customFormat="1" x14ac:dyDescent="0.3">
      <c r="A2959" s="17"/>
      <c r="B2959"/>
      <c r="C2959"/>
      <c r="D2959"/>
      <c r="E2959"/>
      <c r="F2959"/>
      <c r="G2959"/>
      <c r="H2959"/>
      <c r="I2959"/>
      <c r="J2959"/>
      <c r="K2959"/>
      <c r="L2959"/>
      <c r="M2959"/>
      <c r="S2959" s="54"/>
    </row>
    <row r="2960" spans="1:19" s="15" customFormat="1" x14ac:dyDescent="0.3">
      <c r="A2960" s="17"/>
      <c r="B2960"/>
      <c r="C2960"/>
      <c r="D2960"/>
      <c r="E2960"/>
      <c r="F2960"/>
      <c r="G2960"/>
      <c r="H2960"/>
      <c r="I2960"/>
      <c r="J2960"/>
      <c r="K2960"/>
      <c r="L2960"/>
      <c r="M2960"/>
      <c r="S2960" s="54"/>
    </row>
    <row r="2961" spans="1:19" s="15" customFormat="1" x14ac:dyDescent="0.3">
      <c r="A2961" s="17"/>
      <c r="B2961"/>
      <c r="C2961"/>
      <c r="D2961"/>
      <c r="E2961"/>
      <c r="F2961"/>
      <c r="G2961"/>
      <c r="H2961"/>
      <c r="I2961"/>
      <c r="J2961"/>
      <c r="K2961"/>
      <c r="L2961"/>
      <c r="M2961"/>
      <c r="S2961" s="54"/>
    </row>
    <row r="2962" spans="1:19" s="15" customFormat="1" x14ac:dyDescent="0.3">
      <c r="A2962" s="17"/>
      <c r="B2962"/>
      <c r="C2962"/>
      <c r="D2962"/>
      <c r="E2962"/>
      <c r="F2962"/>
      <c r="G2962"/>
      <c r="H2962"/>
      <c r="I2962"/>
      <c r="J2962"/>
      <c r="K2962"/>
      <c r="L2962"/>
      <c r="M2962"/>
      <c r="S2962" s="54"/>
    </row>
    <row r="2963" spans="1:19" s="15" customFormat="1" x14ac:dyDescent="0.3">
      <c r="A2963" s="17"/>
      <c r="B2963"/>
      <c r="C2963"/>
      <c r="D2963"/>
      <c r="E2963"/>
      <c r="F2963"/>
      <c r="G2963"/>
      <c r="H2963"/>
      <c r="I2963"/>
      <c r="J2963"/>
      <c r="K2963"/>
      <c r="L2963"/>
      <c r="M2963"/>
      <c r="S2963" s="54"/>
    </row>
    <row r="2964" spans="1:19" s="15" customFormat="1" x14ac:dyDescent="0.3">
      <c r="A2964" s="17"/>
      <c r="B2964"/>
      <c r="C2964"/>
      <c r="D2964"/>
      <c r="E2964"/>
      <c r="F2964"/>
      <c r="G2964"/>
      <c r="H2964"/>
      <c r="I2964"/>
      <c r="J2964"/>
      <c r="K2964"/>
      <c r="L2964"/>
      <c r="M2964"/>
      <c r="S2964" s="54"/>
    </row>
    <row r="2965" spans="1:19" s="15" customFormat="1" x14ac:dyDescent="0.3">
      <c r="A2965" s="17"/>
      <c r="B2965"/>
      <c r="C2965"/>
      <c r="D2965"/>
      <c r="E2965"/>
      <c r="F2965"/>
      <c r="G2965"/>
      <c r="H2965"/>
      <c r="I2965"/>
      <c r="J2965"/>
      <c r="K2965"/>
      <c r="L2965"/>
      <c r="M2965"/>
      <c r="S2965" s="54"/>
    </row>
    <row r="2966" spans="1:19" s="15" customFormat="1" x14ac:dyDescent="0.3">
      <c r="A2966" s="17"/>
      <c r="B2966"/>
      <c r="C2966"/>
      <c r="D2966"/>
      <c r="E2966"/>
      <c r="F2966"/>
      <c r="G2966"/>
      <c r="H2966"/>
      <c r="I2966"/>
      <c r="J2966"/>
      <c r="K2966"/>
      <c r="L2966"/>
      <c r="M2966"/>
      <c r="S2966" s="54"/>
    </row>
    <row r="2967" spans="1:19" s="15" customFormat="1" x14ac:dyDescent="0.3">
      <c r="A2967" s="17"/>
      <c r="B2967"/>
      <c r="C2967"/>
      <c r="D2967"/>
      <c r="E2967"/>
      <c r="F2967"/>
      <c r="G2967"/>
      <c r="H2967"/>
      <c r="I2967"/>
      <c r="J2967"/>
      <c r="K2967"/>
      <c r="L2967"/>
      <c r="M2967"/>
      <c r="S2967" s="54"/>
    </row>
    <row r="2968" spans="1:19" s="15" customFormat="1" x14ac:dyDescent="0.3">
      <c r="A2968" s="17"/>
      <c r="B2968"/>
      <c r="C2968"/>
      <c r="D2968"/>
      <c r="E2968"/>
      <c r="F2968"/>
      <c r="G2968"/>
      <c r="H2968"/>
      <c r="I2968"/>
      <c r="J2968"/>
      <c r="K2968"/>
      <c r="L2968"/>
      <c r="M2968"/>
      <c r="S2968" s="54"/>
    </row>
    <row r="2969" spans="1:19" s="15" customFormat="1" x14ac:dyDescent="0.3">
      <c r="A2969" s="17"/>
      <c r="B2969"/>
      <c r="C2969"/>
      <c r="D2969"/>
      <c r="E2969"/>
      <c r="F2969"/>
      <c r="G2969"/>
      <c r="H2969"/>
      <c r="I2969"/>
      <c r="J2969"/>
      <c r="K2969"/>
      <c r="L2969"/>
      <c r="M2969"/>
      <c r="S2969" s="54"/>
    </row>
    <row r="2970" spans="1:19" s="15" customFormat="1" x14ac:dyDescent="0.3">
      <c r="A2970" s="17"/>
      <c r="B2970"/>
      <c r="C2970"/>
      <c r="D2970"/>
      <c r="E2970"/>
      <c r="F2970"/>
      <c r="G2970"/>
      <c r="H2970"/>
      <c r="I2970"/>
      <c r="J2970"/>
      <c r="K2970"/>
      <c r="L2970"/>
      <c r="M2970"/>
      <c r="S2970" s="54"/>
    </row>
    <row r="2971" spans="1:19" s="15" customFormat="1" x14ac:dyDescent="0.3">
      <c r="A2971" s="17"/>
      <c r="B2971"/>
      <c r="C2971"/>
      <c r="D2971"/>
      <c r="E2971"/>
      <c r="F2971"/>
      <c r="G2971"/>
      <c r="H2971"/>
      <c r="I2971"/>
      <c r="J2971"/>
      <c r="K2971"/>
      <c r="L2971"/>
      <c r="M2971"/>
      <c r="S2971" s="54"/>
    </row>
    <row r="2972" spans="1:19" s="15" customFormat="1" x14ac:dyDescent="0.3">
      <c r="A2972" s="17"/>
      <c r="B2972"/>
      <c r="C2972"/>
      <c r="D2972"/>
      <c r="E2972"/>
      <c r="F2972"/>
      <c r="G2972"/>
      <c r="H2972"/>
      <c r="I2972"/>
      <c r="J2972"/>
      <c r="K2972"/>
      <c r="L2972"/>
      <c r="M2972"/>
      <c r="S2972" s="54"/>
    </row>
    <row r="2973" spans="1:19" s="15" customFormat="1" x14ac:dyDescent="0.3">
      <c r="A2973" s="17"/>
      <c r="B2973"/>
      <c r="C2973"/>
      <c r="D2973"/>
      <c r="E2973"/>
      <c r="F2973"/>
      <c r="G2973"/>
      <c r="H2973"/>
      <c r="I2973"/>
      <c r="J2973"/>
      <c r="K2973"/>
      <c r="L2973"/>
      <c r="M2973"/>
      <c r="S2973" s="54"/>
    </row>
    <row r="2974" spans="1:19" s="15" customFormat="1" x14ac:dyDescent="0.3">
      <c r="A2974" s="17"/>
      <c r="B2974"/>
      <c r="C2974"/>
      <c r="D2974"/>
      <c r="E2974"/>
      <c r="F2974"/>
      <c r="G2974"/>
      <c r="H2974"/>
      <c r="I2974"/>
      <c r="J2974"/>
      <c r="K2974"/>
      <c r="L2974"/>
      <c r="M2974"/>
      <c r="S2974" s="54"/>
    </row>
    <row r="2975" spans="1:19" s="15" customFormat="1" x14ac:dyDescent="0.3">
      <c r="A2975" s="17"/>
      <c r="B2975"/>
      <c r="C2975"/>
      <c r="D2975"/>
      <c r="E2975"/>
      <c r="F2975"/>
      <c r="G2975"/>
      <c r="H2975"/>
      <c r="I2975"/>
      <c r="J2975"/>
      <c r="K2975"/>
      <c r="L2975"/>
      <c r="M2975"/>
      <c r="S2975" s="54"/>
    </row>
    <row r="2976" spans="1:19" s="15" customFormat="1" x14ac:dyDescent="0.3">
      <c r="A2976" s="17"/>
      <c r="B2976"/>
      <c r="C2976"/>
      <c r="D2976"/>
      <c r="E2976"/>
      <c r="F2976"/>
      <c r="G2976"/>
      <c r="H2976"/>
      <c r="I2976"/>
      <c r="J2976"/>
      <c r="K2976"/>
      <c r="L2976"/>
      <c r="M2976"/>
      <c r="S2976" s="54"/>
    </row>
    <row r="2977" spans="1:19" s="15" customFormat="1" x14ac:dyDescent="0.3">
      <c r="A2977" s="17"/>
      <c r="B2977"/>
      <c r="C2977"/>
      <c r="D2977"/>
      <c r="E2977"/>
      <c r="F2977"/>
      <c r="G2977"/>
      <c r="H2977"/>
      <c r="I2977"/>
      <c r="J2977"/>
      <c r="K2977"/>
      <c r="L2977"/>
      <c r="M2977"/>
      <c r="S2977" s="54"/>
    </row>
    <row r="2978" spans="1:19" s="15" customFormat="1" x14ac:dyDescent="0.3">
      <c r="A2978" s="17"/>
      <c r="B2978"/>
      <c r="C2978"/>
      <c r="D2978"/>
      <c r="E2978"/>
      <c r="F2978"/>
      <c r="G2978"/>
      <c r="H2978"/>
      <c r="I2978"/>
      <c r="J2978"/>
      <c r="K2978"/>
      <c r="L2978"/>
      <c r="M2978"/>
      <c r="S2978" s="54"/>
    </row>
    <row r="2979" spans="1:19" s="15" customFormat="1" x14ac:dyDescent="0.3">
      <c r="A2979" s="17"/>
      <c r="B2979"/>
      <c r="C2979"/>
      <c r="D2979"/>
      <c r="E2979"/>
      <c r="F2979"/>
      <c r="G2979"/>
      <c r="H2979"/>
      <c r="I2979"/>
      <c r="J2979"/>
      <c r="K2979"/>
      <c r="L2979"/>
      <c r="M2979"/>
      <c r="S2979" s="54"/>
    </row>
    <row r="2980" spans="1:19" s="15" customFormat="1" x14ac:dyDescent="0.3">
      <c r="A2980" s="17"/>
      <c r="B2980"/>
      <c r="C2980"/>
      <c r="D2980"/>
      <c r="E2980"/>
      <c r="F2980"/>
      <c r="G2980"/>
      <c r="H2980"/>
      <c r="I2980"/>
      <c r="J2980"/>
      <c r="K2980"/>
      <c r="L2980"/>
      <c r="M2980"/>
      <c r="S2980" s="54"/>
    </row>
    <row r="2981" spans="1:19" s="15" customFormat="1" x14ac:dyDescent="0.3">
      <c r="A2981" s="17"/>
      <c r="B2981"/>
      <c r="C2981"/>
      <c r="D2981"/>
      <c r="E2981"/>
      <c r="F2981"/>
      <c r="G2981"/>
      <c r="H2981"/>
      <c r="I2981"/>
      <c r="J2981"/>
      <c r="K2981"/>
      <c r="L2981"/>
      <c r="M2981"/>
      <c r="S2981" s="54"/>
    </row>
    <row r="2982" spans="1:19" s="15" customFormat="1" x14ac:dyDescent="0.3">
      <c r="A2982" s="17"/>
      <c r="B2982"/>
      <c r="C2982"/>
      <c r="D2982"/>
      <c r="E2982"/>
      <c r="F2982"/>
      <c r="G2982"/>
      <c r="H2982"/>
      <c r="I2982"/>
      <c r="J2982"/>
      <c r="K2982"/>
      <c r="L2982"/>
      <c r="M2982"/>
      <c r="S2982" s="54"/>
    </row>
    <row r="2983" spans="1:19" s="15" customFormat="1" x14ac:dyDescent="0.3">
      <c r="A2983" s="17"/>
      <c r="B2983"/>
      <c r="C2983"/>
      <c r="D2983"/>
      <c r="E2983"/>
      <c r="F2983"/>
      <c r="G2983"/>
      <c r="H2983"/>
      <c r="I2983"/>
      <c r="J2983"/>
      <c r="K2983"/>
      <c r="L2983"/>
      <c r="M2983"/>
      <c r="S2983" s="54"/>
    </row>
    <row r="2984" spans="1:19" s="15" customFormat="1" x14ac:dyDescent="0.3">
      <c r="A2984" s="17"/>
      <c r="B2984"/>
      <c r="C2984"/>
      <c r="D2984"/>
      <c r="E2984"/>
      <c r="F2984"/>
      <c r="G2984"/>
      <c r="H2984"/>
      <c r="I2984"/>
      <c r="J2984"/>
      <c r="K2984"/>
      <c r="L2984"/>
      <c r="M2984"/>
      <c r="S2984" s="54"/>
    </row>
    <row r="2985" spans="1:19" s="15" customFormat="1" x14ac:dyDescent="0.3">
      <c r="A2985" s="17"/>
      <c r="B2985"/>
      <c r="C2985"/>
      <c r="D2985"/>
      <c r="E2985"/>
      <c r="F2985"/>
      <c r="G2985"/>
      <c r="H2985"/>
      <c r="I2985"/>
      <c r="J2985"/>
      <c r="K2985"/>
      <c r="L2985"/>
      <c r="M2985"/>
      <c r="S2985" s="54"/>
    </row>
    <row r="2986" spans="1:19" s="15" customFormat="1" x14ac:dyDescent="0.3">
      <c r="A2986" s="17"/>
      <c r="B2986"/>
      <c r="C2986"/>
      <c r="D2986"/>
      <c r="E2986"/>
      <c r="F2986"/>
      <c r="G2986"/>
      <c r="H2986"/>
      <c r="I2986"/>
      <c r="J2986"/>
      <c r="K2986"/>
      <c r="L2986"/>
      <c r="M2986"/>
      <c r="S2986" s="54"/>
    </row>
    <row r="2987" spans="1:19" s="15" customFormat="1" x14ac:dyDescent="0.3">
      <c r="A2987" s="17"/>
      <c r="B2987"/>
      <c r="C2987"/>
      <c r="D2987"/>
      <c r="E2987"/>
      <c r="F2987"/>
      <c r="G2987"/>
      <c r="H2987"/>
      <c r="I2987"/>
      <c r="J2987"/>
      <c r="K2987"/>
      <c r="L2987"/>
      <c r="M2987"/>
      <c r="S2987" s="54"/>
    </row>
    <row r="2988" spans="1:19" s="15" customFormat="1" x14ac:dyDescent="0.3">
      <c r="A2988" s="17"/>
      <c r="B2988"/>
      <c r="C2988"/>
      <c r="D2988"/>
      <c r="E2988"/>
      <c r="F2988"/>
      <c r="G2988"/>
      <c r="H2988"/>
      <c r="I2988"/>
      <c r="J2988"/>
      <c r="K2988"/>
      <c r="L2988"/>
      <c r="M2988"/>
      <c r="S2988" s="54"/>
    </row>
    <row r="2989" spans="1:19" s="15" customFormat="1" x14ac:dyDescent="0.3">
      <c r="A2989" s="17"/>
      <c r="B2989"/>
      <c r="C2989"/>
      <c r="D2989"/>
      <c r="E2989"/>
      <c r="F2989"/>
      <c r="G2989"/>
      <c r="H2989"/>
      <c r="I2989"/>
      <c r="J2989"/>
      <c r="K2989"/>
      <c r="L2989"/>
      <c r="M2989"/>
      <c r="S2989" s="54"/>
    </row>
    <row r="2990" spans="1:19" s="15" customFormat="1" x14ac:dyDescent="0.3">
      <c r="A2990" s="17"/>
      <c r="B2990"/>
      <c r="C2990"/>
      <c r="D2990"/>
      <c r="E2990"/>
      <c r="F2990"/>
      <c r="G2990"/>
      <c r="H2990"/>
      <c r="I2990"/>
      <c r="J2990"/>
      <c r="K2990"/>
      <c r="L2990"/>
      <c r="M2990"/>
      <c r="S2990" s="54"/>
    </row>
    <row r="2991" spans="1:19" s="15" customFormat="1" x14ac:dyDescent="0.3">
      <c r="A2991" s="17"/>
      <c r="B2991"/>
      <c r="C2991"/>
      <c r="D2991"/>
      <c r="E2991"/>
      <c r="F2991"/>
      <c r="G2991"/>
      <c r="H2991"/>
      <c r="I2991"/>
      <c r="J2991"/>
      <c r="K2991"/>
      <c r="L2991"/>
      <c r="M2991"/>
      <c r="S2991" s="54"/>
    </row>
    <row r="2992" spans="1:19" s="15" customFormat="1" x14ac:dyDescent="0.3">
      <c r="A2992" s="17"/>
      <c r="B2992"/>
      <c r="C2992"/>
      <c r="D2992"/>
      <c r="E2992"/>
      <c r="F2992"/>
      <c r="G2992"/>
      <c r="H2992"/>
      <c r="I2992"/>
      <c r="J2992"/>
      <c r="K2992"/>
      <c r="L2992"/>
      <c r="M2992"/>
      <c r="S2992" s="54"/>
    </row>
    <row r="2993" spans="1:19" s="15" customFormat="1" x14ac:dyDescent="0.3">
      <c r="A2993" s="17"/>
      <c r="B2993"/>
      <c r="C2993"/>
      <c r="D2993"/>
      <c r="E2993"/>
      <c r="F2993"/>
      <c r="G2993"/>
      <c r="H2993"/>
      <c r="I2993"/>
      <c r="J2993"/>
      <c r="K2993"/>
      <c r="L2993"/>
      <c r="M2993"/>
      <c r="S2993" s="54"/>
    </row>
    <row r="2994" spans="1:19" s="15" customFormat="1" x14ac:dyDescent="0.3">
      <c r="A2994" s="17"/>
      <c r="B2994"/>
      <c r="C2994"/>
      <c r="D2994"/>
      <c r="E2994"/>
      <c r="F2994"/>
      <c r="G2994"/>
      <c r="H2994"/>
      <c r="I2994"/>
      <c r="J2994"/>
      <c r="K2994"/>
      <c r="L2994"/>
      <c r="M2994"/>
      <c r="S2994" s="54"/>
    </row>
    <row r="2995" spans="1:19" s="15" customFormat="1" x14ac:dyDescent="0.3">
      <c r="A2995" s="17"/>
      <c r="B2995"/>
      <c r="C2995"/>
      <c r="D2995"/>
      <c r="E2995"/>
      <c r="F2995"/>
      <c r="G2995"/>
      <c r="H2995"/>
      <c r="I2995"/>
      <c r="J2995"/>
      <c r="K2995"/>
      <c r="L2995"/>
      <c r="M2995"/>
      <c r="S2995" s="54"/>
    </row>
    <row r="2996" spans="1:19" s="15" customFormat="1" x14ac:dyDescent="0.3">
      <c r="A2996" s="17"/>
      <c r="B2996"/>
      <c r="C2996"/>
      <c r="D2996"/>
      <c r="E2996"/>
      <c r="F2996"/>
      <c r="G2996"/>
      <c r="H2996"/>
      <c r="I2996"/>
      <c r="J2996"/>
      <c r="K2996"/>
      <c r="L2996"/>
      <c r="M2996"/>
      <c r="S2996" s="54"/>
    </row>
    <row r="2997" spans="1:19" s="15" customFormat="1" x14ac:dyDescent="0.3">
      <c r="A2997" s="17"/>
      <c r="B2997"/>
      <c r="C2997"/>
      <c r="D2997"/>
      <c r="E2997"/>
      <c r="F2997"/>
      <c r="G2997"/>
      <c r="H2997"/>
      <c r="I2997"/>
      <c r="J2997"/>
      <c r="K2997"/>
      <c r="L2997"/>
      <c r="M2997"/>
      <c r="S2997" s="54"/>
    </row>
    <row r="2998" spans="1:19" s="15" customFormat="1" x14ac:dyDescent="0.3">
      <c r="A2998" s="17"/>
      <c r="B2998"/>
      <c r="C2998"/>
      <c r="D2998"/>
      <c r="E2998"/>
      <c r="F2998"/>
      <c r="G2998"/>
      <c r="H2998"/>
      <c r="I2998"/>
      <c r="J2998"/>
      <c r="K2998"/>
      <c r="L2998"/>
      <c r="M2998"/>
      <c r="S2998" s="54"/>
    </row>
    <row r="2999" spans="1:19" s="15" customFormat="1" x14ac:dyDescent="0.3">
      <c r="A2999" s="17"/>
      <c r="B2999"/>
      <c r="C2999"/>
      <c r="D2999"/>
      <c r="E2999"/>
      <c r="F2999"/>
      <c r="G2999"/>
      <c r="H2999"/>
      <c r="I2999"/>
      <c r="J2999"/>
      <c r="K2999"/>
      <c r="L2999"/>
      <c r="M2999"/>
      <c r="S2999" s="54"/>
    </row>
    <row r="3000" spans="1:19" s="15" customFormat="1" x14ac:dyDescent="0.3">
      <c r="A3000" s="17"/>
      <c r="B3000"/>
      <c r="C3000"/>
      <c r="D3000"/>
      <c r="E3000"/>
      <c r="F3000"/>
      <c r="G3000"/>
      <c r="H3000"/>
      <c r="I3000"/>
      <c r="J3000"/>
      <c r="K3000"/>
      <c r="L3000"/>
      <c r="M3000"/>
      <c r="S3000" s="54"/>
    </row>
    <row r="3001" spans="1:19" s="15" customFormat="1" x14ac:dyDescent="0.3">
      <c r="A3001" s="17"/>
      <c r="B3001"/>
      <c r="C3001"/>
      <c r="D3001"/>
      <c r="E3001"/>
      <c r="F3001"/>
      <c r="G3001"/>
      <c r="H3001"/>
      <c r="I3001"/>
      <c r="J3001"/>
      <c r="K3001"/>
      <c r="L3001"/>
      <c r="M3001"/>
      <c r="S3001" s="54"/>
    </row>
    <row r="3002" spans="1:19" s="15" customFormat="1" x14ac:dyDescent="0.3">
      <c r="A3002" s="17"/>
      <c r="B3002"/>
      <c r="C3002"/>
      <c r="D3002"/>
      <c r="E3002"/>
      <c r="F3002"/>
      <c r="G3002"/>
      <c r="H3002"/>
      <c r="I3002"/>
      <c r="J3002"/>
      <c r="K3002"/>
      <c r="L3002"/>
      <c r="M3002"/>
      <c r="S3002" s="54"/>
    </row>
    <row r="3003" spans="1:19" s="15" customFormat="1" x14ac:dyDescent="0.3">
      <c r="A3003" s="17"/>
      <c r="B3003"/>
      <c r="C3003"/>
      <c r="D3003"/>
      <c r="E3003"/>
      <c r="F3003"/>
      <c r="G3003"/>
      <c r="H3003"/>
      <c r="I3003"/>
      <c r="J3003"/>
      <c r="K3003"/>
      <c r="L3003"/>
      <c r="M3003"/>
      <c r="S3003" s="54"/>
    </row>
    <row r="3004" spans="1:19" s="15" customFormat="1" x14ac:dyDescent="0.3">
      <c r="A3004" s="17"/>
      <c r="B3004"/>
      <c r="C3004"/>
      <c r="D3004"/>
      <c r="E3004"/>
      <c r="F3004"/>
      <c r="G3004"/>
      <c r="H3004"/>
      <c r="I3004"/>
      <c r="J3004"/>
      <c r="K3004"/>
      <c r="L3004"/>
      <c r="M3004"/>
      <c r="S3004" s="54"/>
    </row>
    <row r="3005" spans="1:19" s="15" customFormat="1" x14ac:dyDescent="0.3">
      <c r="A3005" s="17"/>
      <c r="B3005"/>
      <c r="C3005"/>
      <c r="D3005"/>
      <c r="E3005"/>
      <c r="F3005"/>
      <c r="G3005"/>
      <c r="H3005"/>
      <c r="I3005"/>
      <c r="J3005"/>
      <c r="K3005"/>
      <c r="L3005"/>
      <c r="M3005"/>
      <c r="S3005" s="54"/>
    </row>
    <row r="3006" spans="1:19" s="15" customFormat="1" x14ac:dyDescent="0.3">
      <c r="A3006" s="17"/>
      <c r="B3006"/>
      <c r="C3006"/>
      <c r="D3006"/>
      <c r="E3006"/>
      <c r="F3006"/>
      <c r="G3006"/>
      <c r="H3006"/>
      <c r="I3006"/>
      <c r="J3006"/>
      <c r="K3006"/>
      <c r="L3006"/>
      <c r="M3006"/>
      <c r="S3006" s="54"/>
    </row>
    <row r="3007" spans="1:19" s="15" customFormat="1" x14ac:dyDescent="0.3">
      <c r="A3007" s="17"/>
      <c r="B3007"/>
      <c r="C3007"/>
      <c r="D3007"/>
      <c r="E3007"/>
      <c r="F3007"/>
      <c r="G3007"/>
      <c r="H3007"/>
      <c r="I3007"/>
      <c r="J3007"/>
      <c r="K3007"/>
      <c r="L3007"/>
      <c r="M3007"/>
      <c r="S3007" s="54"/>
    </row>
    <row r="3008" spans="1:19" s="15" customFormat="1" x14ac:dyDescent="0.3">
      <c r="A3008" s="17"/>
      <c r="B3008"/>
      <c r="C3008"/>
      <c r="D3008"/>
      <c r="E3008"/>
      <c r="F3008"/>
      <c r="G3008"/>
      <c r="H3008"/>
      <c r="I3008"/>
      <c r="J3008"/>
      <c r="K3008"/>
      <c r="L3008"/>
      <c r="M3008"/>
      <c r="S3008" s="54"/>
    </row>
    <row r="3009" spans="1:19" s="15" customFormat="1" x14ac:dyDescent="0.3">
      <c r="A3009" s="17"/>
      <c r="B3009"/>
      <c r="C3009"/>
      <c r="D3009"/>
      <c r="E3009"/>
      <c r="F3009"/>
      <c r="G3009"/>
      <c r="H3009"/>
      <c r="I3009"/>
      <c r="J3009"/>
      <c r="K3009"/>
      <c r="L3009"/>
      <c r="M3009"/>
      <c r="S3009" s="54"/>
    </row>
    <row r="3010" spans="1:19" s="15" customFormat="1" x14ac:dyDescent="0.3">
      <c r="A3010" s="17"/>
      <c r="B3010"/>
      <c r="C3010"/>
      <c r="D3010"/>
      <c r="E3010"/>
      <c r="F3010"/>
      <c r="G3010"/>
      <c r="H3010"/>
      <c r="I3010"/>
      <c r="J3010"/>
      <c r="K3010"/>
      <c r="L3010"/>
      <c r="M3010"/>
      <c r="S3010" s="54"/>
    </row>
    <row r="3011" spans="1:19" s="15" customFormat="1" x14ac:dyDescent="0.3">
      <c r="A3011" s="17"/>
      <c r="B3011"/>
      <c r="C3011"/>
      <c r="D3011"/>
      <c r="E3011"/>
      <c r="F3011"/>
      <c r="G3011"/>
      <c r="H3011"/>
      <c r="I3011"/>
      <c r="J3011"/>
      <c r="K3011"/>
      <c r="L3011"/>
      <c r="M3011"/>
      <c r="S3011" s="54"/>
    </row>
    <row r="3012" spans="1:19" s="15" customFormat="1" x14ac:dyDescent="0.3">
      <c r="A3012" s="17"/>
      <c r="B3012"/>
      <c r="C3012"/>
      <c r="D3012"/>
      <c r="E3012"/>
      <c r="F3012"/>
      <c r="G3012"/>
      <c r="H3012"/>
      <c r="I3012"/>
      <c r="J3012"/>
      <c r="K3012"/>
      <c r="L3012"/>
      <c r="M3012"/>
      <c r="S3012" s="54"/>
    </row>
    <row r="3013" spans="1:19" s="15" customFormat="1" x14ac:dyDescent="0.3">
      <c r="A3013" s="17"/>
      <c r="B3013"/>
      <c r="C3013"/>
      <c r="D3013"/>
      <c r="E3013"/>
      <c r="F3013"/>
      <c r="G3013"/>
      <c r="H3013"/>
      <c r="I3013"/>
      <c r="J3013"/>
      <c r="K3013"/>
      <c r="L3013"/>
      <c r="M3013"/>
      <c r="S3013" s="54"/>
    </row>
    <row r="3014" spans="1:19" s="15" customFormat="1" x14ac:dyDescent="0.3">
      <c r="A3014" s="17"/>
      <c r="B3014"/>
      <c r="C3014"/>
      <c r="D3014"/>
      <c r="E3014"/>
      <c r="F3014"/>
      <c r="G3014"/>
      <c r="H3014"/>
      <c r="I3014"/>
      <c r="J3014"/>
      <c r="K3014"/>
      <c r="L3014"/>
      <c r="M3014"/>
      <c r="S3014" s="54"/>
    </row>
  </sheetData>
  <mergeCells count="1">
    <mergeCell ref="I15:L15"/>
  </mergeCells>
  <pageMargins left="0.511811024" right="0.511811024" top="0.78740157499999996" bottom="0.78740157499999996" header="0.31496062000000002" footer="0.3149606200000000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A2248-181C-450B-BE08-F722B777E7C0}">
  <sheetPr>
    <tabColor theme="9" tint="0.59999389629810485"/>
  </sheetPr>
  <dimension ref="A1:U3021"/>
  <sheetViews>
    <sheetView showGridLines="0" zoomScaleNormal="100" workbookViewId="0">
      <selection activeCell="A3" sqref="A3:J3"/>
    </sheetView>
  </sheetViews>
  <sheetFormatPr defaultColWidth="8.85546875" defaultRowHeight="18.75" x14ac:dyDescent="0.3"/>
  <cols>
    <col min="1" max="1" width="18.5703125" style="17" customWidth="1"/>
    <col min="2" max="2" width="60.5703125" customWidth="1"/>
    <col min="3" max="3" width="9.7109375" customWidth="1"/>
    <col min="4" max="4" width="8.85546875" customWidth="1"/>
    <col min="5" max="5" width="10" bestFit="1" customWidth="1"/>
    <col min="11" max="11" width="9.140625" style="15" customWidth="1"/>
    <col min="12" max="18" width="10.42578125" style="15" customWidth="1"/>
    <col min="19" max="19" width="8.85546875" style="15"/>
  </cols>
  <sheetData>
    <row r="1" spans="1:21" x14ac:dyDescent="0.3">
      <c r="A1" s="16" t="s">
        <v>923</v>
      </c>
      <c r="K1" s="14"/>
      <c r="L1" s="14"/>
      <c r="M1" s="14"/>
      <c r="N1" s="14"/>
      <c r="O1" s="14"/>
      <c r="P1" s="14"/>
      <c r="Q1" s="14"/>
      <c r="R1" s="14"/>
      <c r="S1" s="14"/>
    </row>
    <row r="2" spans="1:21" ht="21.75" customHeight="1" x14ac:dyDescent="0.25">
      <c r="A2" s="146" t="s">
        <v>909</v>
      </c>
      <c r="B2" s="146"/>
      <c r="C2" s="146"/>
      <c r="D2" s="146"/>
      <c r="E2" s="146"/>
      <c r="F2" s="146"/>
      <c r="G2" s="146"/>
      <c r="H2" s="146"/>
      <c r="I2" s="146"/>
      <c r="K2" s="14"/>
      <c r="L2" s="14"/>
      <c r="M2" s="14"/>
      <c r="N2" s="14"/>
      <c r="O2" s="14"/>
      <c r="P2" s="14"/>
      <c r="Q2" s="14"/>
      <c r="R2" s="14"/>
      <c r="S2" s="14"/>
    </row>
    <row r="3" spans="1:21" ht="58.5" customHeight="1" x14ac:dyDescent="0.25">
      <c r="A3" s="146" t="s">
        <v>932</v>
      </c>
      <c r="B3" s="146"/>
      <c r="C3" s="146"/>
      <c r="D3" s="146"/>
      <c r="E3" s="146"/>
      <c r="F3" s="146"/>
      <c r="G3" s="146"/>
      <c r="H3" s="146"/>
      <c r="I3" s="146"/>
      <c r="J3" s="146"/>
      <c r="K3" s="14"/>
      <c r="L3" s="14"/>
      <c r="M3" s="14"/>
      <c r="N3" s="14"/>
      <c r="O3" s="14"/>
      <c r="P3" s="14"/>
      <c r="Q3" s="14"/>
      <c r="R3" s="14"/>
      <c r="S3" s="14"/>
    </row>
    <row r="4" spans="1:21" ht="15" customHeight="1" x14ac:dyDescent="0.25">
      <c r="A4" s="128"/>
      <c r="B4" s="128"/>
      <c r="C4" s="128"/>
      <c r="D4" s="128"/>
      <c r="E4" s="128"/>
      <c r="F4" s="128"/>
      <c r="G4" s="128"/>
      <c r="H4" s="128"/>
      <c r="I4" s="128"/>
      <c r="J4" s="128"/>
      <c r="K4" s="14"/>
      <c r="L4" s="14"/>
      <c r="M4" s="14"/>
      <c r="N4" s="14"/>
      <c r="O4" s="14"/>
      <c r="P4" s="14"/>
      <c r="Q4" s="14"/>
      <c r="R4" s="14"/>
      <c r="S4" s="14"/>
    </row>
    <row r="5" spans="1:21" x14ac:dyDescent="0.3">
      <c r="A5" s="17" t="s">
        <v>855</v>
      </c>
      <c r="K5" s="14"/>
      <c r="L5" s="14"/>
      <c r="M5" s="14"/>
      <c r="N5" s="14"/>
      <c r="O5" s="14"/>
      <c r="P5" s="14"/>
      <c r="Q5" s="14"/>
      <c r="R5" s="14"/>
      <c r="S5" s="14"/>
    </row>
    <row r="6" spans="1:21" x14ac:dyDescent="0.3">
      <c r="A6" s="17" t="s">
        <v>857</v>
      </c>
      <c r="K6" s="14"/>
      <c r="L6" s="14"/>
      <c r="M6" s="14"/>
      <c r="N6" s="14"/>
      <c r="O6" s="14"/>
      <c r="P6" s="14"/>
      <c r="Q6" s="14"/>
      <c r="R6" s="14"/>
      <c r="S6" s="14"/>
    </row>
    <row r="7" spans="1:21" x14ac:dyDescent="0.3">
      <c r="A7" s="17" t="s">
        <v>856</v>
      </c>
      <c r="K7" s="14"/>
      <c r="L7" s="14"/>
      <c r="M7" s="14"/>
      <c r="N7" s="14"/>
      <c r="O7" s="14"/>
      <c r="P7" s="14"/>
      <c r="Q7" s="14"/>
      <c r="R7" s="14"/>
      <c r="S7" s="14"/>
    </row>
    <row r="8" spans="1:21" x14ac:dyDescent="0.3">
      <c r="M8" s="27"/>
    </row>
    <row r="9" spans="1:21" ht="15.75" x14ac:dyDescent="0.25">
      <c r="A9" s="2" t="s">
        <v>15</v>
      </c>
      <c r="B9" s="2" t="s">
        <v>16</v>
      </c>
      <c r="C9" s="2"/>
      <c r="M9" s="27"/>
    </row>
    <row r="10" spans="1:21" ht="15.75" x14ac:dyDescent="0.25">
      <c r="A10" s="23" t="s">
        <v>22</v>
      </c>
      <c r="B10" s="26" t="s">
        <v>860</v>
      </c>
      <c r="C10" s="26"/>
      <c r="M10" s="27"/>
    </row>
    <row r="11" spans="1:21" ht="31.5" x14ac:dyDescent="0.25">
      <c r="A11" s="23" t="s">
        <v>927</v>
      </c>
      <c r="B11" s="26" t="s">
        <v>931</v>
      </c>
      <c r="C11" s="26"/>
      <c r="M11" s="27"/>
      <c r="T11" s="15"/>
      <c r="U11" s="15"/>
    </row>
    <row r="12" spans="1:21" ht="15.75" x14ac:dyDescent="0.25">
      <c r="A12" s="23" t="s">
        <v>851</v>
      </c>
      <c r="B12" s="26" t="s">
        <v>854</v>
      </c>
      <c r="C12" s="26"/>
      <c r="M12" s="27"/>
    </row>
    <row r="13" spans="1:21" ht="15.75" x14ac:dyDescent="0.25">
      <c r="A13" s="23" t="s">
        <v>852</v>
      </c>
      <c r="B13" s="26" t="s">
        <v>854</v>
      </c>
      <c r="C13" s="26"/>
      <c r="M13" s="27"/>
    </row>
    <row r="14" spans="1:21" ht="15.75" x14ac:dyDescent="0.25">
      <c r="A14" s="23" t="s">
        <v>853</v>
      </c>
      <c r="B14" s="26" t="s">
        <v>854</v>
      </c>
      <c r="C14" s="26"/>
      <c r="M14" s="27"/>
    </row>
    <row r="15" spans="1:21" ht="15.75" x14ac:dyDescent="0.25">
      <c r="A15" s="23"/>
      <c r="B15" s="26"/>
      <c r="C15" s="26"/>
      <c r="M15" s="27"/>
    </row>
    <row r="16" spans="1:21" ht="15.75" x14ac:dyDescent="0.25">
      <c r="A16" s="23"/>
      <c r="B16" s="26"/>
      <c r="C16" s="26"/>
      <c r="M16" s="27"/>
    </row>
    <row r="17" spans="1:19" ht="15.75" x14ac:dyDescent="0.25">
      <c r="A17" s="23"/>
      <c r="B17" s="26"/>
      <c r="C17" s="26"/>
      <c r="M17" s="27"/>
    </row>
    <row r="18" spans="1:19" ht="15.75" x14ac:dyDescent="0.25">
      <c r="A18" s="23"/>
      <c r="B18" s="26"/>
      <c r="C18" s="26"/>
      <c r="M18" s="27"/>
    </row>
    <row r="19" spans="1:19" x14ac:dyDescent="0.3">
      <c r="M19" s="27"/>
    </row>
    <row r="20" spans="1:19" x14ac:dyDescent="0.3">
      <c r="D20" s="1" t="s">
        <v>17</v>
      </c>
      <c r="E20" s="13" t="s">
        <v>22</v>
      </c>
      <c r="F20" s="12">
        <v>1</v>
      </c>
      <c r="G20" s="12">
        <v>2</v>
      </c>
      <c r="H20" s="12">
        <v>3</v>
      </c>
      <c r="I20" s="12">
        <v>4</v>
      </c>
      <c r="K20" s="63" cm="1">
        <f t="array" ref="K20:S24">_xlfn.LAMBDA(_xlpm.matrix,_xlop.returnObject,_xlop.lastCol,_xlop.normalize,_xlop.originalMatrix,
_xlfn.LET(
_xlpm.returnObject, IF(OR(_xlfn.ISOMITTED(_xlpm.returnObject), ISBLANK(_xlpm.returnObject)), "QR", _xlpm.returnObject),
_xlpm.lastCol, IF(OR(_xlfn.ISOMITTED(_xlpm.lastCol),ISBLANK(_xlpm.lastCol)), 1, _xlpm.lastCol),
_xlpm.normalize, IF(OR(_xlfn.ISOMITTED(_xlpm.normalize),ISBLANK(_xlpm.normalize)), TRUE, _xlpm.normalize),
_xlpm.originalMatrix, IF(OR(_xlfn.ISOMITTED(_xlpm.originalMatrix),ISBLANK(_xlpm.originalMatrix)), _xlpm.matrix, _xlpm.originalMatrix),
_xlpm.newMatrix, _xlfn.MAKEARRAY(ROWS(_xlpm.matrix),ROWS(_xlpm.matrix), _xlfn.LAMBDA(_xlpm.r,_xlpm.c,
IF(_xlpm.c &lt; _xlpm.lastCol,
INDEX(_xlpm.matrix,_xlpm.r,_xlpm.c),
IF(AND(_xlpm.c = _xlpm.lastCol, _xlpm.normalize),
INDEX(_xlpm.matrix,_xlpm.r,_xlpm.c) / MNORM(INDEX(_xlpm.matrix,,_xlpm.c),2),
IF(AND(_xlpm.c = _xlpm.lastCol, _xlpm.normalize=FALSE),
INDEX( INDEX(_xlpm.matrix,,_xlpm.c) - _xlfn.REDUCE(0, _xlfn.SEQUENCE(_xlpm.lastCol-1), _xlfn.LAMBDA(_xlpm.accum,_xlpm.x, _xlpm.accum + SUM(INDEX(_xlpm.matrix,,_xlpm.c)*INDEX(_xlpm.matrix,,_xlpm.x))*INDEX(_xlpm.matrix,,_xlpm.x))),_xlpm.r,1),
INDEX(_xlpm.matrix,_xlpm.r,_xlpm.c)
)))
)),
IF(NOT(AND(_xlpm.lastCol=COLUMNS(_xlpm.matrix), _xlpm.normalize)),
IF(_xlpm.normalize, FACTORIZE_QR(_xlpm.newMatrix, _xlpm.returnObject, _xlpm.lastCol+1, FALSE, _xlpm.originalMatrix), FACTORIZE_QR(_xlpm.newMatrix, _xlpm.returnObject, _xlpm.lastCol, TRUE, _xlpm.originalMatrix) ),
_xlfn.LET(
_xlpm.Q, _xlpm.newMatrix, _xlpm.R, _xlfn.MAKEARRAY(ROWS(_xlpm.matrix),COLUMNS(_xlpm.originalMatrix), _xlfn.LAMBDA(_xlpm.r,_xlpm.c,IF(AND(_xlpm.r&gt;1,_xlpm.r&gt;_xlpm.c), 0, SUM(INDEX(_xlpm.originalMatrix,,_xlpm.c)*INDEX(_xlpm.Q,,_xlpm.r))))),
_xlpm.adjustedQ, MMULT(_xlpm.Q, DIAG(SIGN(DIAG(_xlpm.Q)))), _xlpm.adjustedR, MMULT(DIAG(SIGN(DIAG(_xlpm.Q))), _xlpm.R),
_xlfn.SWITCH(_xlpm.returnObject, "QR", _xlfn.HSTACK(_xlpm.adjustedQ, _xlpm.adjustedR), "Q", _xlpm.adjustedQ, "R", _xlpm.adjustedR)
))
))($F$20:$I$24,$F$26)</f>
        <v>0.13736056394868904</v>
      </c>
      <c r="L20" s="63">
        <v>0.30500834819536538</v>
      </c>
      <c r="M20" s="63">
        <v>-0.51146985908401044</v>
      </c>
      <c r="N20" s="63">
        <v>0.47592075627296676</v>
      </c>
      <c r="O20" s="63">
        <v>-0.52393774517763481</v>
      </c>
      <c r="P20" s="63">
        <v>7.2801098892805189</v>
      </c>
      <c r="Q20" s="63">
        <v>6.4559465055883845</v>
      </c>
      <c r="R20" s="63">
        <v>6.3185859416396957</v>
      </c>
      <c r="S20" s="63">
        <v>6.5933070695370732</v>
      </c>
    </row>
    <row r="21" spans="1:19" x14ac:dyDescent="0.3">
      <c r="F21" s="12">
        <v>5</v>
      </c>
      <c r="G21" s="12">
        <v>5</v>
      </c>
      <c r="H21" s="12">
        <v>6</v>
      </c>
      <c r="I21" s="12">
        <v>7</v>
      </c>
      <c r="K21" s="63">
        <v>0.68680281974344515</v>
      </c>
      <c r="L21" s="63">
        <v>0.15508899060781273</v>
      </c>
      <c r="M21" s="63">
        <v>-0.49051262233305981</v>
      </c>
      <c r="N21" s="63">
        <v>-0.40453264283199442</v>
      </c>
      <c r="O21" s="63">
        <v>-0.39120684973263398</v>
      </c>
      <c r="P21" s="63">
        <v>0</v>
      </c>
      <c r="Q21" s="63">
        <v>3.6497609123038619</v>
      </c>
      <c r="R21" s="63">
        <v>2.7967714639608907</v>
      </c>
      <c r="S21" s="63">
        <v>4.5027503606468331</v>
      </c>
    </row>
    <row r="22" spans="1:19" x14ac:dyDescent="0.3">
      <c r="F22" s="12">
        <v>1</v>
      </c>
      <c r="G22" s="12">
        <v>4</v>
      </c>
      <c r="H22" s="12">
        <v>2</v>
      </c>
      <c r="I22" s="12">
        <v>3</v>
      </c>
      <c r="K22" s="63">
        <v>0.13736056394868904</v>
      </c>
      <c r="L22" s="63">
        <v>0.85298944834297086</v>
      </c>
      <c r="M22" s="63">
        <v>0.50127444661057396</v>
      </c>
      <c r="N22" s="63">
        <v>-4.7592075627303519E-2</v>
      </c>
      <c r="O22" s="63">
        <v>0.28641930069710703</v>
      </c>
      <c r="P22" s="63">
        <v>0</v>
      </c>
      <c r="Q22" s="63">
        <v>0</v>
      </c>
      <c r="R22" s="63">
        <v>-2.5007081150120798</v>
      </c>
      <c r="S22" s="63">
        <v>-3.4975928901924327</v>
      </c>
    </row>
    <row r="23" spans="1:19" x14ac:dyDescent="0.3">
      <c r="F23" s="12">
        <v>5</v>
      </c>
      <c r="G23" s="12">
        <v>3</v>
      </c>
      <c r="H23" s="12">
        <v>2</v>
      </c>
      <c r="I23" s="12">
        <v>1</v>
      </c>
      <c r="K23" s="63">
        <v>0.68680281974344515</v>
      </c>
      <c r="L23" s="63">
        <v>-0.39289210953979281</v>
      </c>
      <c r="M23" s="63">
        <v>0.49617674037385739</v>
      </c>
      <c r="N23" s="63">
        <v>0.16657226469550945</v>
      </c>
      <c r="O23" s="63">
        <v>0.69858366023684637</v>
      </c>
      <c r="P23" s="63">
        <v>0</v>
      </c>
      <c r="Q23" s="63">
        <v>0</v>
      </c>
      <c r="R23" s="63">
        <v>0</v>
      </c>
      <c r="S23" s="63">
        <v>-0.14277622688177705</v>
      </c>
    </row>
    <row r="24" spans="1:19" s="21" customFormat="1" x14ac:dyDescent="0.3">
      <c r="A24" s="17"/>
      <c r="B24"/>
      <c r="C24"/>
      <c r="D24"/>
      <c r="E24"/>
      <c r="F24" s="12">
        <v>1</v>
      </c>
      <c r="G24" s="12">
        <v>1</v>
      </c>
      <c r="H24" s="12">
        <v>1</v>
      </c>
      <c r="I24" s="12">
        <v>1</v>
      </c>
      <c r="J24"/>
      <c r="K24" s="63">
        <v>0.13736056394868904</v>
      </c>
      <c r="L24" s="63">
        <v>3.101779812156254E-2</v>
      </c>
      <c r="M24" s="63">
        <v>-1.8125177730551865E-2</v>
      </c>
      <c r="N24" s="63">
        <v>0.76147321003671797</v>
      </c>
      <c r="O24" s="63">
        <v>4.8900856216579247E-2</v>
      </c>
      <c r="P24" s="63">
        <v>0</v>
      </c>
      <c r="Q24" s="63">
        <v>0</v>
      </c>
      <c r="R24" s="63">
        <v>0</v>
      </c>
      <c r="S24" s="63">
        <v>0</v>
      </c>
    </row>
    <row r="25" spans="1:19" s="21" customFormat="1" x14ac:dyDescent="0.3">
      <c r="A25" s="17"/>
      <c r="B25"/>
      <c r="C25"/>
      <c r="D25"/>
      <c r="E25"/>
      <c r="F25"/>
      <c r="G25"/>
      <c r="H25"/>
      <c r="I25"/>
      <c r="J25"/>
      <c r="K25" s="27"/>
      <c r="L25" s="15"/>
      <c r="M25" s="27"/>
      <c r="N25" s="15"/>
      <c r="O25" s="15"/>
      <c r="P25" s="15"/>
      <c r="Q25" s="15"/>
      <c r="R25" s="15"/>
      <c r="S25" s="15"/>
    </row>
    <row r="26" spans="1:19" s="21" customFormat="1" x14ac:dyDescent="0.3">
      <c r="A26" s="17"/>
      <c r="B26"/>
      <c r="C26"/>
      <c r="D26"/>
      <c r="E26" s="13" t="s">
        <v>927</v>
      </c>
      <c r="F26" s="12" t="s">
        <v>861</v>
      </c>
      <c r="G26"/>
      <c r="H26"/>
      <c r="I26"/>
      <c r="J26"/>
      <c r="K26" s="27"/>
      <c r="L26" s="15"/>
      <c r="M26" s="27"/>
      <c r="N26" s="27"/>
      <c r="O26" s="15"/>
      <c r="P26" s="15"/>
      <c r="Q26" s="15"/>
      <c r="R26" s="15"/>
      <c r="S26" s="15"/>
    </row>
    <row r="27" spans="1:19" s="21" customFormat="1" x14ac:dyDescent="0.3">
      <c r="A27" s="17"/>
      <c r="B27"/>
      <c r="C27"/>
      <c r="D27"/>
      <c r="E27"/>
      <c r="F27"/>
      <c r="G27"/>
      <c r="H27"/>
      <c r="I27"/>
      <c r="J27"/>
      <c r="K27" s="27"/>
      <c r="L27" s="15"/>
      <c r="M27" s="27"/>
      <c r="N27" s="15"/>
      <c r="O27" s="15"/>
      <c r="P27" s="15"/>
      <c r="Q27" s="15"/>
      <c r="R27" s="15"/>
      <c r="S27" s="15"/>
    </row>
    <row r="28" spans="1:19" s="21" customFormat="1" x14ac:dyDescent="0.3">
      <c r="A28" s="17"/>
      <c r="B28"/>
      <c r="C28"/>
      <c r="D28"/>
      <c r="E28"/>
      <c r="F28"/>
      <c r="G28"/>
      <c r="H28"/>
      <c r="I28"/>
      <c r="J28"/>
      <c r="K28" s="27"/>
      <c r="L28" s="15"/>
      <c r="M28" s="27"/>
      <c r="N28" s="15"/>
      <c r="O28" s="15"/>
      <c r="P28" s="15"/>
      <c r="Q28" s="15"/>
      <c r="R28" s="15"/>
      <c r="S28" s="15"/>
    </row>
    <row r="29" spans="1:19" s="21" customFormat="1" x14ac:dyDescent="0.3">
      <c r="A29" s="17"/>
      <c r="B29"/>
      <c r="C29"/>
      <c r="D29"/>
      <c r="E29"/>
      <c r="F29"/>
      <c r="G29"/>
      <c r="H29"/>
      <c r="I29"/>
      <c r="J29"/>
      <c r="K29" s="27"/>
      <c r="L29" s="15"/>
      <c r="M29" s="27"/>
      <c r="N29" s="15"/>
      <c r="O29" s="15"/>
      <c r="P29" s="15"/>
      <c r="Q29" s="15"/>
      <c r="R29" s="15"/>
      <c r="S29" s="15"/>
    </row>
    <row r="30" spans="1:19" s="21" customFormat="1" x14ac:dyDescent="0.3">
      <c r="A30" s="17"/>
      <c r="B30"/>
      <c r="C30"/>
      <c r="D30"/>
      <c r="E30"/>
      <c r="F30"/>
      <c r="G30"/>
      <c r="H30"/>
      <c r="I30"/>
      <c r="J30"/>
      <c r="K30" s="27"/>
      <c r="L30" s="15"/>
      <c r="M30" s="27"/>
      <c r="N30" s="15"/>
      <c r="O30" s="15"/>
      <c r="P30" s="15"/>
      <c r="Q30" s="15"/>
      <c r="R30" s="15"/>
      <c r="S30" s="15"/>
    </row>
    <row r="31" spans="1:19" s="21" customFormat="1" x14ac:dyDescent="0.3">
      <c r="A31" s="17"/>
      <c r="B31"/>
      <c r="C31"/>
      <c r="D31" s="1" t="s">
        <v>17</v>
      </c>
      <c r="E31" s="13" t="s">
        <v>22</v>
      </c>
      <c r="F31" s="12">
        <v>1</v>
      </c>
      <c r="G31" s="12">
        <v>2</v>
      </c>
      <c r="H31" s="12">
        <v>3</v>
      </c>
      <c r="I31" s="12">
        <v>4</v>
      </c>
      <c r="J31"/>
      <c r="K31" s="63" cm="1">
        <f t="array" ref="K31:S35">FACTORIZE_QR($F$31:$I$35,$F$37)</f>
        <v>0.13736056394868904</v>
      </c>
      <c r="L31" s="63">
        <v>0.30500834819536538</v>
      </c>
      <c r="M31" s="63">
        <v>-0.51146985908401044</v>
      </c>
      <c r="N31" s="63">
        <v>0.47592075627296676</v>
      </c>
      <c r="O31" s="63">
        <v>-0.52393774517763481</v>
      </c>
      <c r="P31" s="63">
        <v>7.2801098892805189</v>
      </c>
      <c r="Q31" s="63">
        <v>6.4559465055883845</v>
      </c>
      <c r="R31" s="63">
        <v>6.3185859416396957</v>
      </c>
      <c r="S31" s="63">
        <v>6.5933070695370732</v>
      </c>
    </row>
    <row r="32" spans="1:19" s="21" customFormat="1" x14ac:dyDescent="0.3">
      <c r="A32" s="17"/>
      <c r="B32"/>
      <c r="C32"/>
      <c r="D32"/>
      <c r="E32"/>
      <c r="F32" s="12">
        <v>5</v>
      </c>
      <c r="G32" s="12">
        <v>5</v>
      </c>
      <c r="H32" s="12">
        <v>6</v>
      </c>
      <c r="I32" s="12">
        <v>7</v>
      </c>
      <c r="J32"/>
      <c r="K32" s="63">
        <v>0.68680281974344515</v>
      </c>
      <c r="L32" s="63">
        <v>0.15508899060781273</v>
      </c>
      <c r="M32" s="63">
        <v>-0.49051262233305981</v>
      </c>
      <c r="N32" s="63">
        <v>-0.40453264283199442</v>
      </c>
      <c r="O32" s="63">
        <v>-0.39120684973263398</v>
      </c>
      <c r="P32" s="63">
        <v>0</v>
      </c>
      <c r="Q32" s="63">
        <v>3.6497609123038619</v>
      </c>
      <c r="R32" s="63">
        <v>2.7967714639608907</v>
      </c>
      <c r="S32" s="63">
        <v>4.5027503606468331</v>
      </c>
    </row>
    <row r="33" spans="1:19" s="21" customFormat="1" x14ac:dyDescent="0.3">
      <c r="A33" s="17"/>
      <c r="B33"/>
      <c r="C33"/>
      <c r="D33"/>
      <c r="E33"/>
      <c r="F33" s="12">
        <v>1</v>
      </c>
      <c r="G33" s="12">
        <v>4</v>
      </c>
      <c r="H33" s="12">
        <v>2</v>
      </c>
      <c r="I33" s="12">
        <v>3</v>
      </c>
      <c r="J33"/>
      <c r="K33" s="63">
        <v>0.13736056394868904</v>
      </c>
      <c r="L33" s="63">
        <v>0.85298944834297086</v>
      </c>
      <c r="M33" s="63">
        <v>0.50127444661057396</v>
      </c>
      <c r="N33" s="63">
        <v>-4.7592075627303519E-2</v>
      </c>
      <c r="O33" s="63">
        <v>0.28641930069710703</v>
      </c>
      <c r="P33" s="63">
        <v>0</v>
      </c>
      <c r="Q33" s="63">
        <v>0</v>
      </c>
      <c r="R33" s="63">
        <v>-2.5007081150120798</v>
      </c>
      <c r="S33" s="63">
        <v>-3.4975928901924327</v>
      </c>
    </row>
    <row r="34" spans="1:19" s="21" customFormat="1" x14ac:dyDescent="0.3">
      <c r="A34" s="17"/>
      <c r="B34"/>
      <c r="C34"/>
      <c r="D34"/>
      <c r="E34"/>
      <c r="F34" s="12">
        <v>5</v>
      </c>
      <c r="G34" s="12">
        <v>3</v>
      </c>
      <c r="H34" s="12">
        <v>2</v>
      </c>
      <c r="I34" s="12">
        <v>1</v>
      </c>
      <c r="J34"/>
      <c r="K34" s="63">
        <v>0.68680281974344515</v>
      </c>
      <c r="L34" s="63">
        <v>-0.39289210953979281</v>
      </c>
      <c r="M34" s="63">
        <v>0.49617674037385739</v>
      </c>
      <c r="N34" s="63">
        <v>0.16657226469550945</v>
      </c>
      <c r="O34" s="63">
        <v>0.69858366023684637</v>
      </c>
      <c r="P34" s="63">
        <v>0</v>
      </c>
      <c r="Q34" s="63">
        <v>0</v>
      </c>
      <c r="R34" s="63">
        <v>0</v>
      </c>
      <c r="S34" s="63">
        <v>-0.14277622688177705</v>
      </c>
    </row>
    <row r="35" spans="1:19" s="21" customFormat="1" x14ac:dyDescent="0.3">
      <c r="A35" s="17"/>
      <c r="B35"/>
      <c r="C35"/>
      <c r="D35"/>
      <c r="E35"/>
      <c r="F35" s="12">
        <v>1</v>
      </c>
      <c r="G35" s="12">
        <v>1</v>
      </c>
      <c r="H35" s="12">
        <v>1</v>
      </c>
      <c r="I35" s="12">
        <v>1</v>
      </c>
      <c r="J35"/>
      <c r="K35" s="63">
        <v>0.13736056394868904</v>
      </c>
      <c r="L35" s="63">
        <v>3.101779812156254E-2</v>
      </c>
      <c r="M35" s="63">
        <v>-1.8125177730551865E-2</v>
      </c>
      <c r="N35" s="63">
        <v>0.76147321003671797</v>
      </c>
      <c r="O35" s="63">
        <v>4.8900856216579247E-2</v>
      </c>
      <c r="P35" s="63">
        <v>0</v>
      </c>
      <c r="Q35" s="63">
        <v>0</v>
      </c>
      <c r="R35" s="63">
        <v>0</v>
      </c>
      <c r="S35" s="63">
        <v>0</v>
      </c>
    </row>
    <row r="36" spans="1:19" s="21" customFormat="1" x14ac:dyDescent="0.3">
      <c r="A36" s="17"/>
      <c r="B36"/>
      <c r="C36"/>
      <c r="D36"/>
      <c r="E36"/>
      <c r="F36"/>
      <c r="G36"/>
      <c r="H36"/>
      <c r="I36"/>
      <c r="J36"/>
      <c r="K36" s="27"/>
      <c r="L36" s="15"/>
      <c r="M36" s="27"/>
      <c r="N36" s="15"/>
      <c r="O36" s="15"/>
      <c r="P36" s="15"/>
      <c r="Q36" s="15"/>
      <c r="R36" s="15"/>
      <c r="S36" s="15"/>
    </row>
    <row r="37" spans="1:19" s="21" customFormat="1" x14ac:dyDescent="0.3">
      <c r="A37" s="17"/>
      <c r="B37"/>
      <c r="C37"/>
      <c r="D37"/>
      <c r="E37" s="13" t="s">
        <v>927</v>
      </c>
      <c r="F37" s="12" t="s">
        <v>861</v>
      </c>
      <c r="G37"/>
      <c r="H37"/>
      <c r="I37"/>
      <c r="J37"/>
      <c r="K37" s="27"/>
      <c r="L37" s="15"/>
      <c r="M37" s="27"/>
      <c r="N37" s="15"/>
      <c r="O37" s="15"/>
      <c r="P37" s="15"/>
      <c r="Q37" s="15"/>
      <c r="R37" s="15"/>
      <c r="S37" s="15"/>
    </row>
    <row r="38" spans="1:19" s="21" customFormat="1" x14ac:dyDescent="0.3">
      <c r="A38" s="17"/>
      <c r="B38"/>
      <c r="C38"/>
      <c r="D38"/>
      <c r="E38"/>
      <c r="F38"/>
      <c r="G38"/>
      <c r="H38"/>
      <c r="I38"/>
      <c r="J38"/>
      <c r="K38" s="27"/>
      <c r="L38" s="15"/>
      <c r="M38" s="27"/>
      <c r="N38" s="15"/>
      <c r="O38" s="15"/>
      <c r="P38" s="15"/>
      <c r="Q38" s="15"/>
      <c r="R38" s="15"/>
      <c r="S38" s="15"/>
    </row>
    <row r="39" spans="1:19" s="21" customFormat="1" x14ac:dyDescent="0.3">
      <c r="A39" s="17"/>
      <c r="B39"/>
      <c r="C39"/>
      <c r="D39"/>
      <c r="E39"/>
      <c r="F39"/>
      <c r="G39"/>
      <c r="H39"/>
      <c r="I39"/>
      <c r="J39"/>
      <c r="K39" s="27"/>
      <c r="L39" s="15"/>
      <c r="M39" s="27"/>
      <c r="N39" s="15"/>
      <c r="O39" s="15"/>
      <c r="P39" s="15"/>
      <c r="Q39" s="15"/>
      <c r="R39" s="15"/>
      <c r="S39" s="15"/>
    </row>
    <row r="40" spans="1:19" s="21" customFormat="1" x14ac:dyDescent="0.3">
      <c r="A40" s="17"/>
      <c r="B40"/>
      <c r="C40"/>
      <c r="D40"/>
      <c r="E40"/>
      <c r="F40"/>
      <c r="G40"/>
      <c r="H40"/>
      <c r="I40"/>
      <c r="J40"/>
      <c r="K40" s="27"/>
      <c r="L40" s="15"/>
      <c r="M40" s="27"/>
      <c r="N40" s="15"/>
      <c r="O40" s="15"/>
      <c r="P40" s="15"/>
      <c r="Q40" s="15"/>
      <c r="R40" s="15"/>
      <c r="S40" s="15"/>
    </row>
    <row r="41" spans="1:19" s="21" customFormat="1" x14ac:dyDescent="0.3">
      <c r="A41" s="17"/>
      <c r="B41"/>
      <c r="C41"/>
      <c r="D41"/>
      <c r="E41"/>
      <c r="F41"/>
      <c r="G41"/>
      <c r="H41"/>
      <c r="I41"/>
      <c r="J41"/>
      <c r="K41" s="27"/>
      <c r="L41" s="15"/>
      <c r="M41" s="27"/>
      <c r="N41" s="15"/>
      <c r="O41" s="15"/>
      <c r="P41" s="15"/>
      <c r="Q41" s="15"/>
      <c r="R41" s="15"/>
      <c r="S41" s="15"/>
    </row>
    <row r="42" spans="1:19" s="21" customFormat="1" x14ac:dyDescent="0.3">
      <c r="A42" s="17"/>
      <c r="B42"/>
      <c r="C42"/>
      <c r="D42"/>
      <c r="E42"/>
      <c r="F42"/>
      <c r="G42"/>
      <c r="H42"/>
      <c r="I42"/>
      <c r="J42"/>
      <c r="K42" s="27"/>
      <c r="L42" s="15"/>
      <c r="M42" s="27"/>
      <c r="N42" s="15"/>
      <c r="O42" s="15"/>
      <c r="P42" s="15"/>
      <c r="Q42" s="15"/>
      <c r="R42" s="15"/>
      <c r="S42" s="15"/>
    </row>
    <row r="43" spans="1:19" s="21" customFormat="1" x14ac:dyDescent="0.3">
      <c r="A43" s="17"/>
      <c r="B43"/>
      <c r="C43"/>
      <c r="D43"/>
      <c r="E43"/>
      <c r="F43"/>
      <c r="G43"/>
      <c r="H43"/>
      <c r="I43"/>
      <c r="J43"/>
      <c r="K43" s="27"/>
      <c r="L43" s="15"/>
      <c r="M43" s="27"/>
      <c r="N43" s="15"/>
      <c r="O43" s="15"/>
      <c r="P43" s="15"/>
      <c r="Q43" s="15"/>
      <c r="R43" s="15"/>
      <c r="S43" s="15"/>
    </row>
    <row r="44" spans="1:19" s="21" customFormat="1" x14ac:dyDescent="0.3">
      <c r="A44" s="17"/>
      <c r="B44"/>
      <c r="C44"/>
      <c r="D44"/>
      <c r="E44"/>
      <c r="F44"/>
      <c r="G44"/>
      <c r="H44"/>
      <c r="I44"/>
      <c r="J44"/>
      <c r="K44" s="27"/>
      <c r="L44" s="15"/>
      <c r="M44" s="27"/>
      <c r="N44" s="15"/>
      <c r="O44" s="15"/>
      <c r="P44" s="15"/>
      <c r="Q44" s="15"/>
      <c r="R44" s="15"/>
      <c r="S44" s="15"/>
    </row>
    <row r="45" spans="1:19" s="21" customFormat="1" x14ac:dyDescent="0.3">
      <c r="A45" s="17"/>
      <c r="B45"/>
      <c r="C45"/>
      <c r="D45"/>
      <c r="E45"/>
      <c r="F45"/>
      <c r="G45"/>
      <c r="H45"/>
      <c r="I45"/>
      <c r="J45"/>
      <c r="K45" s="27"/>
      <c r="L45" s="15"/>
      <c r="M45" s="27"/>
      <c r="N45" s="15"/>
      <c r="O45" s="15"/>
      <c r="P45" s="15"/>
      <c r="Q45" s="15"/>
      <c r="R45" s="15"/>
      <c r="S45" s="15"/>
    </row>
    <row r="46" spans="1:19" s="21" customFormat="1" x14ac:dyDescent="0.3">
      <c r="A46" s="17"/>
      <c r="B46"/>
      <c r="C46"/>
      <c r="D46"/>
      <c r="E46"/>
      <c r="F46"/>
      <c r="G46"/>
      <c r="H46"/>
      <c r="I46"/>
      <c r="J46"/>
      <c r="K46" s="27"/>
      <c r="L46" s="15"/>
      <c r="M46" s="27"/>
      <c r="N46" s="15"/>
      <c r="O46" s="15"/>
      <c r="P46" s="15"/>
      <c r="Q46" s="15"/>
      <c r="R46" s="15"/>
      <c r="S46" s="15"/>
    </row>
    <row r="47" spans="1:19" s="21" customFormat="1" x14ac:dyDescent="0.3">
      <c r="A47" s="17"/>
      <c r="B47"/>
      <c r="C47"/>
      <c r="D47"/>
      <c r="E47"/>
      <c r="F47"/>
      <c r="G47"/>
      <c r="H47"/>
      <c r="I47"/>
      <c r="J47"/>
      <c r="K47" s="27"/>
      <c r="L47" s="15"/>
      <c r="M47" s="27"/>
      <c r="N47" s="15"/>
      <c r="O47" s="15"/>
      <c r="P47" s="15"/>
      <c r="Q47" s="15"/>
      <c r="R47" s="15"/>
      <c r="S47" s="15"/>
    </row>
    <row r="48" spans="1:19" s="21" customFormat="1" x14ac:dyDescent="0.3">
      <c r="A48" s="17"/>
      <c r="B48"/>
      <c r="C48"/>
      <c r="D48"/>
      <c r="E48"/>
      <c r="F48"/>
      <c r="G48"/>
      <c r="H48"/>
      <c r="I48"/>
      <c r="J48"/>
      <c r="K48" s="27"/>
      <c r="L48" s="15"/>
      <c r="M48" s="27"/>
      <c r="N48" s="15"/>
      <c r="O48" s="15"/>
      <c r="P48" s="15"/>
      <c r="Q48" s="15"/>
      <c r="R48" s="15"/>
      <c r="S48" s="15"/>
    </row>
    <row r="49" spans="1:19" s="21" customFormat="1" x14ac:dyDescent="0.3">
      <c r="A49" s="17"/>
      <c r="B49"/>
      <c r="C49"/>
      <c r="D49"/>
      <c r="E49"/>
      <c r="F49"/>
      <c r="G49"/>
      <c r="H49"/>
      <c r="I49"/>
      <c r="J49"/>
      <c r="K49" s="27"/>
      <c r="L49" s="15"/>
      <c r="M49" s="27"/>
      <c r="N49" s="15"/>
      <c r="O49" s="15"/>
      <c r="P49" s="15"/>
      <c r="Q49" s="15"/>
      <c r="R49" s="15"/>
      <c r="S49" s="15"/>
    </row>
    <row r="50" spans="1:19" s="21" customFormat="1" x14ac:dyDescent="0.3">
      <c r="A50" s="17"/>
      <c r="B50"/>
      <c r="C50"/>
      <c r="D50"/>
      <c r="E50"/>
      <c r="F50"/>
      <c r="G50"/>
      <c r="H50"/>
      <c r="I50"/>
      <c r="J50"/>
      <c r="K50" s="27"/>
      <c r="L50" s="15"/>
      <c r="M50" s="27"/>
      <c r="N50" s="15"/>
      <c r="O50" s="15"/>
      <c r="P50" s="15"/>
      <c r="Q50" s="15"/>
      <c r="R50" s="15"/>
      <c r="S50" s="15"/>
    </row>
    <row r="51" spans="1:19" s="21" customFormat="1" x14ac:dyDescent="0.3">
      <c r="A51" s="17"/>
      <c r="B51"/>
      <c r="C51"/>
      <c r="D51"/>
      <c r="E51"/>
      <c r="F51"/>
      <c r="G51"/>
      <c r="H51"/>
      <c r="I51"/>
      <c r="J51"/>
      <c r="K51" s="27"/>
      <c r="L51" s="15"/>
      <c r="M51" s="27"/>
      <c r="N51" s="15"/>
      <c r="O51" s="15"/>
      <c r="P51" s="15"/>
      <c r="Q51" s="15"/>
      <c r="R51" s="15"/>
      <c r="S51" s="15"/>
    </row>
    <row r="52" spans="1:19" s="21" customFormat="1" x14ac:dyDescent="0.3">
      <c r="A52" s="17"/>
      <c r="B52"/>
      <c r="C52"/>
      <c r="D52"/>
      <c r="E52"/>
      <c r="F52"/>
      <c r="G52"/>
      <c r="H52"/>
      <c r="I52"/>
      <c r="J52"/>
      <c r="K52" s="27"/>
      <c r="L52" s="15"/>
      <c r="M52" s="27"/>
      <c r="N52" s="15"/>
      <c r="O52" s="15"/>
      <c r="P52" s="15"/>
      <c r="Q52" s="15"/>
      <c r="R52" s="15"/>
      <c r="S52" s="15"/>
    </row>
    <row r="53" spans="1:19" s="21" customFormat="1" x14ac:dyDescent="0.3">
      <c r="A53" s="17"/>
      <c r="B53"/>
      <c r="C53"/>
      <c r="D53"/>
      <c r="E53"/>
      <c r="F53"/>
      <c r="G53"/>
      <c r="H53"/>
      <c r="I53"/>
      <c r="J53"/>
      <c r="K53" s="27"/>
      <c r="L53" s="15"/>
      <c r="M53" s="27"/>
      <c r="N53" s="15"/>
      <c r="O53" s="15"/>
      <c r="P53" s="15"/>
      <c r="Q53" s="15"/>
      <c r="R53" s="15"/>
      <c r="S53" s="15"/>
    </row>
    <row r="54" spans="1:19" s="21" customFormat="1" x14ac:dyDescent="0.3">
      <c r="A54" s="17"/>
      <c r="B54"/>
      <c r="C54"/>
      <c r="D54"/>
      <c r="E54"/>
      <c r="F54"/>
      <c r="G54"/>
      <c r="H54"/>
      <c r="I54"/>
      <c r="J54"/>
      <c r="K54" s="27"/>
      <c r="L54" s="15"/>
      <c r="M54" s="27"/>
      <c r="N54" s="15"/>
      <c r="O54" s="15"/>
      <c r="P54" s="15"/>
      <c r="Q54" s="15"/>
      <c r="R54" s="15"/>
      <c r="S54" s="15"/>
    </row>
    <row r="55" spans="1:19" s="21" customFormat="1" x14ac:dyDescent="0.3">
      <c r="A55" s="17"/>
      <c r="B55"/>
      <c r="C55"/>
      <c r="D55"/>
      <c r="E55"/>
      <c r="F55"/>
      <c r="G55"/>
      <c r="H55"/>
      <c r="I55"/>
      <c r="J55"/>
      <c r="K55" s="27"/>
      <c r="L55" s="15"/>
      <c r="M55" s="27"/>
      <c r="N55" s="15"/>
      <c r="O55" s="15"/>
      <c r="P55" s="15"/>
      <c r="Q55" s="15"/>
      <c r="R55" s="15"/>
      <c r="S55" s="15"/>
    </row>
    <row r="56" spans="1:19" s="21" customFormat="1" x14ac:dyDescent="0.3">
      <c r="A56" s="17"/>
      <c r="B56"/>
      <c r="C56"/>
      <c r="D56"/>
      <c r="E56"/>
      <c r="F56"/>
      <c r="G56"/>
      <c r="H56"/>
      <c r="I56"/>
      <c r="J56"/>
      <c r="K56" s="27"/>
      <c r="L56" s="15"/>
      <c r="M56" s="27"/>
      <c r="N56" s="15"/>
      <c r="O56" s="15"/>
      <c r="P56" s="15"/>
      <c r="Q56" s="15"/>
      <c r="R56" s="15"/>
      <c r="S56" s="15"/>
    </row>
    <row r="57" spans="1:19" s="21" customFormat="1" x14ac:dyDescent="0.3">
      <c r="A57" s="17"/>
      <c r="B57"/>
      <c r="C57"/>
      <c r="D57"/>
      <c r="E57"/>
      <c r="F57"/>
      <c r="G57"/>
      <c r="H57"/>
      <c r="I57"/>
      <c r="J57"/>
      <c r="K57" s="27"/>
      <c r="L57" s="15"/>
      <c r="M57" s="27"/>
      <c r="N57" s="15"/>
      <c r="O57" s="15"/>
      <c r="P57" s="15"/>
      <c r="Q57" s="15"/>
      <c r="R57" s="15"/>
      <c r="S57" s="15"/>
    </row>
    <row r="58" spans="1:19" s="21" customFormat="1" x14ac:dyDescent="0.3">
      <c r="A58" s="17"/>
      <c r="B58"/>
      <c r="C58"/>
      <c r="D58"/>
      <c r="E58"/>
      <c r="F58"/>
      <c r="G58"/>
      <c r="H58"/>
      <c r="I58"/>
      <c r="J58"/>
      <c r="K58" s="27"/>
      <c r="L58" s="15"/>
      <c r="M58" s="27"/>
      <c r="N58" s="15"/>
      <c r="O58" s="15"/>
      <c r="P58" s="15"/>
      <c r="Q58" s="15"/>
      <c r="R58" s="15"/>
      <c r="S58" s="15"/>
    </row>
    <row r="59" spans="1:19" s="21" customFormat="1" x14ac:dyDescent="0.3">
      <c r="A59" s="17"/>
      <c r="B59"/>
      <c r="C59"/>
      <c r="D59"/>
      <c r="E59"/>
      <c r="F59"/>
      <c r="G59"/>
      <c r="H59"/>
      <c r="I59"/>
      <c r="J59"/>
      <c r="K59" s="27"/>
      <c r="L59" s="15"/>
      <c r="M59" s="27"/>
      <c r="N59" s="15"/>
      <c r="O59" s="15"/>
      <c r="P59" s="15"/>
      <c r="Q59" s="15"/>
      <c r="R59" s="15"/>
      <c r="S59" s="15"/>
    </row>
    <row r="60" spans="1:19" s="21" customFormat="1" x14ac:dyDescent="0.3">
      <c r="A60" s="17"/>
      <c r="B60"/>
      <c r="C60"/>
      <c r="D60"/>
      <c r="E60"/>
      <c r="F60"/>
      <c r="G60"/>
      <c r="H60"/>
      <c r="I60"/>
      <c r="J60"/>
      <c r="K60" s="27"/>
      <c r="L60" s="15"/>
      <c r="M60" s="27"/>
      <c r="N60" s="15"/>
      <c r="O60" s="15"/>
      <c r="P60" s="15"/>
      <c r="Q60" s="15"/>
      <c r="R60" s="15"/>
      <c r="S60" s="15"/>
    </row>
    <row r="61" spans="1:19" s="21" customFormat="1" x14ac:dyDescent="0.3">
      <c r="A61" s="17"/>
      <c r="B61"/>
      <c r="C61"/>
      <c r="D61"/>
      <c r="E61"/>
      <c r="F61"/>
      <c r="G61"/>
      <c r="H61"/>
      <c r="I61"/>
      <c r="J61"/>
      <c r="K61" s="27"/>
      <c r="L61" s="15"/>
      <c r="M61" s="27"/>
      <c r="N61" s="15"/>
      <c r="O61" s="15"/>
      <c r="P61" s="15"/>
      <c r="Q61" s="15"/>
      <c r="R61" s="15"/>
      <c r="S61" s="15"/>
    </row>
    <row r="62" spans="1:19" s="21" customFormat="1" x14ac:dyDescent="0.3">
      <c r="A62" s="17"/>
      <c r="B62"/>
      <c r="C62"/>
      <c r="D62"/>
      <c r="E62"/>
      <c r="F62"/>
      <c r="G62"/>
      <c r="H62"/>
      <c r="I62"/>
      <c r="J62"/>
      <c r="K62" s="27"/>
      <c r="L62" s="15"/>
      <c r="M62" s="27"/>
      <c r="N62" s="15"/>
      <c r="O62" s="15"/>
      <c r="P62" s="15"/>
      <c r="Q62" s="15"/>
      <c r="R62" s="15"/>
      <c r="S62" s="15"/>
    </row>
    <row r="63" spans="1:19" s="21" customFormat="1" x14ac:dyDescent="0.3">
      <c r="A63" s="17"/>
      <c r="B63"/>
      <c r="C63"/>
      <c r="D63"/>
      <c r="E63"/>
      <c r="F63"/>
      <c r="G63"/>
      <c r="H63"/>
      <c r="I63"/>
      <c r="J63"/>
      <c r="K63" s="27"/>
      <c r="L63" s="15"/>
      <c r="M63" s="27"/>
      <c r="N63" s="15"/>
      <c r="O63" s="15"/>
      <c r="P63" s="15"/>
      <c r="Q63" s="15"/>
      <c r="R63" s="15"/>
      <c r="S63" s="15"/>
    </row>
    <row r="64" spans="1:19" s="21" customFormat="1" x14ac:dyDescent="0.3">
      <c r="A64" s="17"/>
      <c r="B64"/>
      <c r="C64"/>
      <c r="D64"/>
      <c r="E64"/>
      <c r="F64"/>
      <c r="G64"/>
      <c r="H64"/>
      <c r="I64"/>
      <c r="J64"/>
      <c r="K64" s="27"/>
      <c r="L64" s="15"/>
      <c r="M64" s="27"/>
      <c r="N64" s="15"/>
      <c r="O64" s="15"/>
      <c r="P64" s="15"/>
      <c r="Q64" s="15"/>
      <c r="R64" s="15"/>
      <c r="S64" s="15"/>
    </row>
    <row r="65" spans="1:19" s="21" customFormat="1" x14ac:dyDescent="0.3">
      <c r="A65" s="17"/>
      <c r="B65"/>
      <c r="C65"/>
      <c r="D65"/>
      <c r="E65"/>
      <c r="F65"/>
      <c r="G65"/>
      <c r="H65"/>
      <c r="I65"/>
      <c r="J65"/>
      <c r="K65" s="27"/>
      <c r="L65" s="15"/>
      <c r="M65" s="27"/>
      <c r="N65" s="15"/>
      <c r="O65" s="15"/>
      <c r="P65" s="15"/>
      <c r="Q65" s="15"/>
      <c r="R65" s="15"/>
      <c r="S65" s="15"/>
    </row>
    <row r="66" spans="1:19" s="21" customFormat="1" x14ac:dyDescent="0.3">
      <c r="A66" s="17"/>
      <c r="B66"/>
      <c r="C66"/>
      <c r="D66"/>
      <c r="E66"/>
      <c r="F66"/>
      <c r="G66"/>
      <c r="H66"/>
      <c r="I66"/>
      <c r="J66"/>
      <c r="K66" s="27"/>
      <c r="L66" s="15"/>
      <c r="M66" s="27"/>
      <c r="N66" s="15"/>
      <c r="O66" s="15"/>
      <c r="P66" s="15"/>
      <c r="Q66" s="15"/>
      <c r="R66" s="15"/>
      <c r="S66" s="15"/>
    </row>
    <row r="67" spans="1:19" s="21" customFormat="1" x14ac:dyDescent="0.3">
      <c r="A67" s="17"/>
      <c r="B67"/>
      <c r="C67"/>
      <c r="D67"/>
      <c r="E67"/>
      <c r="F67"/>
      <c r="G67"/>
      <c r="H67"/>
      <c r="I67"/>
      <c r="J67"/>
      <c r="K67" s="27"/>
      <c r="L67" s="15"/>
      <c r="M67" s="27"/>
      <c r="N67" s="15"/>
      <c r="O67" s="15"/>
      <c r="P67" s="15"/>
      <c r="Q67" s="15"/>
      <c r="R67" s="15"/>
      <c r="S67" s="15"/>
    </row>
    <row r="68" spans="1:19" s="21" customFormat="1" x14ac:dyDescent="0.3">
      <c r="A68" s="17"/>
      <c r="B68"/>
      <c r="C68"/>
      <c r="D68"/>
      <c r="E68"/>
      <c r="F68"/>
      <c r="G68"/>
      <c r="H68"/>
      <c r="I68"/>
      <c r="J68"/>
      <c r="K68" s="27"/>
      <c r="L68" s="15"/>
      <c r="M68" s="27"/>
      <c r="N68" s="15"/>
      <c r="O68" s="15"/>
      <c r="P68" s="15"/>
      <c r="Q68" s="15"/>
      <c r="R68" s="15"/>
      <c r="S68" s="15"/>
    </row>
    <row r="69" spans="1:19" s="21" customFormat="1" x14ac:dyDescent="0.3">
      <c r="A69" s="17"/>
      <c r="B69"/>
      <c r="C69"/>
      <c r="D69"/>
      <c r="E69"/>
      <c r="F69"/>
      <c r="G69"/>
      <c r="H69"/>
      <c r="I69"/>
      <c r="J69"/>
      <c r="K69" s="27"/>
      <c r="L69" s="15"/>
      <c r="M69" s="27"/>
      <c r="N69" s="15"/>
      <c r="O69" s="15"/>
      <c r="P69" s="15"/>
      <c r="Q69" s="15"/>
      <c r="R69" s="15"/>
      <c r="S69" s="15"/>
    </row>
    <row r="70" spans="1:19" s="21" customFormat="1" x14ac:dyDescent="0.3">
      <c r="A70" s="17"/>
      <c r="B70"/>
      <c r="C70"/>
      <c r="D70"/>
      <c r="E70"/>
      <c r="F70"/>
      <c r="G70"/>
      <c r="H70"/>
      <c r="I70"/>
      <c r="J70"/>
      <c r="K70" s="27"/>
      <c r="L70" s="15"/>
      <c r="M70" s="27"/>
      <c r="N70" s="15"/>
      <c r="O70" s="15"/>
      <c r="P70" s="15"/>
      <c r="Q70" s="15"/>
      <c r="R70" s="15"/>
      <c r="S70" s="15"/>
    </row>
    <row r="71" spans="1:19" s="21" customFormat="1" x14ac:dyDescent="0.3">
      <c r="A71" s="17"/>
      <c r="B71"/>
      <c r="C71"/>
      <c r="D71"/>
      <c r="E71"/>
      <c r="F71"/>
      <c r="G71"/>
      <c r="H71"/>
      <c r="I71"/>
      <c r="J71"/>
      <c r="K71" s="27"/>
      <c r="L71" s="15"/>
      <c r="M71" s="27"/>
      <c r="N71" s="15"/>
      <c r="O71" s="15"/>
      <c r="P71" s="15"/>
      <c r="Q71" s="15"/>
      <c r="R71" s="15"/>
      <c r="S71" s="15"/>
    </row>
    <row r="72" spans="1:19" s="21" customFormat="1" x14ac:dyDescent="0.3">
      <c r="A72" s="17"/>
      <c r="B72"/>
      <c r="C72"/>
      <c r="D72"/>
      <c r="E72"/>
      <c r="F72"/>
      <c r="G72"/>
      <c r="H72"/>
      <c r="I72"/>
      <c r="J72"/>
      <c r="K72" s="27"/>
      <c r="L72" s="15"/>
      <c r="M72" s="27"/>
      <c r="N72" s="15"/>
      <c r="O72" s="15"/>
      <c r="P72" s="15"/>
      <c r="Q72" s="15"/>
      <c r="R72" s="15"/>
      <c r="S72" s="15"/>
    </row>
    <row r="73" spans="1:19" s="21" customFormat="1" x14ac:dyDescent="0.3">
      <c r="A73" s="17"/>
      <c r="B73"/>
      <c r="C73"/>
      <c r="D73"/>
      <c r="E73"/>
      <c r="F73"/>
      <c r="G73"/>
      <c r="H73"/>
      <c r="I73"/>
      <c r="J73"/>
      <c r="K73" s="27"/>
      <c r="L73" s="15"/>
      <c r="M73" s="27"/>
      <c r="N73" s="15"/>
      <c r="O73" s="15"/>
      <c r="P73" s="15"/>
      <c r="Q73" s="15"/>
      <c r="R73" s="15"/>
      <c r="S73" s="15"/>
    </row>
    <row r="74" spans="1:19" s="21" customFormat="1" x14ac:dyDescent="0.3">
      <c r="A74" s="17"/>
      <c r="B74"/>
      <c r="C74"/>
      <c r="D74"/>
      <c r="E74"/>
      <c r="F74"/>
      <c r="G74"/>
      <c r="H74"/>
      <c r="I74"/>
      <c r="J74"/>
      <c r="K74" s="27"/>
      <c r="L74" s="15"/>
      <c r="M74" s="27"/>
      <c r="N74" s="15"/>
      <c r="O74" s="15"/>
      <c r="P74" s="15"/>
      <c r="Q74" s="15"/>
      <c r="R74" s="15"/>
      <c r="S74" s="15"/>
    </row>
    <row r="75" spans="1:19" s="21" customFormat="1" x14ac:dyDescent="0.3">
      <c r="A75" s="17"/>
      <c r="B75"/>
      <c r="C75"/>
      <c r="D75"/>
      <c r="E75"/>
      <c r="F75"/>
      <c r="G75"/>
      <c r="H75"/>
      <c r="I75"/>
      <c r="J75"/>
      <c r="K75" s="27"/>
      <c r="L75" s="15"/>
      <c r="M75" s="27"/>
      <c r="N75" s="15"/>
      <c r="O75" s="15"/>
      <c r="P75" s="15"/>
      <c r="Q75" s="15"/>
      <c r="R75" s="15"/>
      <c r="S75" s="15"/>
    </row>
    <row r="76" spans="1:19" s="21" customFormat="1" x14ac:dyDescent="0.3">
      <c r="A76" s="17"/>
      <c r="B76"/>
      <c r="C76"/>
      <c r="D76"/>
      <c r="E76"/>
      <c r="F76"/>
      <c r="G76"/>
      <c r="H76"/>
      <c r="I76"/>
      <c r="J76"/>
      <c r="K76" s="27"/>
      <c r="L76" s="15"/>
      <c r="M76" s="27"/>
      <c r="N76" s="15"/>
      <c r="O76" s="15"/>
      <c r="P76" s="15"/>
      <c r="Q76" s="15"/>
      <c r="R76" s="15"/>
      <c r="S76" s="15"/>
    </row>
    <row r="77" spans="1:19" s="21" customFormat="1" x14ac:dyDescent="0.3">
      <c r="A77" s="17"/>
      <c r="B77"/>
      <c r="C77"/>
      <c r="D77"/>
      <c r="E77"/>
      <c r="F77"/>
      <c r="G77"/>
      <c r="H77"/>
      <c r="I77"/>
      <c r="J77"/>
      <c r="K77" s="27"/>
      <c r="L77" s="15"/>
      <c r="M77" s="27"/>
      <c r="N77" s="15"/>
      <c r="O77" s="15"/>
      <c r="P77" s="15"/>
      <c r="Q77" s="15"/>
      <c r="R77" s="15"/>
      <c r="S77" s="15"/>
    </row>
    <row r="78" spans="1:19" s="21" customFormat="1" x14ac:dyDescent="0.3">
      <c r="A78" s="17"/>
      <c r="B78"/>
      <c r="C78"/>
      <c r="D78"/>
      <c r="E78"/>
      <c r="F78"/>
      <c r="G78"/>
      <c r="H78"/>
      <c r="I78"/>
      <c r="J78"/>
      <c r="K78" s="27"/>
      <c r="L78" s="15"/>
      <c r="M78" s="27"/>
      <c r="N78" s="15"/>
      <c r="O78" s="15"/>
      <c r="P78" s="15"/>
      <c r="Q78" s="15"/>
      <c r="R78" s="15"/>
      <c r="S78" s="15"/>
    </row>
    <row r="79" spans="1:19" s="21" customFormat="1" x14ac:dyDescent="0.3">
      <c r="A79" s="17"/>
      <c r="B79"/>
      <c r="C79"/>
      <c r="D79"/>
      <c r="E79"/>
      <c r="F79"/>
      <c r="G79"/>
      <c r="H79"/>
      <c r="I79"/>
      <c r="J79"/>
      <c r="K79" s="27"/>
      <c r="L79" s="15"/>
      <c r="M79" s="27"/>
      <c r="N79" s="15"/>
      <c r="O79" s="15"/>
      <c r="P79" s="15"/>
      <c r="Q79" s="15"/>
      <c r="R79" s="15"/>
      <c r="S79" s="15"/>
    </row>
    <row r="80" spans="1:19" s="21" customFormat="1" x14ac:dyDescent="0.3">
      <c r="A80" s="17"/>
      <c r="B80"/>
      <c r="C80"/>
      <c r="D80"/>
      <c r="E80"/>
      <c r="F80"/>
      <c r="G80"/>
      <c r="H80"/>
      <c r="I80"/>
      <c r="J80"/>
      <c r="K80" s="27"/>
      <c r="L80" s="15"/>
      <c r="M80" s="27"/>
      <c r="N80" s="15"/>
      <c r="O80" s="15"/>
      <c r="P80" s="15"/>
      <c r="Q80" s="15"/>
      <c r="R80" s="15"/>
      <c r="S80" s="15"/>
    </row>
    <row r="81" spans="1:19" s="21" customFormat="1" x14ac:dyDescent="0.3">
      <c r="A81" s="17"/>
      <c r="B81"/>
      <c r="C81"/>
      <c r="D81"/>
      <c r="E81"/>
      <c r="F81"/>
      <c r="G81"/>
      <c r="H81"/>
      <c r="I81"/>
      <c r="J81"/>
      <c r="K81" s="27"/>
      <c r="L81" s="15"/>
      <c r="M81" s="27"/>
      <c r="N81" s="15"/>
      <c r="O81" s="15"/>
      <c r="P81" s="15"/>
      <c r="Q81" s="15"/>
      <c r="R81" s="15"/>
      <c r="S81" s="15"/>
    </row>
    <row r="82" spans="1:19" s="21" customFormat="1" x14ac:dyDescent="0.3">
      <c r="A82" s="17"/>
      <c r="B82"/>
      <c r="C82"/>
      <c r="D82"/>
      <c r="E82"/>
      <c r="F82"/>
      <c r="G82"/>
      <c r="H82"/>
      <c r="I82"/>
      <c r="J82"/>
      <c r="K82" s="27"/>
      <c r="L82" s="15"/>
      <c r="M82" s="27"/>
      <c r="N82" s="15"/>
      <c r="O82" s="15"/>
      <c r="P82" s="15"/>
      <c r="Q82" s="15"/>
      <c r="R82" s="15"/>
      <c r="S82" s="15"/>
    </row>
    <row r="83" spans="1:19" s="21" customFormat="1" x14ac:dyDescent="0.3">
      <c r="A83" s="17"/>
      <c r="B83"/>
      <c r="C83"/>
      <c r="D83"/>
      <c r="E83"/>
      <c r="F83"/>
      <c r="G83"/>
      <c r="H83"/>
      <c r="I83"/>
      <c r="J83"/>
      <c r="K83" s="27"/>
      <c r="L83" s="15"/>
      <c r="M83" s="27"/>
      <c r="N83" s="15"/>
      <c r="O83" s="15"/>
      <c r="P83" s="15"/>
      <c r="Q83" s="15"/>
      <c r="R83" s="15"/>
      <c r="S83" s="15"/>
    </row>
    <row r="84" spans="1:19" s="21" customFormat="1" x14ac:dyDescent="0.3">
      <c r="A84" s="17"/>
      <c r="B84"/>
      <c r="C84"/>
      <c r="D84"/>
      <c r="E84"/>
      <c r="F84"/>
      <c r="G84"/>
      <c r="H84"/>
      <c r="I84"/>
      <c r="J84"/>
      <c r="K84" s="27"/>
      <c r="L84" s="15"/>
      <c r="M84" s="27"/>
      <c r="N84" s="15"/>
      <c r="O84" s="15"/>
      <c r="P84" s="15"/>
      <c r="Q84" s="15"/>
      <c r="R84" s="15"/>
      <c r="S84" s="15"/>
    </row>
    <row r="85" spans="1:19" s="21" customFormat="1" x14ac:dyDescent="0.3">
      <c r="A85" s="17"/>
      <c r="B85"/>
      <c r="C85"/>
      <c r="D85"/>
      <c r="E85"/>
      <c r="F85"/>
      <c r="G85"/>
      <c r="H85"/>
      <c r="I85"/>
      <c r="J85"/>
      <c r="K85" s="27"/>
      <c r="L85" s="15"/>
      <c r="M85" s="27"/>
      <c r="N85" s="15"/>
      <c r="O85" s="15"/>
      <c r="P85" s="15"/>
      <c r="Q85" s="15"/>
      <c r="R85" s="15"/>
      <c r="S85" s="15"/>
    </row>
    <row r="86" spans="1:19" s="21" customFormat="1" x14ac:dyDescent="0.3">
      <c r="A86" s="17"/>
      <c r="B86"/>
      <c r="C86"/>
      <c r="D86"/>
      <c r="E86"/>
      <c r="F86"/>
      <c r="G86"/>
      <c r="H86"/>
      <c r="I86"/>
      <c r="J86"/>
      <c r="K86" s="27"/>
      <c r="L86" s="15"/>
      <c r="M86" s="27"/>
      <c r="N86" s="15"/>
      <c r="O86" s="15"/>
      <c r="P86" s="15"/>
      <c r="Q86" s="15"/>
      <c r="R86" s="15"/>
      <c r="S86" s="15"/>
    </row>
    <row r="87" spans="1:19" s="21" customFormat="1" x14ac:dyDescent="0.3">
      <c r="A87" s="17"/>
      <c r="B87"/>
      <c r="C87"/>
      <c r="D87"/>
      <c r="E87"/>
      <c r="F87"/>
      <c r="G87"/>
      <c r="H87"/>
      <c r="I87"/>
      <c r="J87"/>
      <c r="K87" s="27"/>
      <c r="L87" s="15"/>
      <c r="M87" s="27"/>
      <c r="N87" s="15"/>
      <c r="O87" s="15"/>
      <c r="P87" s="15"/>
      <c r="Q87" s="15"/>
      <c r="R87" s="15"/>
      <c r="S87" s="15"/>
    </row>
    <row r="88" spans="1:19" s="21" customFormat="1" x14ac:dyDescent="0.3">
      <c r="A88" s="17"/>
      <c r="B88"/>
      <c r="C88"/>
      <c r="D88"/>
      <c r="E88"/>
      <c r="F88"/>
      <c r="G88"/>
      <c r="H88"/>
      <c r="I88"/>
      <c r="J88"/>
      <c r="K88" s="27"/>
      <c r="L88" s="15"/>
      <c r="M88" s="27"/>
      <c r="N88" s="15"/>
      <c r="O88" s="15"/>
      <c r="P88" s="15"/>
      <c r="Q88" s="15"/>
      <c r="R88" s="15"/>
      <c r="S88" s="15"/>
    </row>
    <row r="89" spans="1:19" s="21" customFormat="1" x14ac:dyDescent="0.3">
      <c r="A89" s="17"/>
      <c r="B89"/>
      <c r="C89"/>
      <c r="D89"/>
      <c r="E89"/>
      <c r="F89"/>
      <c r="G89"/>
      <c r="H89"/>
      <c r="I89"/>
      <c r="J89"/>
      <c r="K89" s="27"/>
      <c r="L89" s="15"/>
      <c r="M89" s="27"/>
      <c r="N89" s="15"/>
      <c r="O89" s="15"/>
      <c r="P89" s="15"/>
      <c r="Q89" s="15"/>
      <c r="R89" s="15"/>
      <c r="S89" s="15"/>
    </row>
    <row r="90" spans="1:19" s="21" customFormat="1" x14ac:dyDescent="0.3">
      <c r="A90" s="17"/>
      <c r="B90"/>
      <c r="C90"/>
      <c r="D90"/>
      <c r="E90"/>
      <c r="F90"/>
      <c r="G90"/>
      <c r="H90"/>
      <c r="I90"/>
      <c r="J90"/>
      <c r="K90" s="27"/>
      <c r="L90" s="15"/>
      <c r="M90" s="27"/>
      <c r="N90" s="15"/>
      <c r="O90" s="15"/>
      <c r="P90" s="15"/>
      <c r="Q90" s="15"/>
      <c r="R90" s="15"/>
      <c r="S90" s="15"/>
    </row>
    <row r="91" spans="1:19" s="21" customFormat="1" x14ac:dyDescent="0.3">
      <c r="A91" s="17"/>
      <c r="B91"/>
      <c r="C91"/>
      <c r="D91"/>
      <c r="E91"/>
      <c r="F91"/>
      <c r="G91"/>
      <c r="H91"/>
      <c r="I91"/>
      <c r="J91"/>
      <c r="K91" s="27"/>
      <c r="L91" s="15"/>
      <c r="M91" s="27"/>
      <c r="N91" s="15"/>
      <c r="O91" s="15"/>
      <c r="P91" s="15"/>
      <c r="Q91" s="15"/>
      <c r="R91" s="15"/>
      <c r="S91" s="15"/>
    </row>
    <row r="92" spans="1:19" s="21" customFormat="1" x14ac:dyDescent="0.3">
      <c r="A92" s="17"/>
      <c r="B92"/>
      <c r="C92"/>
      <c r="D92"/>
      <c r="E92"/>
      <c r="F92"/>
      <c r="G92"/>
      <c r="H92"/>
      <c r="I92"/>
      <c r="J92"/>
      <c r="K92" s="27"/>
      <c r="L92" s="15"/>
      <c r="M92" s="27"/>
      <c r="N92" s="15"/>
      <c r="O92" s="15"/>
      <c r="P92" s="15"/>
      <c r="Q92" s="15"/>
      <c r="R92" s="15"/>
      <c r="S92" s="15"/>
    </row>
    <row r="93" spans="1:19" s="21" customFormat="1" x14ac:dyDescent="0.3">
      <c r="A93" s="17"/>
      <c r="B93"/>
      <c r="C93"/>
      <c r="D93"/>
      <c r="E93"/>
      <c r="F93"/>
      <c r="G93"/>
      <c r="H93"/>
      <c r="I93"/>
      <c r="J93"/>
      <c r="K93" s="27"/>
      <c r="L93" s="15"/>
      <c r="M93" s="27"/>
      <c r="N93" s="15"/>
      <c r="O93" s="15"/>
      <c r="P93" s="15"/>
      <c r="Q93" s="15"/>
      <c r="R93" s="15"/>
      <c r="S93" s="15"/>
    </row>
    <row r="94" spans="1:19" s="21" customFormat="1" x14ac:dyDescent="0.3">
      <c r="A94" s="17"/>
      <c r="B94"/>
      <c r="C94"/>
      <c r="D94"/>
      <c r="E94"/>
      <c r="F94"/>
      <c r="G94"/>
      <c r="H94"/>
      <c r="I94"/>
      <c r="J94"/>
      <c r="K94" s="27"/>
      <c r="L94" s="15"/>
      <c r="M94" s="27"/>
      <c r="N94" s="15"/>
      <c r="O94" s="15"/>
      <c r="P94" s="15"/>
      <c r="Q94" s="15"/>
      <c r="R94" s="15"/>
      <c r="S94" s="15"/>
    </row>
    <row r="95" spans="1:19" s="21" customFormat="1" x14ac:dyDescent="0.3">
      <c r="A95" s="17"/>
      <c r="B95"/>
      <c r="C95"/>
      <c r="D95"/>
      <c r="E95"/>
      <c r="F95"/>
      <c r="G95"/>
      <c r="H95"/>
      <c r="I95"/>
      <c r="J95"/>
      <c r="K95" s="27"/>
      <c r="L95" s="15"/>
      <c r="M95" s="27"/>
      <c r="N95" s="15"/>
      <c r="O95" s="15"/>
      <c r="P95" s="15"/>
      <c r="Q95" s="15"/>
      <c r="R95" s="15"/>
      <c r="S95" s="15"/>
    </row>
    <row r="96" spans="1:19" s="21" customFormat="1" x14ac:dyDescent="0.3">
      <c r="A96" s="17"/>
      <c r="B96"/>
      <c r="C96"/>
      <c r="D96"/>
      <c r="E96"/>
      <c r="F96"/>
      <c r="G96"/>
      <c r="H96"/>
      <c r="I96"/>
      <c r="J96"/>
      <c r="K96" s="27"/>
      <c r="L96" s="15"/>
      <c r="M96" s="27"/>
      <c r="N96" s="15"/>
      <c r="O96" s="15"/>
      <c r="P96" s="15"/>
      <c r="Q96" s="15"/>
      <c r="R96" s="15"/>
      <c r="S96" s="15"/>
    </row>
    <row r="97" spans="1:19" s="21" customFormat="1" x14ac:dyDescent="0.3">
      <c r="A97" s="17"/>
      <c r="B97"/>
      <c r="C97"/>
      <c r="D97"/>
      <c r="E97"/>
      <c r="F97"/>
      <c r="G97"/>
      <c r="H97"/>
      <c r="I97"/>
      <c r="J97"/>
      <c r="K97" s="27"/>
      <c r="L97" s="15"/>
      <c r="M97" s="27"/>
      <c r="N97" s="15"/>
      <c r="O97" s="15"/>
      <c r="P97" s="15"/>
      <c r="Q97" s="15"/>
      <c r="R97" s="15"/>
      <c r="S97" s="15"/>
    </row>
    <row r="98" spans="1:19" s="21" customFormat="1" x14ac:dyDescent="0.3">
      <c r="A98" s="17"/>
      <c r="B98"/>
      <c r="C98"/>
      <c r="D98"/>
      <c r="E98"/>
      <c r="F98"/>
      <c r="G98"/>
      <c r="H98"/>
      <c r="I98"/>
      <c r="J98"/>
      <c r="K98" s="27"/>
      <c r="L98" s="15"/>
      <c r="M98" s="27"/>
      <c r="N98" s="15"/>
      <c r="O98" s="15"/>
      <c r="P98" s="15"/>
      <c r="Q98" s="15"/>
      <c r="R98" s="15"/>
      <c r="S98" s="15"/>
    </row>
    <row r="99" spans="1:19" s="21" customFormat="1" x14ac:dyDescent="0.3">
      <c r="A99" s="17"/>
      <c r="B99"/>
      <c r="C99"/>
      <c r="D99"/>
      <c r="E99"/>
      <c r="F99"/>
      <c r="G99"/>
      <c r="H99"/>
      <c r="I99"/>
      <c r="J99"/>
      <c r="K99" s="27"/>
      <c r="L99" s="15"/>
      <c r="M99" s="27"/>
      <c r="N99" s="15"/>
      <c r="O99" s="15"/>
      <c r="P99" s="15"/>
      <c r="Q99" s="15"/>
      <c r="R99" s="15"/>
      <c r="S99" s="15"/>
    </row>
    <row r="100" spans="1:19" s="21" customFormat="1" x14ac:dyDescent="0.3">
      <c r="A100" s="17"/>
      <c r="B100"/>
      <c r="C100"/>
      <c r="D100"/>
      <c r="E100"/>
      <c r="F100"/>
      <c r="G100"/>
      <c r="H100"/>
      <c r="I100"/>
      <c r="J100"/>
      <c r="K100" s="27"/>
      <c r="L100" s="15"/>
      <c r="M100" s="27"/>
      <c r="N100" s="15"/>
      <c r="O100" s="15"/>
      <c r="P100" s="15"/>
      <c r="Q100" s="15"/>
      <c r="R100" s="15"/>
      <c r="S100" s="15"/>
    </row>
    <row r="101" spans="1:19" s="21" customFormat="1" x14ac:dyDescent="0.3">
      <c r="A101" s="17"/>
      <c r="B101"/>
      <c r="C101"/>
      <c r="D101"/>
      <c r="E101"/>
      <c r="F101"/>
      <c r="G101"/>
      <c r="H101"/>
      <c r="I101"/>
      <c r="J101"/>
      <c r="K101" s="27"/>
      <c r="L101" s="15"/>
      <c r="M101" s="27"/>
      <c r="N101" s="15"/>
      <c r="O101" s="15"/>
      <c r="P101" s="15"/>
      <c r="Q101" s="15"/>
      <c r="R101" s="15"/>
      <c r="S101" s="15"/>
    </row>
    <row r="102" spans="1:19" s="21" customFormat="1" x14ac:dyDescent="0.3">
      <c r="A102" s="17"/>
      <c r="B102"/>
      <c r="C102"/>
      <c r="D102"/>
      <c r="E102"/>
      <c r="F102"/>
      <c r="G102"/>
      <c r="H102"/>
      <c r="I102"/>
      <c r="J102"/>
      <c r="K102" s="27"/>
      <c r="L102" s="15"/>
      <c r="M102" s="27"/>
      <c r="N102" s="15"/>
      <c r="O102" s="15"/>
      <c r="P102" s="15"/>
      <c r="Q102" s="15"/>
      <c r="R102" s="15"/>
      <c r="S102" s="15"/>
    </row>
    <row r="103" spans="1:19" s="21" customFormat="1" x14ac:dyDescent="0.3">
      <c r="A103" s="17"/>
      <c r="B103"/>
      <c r="C103"/>
      <c r="D103"/>
      <c r="E103"/>
      <c r="F103"/>
      <c r="G103"/>
      <c r="H103"/>
      <c r="I103"/>
      <c r="J103"/>
      <c r="K103" s="27"/>
      <c r="L103" s="15"/>
      <c r="M103" s="27"/>
      <c r="N103" s="15"/>
      <c r="O103" s="15"/>
      <c r="P103" s="15"/>
      <c r="Q103" s="15"/>
      <c r="R103" s="15"/>
      <c r="S103" s="15"/>
    </row>
    <row r="104" spans="1:19" s="21" customFormat="1" x14ac:dyDescent="0.3">
      <c r="A104" s="17"/>
      <c r="B104"/>
      <c r="C104"/>
      <c r="D104"/>
      <c r="E104"/>
      <c r="F104"/>
      <c r="G104"/>
      <c r="H104"/>
      <c r="I104"/>
      <c r="J104"/>
      <c r="K104" s="27"/>
      <c r="L104" s="15"/>
      <c r="M104" s="27"/>
      <c r="N104" s="15"/>
      <c r="O104" s="15"/>
      <c r="P104" s="15"/>
      <c r="Q104" s="15"/>
      <c r="R104" s="15"/>
      <c r="S104" s="15"/>
    </row>
    <row r="105" spans="1:19" s="21" customFormat="1" x14ac:dyDescent="0.3">
      <c r="A105" s="17"/>
      <c r="B105"/>
      <c r="C105"/>
      <c r="D105"/>
      <c r="E105"/>
      <c r="F105"/>
      <c r="G105"/>
      <c r="H105"/>
      <c r="I105"/>
      <c r="J105"/>
      <c r="K105" s="27"/>
      <c r="L105" s="15"/>
      <c r="M105" s="27"/>
      <c r="N105" s="15"/>
      <c r="O105" s="15"/>
      <c r="P105" s="15"/>
      <c r="Q105" s="15"/>
      <c r="R105" s="15"/>
      <c r="S105" s="15"/>
    </row>
    <row r="106" spans="1:19" s="21" customFormat="1" x14ac:dyDescent="0.3">
      <c r="A106" s="17"/>
      <c r="B106"/>
      <c r="C106"/>
      <c r="D106"/>
      <c r="E106"/>
      <c r="F106"/>
      <c r="G106"/>
      <c r="H106"/>
      <c r="I106"/>
      <c r="J106"/>
      <c r="K106" s="27"/>
      <c r="L106" s="15"/>
      <c r="M106" s="27"/>
      <c r="N106" s="15"/>
      <c r="O106" s="15"/>
      <c r="P106" s="15"/>
      <c r="Q106" s="15"/>
      <c r="R106" s="15"/>
      <c r="S106" s="15"/>
    </row>
    <row r="107" spans="1:19" s="21" customFormat="1" x14ac:dyDescent="0.3">
      <c r="A107" s="17"/>
      <c r="B107"/>
      <c r="C107"/>
      <c r="D107"/>
      <c r="E107"/>
      <c r="F107"/>
      <c r="G107"/>
      <c r="H107"/>
      <c r="I107"/>
      <c r="J107"/>
      <c r="K107" s="27"/>
      <c r="L107" s="15"/>
      <c r="M107" s="27"/>
      <c r="N107" s="15"/>
      <c r="O107" s="15"/>
      <c r="P107" s="15"/>
      <c r="Q107" s="15"/>
      <c r="R107" s="15"/>
      <c r="S107" s="15"/>
    </row>
    <row r="108" spans="1:19" s="21" customFormat="1" x14ac:dyDescent="0.3">
      <c r="A108" s="17"/>
      <c r="B108"/>
      <c r="C108"/>
      <c r="D108"/>
      <c r="E108"/>
      <c r="F108"/>
      <c r="G108"/>
      <c r="H108"/>
      <c r="I108"/>
      <c r="J108"/>
      <c r="K108" s="27"/>
      <c r="L108" s="15"/>
      <c r="M108" s="27"/>
      <c r="N108" s="15"/>
      <c r="O108" s="15"/>
      <c r="P108" s="15"/>
      <c r="Q108" s="15"/>
      <c r="R108" s="15"/>
      <c r="S108" s="15"/>
    </row>
    <row r="109" spans="1:19" s="21" customFormat="1" x14ac:dyDescent="0.3">
      <c r="A109" s="17"/>
      <c r="B109"/>
      <c r="C109"/>
      <c r="D109"/>
      <c r="E109"/>
      <c r="F109"/>
      <c r="G109"/>
      <c r="H109"/>
      <c r="I109"/>
      <c r="J109"/>
      <c r="K109" s="27"/>
      <c r="L109" s="15"/>
      <c r="M109" s="27"/>
      <c r="N109" s="15"/>
      <c r="O109" s="15"/>
      <c r="P109" s="15"/>
      <c r="Q109" s="15"/>
      <c r="R109" s="15"/>
      <c r="S109" s="15"/>
    </row>
    <row r="110" spans="1:19" s="21" customFormat="1" x14ac:dyDescent="0.3">
      <c r="A110" s="17"/>
      <c r="B110"/>
      <c r="C110"/>
      <c r="D110"/>
      <c r="E110"/>
      <c r="F110"/>
      <c r="G110"/>
      <c r="H110"/>
      <c r="I110"/>
      <c r="J110"/>
      <c r="K110" s="27"/>
      <c r="L110" s="15"/>
      <c r="M110" s="27"/>
      <c r="N110" s="15"/>
      <c r="O110" s="15"/>
      <c r="P110" s="15"/>
      <c r="Q110" s="15"/>
      <c r="R110" s="15"/>
      <c r="S110" s="15"/>
    </row>
    <row r="111" spans="1:19" s="21" customFormat="1" x14ac:dyDescent="0.3">
      <c r="A111" s="17"/>
      <c r="B111"/>
      <c r="C111"/>
      <c r="D111"/>
      <c r="E111"/>
      <c r="F111"/>
      <c r="G111"/>
      <c r="H111"/>
      <c r="I111"/>
      <c r="J111"/>
      <c r="K111" s="27"/>
      <c r="L111" s="15"/>
      <c r="M111" s="27"/>
      <c r="N111" s="15"/>
      <c r="O111" s="15"/>
      <c r="P111" s="15"/>
      <c r="Q111" s="15"/>
      <c r="R111" s="15"/>
      <c r="S111" s="15"/>
    </row>
    <row r="112" spans="1:19" s="21" customFormat="1" x14ac:dyDescent="0.3">
      <c r="A112" s="17"/>
      <c r="B112"/>
      <c r="C112"/>
      <c r="D112"/>
      <c r="E112"/>
      <c r="F112"/>
      <c r="G112"/>
      <c r="H112"/>
      <c r="I112"/>
      <c r="J112"/>
      <c r="K112" s="27"/>
      <c r="L112" s="15"/>
      <c r="M112" s="27"/>
      <c r="N112" s="15"/>
      <c r="O112" s="15"/>
      <c r="P112" s="15"/>
      <c r="Q112" s="15"/>
      <c r="R112" s="15"/>
      <c r="S112" s="15"/>
    </row>
    <row r="113" spans="1:19" s="21" customFormat="1" x14ac:dyDescent="0.3">
      <c r="A113" s="17"/>
      <c r="B113"/>
      <c r="C113"/>
      <c r="D113"/>
      <c r="E113"/>
      <c r="F113"/>
      <c r="G113"/>
      <c r="H113"/>
      <c r="I113"/>
      <c r="J113"/>
      <c r="K113" s="27"/>
      <c r="L113" s="15"/>
      <c r="M113" s="27"/>
      <c r="N113" s="15"/>
      <c r="O113" s="15"/>
      <c r="P113" s="15"/>
      <c r="Q113" s="15"/>
      <c r="R113" s="15"/>
      <c r="S113" s="15"/>
    </row>
    <row r="3021" spans="1:16" s="15" customFormat="1" x14ac:dyDescent="0.3">
      <c r="A3021" s="17"/>
      <c r="B3021"/>
      <c r="C3021"/>
      <c r="D3021"/>
      <c r="E3021"/>
      <c r="F3021"/>
      <c r="G3021"/>
      <c r="H3021"/>
      <c r="I3021"/>
      <c r="J3021"/>
      <c r="P3021" s="54"/>
    </row>
  </sheetData>
  <mergeCells count="2">
    <mergeCell ref="A2:I2"/>
    <mergeCell ref="A3:J3"/>
  </mergeCells>
  <pageMargins left="0.511811024" right="0.511811024" top="0.78740157499999996" bottom="0.78740157499999996" header="0.31496062000000002" footer="0.3149606200000000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2A0A-D111-4F93-B297-BF78F766D251}">
  <sheetPr>
    <tabColor theme="9" tint="0.59999389629810485"/>
  </sheetPr>
  <dimension ref="A1:U3015"/>
  <sheetViews>
    <sheetView showGridLines="0" zoomScaleNormal="100" workbookViewId="0">
      <selection activeCell="K25" sqref="K25"/>
    </sheetView>
  </sheetViews>
  <sheetFormatPr defaultColWidth="8.85546875" defaultRowHeight="18.75" x14ac:dyDescent="0.3"/>
  <cols>
    <col min="1" max="1" width="18.5703125" style="17" customWidth="1"/>
    <col min="2" max="2" width="60.5703125" customWidth="1"/>
    <col min="3" max="3" width="9.7109375" customWidth="1"/>
    <col min="4" max="4" width="8.85546875" customWidth="1"/>
    <col min="5" max="5" width="14.42578125" customWidth="1"/>
    <col min="11" max="11" width="9.140625" style="15" customWidth="1"/>
    <col min="12" max="20" width="10.42578125" style="15" customWidth="1"/>
    <col min="21" max="21" width="8.85546875" style="15"/>
  </cols>
  <sheetData>
    <row r="1" spans="1:21" x14ac:dyDescent="0.3">
      <c r="A1" s="16" t="s">
        <v>924</v>
      </c>
      <c r="K1" s="14"/>
      <c r="L1" s="14"/>
      <c r="M1" s="14"/>
      <c r="N1" s="14"/>
      <c r="O1" s="14"/>
      <c r="P1" s="14"/>
      <c r="Q1" s="14"/>
      <c r="R1" s="14"/>
      <c r="S1" s="14"/>
      <c r="T1" s="14"/>
      <c r="U1" s="14"/>
    </row>
    <row r="2" spans="1:21" ht="21.75" customHeight="1" x14ac:dyDescent="0.25">
      <c r="A2" s="146" t="s">
        <v>929</v>
      </c>
      <c r="B2" s="146"/>
      <c r="C2" s="146"/>
      <c r="D2" s="146"/>
      <c r="E2" s="146"/>
      <c r="F2" s="146"/>
      <c r="G2" s="146"/>
      <c r="H2" s="146"/>
      <c r="I2" s="146"/>
      <c r="K2" s="14"/>
      <c r="L2" s="14"/>
      <c r="M2" s="14"/>
      <c r="N2" s="14"/>
      <c r="O2" s="14"/>
      <c r="P2" s="14"/>
      <c r="Q2" s="14"/>
      <c r="R2" s="14"/>
      <c r="S2" s="14"/>
      <c r="T2" s="14"/>
      <c r="U2" s="14"/>
    </row>
    <row r="3" spans="1:21" ht="15" customHeight="1" x14ac:dyDescent="0.25">
      <c r="A3" s="128"/>
      <c r="B3" s="128"/>
      <c r="C3" s="128"/>
      <c r="D3" s="128"/>
      <c r="E3" s="128"/>
      <c r="F3" s="128"/>
      <c r="G3" s="128"/>
      <c r="H3" s="128"/>
      <c r="I3" s="128"/>
      <c r="J3" s="128"/>
      <c r="K3" s="14"/>
      <c r="L3" s="14"/>
      <c r="M3" s="14"/>
      <c r="N3" s="14"/>
      <c r="O3" s="14"/>
      <c r="P3" s="14"/>
      <c r="Q3" s="14"/>
      <c r="R3" s="14"/>
      <c r="S3" s="14"/>
      <c r="T3" s="14"/>
      <c r="U3" s="14"/>
    </row>
    <row r="4" spans="1:21" x14ac:dyDescent="0.3">
      <c r="A4" s="17" t="s">
        <v>855</v>
      </c>
      <c r="K4" s="14"/>
      <c r="L4" s="14"/>
      <c r="M4" s="14"/>
      <c r="N4" s="14"/>
      <c r="O4" s="14"/>
      <c r="P4" s="14"/>
      <c r="Q4" s="14"/>
      <c r="R4" s="14"/>
      <c r="S4" s="14"/>
      <c r="T4" s="14"/>
      <c r="U4" s="14"/>
    </row>
    <row r="5" spans="1:21" x14ac:dyDescent="0.3">
      <c r="A5" s="17" t="s">
        <v>925</v>
      </c>
      <c r="K5" s="14"/>
      <c r="L5" s="14"/>
      <c r="M5" s="14"/>
      <c r="N5" s="14"/>
      <c r="O5" s="14"/>
      <c r="P5" s="14"/>
      <c r="Q5" s="14"/>
      <c r="R5" s="14"/>
      <c r="S5" s="14"/>
      <c r="T5" s="14"/>
      <c r="U5" s="14"/>
    </row>
    <row r="6" spans="1:21" x14ac:dyDescent="0.3">
      <c r="M6" s="27"/>
    </row>
    <row r="7" spans="1:21" ht="15.75" x14ac:dyDescent="0.25">
      <c r="A7" s="2" t="s">
        <v>15</v>
      </c>
      <c r="B7" s="2" t="s">
        <v>16</v>
      </c>
      <c r="C7" s="2"/>
      <c r="M7" s="27"/>
    </row>
    <row r="8" spans="1:21" ht="15.75" x14ac:dyDescent="0.25">
      <c r="A8" s="23" t="s">
        <v>22</v>
      </c>
      <c r="B8" s="26" t="s">
        <v>926</v>
      </c>
      <c r="C8" s="26"/>
      <c r="M8" s="27"/>
    </row>
    <row r="9" spans="1:21" ht="31.5" x14ac:dyDescent="0.25">
      <c r="A9" s="23" t="s">
        <v>927</v>
      </c>
      <c r="B9" s="26" t="s">
        <v>928</v>
      </c>
      <c r="C9" s="26"/>
      <c r="M9" s="27"/>
    </row>
    <row r="10" spans="1:21" ht="15.75" x14ac:dyDescent="0.25">
      <c r="A10" s="23" t="s">
        <v>851</v>
      </c>
      <c r="B10" s="26" t="s">
        <v>854</v>
      </c>
      <c r="C10" s="26"/>
      <c r="M10" s="27"/>
    </row>
    <row r="11" spans="1:21" ht="15.75" x14ac:dyDescent="0.25">
      <c r="A11" s="23" t="s">
        <v>853</v>
      </c>
      <c r="B11" s="26" t="s">
        <v>854</v>
      </c>
      <c r="C11" s="26"/>
      <c r="M11" s="27"/>
    </row>
    <row r="12" spans="1:21" ht="15.75" x14ac:dyDescent="0.25">
      <c r="A12" s="23"/>
      <c r="B12" s="26"/>
      <c r="C12" s="26"/>
      <c r="M12" s="27"/>
    </row>
    <row r="13" spans="1:21" ht="15.75" x14ac:dyDescent="0.25">
      <c r="A13" s="23"/>
      <c r="B13" s="26"/>
      <c r="C13" s="26"/>
      <c r="M13" s="27"/>
    </row>
    <row r="14" spans="1:21" ht="15.75" x14ac:dyDescent="0.25">
      <c r="A14" s="23"/>
      <c r="B14" s="26"/>
      <c r="C14" s="26"/>
      <c r="M14" s="27"/>
    </row>
    <row r="15" spans="1:21" ht="15.75" x14ac:dyDescent="0.25">
      <c r="A15" s="23"/>
      <c r="B15" s="26"/>
      <c r="C15" s="26"/>
      <c r="M15" s="27"/>
    </row>
    <row r="16" spans="1:21" x14ac:dyDescent="0.3">
      <c r="M16" s="27"/>
    </row>
    <row r="17" spans="1:21" x14ac:dyDescent="0.3">
      <c r="D17" s="1" t="s">
        <v>17</v>
      </c>
      <c r="E17" s="13" t="s">
        <v>22</v>
      </c>
      <c r="F17" s="12">
        <v>0.98</v>
      </c>
      <c r="G17" s="12">
        <v>-0.24</v>
      </c>
      <c r="H17" s="12">
        <v>0.1</v>
      </c>
      <c r="K17" s="59" cm="1">
        <f t="array" ref="K17:M19">_xlfn.LAMBDA(_xlpm.matrix,_xlop.returnObject,_xlop.lastCol,_xlop.originalMatrix,
_xlfn.LET(
_xlpm.returnObject, IF(OR(_xlfn.ISOMITTED(_xlpm.returnObject), ISBLANK(_xlpm.returnObject)), "L", _xlpm.returnObject),
_xlpm.lastRow, IF(_xlfn.ISOMITTED(lastRow), 1, lastRow),
_xlpm.lastCol, IF(_xlfn.ISOMITTED(_xlpm.lastCol), 1, _xlpm.lastCol),
_xlpm.lowerMatrix, IF(_xlfn.ISOMITTED(_xlpm.originalMatrix), ZEROS(ROWS(_xlpm.matrix),COLUMNS(_xlpm.matrix)), _xlpm.matrix),
_xlpm.originalMatrix, IF(_xlfn.ISOMITTED(_xlpm.originalMatrix), _xlpm.matrix, _xlpm.originalMatrix),
_xlpm.newMatrix,
_xlfn.REDUCE(_xlpm.lowerMatrix, _xlfn.SEQUENCE(ROWS(_xlpm.matrix)), _xlfn.LAMBDA(_xlpm.accum,_xlpm.row,
IF(AND(_xlpm.lastCol=1,_xlpm.row=1),
SLICE(_xlpm.accum, _xlpm.row, _xlpm.row, _xlpm.lastCol, _xlpm.lastCol, SQRT( INDEX(_xlpm.originalMatrix,1,1) ) ),
IF(AND(_xlpm.lastCol=1, _xlpm.row&gt;1),
SLICE(_xlpm.accum, _xlpm.row, _xlpm.row, _xlpm.lastCol, _xlpm.lastCol, INDEX(_xlpm.originalMatrix,_xlpm.row,1) / SQRT( INDEX(_xlpm.originalMatrix,1,1) ) ),
IF(AND(_xlpm.lastCol&gt;1, _xlpm.row&lt;_xlpm.lastCol),
SLICE(_xlpm.accum, _xlpm.row, _xlpm.row, _xlpm.lastCol, _xlpm.lastCol, 0 ),
IF(AND(_xlpm.lastCol&gt;1, _xlpm.row=_xlpm.lastCol),
SLICE(_xlpm.accum, _xlpm.row, _xlpm.row, _xlpm.lastCol, _xlpm.lastCol, SQRT( INDEX(_xlpm.originalMatrix,_xlpm.lastCol,_xlpm.lastCol) - SUM(INDEX(_xlpm.accum, _xlpm.lastCol, _xlfn.SEQUENCE(1, _xlpm.lastCol-1))^2) ) ),
IF(AND(_xlpm.lastCol&gt;1, _xlpm.row&gt;_xlpm.lastCol),
SLICE(_xlpm.accum, _xlpm.row, _xlpm.row, _xlpm.lastCol, _xlpm.lastCol, (INDEX(_xlpm.originalMatrix, _xlpm.row, _xlpm.lastCol) - SUM(
_xlfn.MAP(INDEX(_xlpm.accum, _xlpm.row, _xlfn.SEQUENCE(1, _xlpm.lastCol-1)), _xlfn.LAMBDA(_xlpm.val, IMCONJUGATE(_xlpm.val))) * _xlfn.MAP(INDEX(_xlpm.accum, _xlpm.lastCol, _xlfn.SEQUENCE(1, _xlpm.lastCol-1)), _xlfn.LAMBDA(_xlpm.val, IMCONJUGATE(_xlpm.val)))
)) / INDEX(_xlpm.accum,_xlpm.lastCol,_xlpm.lastCol) ),
)))))
)),
IF(NOT(_xlpm.lastCol=COLUMNS(_xlpm.matrix)), FACTORIZE_CHOL(_xlpm.newMatrix, _xlpm.returnObject,_xlpm.lastCol+1, _xlpm.originalMatrix), IFERROR(_xlfn.SWITCH(_xlpm.returnObject, "L", _xlpm.newMatrix, "U", TRANSPOSE(_xlpm.newMatrix), "LU", _xlfn.HSTACK(_xlpm.newMatrix, TRANSPOSE(_xlpm.newMatrix))), "#ERROR: matrix must be positive-definite"))
))($F$17:$H$19,$F$21)</f>
        <v>0.98994949366116658</v>
      </c>
      <c r="L17" s="59">
        <v>0</v>
      </c>
      <c r="M17" s="59">
        <v>0</v>
      </c>
      <c r="N17" s="59"/>
      <c r="O17" s="59"/>
      <c r="P17" s="59"/>
      <c r="Q17" s="59"/>
      <c r="R17" s="59"/>
      <c r="S17" s="59"/>
      <c r="T17" s="59"/>
      <c r="U17" s="59"/>
    </row>
    <row r="18" spans="1:21" x14ac:dyDescent="0.3">
      <c r="F18" s="12">
        <v>-0.24</v>
      </c>
      <c r="G18" s="12">
        <v>0.12</v>
      </c>
      <c r="H18" s="12">
        <v>-0.01</v>
      </c>
      <c r="K18" s="59">
        <v>-0.24243661069253056</v>
      </c>
      <c r="L18" s="59">
        <v>0.24743582965269675</v>
      </c>
      <c r="M18" s="59">
        <v>0</v>
      </c>
      <c r="N18" s="59"/>
      <c r="O18" s="59"/>
      <c r="P18" s="59"/>
      <c r="Q18" s="59"/>
      <c r="R18" s="59"/>
      <c r="S18" s="59"/>
      <c r="T18" s="59"/>
      <c r="U18" s="59"/>
    </row>
    <row r="19" spans="1:21" x14ac:dyDescent="0.3">
      <c r="F19" s="12">
        <v>0.1</v>
      </c>
      <c r="G19" s="12">
        <v>-0.01</v>
      </c>
      <c r="H19" s="12">
        <v>1.72</v>
      </c>
      <c r="K19" s="59">
        <v>0.10101525445522108</v>
      </c>
      <c r="L19" s="59">
        <v>5.8559813017804989E-2</v>
      </c>
      <c r="M19" s="59">
        <v>1.3062797046064318</v>
      </c>
      <c r="N19" s="59"/>
      <c r="O19" s="59"/>
      <c r="P19" s="59"/>
      <c r="Q19" s="59"/>
      <c r="R19" s="59"/>
      <c r="S19" s="59"/>
      <c r="T19" s="59"/>
      <c r="U19" s="59"/>
    </row>
    <row r="20" spans="1:21" x14ac:dyDescent="0.3">
      <c r="K20" s="59"/>
      <c r="L20" s="59"/>
      <c r="M20" s="59"/>
      <c r="N20" s="59"/>
      <c r="O20" s="59"/>
      <c r="P20" s="59"/>
      <c r="Q20" s="59"/>
      <c r="R20" s="59"/>
      <c r="S20" s="59"/>
      <c r="T20" s="59"/>
      <c r="U20" s="59"/>
    </row>
    <row r="21" spans="1:21" s="21" customFormat="1" x14ac:dyDescent="0.3">
      <c r="A21" s="17"/>
      <c r="B21"/>
      <c r="C21"/>
      <c r="D21"/>
      <c r="E21" s="13" t="s">
        <v>927</v>
      </c>
      <c r="F21" s="12" t="s">
        <v>930</v>
      </c>
      <c r="G21"/>
      <c r="H21"/>
      <c r="I21"/>
      <c r="J21"/>
      <c r="K21" s="59"/>
      <c r="L21" s="59"/>
      <c r="M21" s="59"/>
      <c r="N21" s="59"/>
      <c r="O21" s="59"/>
      <c r="P21" s="59"/>
      <c r="Q21" s="59"/>
      <c r="R21" s="59"/>
      <c r="S21" s="59"/>
      <c r="T21" s="59"/>
      <c r="U21" s="59"/>
    </row>
    <row r="22" spans="1:21" s="21" customFormat="1" x14ac:dyDescent="0.3">
      <c r="A22" s="17"/>
      <c r="B22"/>
      <c r="C22"/>
      <c r="D22"/>
      <c r="E22"/>
      <c r="F22"/>
      <c r="G22"/>
      <c r="H22"/>
      <c r="I22"/>
      <c r="J22"/>
      <c r="K22" s="59"/>
      <c r="L22" s="59"/>
      <c r="M22" s="59"/>
      <c r="N22" s="59"/>
      <c r="O22" s="59"/>
      <c r="P22" s="59"/>
      <c r="Q22" s="59"/>
      <c r="R22" s="59"/>
      <c r="S22" s="59"/>
      <c r="T22" s="59"/>
      <c r="U22" s="59"/>
    </row>
    <row r="23" spans="1:21" s="21" customFormat="1" x14ac:dyDescent="0.3">
      <c r="A23" s="17"/>
      <c r="B23"/>
      <c r="C23"/>
      <c r="D23"/>
      <c r="E23"/>
      <c r="F23"/>
      <c r="G23"/>
      <c r="H23"/>
      <c r="I23"/>
      <c r="J23"/>
      <c r="K23" s="59"/>
      <c r="L23" s="59"/>
      <c r="M23" s="59"/>
      <c r="N23" s="59"/>
      <c r="O23" s="59"/>
      <c r="P23" s="59"/>
      <c r="Q23" s="59"/>
      <c r="R23" s="59"/>
      <c r="S23" s="59"/>
      <c r="T23" s="59"/>
      <c r="U23" s="59"/>
    </row>
    <row r="24" spans="1:21" s="21" customFormat="1" x14ac:dyDescent="0.3">
      <c r="A24" s="17"/>
      <c r="B24"/>
      <c r="C24"/>
      <c r="D24"/>
      <c r="E24"/>
      <c r="F24"/>
      <c r="G24"/>
      <c r="H24"/>
      <c r="I24"/>
      <c r="J24"/>
      <c r="K24" s="59"/>
      <c r="L24" s="59"/>
      <c r="M24" s="59"/>
      <c r="N24" s="59"/>
      <c r="O24" s="59"/>
      <c r="P24" s="59"/>
      <c r="Q24" s="59"/>
      <c r="R24" s="59"/>
      <c r="S24" s="59"/>
      <c r="T24" s="59"/>
      <c r="U24" s="59"/>
    </row>
    <row r="25" spans="1:21" s="21" customFormat="1" x14ac:dyDescent="0.3">
      <c r="A25" s="17"/>
      <c r="B25"/>
      <c r="C25"/>
      <c r="D25" s="1" t="s">
        <v>17</v>
      </c>
      <c r="E25" s="13" t="s">
        <v>22</v>
      </c>
      <c r="F25" s="12">
        <v>0.98</v>
      </c>
      <c r="G25" s="12">
        <v>-0.24</v>
      </c>
      <c r="H25" s="12">
        <v>0.1</v>
      </c>
      <c r="I25"/>
      <c r="J25"/>
      <c r="K25" s="59" cm="1">
        <f t="array" ref="K25:M27">FACTORIZE_CHOL($F$25:$H$27,$F$29)</f>
        <v>0.98994949366116658</v>
      </c>
      <c r="L25" s="59">
        <v>0</v>
      </c>
      <c r="M25" s="59">
        <v>0</v>
      </c>
      <c r="N25" s="59"/>
      <c r="O25" s="59"/>
      <c r="P25" s="59"/>
      <c r="Q25" s="59"/>
      <c r="R25" s="59"/>
      <c r="S25" s="59"/>
      <c r="T25" s="59"/>
      <c r="U25" s="59"/>
    </row>
    <row r="26" spans="1:21" s="21" customFormat="1" x14ac:dyDescent="0.3">
      <c r="A26" s="17"/>
      <c r="B26"/>
      <c r="C26"/>
      <c r="D26"/>
      <c r="E26"/>
      <c r="F26" s="12">
        <v>-0.24</v>
      </c>
      <c r="G26" s="12">
        <v>0.12</v>
      </c>
      <c r="H26" s="12">
        <v>-0.01</v>
      </c>
      <c r="I26"/>
      <c r="J26"/>
      <c r="K26" s="59">
        <v>-0.24243661069253056</v>
      </c>
      <c r="L26" s="59">
        <v>0.24743582965269675</v>
      </c>
      <c r="M26" s="59">
        <v>0</v>
      </c>
      <c r="N26" s="59"/>
      <c r="O26" s="59"/>
      <c r="P26" s="59"/>
      <c r="Q26" s="59"/>
      <c r="R26" s="59"/>
      <c r="S26" s="59"/>
      <c r="T26" s="59"/>
      <c r="U26" s="59"/>
    </row>
    <row r="27" spans="1:21" s="21" customFormat="1" x14ac:dyDescent="0.3">
      <c r="A27" s="17"/>
      <c r="B27"/>
      <c r="C27"/>
      <c r="D27"/>
      <c r="E27"/>
      <c r="F27" s="12">
        <v>0.1</v>
      </c>
      <c r="G27" s="12">
        <v>-0.01</v>
      </c>
      <c r="H27" s="12">
        <v>1.72</v>
      </c>
      <c r="I27"/>
      <c r="J27"/>
      <c r="K27" s="59">
        <v>0.10101525445522108</v>
      </c>
      <c r="L27" s="59">
        <v>5.8559813017804989E-2</v>
      </c>
      <c r="M27" s="59">
        <v>1.3062797046064318</v>
      </c>
      <c r="N27" s="59"/>
      <c r="O27" s="59"/>
      <c r="P27" s="59"/>
      <c r="Q27" s="59"/>
      <c r="R27" s="59"/>
      <c r="S27" s="59"/>
      <c r="T27" s="59"/>
      <c r="U27" s="59"/>
    </row>
    <row r="28" spans="1:21" s="21" customFormat="1" x14ac:dyDescent="0.3">
      <c r="A28" s="17"/>
      <c r="B28"/>
      <c r="C28"/>
      <c r="D28"/>
      <c r="E28"/>
      <c r="F28"/>
      <c r="G28"/>
      <c r="H28"/>
      <c r="I28"/>
      <c r="J28"/>
      <c r="K28" s="63"/>
      <c r="L28" s="63"/>
      <c r="M28" s="63"/>
      <c r="N28" s="63"/>
      <c r="O28" s="63"/>
      <c r="P28" s="63"/>
      <c r="Q28" s="63"/>
      <c r="R28" s="63"/>
      <c r="S28" s="63"/>
      <c r="T28" s="63"/>
      <c r="U28" s="63"/>
    </row>
    <row r="29" spans="1:21" s="21" customFormat="1" x14ac:dyDescent="0.3">
      <c r="A29" s="17"/>
      <c r="B29"/>
      <c r="C29"/>
      <c r="D29"/>
      <c r="E29" s="13" t="s">
        <v>927</v>
      </c>
      <c r="F29" s="12" t="s">
        <v>930</v>
      </c>
      <c r="G29"/>
      <c r="H29"/>
      <c r="I29"/>
      <c r="J29"/>
      <c r="K29" s="63"/>
      <c r="L29" s="63"/>
      <c r="M29" s="63"/>
      <c r="N29" s="63"/>
      <c r="O29" s="63"/>
      <c r="P29" s="63"/>
      <c r="Q29" s="63"/>
      <c r="R29" s="63"/>
      <c r="S29" s="63"/>
      <c r="T29" s="63"/>
      <c r="U29" s="63"/>
    </row>
    <row r="30" spans="1:21" s="21" customFormat="1" x14ac:dyDescent="0.3">
      <c r="A30" s="17"/>
      <c r="B30"/>
      <c r="C30"/>
      <c r="D30"/>
      <c r="E30"/>
      <c r="F30"/>
      <c r="G30"/>
      <c r="H30"/>
      <c r="I30"/>
      <c r="J30"/>
      <c r="K30" s="27"/>
      <c r="L30" s="15"/>
      <c r="M30" s="27"/>
      <c r="N30" s="15"/>
      <c r="O30" s="15"/>
      <c r="P30" s="15"/>
      <c r="Q30" s="15"/>
      <c r="R30" s="15"/>
      <c r="S30" s="15"/>
      <c r="T30" s="15"/>
      <c r="U30" s="15"/>
    </row>
    <row r="31" spans="1:21" s="21" customFormat="1" x14ac:dyDescent="0.3">
      <c r="A31" s="17"/>
      <c r="B31"/>
      <c r="C31"/>
      <c r="D31"/>
      <c r="E31"/>
      <c r="F31"/>
      <c r="G31"/>
      <c r="H31"/>
      <c r="I31"/>
      <c r="J31"/>
      <c r="K31" s="27"/>
      <c r="L31" s="15"/>
      <c r="M31" s="27"/>
      <c r="N31" s="15"/>
      <c r="O31" s="15"/>
      <c r="P31" s="15"/>
      <c r="Q31" s="15"/>
      <c r="R31" s="15"/>
      <c r="S31" s="15"/>
      <c r="T31" s="15"/>
      <c r="U31" s="15"/>
    </row>
    <row r="32" spans="1:21" s="21" customFormat="1" x14ac:dyDescent="0.3">
      <c r="A32" s="17"/>
      <c r="B32"/>
      <c r="C32"/>
      <c r="D32"/>
      <c r="E32"/>
      <c r="F32"/>
      <c r="G32"/>
      <c r="H32"/>
      <c r="I32"/>
      <c r="J32"/>
      <c r="K32" s="27"/>
      <c r="L32" s="15"/>
      <c r="M32" s="27"/>
      <c r="N32" s="15"/>
      <c r="O32" s="15"/>
      <c r="P32" s="15"/>
      <c r="Q32" s="15"/>
      <c r="R32" s="15"/>
      <c r="S32" s="15"/>
      <c r="T32" s="15"/>
      <c r="U32" s="15"/>
    </row>
    <row r="33" spans="1:21" s="21" customFormat="1" x14ac:dyDescent="0.3">
      <c r="A33" s="17"/>
      <c r="B33"/>
      <c r="C33"/>
      <c r="D33"/>
      <c r="E33"/>
      <c r="F33"/>
      <c r="G33"/>
      <c r="H33"/>
      <c r="I33"/>
      <c r="J33"/>
      <c r="K33" s="27"/>
      <c r="L33" s="15"/>
      <c r="M33" s="27"/>
      <c r="N33" s="15"/>
      <c r="O33" s="15"/>
      <c r="P33" s="15"/>
      <c r="Q33" s="15"/>
      <c r="R33" s="15"/>
      <c r="S33" s="15"/>
      <c r="T33" s="15"/>
      <c r="U33" s="15"/>
    </row>
    <row r="34" spans="1:21" s="21" customFormat="1" x14ac:dyDescent="0.3">
      <c r="A34" s="17"/>
      <c r="B34"/>
      <c r="C34"/>
      <c r="D34"/>
      <c r="E34"/>
      <c r="F34"/>
      <c r="G34"/>
      <c r="H34"/>
      <c r="I34"/>
      <c r="J34"/>
      <c r="K34" s="27"/>
      <c r="L34" s="15"/>
      <c r="M34" s="27"/>
      <c r="N34" s="15"/>
      <c r="O34" s="15"/>
      <c r="P34" s="15"/>
      <c r="Q34" s="15"/>
      <c r="R34" s="15"/>
      <c r="S34" s="15"/>
      <c r="T34" s="15"/>
      <c r="U34" s="15"/>
    </row>
    <row r="35" spans="1:21" s="21" customFormat="1" x14ac:dyDescent="0.3">
      <c r="A35" s="17"/>
      <c r="B35"/>
      <c r="C35"/>
      <c r="D35"/>
      <c r="E35"/>
      <c r="F35"/>
      <c r="G35"/>
      <c r="H35"/>
      <c r="I35"/>
      <c r="J35"/>
      <c r="K35" s="27"/>
      <c r="L35" s="15"/>
      <c r="M35" s="27"/>
      <c r="N35" s="15"/>
      <c r="O35" s="15"/>
      <c r="P35" s="15"/>
      <c r="Q35" s="15"/>
      <c r="R35" s="15"/>
      <c r="S35" s="15"/>
      <c r="T35" s="15"/>
      <c r="U35" s="15"/>
    </row>
    <row r="36" spans="1:21" s="21" customFormat="1" x14ac:dyDescent="0.3">
      <c r="A36" s="17"/>
      <c r="B36"/>
      <c r="C36"/>
      <c r="D36"/>
      <c r="E36"/>
      <c r="F36"/>
      <c r="G36"/>
      <c r="H36"/>
      <c r="I36"/>
      <c r="J36"/>
      <c r="K36" s="27"/>
      <c r="L36" s="15"/>
      <c r="M36" s="27"/>
      <c r="N36" s="15"/>
      <c r="O36" s="15"/>
      <c r="P36" s="15"/>
      <c r="Q36" s="15"/>
      <c r="R36" s="15"/>
      <c r="S36" s="15"/>
      <c r="T36" s="15"/>
      <c r="U36" s="15"/>
    </row>
    <row r="37" spans="1:21" s="21" customFormat="1" x14ac:dyDescent="0.3">
      <c r="A37" s="17"/>
      <c r="B37"/>
      <c r="C37"/>
      <c r="D37"/>
      <c r="E37"/>
      <c r="F37"/>
      <c r="G37"/>
      <c r="H37"/>
      <c r="I37"/>
      <c r="J37"/>
      <c r="K37" s="27"/>
      <c r="L37" s="15"/>
      <c r="M37" s="27"/>
      <c r="N37" s="15"/>
      <c r="O37" s="15"/>
      <c r="P37" s="15"/>
      <c r="Q37" s="15"/>
      <c r="R37" s="15"/>
      <c r="S37" s="15"/>
      <c r="T37" s="15"/>
      <c r="U37" s="15"/>
    </row>
    <row r="38" spans="1:21" s="21" customFormat="1" x14ac:dyDescent="0.3">
      <c r="A38" s="17"/>
      <c r="B38"/>
      <c r="C38"/>
      <c r="D38"/>
      <c r="E38"/>
      <c r="F38"/>
      <c r="G38"/>
      <c r="H38"/>
      <c r="I38"/>
      <c r="J38"/>
      <c r="K38" s="27"/>
      <c r="L38" s="15"/>
      <c r="M38" s="27"/>
      <c r="N38" s="15"/>
      <c r="O38" s="15"/>
      <c r="P38" s="15"/>
      <c r="Q38" s="15"/>
      <c r="R38" s="15"/>
      <c r="S38" s="15"/>
      <c r="T38" s="15"/>
      <c r="U38" s="15"/>
    </row>
    <row r="39" spans="1:21" s="21" customFormat="1" x14ac:dyDescent="0.3">
      <c r="A39" s="17"/>
      <c r="B39"/>
      <c r="C39"/>
      <c r="D39"/>
      <c r="E39"/>
      <c r="F39"/>
      <c r="G39"/>
      <c r="H39"/>
      <c r="I39"/>
      <c r="J39"/>
      <c r="K39" s="27"/>
      <c r="L39" s="15"/>
      <c r="M39" s="27"/>
      <c r="N39" s="15"/>
      <c r="O39" s="15"/>
      <c r="P39" s="15"/>
      <c r="Q39" s="15"/>
      <c r="R39" s="15"/>
      <c r="S39" s="15"/>
      <c r="T39" s="15"/>
      <c r="U39" s="15"/>
    </row>
    <row r="40" spans="1:21" s="21" customFormat="1" x14ac:dyDescent="0.3">
      <c r="A40" s="17"/>
      <c r="B40"/>
      <c r="C40"/>
      <c r="D40"/>
      <c r="E40"/>
      <c r="F40"/>
      <c r="G40"/>
      <c r="H40"/>
      <c r="I40"/>
      <c r="J40"/>
      <c r="K40" s="27"/>
      <c r="L40" s="15"/>
      <c r="M40" s="27"/>
      <c r="N40" s="15"/>
      <c r="O40" s="15"/>
      <c r="P40" s="15"/>
      <c r="Q40" s="15"/>
      <c r="R40" s="15"/>
      <c r="S40" s="15"/>
      <c r="T40" s="15"/>
      <c r="U40" s="15"/>
    </row>
    <row r="41" spans="1:21" s="21" customFormat="1" x14ac:dyDescent="0.3">
      <c r="A41" s="17"/>
      <c r="B41"/>
      <c r="C41"/>
      <c r="D41"/>
      <c r="E41"/>
      <c r="F41"/>
      <c r="G41"/>
      <c r="H41"/>
      <c r="I41"/>
      <c r="J41"/>
      <c r="K41" s="27"/>
      <c r="L41" s="15"/>
      <c r="M41" s="27"/>
      <c r="N41" s="15"/>
      <c r="O41" s="15"/>
      <c r="P41" s="15"/>
      <c r="Q41" s="15"/>
      <c r="R41" s="15"/>
      <c r="S41" s="15"/>
      <c r="T41" s="15"/>
      <c r="U41" s="15"/>
    </row>
    <row r="42" spans="1:21" s="21" customFormat="1" x14ac:dyDescent="0.3">
      <c r="A42" s="17"/>
      <c r="B42"/>
      <c r="C42"/>
      <c r="D42"/>
      <c r="E42"/>
      <c r="F42"/>
      <c r="G42"/>
      <c r="H42"/>
      <c r="I42"/>
      <c r="J42"/>
      <c r="K42" s="27"/>
      <c r="L42" s="15"/>
      <c r="M42" s="27"/>
      <c r="N42" s="15"/>
      <c r="O42" s="15"/>
      <c r="P42" s="15"/>
      <c r="Q42" s="15"/>
      <c r="R42" s="15"/>
      <c r="S42" s="15"/>
      <c r="T42" s="15"/>
      <c r="U42" s="15"/>
    </row>
    <row r="43" spans="1:21" s="21" customFormat="1" x14ac:dyDescent="0.3">
      <c r="A43" s="17"/>
      <c r="B43"/>
      <c r="C43"/>
      <c r="D43"/>
      <c r="E43"/>
      <c r="F43"/>
      <c r="G43"/>
      <c r="H43"/>
      <c r="I43"/>
      <c r="J43"/>
      <c r="K43" s="27"/>
      <c r="L43" s="15"/>
      <c r="M43" s="27"/>
      <c r="N43" s="15"/>
      <c r="O43" s="15"/>
      <c r="P43" s="15"/>
      <c r="Q43" s="15"/>
      <c r="R43" s="15"/>
      <c r="S43" s="15"/>
      <c r="T43" s="15"/>
      <c r="U43" s="15"/>
    </row>
    <row r="44" spans="1:21" s="21" customFormat="1" x14ac:dyDescent="0.3">
      <c r="A44" s="17"/>
      <c r="B44"/>
      <c r="C44"/>
      <c r="D44"/>
      <c r="E44"/>
      <c r="F44"/>
      <c r="G44"/>
      <c r="H44"/>
      <c r="I44"/>
      <c r="J44"/>
      <c r="K44" s="27"/>
      <c r="L44" s="15"/>
      <c r="M44" s="27"/>
      <c r="N44" s="15"/>
      <c r="O44" s="15"/>
      <c r="P44" s="15"/>
      <c r="Q44" s="15"/>
      <c r="R44" s="15"/>
      <c r="S44" s="15"/>
      <c r="T44" s="15"/>
      <c r="U44" s="15"/>
    </row>
    <row r="45" spans="1:21" s="21" customFormat="1" x14ac:dyDescent="0.3">
      <c r="A45" s="17"/>
      <c r="B45"/>
      <c r="C45"/>
      <c r="D45"/>
      <c r="E45"/>
      <c r="F45"/>
      <c r="G45"/>
      <c r="H45"/>
      <c r="I45"/>
      <c r="J45"/>
      <c r="K45" s="27"/>
      <c r="L45" s="15"/>
      <c r="M45" s="27"/>
      <c r="N45" s="15"/>
      <c r="O45" s="15"/>
      <c r="P45" s="15"/>
      <c r="Q45" s="15"/>
      <c r="R45" s="15"/>
      <c r="S45" s="15"/>
      <c r="T45" s="15"/>
      <c r="U45" s="15"/>
    </row>
    <row r="46" spans="1:21" s="21" customFormat="1" x14ac:dyDescent="0.3">
      <c r="A46" s="17"/>
      <c r="B46"/>
      <c r="C46"/>
      <c r="D46"/>
      <c r="E46"/>
      <c r="F46"/>
      <c r="G46"/>
      <c r="H46"/>
      <c r="I46"/>
      <c r="J46"/>
      <c r="K46" s="27"/>
      <c r="L46" s="15"/>
      <c r="M46" s="27"/>
      <c r="N46" s="15"/>
      <c r="O46" s="15"/>
      <c r="P46" s="15"/>
      <c r="Q46" s="15"/>
      <c r="R46" s="15"/>
      <c r="S46" s="15"/>
      <c r="T46" s="15"/>
      <c r="U46" s="15"/>
    </row>
    <row r="47" spans="1:21" s="21" customFormat="1" x14ac:dyDescent="0.3">
      <c r="A47" s="17"/>
      <c r="B47"/>
      <c r="C47"/>
      <c r="D47"/>
      <c r="E47"/>
      <c r="F47"/>
      <c r="G47"/>
      <c r="H47"/>
      <c r="I47"/>
      <c r="J47"/>
      <c r="K47" s="27"/>
      <c r="L47" s="15"/>
      <c r="M47" s="27"/>
      <c r="N47" s="15"/>
      <c r="O47" s="15"/>
      <c r="P47" s="15"/>
      <c r="Q47" s="15"/>
      <c r="R47" s="15"/>
      <c r="S47" s="15"/>
      <c r="T47" s="15"/>
      <c r="U47" s="15"/>
    </row>
    <row r="48" spans="1:21" s="21" customFormat="1" x14ac:dyDescent="0.3">
      <c r="A48" s="17"/>
      <c r="B48"/>
      <c r="C48"/>
      <c r="D48"/>
      <c r="E48"/>
      <c r="F48"/>
      <c r="G48"/>
      <c r="H48"/>
      <c r="I48"/>
      <c r="J48"/>
      <c r="K48" s="27"/>
      <c r="L48" s="15"/>
      <c r="M48" s="27"/>
      <c r="N48" s="15"/>
      <c r="O48" s="15"/>
      <c r="P48" s="15"/>
      <c r="Q48" s="15"/>
      <c r="R48" s="15"/>
      <c r="S48" s="15"/>
      <c r="T48" s="15"/>
      <c r="U48" s="15"/>
    </row>
    <row r="49" spans="1:21" s="21" customFormat="1" x14ac:dyDescent="0.3">
      <c r="A49" s="17"/>
      <c r="B49"/>
      <c r="C49"/>
      <c r="D49"/>
      <c r="E49"/>
      <c r="F49"/>
      <c r="G49"/>
      <c r="H49"/>
      <c r="I49"/>
      <c r="J49"/>
      <c r="K49" s="27"/>
      <c r="L49" s="15"/>
      <c r="M49" s="27"/>
      <c r="N49" s="15"/>
      <c r="O49" s="15"/>
      <c r="P49" s="15"/>
      <c r="Q49" s="15"/>
      <c r="R49" s="15"/>
      <c r="S49" s="15"/>
      <c r="T49" s="15"/>
      <c r="U49" s="15"/>
    </row>
    <row r="50" spans="1:21" s="21" customFormat="1" x14ac:dyDescent="0.3">
      <c r="A50" s="17"/>
      <c r="B50"/>
      <c r="C50"/>
      <c r="D50"/>
      <c r="E50"/>
      <c r="F50"/>
      <c r="G50"/>
      <c r="H50"/>
      <c r="I50"/>
      <c r="J50"/>
      <c r="K50" s="27"/>
      <c r="L50" s="15"/>
      <c r="M50" s="27"/>
      <c r="N50" s="15"/>
      <c r="O50" s="15"/>
      <c r="P50" s="15"/>
      <c r="Q50" s="15"/>
      <c r="R50" s="15"/>
      <c r="S50" s="15"/>
      <c r="T50" s="15"/>
      <c r="U50" s="15"/>
    </row>
    <row r="51" spans="1:21" s="21" customFormat="1" x14ac:dyDescent="0.3">
      <c r="A51" s="17"/>
      <c r="B51"/>
      <c r="C51"/>
      <c r="D51"/>
      <c r="E51"/>
      <c r="F51"/>
      <c r="G51"/>
      <c r="H51"/>
      <c r="I51"/>
      <c r="J51"/>
      <c r="K51" s="27"/>
      <c r="L51" s="15"/>
      <c r="M51" s="27"/>
      <c r="N51" s="15"/>
      <c r="O51" s="15"/>
      <c r="P51" s="15"/>
      <c r="Q51" s="15"/>
      <c r="R51" s="15"/>
      <c r="S51" s="15"/>
      <c r="T51" s="15"/>
      <c r="U51" s="15"/>
    </row>
    <row r="52" spans="1:21" s="21" customFormat="1" x14ac:dyDescent="0.3">
      <c r="A52" s="17"/>
      <c r="B52"/>
      <c r="C52"/>
      <c r="D52"/>
      <c r="E52"/>
      <c r="F52"/>
      <c r="G52"/>
      <c r="H52"/>
      <c r="I52"/>
      <c r="J52"/>
      <c r="K52" s="27"/>
      <c r="L52" s="15"/>
      <c r="M52" s="27"/>
      <c r="N52" s="15"/>
      <c r="O52" s="15"/>
      <c r="P52" s="15"/>
      <c r="Q52" s="15"/>
      <c r="R52" s="15"/>
      <c r="S52" s="15"/>
      <c r="T52" s="15"/>
      <c r="U52" s="15"/>
    </row>
    <row r="53" spans="1:21" s="21" customFormat="1" x14ac:dyDescent="0.3">
      <c r="A53" s="17"/>
      <c r="B53"/>
      <c r="C53"/>
      <c r="D53"/>
      <c r="E53"/>
      <c r="F53"/>
      <c r="G53"/>
      <c r="H53"/>
      <c r="I53"/>
      <c r="J53"/>
      <c r="K53" s="27"/>
      <c r="L53" s="15"/>
      <c r="M53" s="27"/>
      <c r="N53" s="15"/>
      <c r="O53" s="15"/>
      <c r="P53" s="15"/>
      <c r="Q53" s="15"/>
      <c r="R53" s="15"/>
      <c r="S53" s="15"/>
      <c r="T53" s="15"/>
      <c r="U53" s="15"/>
    </row>
    <row r="54" spans="1:21" s="21" customFormat="1" x14ac:dyDescent="0.3">
      <c r="A54" s="17"/>
      <c r="B54"/>
      <c r="C54"/>
      <c r="D54"/>
      <c r="E54"/>
      <c r="F54"/>
      <c r="G54"/>
      <c r="H54"/>
      <c r="I54"/>
      <c r="J54"/>
      <c r="K54" s="27"/>
      <c r="L54" s="15"/>
      <c r="M54" s="27"/>
      <c r="N54" s="15"/>
      <c r="O54" s="15"/>
      <c r="P54" s="15"/>
      <c r="Q54" s="15"/>
      <c r="R54" s="15"/>
      <c r="S54" s="15"/>
      <c r="T54" s="15"/>
      <c r="U54" s="15"/>
    </row>
    <row r="55" spans="1:21" s="21" customFormat="1" x14ac:dyDescent="0.3">
      <c r="A55" s="17"/>
      <c r="B55"/>
      <c r="C55"/>
      <c r="D55"/>
      <c r="E55"/>
      <c r="F55"/>
      <c r="G55"/>
      <c r="H55"/>
      <c r="I55"/>
      <c r="J55"/>
      <c r="K55" s="27"/>
      <c r="L55" s="15"/>
      <c r="M55" s="27"/>
      <c r="N55" s="15"/>
      <c r="O55" s="15"/>
      <c r="P55" s="15"/>
      <c r="Q55" s="15"/>
      <c r="R55" s="15"/>
      <c r="S55" s="15"/>
      <c r="T55" s="15"/>
      <c r="U55" s="15"/>
    </row>
    <row r="56" spans="1:21" s="21" customFormat="1" x14ac:dyDescent="0.3">
      <c r="A56" s="17"/>
      <c r="B56"/>
      <c r="C56"/>
      <c r="D56"/>
      <c r="E56"/>
      <c r="F56"/>
      <c r="G56"/>
      <c r="H56"/>
      <c r="I56"/>
      <c r="J56"/>
      <c r="K56" s="27"/>
      <c r="L56" s="15"/>
      <c r="M56" s="27"/>
      <c r="N56" s="15"/>
      <c r="O56" s="15"/>
      <c r="P56" s="15"/>
      <c r="Q56" s="15"/>
      <c r="R56" s="15"/>
      <c r="S56" s="15"/>
      <c r="T56" s="15"/>
      <c r="U56" s="15"/>
    </row>
    <row r="57" spans="1:21" s="21" customFormat="1" x14ac:dyDescent="0.3">
      <c r="A57" s="17"/>
      <c r="B57"/>
      <c r="C57"/>
      <c r="D57"/>
      <c r="E57"/>
      <c r="F57"/>
      <c r="G57"/>
      <c r="H57"/>
      <c r="I57"/>
      <c r="J57"/>
      <c r="K57" s="27"/>
      <c r="L57" s="15"/>
      <c r="M57" s="27"/>
      <c r="N57" s="15"/>
      <c r="O57" s="15"/>
      <c r="P57" s="15"/>
      <c r="Q57" s="15"/>
      <c r="R57" s="15"/>
      <c r="S57" s="15"/>
      <c r="T57" s="15"/>
      <c r="U57" s="15"/>
    </row>
    <row r="58" spans="1:21" s="21" customFormat="1" x14ac:dyDescent="0.3">
      <c r="A58" s="17"/>
      <c r="B58"/>
      <c r="C58"/>
      <c r="D58"/>
      <c r="E58"/>
      <c r="F58"/>
      <c r="G58"/>
      <c r="H58"/>
      <c r="I58"/>
      <c r="J58"/>
      <c r="K58" s="27"/>
      <c r="L58" s="15"/>
      <c r="M58" s="27"/>
      <c r="N58" s="15"/>
      <c r="O58" s="15"/>
      <c r="P58" s="15"/>
      <c r="Q58" s="15"/>
      <c r="R58" s="15"/>
      <c r="S58" s="15"/>
      <c r="T58" s="15"/>
      <c r="U58" s="15"/>
    </row>
    <row r="59" spans="1:21" s="21" customFormat="1" x14ac:dyDescent="0.3">
      <c r="A59" s="17"/>
      <c r="B59"/>
      <c r="C59"/>
      <c r="D59"/>
      <c r="E59"/>
      <c r="F59"/>
      <c r="G59"/>
      <c r="H59"/>
      <c r="I59"/>
      <c r="J59"/>
      <c r="K59" s="27"/>
      <c r="L59" s="15"/>
      <c r="M59" s="27"/>
      <c r="N59" s="15"/>
      <c r="O59" s="15"/>
      <c r="P59" s="15"/>
      <c r="Q59" s="15"/>
      <c r="R59" s="15"/>
      <c r="S59" s="15"/>
      <c r="T59" s="15"/>
      <c r="U59" s="15"/>
    </row>
    <row r="60" spans="1:21" s="21" customFormat="1" x14ac:dyDescent="0.3">
      <c r="A60" s="17"/>
      <c r="B60"/>
      <c r="C60"/>
      <c r="D60"/>
      <c r="E60"/>
      <c r="F60"/>
      <c r="G60"/>
      <c r="H60"/>
      <c r="I60"/>
      <c r="J60"/>
      <c r="K60" s="27"/>
      <c r="L60" s="15"/>
      <c r="M60" s="27"/>
      <c r="N60" s="15"/>
      <c r="O60" s="15"/>
      <c r="P60" s="15"/>
      <c r="Q60" s="15"/>
      <c r="R60" s="15"/>
      <c r="S60" s="15"/>
      <c r="T60" s="15"/>
      <c r="U60" s="15"/>
    </row>
    <row r="61" spans="1:21" s="21" customFormat="1" x14ac:dyDescent="0.3">
      <c r="A61" s="17"/>
      <c r="B61"/>
      <c r="C61"/>
      <c r="D61"/>
      <c r="E61"/>
      <c r="F61"/>
      <c r="G61"/>
      <c r="H61"/>
      <c r="I61"/>
      <c r="J61"/>
      <c r="K61" s="27"/>
      <c r="L61" s="15"/>
      <c r="M61" s="27"/>
      <c r="N61" s="15"/>
      <c r="O61" s="15"/>
      <c r="P61" s="15"/>
      <c r="Q61" s="15"/>
      <c r="R61" s="15"/>
      <c r="S61" s="15"/>
      <c r="T61" s="15"/>
      <c r="U61" s="15"/>
    </row>
    <row r="62" spans="1:21" s="21" customFormat="1" x14ac:dyDescent="0.3">
      <c r="A62" s="17"/>
      <c r="B62"/>
      <c r="C62"/>
      <c r="D62"/>
      <c r="E62"/>
      <c r="F62"/>
      <c r="G62"/>
      <c r="H62"/>
      <c r="I62"/>
      <c r="J62"/>
      <c r="K62" s="27"/>
      <c r="L62" s="15"/>
      <c r="M62" s="27"/>
      <c r="N62" s="15"/>
      <c r="O62" s="15"/>
      <c r="P62" s="15"/>
      <c r="Q62" s="15"/>
      <c r="R62" s="15"/>
      <c r="S62" s="15"/>
      <c r="T62" s="15"/>
      <c r="U62" s="15"/>
    </row>
    <row r="63" spans="1:21" s="21" customFormat="1" x14ac:dyDescent="0.3">
      <c r="A63" s="17"/>
      <c r="B63"/>
      <c r="C63"/>
      <c r="D63"/>
      <c r="E63"/>
      <c r="F63"/>
      <c r="G63"/>
      <c r="H63"/>
      <c r="I63"/>
      <c r="J63"/>
      <c r="K63" s="27"/>
      <c r="L63" s="15"/>
      <c r="M63" s="27"/>
      <c r="N63" s="15"/>
      <c r="O63" s="15"/>
      <c r="P63" s="15"/>
      <c r="Q63" s="15"/>
      <c r="R63" s="15"/>
      <c r="S63" s="15"/>
      <c r="T63" s="15"/>
      <c r="U63" s="15"/>
    </row>
    <row r="64" spans="1:21" s="21" customFormat="1" x14ac:dyDescent="0.3">
      <c r="A64" s="17"/>
      <c r="B64"/>
      <c r="C64"/>
      <c r="D64"/>
      <c r="E64"/>
      <c r="F64"/>
      <c r="G64"/>
      <c r="H64"/>
      <c r="I64"/>
      <c r="J64"/>
      <c r="K64" s="27"/>
      <c r="L64" s="15"/>
      <c r="M64" s="27"/>
      <c r="N64" s="15"/>
      <c r="O64" s="15"/>
      <c r="P64" s="15"/>
      <c r="Q64" s="15"/>
      <c r="R64" s="15"/>
      <c r="S64" s="15"/>
      <c r="T64" s="15"/>
      <c r="U64" s="15"/>
    </row>
    <row r="65" spans="1:21" s="21" customFormat="1" x14ac:dyDescent="0.3">
      <c r="A65" s="17"/>
      <c r="B65"/>
      <c r="C65"/>
      <c r="D65"/>
      <c r="E65"/>
      <c r="F65"/>
      <c r="G65"/>
      <c r="H65"/>
      <c r="I65"/>
      <c r="J65"/>
      <c r="K65" s="27"/>
      <c r="L65" s="15"/>
      <c r="M65" s="27"/>
      <c r="N65" s="15"/>
      <c r="O65" s="15"/>
      <c r="P65" s="15"/>
      <c r="Q65" s="15"/>
      <c r="R65" s="15"/>
      <c r="S65" s="15"/>
      <c r="T65" s="15"/>
      <c r="U65" s="15"/>
    </row>
    <row r="66" spans="1:21" s="21" customFormat="1" x14ac:dyDescent="0.3">
      <c r="A66" s="17"/>
      <c r="B66"/>
      <c r="C66"/>
      <c r="D66"/>
      <c r="E66"/>
      <c r="F66"/>
      <c r="G66"/>
      <c r="H66"/>
      <c r="I66"/>
      <c r="J66"/>
      <c r="K66" s="27"/>
      <c r="L66" s="15"/>
      <c r="M66" s="27"/>
      <c r="N66" s="15"/>
      <c r="O66" s="15"/>
      <c r="P66" s="15"/>
      <c r="Q66" s="15"/>
      <c r="R66" s="15"/>
      <c r="S66" s="15"/>
      <c r="T66" s="15"/>
      <c r="U66" s="15"/>
    </row>
    <row r="67" spans="1:21" s="21" customFormat="1" x14ac:dyDescent="0.3">
      <c r="A67" s="17"/>
      <c r="B67"/>
      <c r="C67"/>
      <c r="D67"/>
      <c r="E67"/>
      <c r="F67"/>
      <c r="G67"/>
      <c r="H67"/>
      <c r="I67"/>
      <c r="J67"/>
      <c r="K67" s="27"/>
      <c r="L67" s="15"/>
      <c r="M67" s="27"/>
      <c r="N67" s="15"/>
      <c r="O67" s="15"/>
      <c r="P67" s="15"/>
      <c r="Q67" s="15"/>
      <c r="R67" s="15"/>
      <c r="S67" s="15"/>
      <c r="T67" s="15"/>
      <c r="U67" s="15"/>
    </row>
    <row r="68" spans="1:21" s="21" customFormat="1" x14ac:dyDescent="0.3">
      <c r="A68" s="17"/>
      <c r="B68"/>
      <c r="C68"/>
      <c r="D68"/>
      <c r="E68"/>
      <c r="F68"/>
      <c r="G68"/>
      <c r="H68"/>
      <c r="I68"/>
      <c r="J68"/>
      <c r="K68" s="27"/>
      <c r="L68" s="15"/>
      <c r="M68" s="27"/>
      <c r="N68" s="15"/>
      <c r="O68" s="15"/>
      <c r="P68" s="15"/>
      <c r="Q68" s="15"/>
      <c r="R68" s="15"/>
      <c r="S68" s="15"/>
      <c r="T68" s="15"/>
      <c r="U68" s="15"/>
    </row>
    <row r="69" spans="1:21" s="21" customFormat="1" x14ac:dyDescent="0.3">
      <c r="A69" s="17"/>
      <c r="B69"/>
      <c r="C69"/>
      <c r="D69"/>
      <c r="E69"/>
      <c r="F69"/>
      <c r="G69"/>
      <c r="H69"/>
      <c r="I69"/>
      <c r="J69"/>
      <c r="K69" s="27"/>
      <c r="L69" s="15"/>
      <c r="M69" s="27"/>
      <c r="N69" s="15"/>
      <c r="O69" s="15"/>
      <c r="P69" s="15"/>
      <c r="Q69" s="15"/>
      <c r="R69" s="15"/>
      <c r="S69" s="15"/>
      <c r="T69" s="15"/>
      <c r="U69" s="15"/>
    </row>
    <row r="70" spans="1:21" s="21" customFormat="1" x14ac:dyDescent="0.3">
      <c r="A70" s="17"/>
      <c r="B70"/>
      <c r="C70"/>
      <c r="D70"/>
      <c r="E70"/>
      <c r="F70"/>
      <c r="G70"/>
      <c r="H70"/>
      <c r="I70"/>
      <c r="J70"/>
      <c r="K70" s="27"/>
      <c r="L70" s="15"/>
      <c r="M70" s="27"/>
      <c r="N70" s="15"/>
      <c r="O70" s="15"/>
      <c r="P70" s="15"/>
      <c r="Q70" s="15"/>
      <c r="R70" s="15"/>
      <c r="S70" s="15"/>
      <c r="T70" s="15"/>
      <c r="U70" s="15"/>
    </row>
    <row r="71" spans="1:21" s="21" customFormat="1" x14ac:dyDescent="0.3">
      <c r="A71" s="17"/>
      <c r="B71"/>
      <c r="C71"/>
      <c r="D71"/>
      <c r="E71"/>
      <c r="F71"/>
      <c r="G71"/>
      <c r="H71"/>
      <c r="I71"/>
      <c r="J71"/>
      <c r="K71" s="27"/>
      <c r="L71" s="15"/>
      <c r="M71" s="27"/>
      <c r="N71" s="15"/>
      <c r="O71" s="15"/>
      <c r="P71" s="15"/>
      <c r="Q71" s="15"/>
      <c r="R71" s="15"/>
      <c r="S71" s="15"/>
      <c r="T71" s="15"/>
      <c r="U71" s="15"/>
    </row>
    <row r="72" spans="1:21" s="21" customFormat="1" x14ac:dyDescent="0.3">
      <c r="A72" s="17"/>
      <c r="B72"/>
      <c r="C72"/>
      <c r="D72"/>
      <c r="E72"/>
      <c r="F72"/>
      <c r="G72"/>
      <c r="H72"/>
      <c r="I72"/>
      <c r="J72"/>
      <c r="K72" s="27"/>
      <c r="L72" s="15"/>
      <c r="M72" s="27"/>
      <c r="N72" s="15"/>
      <c r="O72" s="15"/>
      <c r="P72" s="15"/>
      <c r="Q72" s="15"/>
      <c r="R72" s="15"/>
      <c r="S72" s="15"/>
      <c r="T72" s="15"/>
      <c r="U72" s="15"/>
    </row>
    <row r="73" spans="1:21" s="21" customFormat="1" x14ac:dyDescent="0.3">
      <c r="A73" s="17"/>
      <c r="B73"/>
      <c r="C73"/>
      <c r="D73"/>
      <c r="E73"/>
      <c r="F73"/>
      <c r="G73"/>
      <c r="H73"/>
      <c r="I73"/>
      <c r="J73"/>
      <c r="K73" s="27"/>
      <c r="L73" s="15"/>
      <c r="M73" s="27"/>
      <c r="N73" s="15"/>
      <c r="O73" s="15"/>
      <c r="P73" s="15"/>
      <c r="Q73" s="15"/>
      <c r="R73" s="15"/>
      <c r="S73" s="15"/>
      <c r="T73" s="15"/>
      <c r="U73" s="15"/>
    </row>
    <row r="74" spans="1:21" s="21" customFormat="1" x14ac:dyDescent="0.3">
      <c r="A74" s="17"/>
      <c r="B74"/>
      <c r="C74"/>
      <c r="D74"/>
      <c r="E74"/>
      <c r="F74"/>
      <c r="G74"/>
      <c r="H74"/>
      <c r="I74"/>
      <c r="J74"/>
      <c r="K74" s="27"/>
      <c r="L74" s="15"/>
      <c r="M74" s="27"/>
      <c r="N74" s="15"/>
      <c r="O74" s="15"/>
      <c r="P74" s="15"/>
      <c r="Q74" s="15"/>
      <c r="R74" s="15"/>
      <c r="S74" s="15"/>
      <c r="T74" s="15"/>
      <c r="U74" s="15"/>
    </row>
    <row r="75" spans="1:21" s="21" customFormat="1" x14ac:dyDescent="0.3">
      <c r="A75" s="17"/>
      <c r="B75"/>
      <c r="C75"/>
      <c r="D75"/>
      <c r="E75"/>
      <c r="F75"/>
      <c r="G75"/>
      <c r="H75"/>
      <c r="I75"/>
      <c r="J75"/>
      <c r="K75" s="27"/>
      <c r="L75" s="15"/>
      <c r="M75" s="27"/>
      <c r="N75" s="15"/>
      <c r="O75" s="15"/>
      <c r="P75" s="15"/>
      <c r="Q75" s="15"/>
      <c r="R75" s="15"/>
      <c r="S75" s="15"/>
      <c r="T75" s="15"/>
      <c r="U75" s="15"/>
    </row>
    <row r="76" spans="1:21" s="21" customFormat="1" x14ac:dyDescent="0.3">
      <c r="A76" s="17"/>
      <c r="B76"/>
      <c r="C76"/>
      <c r="D76"/>
      <c r="E76"/>
      <c r="F76"/>
      <c r="G76"/>
      <c r="H76"/>
      <c r="I76"/>
      <c r="J76"/>
      <c r="K76" s="27"/>
      <c r="L76" s="15"/>
      <c r="M76" s="27"/>
      <c r="N76" s="15"/>
      <c r="O76" s="15"/>
      <c r="P76" s="15"/>
      <c r="Q76" s="15"/>
      <c r="R76" s="15"/>
      <c r="S76" s="15"/>
      <c r="T76" s="15"/>
      <c r="U76" s="15"/>
    </row>
    <row r="77" spans="1:21" s="21" customFormat="1" x14ac:dyDescent="0.3">
      <c r="A77" s="17"/>
      <c r="B77"/>
      <c r="C77"/>
      <c r="D77"/>
      <c r="E77"/>
      <c r="F77"/>
      <c r="G77"/>
      <c r="H77"/>
      <c r="I77"/>
      <c r="J77"/>
      <c r="K77" s="27"/>
      <c r="L77" s="15"/>
      <c r="M77" s="27"/>
      <c r="N77" s="15"/>
      <c r="O77" s="15"/>
      <c r="P77" s="15"/>
      <c r="Q77" s="15"/>
      <c r="R77" s="15"/>
      <c r="S77" s="15"/>
      <c r="T77" s="15"/>
      <c r="U77" s="15"/>
    </row>
    <row r="78" spans="1:21" s="21" customFormat="1" x14ac:dyDescent="0.3">
      <c r="A78" s="17"/>
      <c r="B78"/>
      <c r="C78"/>
      <c r="D78"/>
      <c r="E78"/>
      <c r="F78"/>
      <c r="G78"/>
      <c r="H78"/>
      <c r="I78"/>
      <c r="J78"/>
      <c r="K78" s="27"/>
      <c r="L78" s="15"/>
      <c r="M78" s="27"/>
      <c r="N78" s="15"/>
      <c r="O78" s="15"/>
      <c r="P78" s="15"/>
      <c r="Q78" s="15"/>
      <c r="R78" s="15"/>
      <c r="S78" s="15"/>
      <c r="T78" s="15"/>
      <c r="U78" s="15"/>
    </row>
    <row r="79" spans="1:21" s="21" customFormat="1" x14ac:dyDescent="0.3">
      <c r="A79" s="17"/>
      <c r="B79"/>
      <c r="C79"/>
      <c r="D79"/>
      <c r="E79"/>
      <c r="F79"/>
      <c r="G79"/>
      <c r="H79"/>
      <c r="I79"/>
      <c r="J79"/>
      <c r="K79" s="27"/>
      <c r="L79" s="15"/>
      <c r="M79" s="27"/>
      <c r="N79" s="15"/>
      <c r="O79" s="15"/>
      <c r="P79" s="15"/>
      <c r="Q79" s="15"/>
      <c r="R79" s="15"/>
      <c r="S79" s="15"/>
      <c r="T79" s="15"/>
      <c r="U79" s="15"/>
    </row>
    <row r="80" spans="1:21" s="21" customFormat="1" x14ac:dyDescent="0.3">
      <c r="A80" s="17"/>
      <c r="B80"/>
      <c r="C80"/>
      <c r="D80"/>
      <c r="E80"/>
      <c r="F80"/>
      <c r="G80"/>
      <c r="H80"/>
      <c r="I80"/>
      <c r="J80"/>
      <c r="K80" s="27"/>
      <c r="L80" s="15"/>
      <c r="M80" s="27"/>
      <c r="N80" s="15"/>
      <c r="O80" s="15"/>
      <c r="P80" s="15"/>
      <c r="Q80" s="15"/>
      <c r="R80" s="15"/>
      <c r="S80" s="15"/>
      <c r="T80" s="15"/>
      <c r="U80" s="15"/>
    </row>
    <row r="81" spans="1:21" s="21" customFormat="1" x14ac:dyDescent="0.3">
      <c r="A81" s="17"/>
      <c r="B81"/>
      <c r="C81"/>
      <c r="D81"/>
      <c r="E81"/>
      <c r="F81"/>
      <c r="G81"/>
      <c r="H81"/>
      <c r="I81"/>
      <c r="J81"/>
      <c r="K81" s="27"/>
      <c r="L81" s="15"/>
      <c r="M81" s="27"/>
      <c r="N81" s="15"/>
      <c r="O81" s="15"/>
      <c r="P81" s="15"/>
      <c r="Q81" s="15"/>
      <c r="R81" s="15"/>
      <c r="S81" s="15"/>
      <c r="T81" s="15"/>
      <c r="U81" s="15"/>
    </row>
    <row r="82" spans="1:21" s="21" customFormat="1" x14ac:dyDescent="0.3">
      <c r="A82" s="17"/>
      <c r="B82"/>
      <c r="C82"/>
      <c r="D82"/>
      <c r="E82"/>
      <c r="F82"/>
      <c r="G82"/>
      <c r="H82"/>
      <c r="I82"/>
      <c r="J82"/>
      <c r="K82" s="27"/>
      <c r="L82" s="15"/>
      <c r="M82" s="27"/>
      <c r="N82" s="15"/>
      <c r="O82" s="15"/>
      <c r="P82" s="15"/>
      <c r="Q82" s="15"/>
      <c r="R82" s="15"/>
      <c r="S82" s="15"/>
      <c r="T82" s="15"/>
      <c r="U82" s="15"/>
    </row>
    <row r="83" spans="1:21" s="21" customFormat="1" x14ac:dyDescent="0.3">
      <c r="A83" s="17"/>
      <c r="B83"/>
      <c r="C83"/>
      <c r="D83"/>
      <c r="E83"/>
      <c r="F83"/>
      <c r="G83"/>
      <c r="H83"/>
      <c r="I83"/>
      <c r="J83"/>
      <c r="K83" s="27"/>
      <c r="L83" s="15"/>
      <c r="M83" s="27"/>
      <c r="N83" s="15"/>
      <c r="O83" s="15"/>
      <c r="P83" s="15"/>
      <c r="Q83" s="15"/>
      <c r="R83" s="15"/>
      <c r="S83" s="15"/>
      <c r="T83" s="15"/>
      <c r="U83" s="15"/>
    </row>
    <row r="84" spans="1:21" s="21" customFormat="1" x14ac:dyDescent="0.3">
      <c r="A84" s="17"/>
      <c r="B84"/>
      <c r="C84"/>
      <c r="D84"/>
      <c r="E84"/>
      <c r="F84"/>
      <c r="G84"/>
      <c r="H84"/>
      <c r="I84"/>
      <c r="J84"/>
      <c r="K84" s="27"/>
      <c r="L84" s="15"/>
      <c r="M84" s="27"/>
      <c r="N84" s="15"/>
      <c r="O84" s="15"/>
      <c r="P84" s="15"/>
      <c r="Q84" s="15"/>
      <c r="R84" s="15"/>
      <c r="S84" s="15"/>
      <c r="T84" s="15"/>
      <c r="U84" s="15"/>
    </row>
    <row r="85" spans="1:21" s="21" customFormat="1" x14ac:dyDescent="0.3">
      <c r="A85" s="17"/>
      <c r="B85"/>
      <c r="C85"/>
      <c r="D85"/>
      <c r="E85"/>
      <c r="F85"/>
      <c r="G85"/>
      <c r="H85"/>
      <c r="I85"/>
      <c r="J85"/>
      <c r="K85" s="27"/>
      <c r="L85" s="15"/>
      <c r="M85" s="27"/>
      <c r="N85" s="15"/>
      <c r="O85" s="15"/>
      <c r="P85" s="15"/>
      <c r="Q85" s="15"/>
      <c r="R85" s="15"/>
      <c r="S85" s="15"/>
      <c r="T85" s="15"/>
      <c r="U85" s="15"/>
    </row>
    <row r="86" spans="1:21" s="21" customFormat="1" x14ac:dyDescent="0.3">
      <c r="A86" s="17"/>
      <c r="B86"/>
      <c r="C86"/>
      <c r="D86"/>
      <c r="E86"/>
      <c r="F86"/>
      <c r="G86"/>
      <c r="H86"/>
      <c r="I86"/>
      <c r="J86"/>
      <c r="K86" s="27"/>
      <c r="L86" s="15"/>
      <c r="M86" s="27"/>
      <c r="N86" s="15"/>
      <c r="O86" s="15"/>
      <c r="P86" s="15"/>
      <c r="Q86" s="15"/>
      <c r="R86" s="15"/>
      <c r="S86" s="15"/>
      <c r="T86" s="15"/>
      <c r="U86" s="15"/>
    </row>
    <row r="87" spans="1:21" s="21" customFormat="1" x14ac:dyDescent="0.3">
      <c r="A87" s="17"/>
      <c r="B87"/>
      <c r="C87"/>
      <c r="D87"/>
      <c r="E87"/>
      <c r="F87"/>
      <c r="G87"/>
      <c r="H87"/>
      <c r="I87"/>
      <c r="J87"/>
      <c r="K87" s="27"/>
      <c r="L87" s="15"/>
      <c r="M87" s="27"/>
      <c r="N87" s="15"/>
      <c r="O87" s="15"/>
      <c r="P87" s="15"/>
      <c r="Q87" s="15"/>
      <c r="R87" s="15"/>
      <c r="S87" s="15"/>
      <c r="T87" s="15"/>
      <c r="U87" s="15"/>
    </row>
    <row r="88" spans="1:21" s="21" customFormat="1" x14ac:dyDescent="0.3">
      <c r="A88" s="17"/>
      <c r="B88"/>
      <c r="C88"/>
      <c r="D88"/>
      <c r="E88"/>
      <c r="F88"/>
      <c r="G88"/>
      <c r="H88"/>
      <c r="I88"/>
      <c r="J88"/>
      <c r="K88" s="27"/>
      <c r="L88" s="15"/>
      <c r="M88" s="27"/>
      <c r="N88" s="15"/>
      <c r="O88" s="15"/>
      <c r="P88" s="15"/>
      <c r="Q88" s="15"/>
      <c r="R88" s="15"/>
      <c r="S88" s="15"/>
      <c r="T88" s="15"/>
      <c r="U88" s="15"/>
    </row>
    <row r="89" spans="1:21" s="21" customFormat="1" x14ac:dyDescent="0.3">
      <c r="A89" s="17"/>
      <c r="B89"/>
      <c r="C89"/>
      <c r="D89"/>
      <c r="E89"/>
      <c r="F89"/>
      <c r="G89"/>
      <c r="H89"/>
      <c r="I89"/>
      <c r="J89"/>
      <c r="K89" s="27"/>
      <c r="L89" s="15"/>
      <c r="M89" s="27"/>
      <c r="N89" s="15"/>
      <c r="O89" s="15"/>
      <c r="P89" s="15"/>
      <c r="Q89" s="15"/>
      <c r="R89" s="15"/>
      <c r="S89" s="15"/>
      <c r="T89" s="15"/>
      <c r="U89" s="15"/>
    </row>
    <row r="90" spans="1:21" s="21" customFormat="1" x14ac:dyDescent="0.3">
      <c r="A90" s="17"/>
      <c r="B90"/>
      <c r="C90"/>
      <c r="D90"/>
      <c r="E90"/>
      <c r="F90"/>
      <c r="G90"/>
      <c r="H90"/>
      <c r="I90"/>
      <c r="J90"/>
      <c r="K90" s="27"/>
      <c r="L90" s="15"/>
      <c r="M90" s="27"/>
      <c r="N90" s="15"/>
      <c r="O90" s="15"/>
      <c r="P90" s="15"/>
      <c r="Q90" s="15"/>
      <c r="R90" s="15"/>
      <c r="S90" s="15"/>
      <c r="T90" s="15"/>
      <c r="U90" s="15"/>
    </row>
    <row r="91" spans="1:21" s="21" customFormat="1" x14ac:dyDescent="0.3">
      <c r="A91" s="17"/>
      <c r="B91"/>
      <c r="C91"/>
      <c r="D91"/>
      <c r="E91"/>
      <c r="F91"/>
      <c r="G91"/>
      <c r="H91"/>
      <c r="I91"/>
      <c r="J91"/>
      <c r="K91" s="27"/>
      <c r="L91" s="15"/>
      <c r="M91" s="27"/>
      <c r="N91" s="15"/>
      <c r="O91" s="15"/>
      <c r="P91" s="15"/>
      <c r="Q91" s="15"/>
      <c r="R91" s="15"/>
      <c r="S91" s="15"/>
      <c r="T91" s="15"/>
      <c r="U91" s="15"/>
    </row>
    <row r="92" spans="1:21" s="21" customFormat="1" x14ac:dyDescent="0.3">
      <c r="A92" s="17"/>
      <c r="B92"/>
      <c r="C92"/>
      <c r="D92"/>
      <c r="E92"/>
      <c r="F92"/>
      <c r="G92"/>
      <c r="H92"/>
      <c r="I92"/>
      <c r="J92"/>
      <c r="K92" s="27"/>
      <c r="L92" s="15"/>
      <c r="M92" s="27"/>
      <c r="N92" s="15"/>
      <c r="O92" s="15"/>
      <c r="P92" s="15"/>
      <c r="Q92" s="15"/>
      <c r="R92" s="15"/>
      <c r="S92" s="15"/>
      <c r="T92" s="15"/>
      <c r="U92" s="15"/>
    </row>
    <row r="93" spans="1:21" s="21" customFormat="1" x14ac:dyDescent="0.3">
      <c r="A93" s="17"/>
      <c r="B93"/>
      <c r="C93"/>
      <c r="D93"/>
      <c r="E93"/>
      <c r="F93"/>
      <c r="G93"/>
      <c r="H93"/>
      <c r="I93"/>
      <c r="J93"/>
      <c r="K93" s="27"/>
      <c r="L93" s="15"/>
      <c r="M93" s="27"/>
      <c r="N93" s="15"/>
      <c r="O93" s="15"/>
      <c r="P93" s="15"/>
      <c r="Q93" s="15"/>
      <c r="R93" s="15"/>
      <c r="S93" s="15"/>
      <c r="T93" s="15"/>
      <c r="U93" s="15"/>
    </row>
    <row r="94" spans="1:21" s="21" customFormat="1" x14ac:dyDescent="0.3">
      <c r="A94" s="17"/>
      <c r="B94"/>
      <c r="C94"/>
      <c r="D94"/>
      <c r="E94"/>
      <c r="F94"/>
      <c r="G94"/>
      <c r="H94"/>
      <c r="I94"/>
      <c r="J94"/>
      <c r="K94" s="27"/>
      <c r="L94" s="15"/>
      <c r="M94" s="27"/>
      <c r="N94" s="15"/>
      <c r="O94" s="15"/>
      <c r="P94" s="15"/>
      <c r="Q94" s="15"/>
      <c r="R94" s="15"/>
      <c r="S94" s="15"/>
      <c r="T94" s="15"/>
      <c r="U94" s="15"/>
    </row>
    <row r="95" spans="1:21" s="21" customFormat="1" x14ac:dyDescent="0.3">
      <c r="A95" s="17"/>
      <c r="B95"/>
      <c r="C95"/>
      <c r="D95"/>
      <c r="E95"/>
      <c r="F95"/>
      <c r="G95"/>
      <c r="H95"/>
      <c r="I95"/>
      <c r="J95"/>
      <c r="K95" s="27"/>
      <c r="L95" s="15"/>
      <c r="M95" s="27"/>
      <c r="N95" s="15"/>
      <c r="O95" s="15"/>
      <c r="P95" s="15"/>
      <c r="Q95" s="15"/>
      <c r="R95" s="15"/>
      <c r="S95" s="15"/>
      <c r="T95" s="15"/>
      <c r="U95" s="15"/>
    </row>
    <row r="96" spans="1:21" s="21" customFormat="1" x14ac:dyDescent="0.3">
      <c r="A96" s="17"/>
      <c r="B96"/>
      <c r="C96"/>
      <c r="D96"/>
      <c r="E96"/>
      <c r="F96"/>
      <c r="G96"/>
      <c r="H96"/>
      <c r="I96"/>
      <c r="J96"/>
      <c r="K96" s="27"/>
      <c r="L96" s="15"/>
      <c r="M96" s="27"/>
      <c r="N96" s="15"/>
      <c r="O96" s="15"/>
      <c r="P96" s="15"/>
      <c r="Q96" s="15"/>
      <c r="R96" s="15"/>
      <c r="S96" s="15"/>
      <c r="T96" s="15"/>
      <c r="U96" s="15"/>
    </row>
    <row r="97" spans="1:21" s="21" customFormat="1" x14ac:dyDescent="0.3">
      <c r="A97" s="17"/>
      <c r="B97"/>
      <c r="C97"/>
      <c r="D97"/>
      <c r="E97"/>
      <c r="F97"/>
      <c r="G97"/>
      <c r="H97"/>
      <c r="I97"/>
      <c r="J97"/>
      <c r="K97" s="27"/>
      <c r="L97" s="15"/>
      <c r="M97" s="27"/>
      <c r="N97" s="15"/>
      <c r="O97" s="15"/>
      <c r="P97" s="15"/>
      <c r="Q97" s="15"/>
      <c r="R97" s="15"/>
      <c r="S97" s="15"/>
      <c r="T97" s="15"/>
      <c r="U97" s="15"/>
    </row>
    <row r="98" spans="1:21" s="21" customFormat="1" x14ac:dyDescent="0.3">
      <c r="A98" s="17"/>
      <c r="B98"/>
      <c r="C98"/>
      <c r="D98"/>
      <c r="E98"/>
      <c r="F98"/>
      <c r="G98"/>
      <c r="H98"/>
      <c r="I98"/>
      <c r="J98"/>
      <c r="K98" s="27"/>
      <c r="L98" s="15"/>
      <c r="M98" s="27"/>
      <c r="N98" s="15"/>
      <c r="O98" s="15"/>
      <c r="P98" s="15"/>
      <c r="Q98" s="15"/>
      <c r="R98" s="15"/>
      <c r="S98" s="15"/>
      <c r="T98" s="15"/>
      <c r="U98" s="15"/>
    </row>
    <row r="99" spans="1:21" s="21" customFormat="1" x14ac:dyDescent="0.3">
      <c r="A99" s="17"/>
      <c r="B99"/>
      <c r="C99"/>
      <c r="D99"/>
      <c r="E99"/>
      <c r="F99"/>
      <c r="G99"/>
      <c r="H99"/>
      <c r="I99"/>
      <c r="J99"/>
      <c r="K99" s="27"/>
      <c r="L99" s="15"/>
      <c r="M99" s="27"/>
      <c r="N99" s="15"/>
      <c r="O99" s="15"/>
      <c r="P99" s="15"/>
      <c r="Q99" s="15"/>
      <c r="R99" s="15"/>
      <c r="S99" s="15"/>
      <c r="T99" s="15"/>
      <c r="U99" s="15"/>
    </row>
    <row r="100" spans="1:21" s="21" customFormat="1" x14ac:dyDescent="0.3">
      <c r="A100" s="17"/>
      <c r="B100"/>
      <c r="C100"/>
      <c r="D100"/>
      <c r="E100"/>
      <c r="F100"/>
      <c r="G100"/>
      <c r="H100"/>
      <c r="I100"/>
      <c r="J100"/>
      <c r="K100" s="27"/>
      <c r="L100" s="15"/>
      <c r="M100" s="27"/>
      <c r="N100" s="15"/>
      <c r="O100" s="15"/>
      <c r="P100" s="15"/>
      <c r="Q100" s="15"/>
      <c r="R100" s="15"/>
      <c r="S100" s="15"/>
      <c r="T100" s="15"/>
      <c r="U100" s="15"/>
    </row>
    <row r="101" spans="1:21" s="21" customFormat="1" x14ac:dyDescent="0.3">
      <c r="A101" s="17"/>
      <c r="B101"/>
      <c r="C101"/>
      <c r="D101"/>
      <c r="E101"/>
      <c r="F101"/>
      <c r="G101"/>
      <c r="H101"/>
      <c r="I101"/>
      <c r="J101"/>
      <c r="K101" s="27"/>
      <c r="L101" s="15"/>
      <c r="M101" s="27"/>
      <c r="N101" s="15"/>
      <c r="O101" s="15"/>
      <c r="P101" s="15"/>
      <c r="Q101" s="15"/>
      <c r="R101" s="15"/>
      <c r="S101" s="15"/>
      <c r="T101" s="15"/>
      <c r="U101" s="15"/>
    </row>
    <row r="102" spans="1:21" s="21" customFormat="1" x14ac:dyDescent="0.3">
      <c r="A102" s="17"/>
      <c r="B102"/>
      <c r="C102"/>
      <c r="D102"/>
      <c r="E102"/>
      <c r="F102"/>
      <c r="G102"/>
      <c r="H102"/>
      <c r="I102"/>
      <c r="J102"/>
      <c r="K102" s="27"/>
      <c r="L102" s="15"/>
      <c r="M102" s="27"/>
      <c r="N102" s="15"/>
      <c r="O102" s="15"/>
      <c r="P102" s="15"/>
      <c r="Q102" s="15"/>
      <c r="R102" s="15"/>
      <c r="S102" s="15"/>
      <c r="T102" s="15"/>
      <c r="U102" s="15"/>
    </row>
    <row r="103" spans="1:21" s="21" customFormat="1" x14ac:dyDescent="0.3">
      <c r="A103" s="17"/>
      <c r="B103"/>
      <c r="C103"/>
      <c r="D103"/>
      <c r="E103"/>
      <c r="F103"/>
      <c r="G103"/>
      <c r="H103"/>
      <c r="I103"/>
      <c r="J103"/>
      <c r="K103" s="27"/>
      <c r="L103" s="15"/>
      <c r="M103" s="27"/>
      <c r="N103" s="15"/>
      <c r="O103" s="15"/>
      <c r="P103" s="15"/>
      <c r="Q103" s="15"/>
      <c r="R103" s="15"/>
      <c r="S103" s="15"/>
      <c r="T103" s="15"/>
      <c r="U103" s="15"/>
    </row>
    <row r="104" spans="1:21" s="21" customFormat="1" x14ac:dyDescent="0.3">
      <c r="A104" s="17"/>
      <c r="B104"/>
      <c r="C104"/>
      <c r="D104"/>
      <c r="E104"/>
      <c r="F104"/>
      <c r="G104"/>
      <c r="H104"/>
      <c r="I104"/>
      <c r="J104"/>
      <c r="K104" s="27"/>
      <c r="L104" s="15"/>
      <c r="M104" s="27"/>
      <c r="N104" s="15"/>
      <c r="O104" s="15"/>
      <c r="P104" s="15"/>
      <c r="Q104" s="15"/>
      <c r="R104" s="15"/>
      <c r="S104" s="15"/>
      <c r="T104" s="15"/>
      <c r="U104" s="15"/>
    </row>
    <row r="105" spans="1:21" s="21" customFormat="1" x14ac:dyDescent="0.3">
      <c r="A105" s="17"/>
      <c r="B105"/>
      <c r="C105"/>
      <c r="D105"/>
      <c r="E105"/>
      <c r="F105"/>
      <c r="G105"/>
      <c r="H105"/>
      <c r="I105"/>
      <c r="J105"/>
      <c r="K105" s="27"/>
      <c r="L105" s="15"/>
      <c r="M105" s="27"/>
      <c r="N105" s="15"/>
      <c r="O105" s="15"/>
      <c r="P105" s="15"/>
      <c r="Q105" s="15"/>
      <c r="R105" s="15"/>
      <c r="S105" s="15"/>
      <c r="T105" s="15"/>
      <c r="U105" s="15"/>
    </row>
    <row r="106" spans="1:21" s="21" customFormat="1" x14ac:dyDescent="0.3">
      <c r="A106" s="17"/>
      <c r="B106"/>
      <c r="C106"/>
      <c r="D106"/>
      <c r="E106"/>
      <c r="F106"/>
      <c r="G106"/>
      <c r="H106"/>
      <c r="I106"/>
      <c r="J106"/>
      <c r="K106" s="27"/>
      <c r="L106" s="15"/>
      <c r="M106" s="27"/>
      <c r="N106" s="15"/>
      <c r="O106" s="15"/>
      <c r="P106" s="15"/>
      <c r="Q106" s="15"/>
      <c r="R106" s="15"/>
      <c r="S106" s="15"/>
      <c r="T106" s="15"/>
      <c r="U106" s="15"/>
    </row>
    <row r="107" spans="1:21" s="21" customFormat="1" x14ac:dyDescent="0.3">
      <c r="A107" s="17"/>
      <c r="B107"/>
      <c r="C107"/>
      <c r="D107"/>
      <c r="E107"/>
      <c r="F107"/>
      <c r="G107"/>
      <c r="H107"/>
      <c r="I107"/>
      <c r="J107"/>
      <c r="K107" s="27"/>
      <c r="L107" s="15"/>
      <c r="M107" s="27"/>
      <c r="N107" s="15"/>
      <c r="O107" s="15"/>
      <c r="P107" s="15"/>
      <c r="Q107" s="15"/>
      <c r="R107" s="15"/>
      <c r="S107" s="15"/>
      <c r="T107" s="15"/>
      <c r="U107" s="15"/>
    </row>
    <row r="3015" spans="1:16" s="15" customFormat="1" x14ac:dyDescent="0.3">
      <c r="A3015" s="17"/>
      <c r="B3015"/>
      <c r="C3015"/>
      <c r="D3015"/>
      <c r="E3015"/>
      <c r="F3015"/>
      <c r="G3015"/>
      <c r="H3015"/>
      <c r="I3015"/>
      <c r="J3015"/>
      <c r="P3015" s="54"/>
    </row>
  </sheetData>
  <mergeCells count="1">
    <mergeCell ref="A2:I2"/>
  </mergeCells>
  <pageMargins left="0.511811024" right="0.511811024" top="0.78740157499999996" bottom="0.78740157499999996" header="0.31496062000000002" footer="0.31496062000000002"/>
  <pageSetup paperSize="9" orientation="portrait" horizontalDpi="0" verticalDpi="0"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1531-72C2-498E-BF36-9EDBCF8311A8}">
  <sheetPr>
    <tabColor theme="9" tint="0.59999389629810485"/>
  </sheetPr>
  <dimension ref="A1:S3011"/>
  <sheetViews>
    <sheetView showGridLines="0" zoomScale="85" zoomScaleNormal="85" workbookViewId="0">
      <selection activeCell="B15" sqref="B15"/>
    </sheetView>
  </sheetViews>
  <sheetFormatPr defaultColWidth="8.85546875" defaultRowHeight="18.75" x14ac:dyDescent="0.3"/>
  <cols>
    <col min="1" max="1" width="12.7109375" style="17" customWidth="1"/>
    <col min="2" max="2" width="86.140625" customWidth="1"/>
    <col min="3" max="3" width="9.7109375" customWidth="1"/>
    <col min="4" max="4" width="8.85546875" customWidth="1"/>
    <col min="5" max="5" width="10" bestFit="1" customWidth="1"/>
    <col min="11" max="11" width="16" style="15" bestFit="1" customWidth="1"/>
    <col min="12" max="13" width="8.85546875" style="15"/>
    <col min="14" max="14" width="10.28515625" style="15" customWidth="1"/>
    <col min="15" max="15" width="10.5703125" style="15" bestFit="1" customWidth="1"/>
    <col min="16" max="16" width="27.5703125" style="15" bestFit="1" customWidth="1"/>
    <col min="17" max="19" width="8.85546875" style="15"/>
  </cols>
  <sheetData>
    <row r="1" spans="1:19" x14ac:dyDescent="0.3">
      <c r="A1" s="16" t="s">
        <v>588</v>
      </c>
      <c r="K1" s="14"/>
      <c r="L1" s="14"/>
      <c r="M1" s="14"/>
      <c r="N1" s="14"/>
      <c r="O1" s="14"/>
      <c r="P1" s="14"/>
      <c r="Q1" s="14"/>
      <c r="R1" s="14"/>
      <c r="S1" s="14"/>
    </row>
    <row r="2" spans="1:19" x14ac:dyDescent="0.3">
      <c r="A2" s="17" t="s">
        <v>906</v>
      </c>
      <c r="K2" s="14"/>
      <c r="L2" s="14"/>
      <c r="M2" s="14"/>
      <c r="N2" s="14"/>
      <c r="O2" s="14"/>
      <c r="P2" s="14"/>
      <c r="Q2" s="14"/>
      <c r="R2" s="14"/>
      <c r="S2" s="14"/>
    </row>
    <row r="3" spans="1:19" x14ac:dyDescent="0.3">
      <c r="M3" s="27"/>
    </row>
    <row r="4" spans="1:19" ht="15.75" x14ac:dyDescent="0.25">
      <c r="A4" s="2" t="s">
        <v>15</v>
      </c>
      <c r="B4" s="2" t="s">
        <v>16</v>
      </c>
      <c r="C4" s="2"/>
      <c r="M4" s="27"/>
    </row>
    <row r="5" spans="1:19" ht="15.75" x14ac:dyDescent="0.25">
      <c r="A5" s="23" t="s">
        <v>22</v>
      </c>
      <c r="B5" s="26" t="s">
        <v>594</v>
      </c>
      <c r="C5" s="26"/>
      <c r="M5" s="27"/>
    </row>
    <row r="6" spans="1:19" ht="15.75" x14ac:dyDescent="0.25">
      <c r="A6" s="23" t="s">
        <v>858</v>
      </c>
      <c r="B6" s="26" t="s">
        <v>859</v>
      </c>
      <c r="C6" s="26"/>
      <c r="M6" s="27"/>
    </row>
    <row r="7" spans="1:19" ht="31.5" x14ac:dyDescent="0.25">
      <c r="A7" s="23" t="s">
        <v>631</v>
      </c>
      <c r="B7" s="26" t="s">
        <v>632</v>
      </c>
      <c r="C7" s="26"/>
      <c r="M7" s="27"/>
    </row>
    <row r="8" spans="1:19" ht="15.75" x14ac:dyDescent="0.25">
      <c r="A8" s="23"/>
      <c r="B8" s="26"/>
      <c r="C8" s="26"/>
      <c r="M8" s="27"/>
    </row>
    <row r="9" spans="1:19" x14ac:dyDescent="0.3">
      <c r="M9" s="27"/>
    </row>
    <row r="10" spans="1:19" x14ac:dyDescent="0.3">
      <c r="D10" s="1" t="s">
        <v>17</v>
      </c>
      <c r="E10" s="13" t="s">
        <v>22</v>
      </c>
      <c r="F10" s="12">
        <v>1</v>
      </c>
      <c r="G10" s="12">
        <v>2</v>
      </c>
      <c r="H10" s="12">
        <v>3</v>
      </c>
      <c r="I10" s="12">
        <v>4</v>
      </c>
      <c r="K10" s="63" cm="1">
        <f t="array" ref="K10:K13">_xlfn.LAMBDA(_xlpm.matrix,_xlop.numIter,_xlop.order,
_xlfn.LET(
_xlpm.nCols, COLUMNS(_xlpm.matrix),
_xlpm.numIter,IF(OR(_xlfn.ISOMITTED(_xlpm.numIter), ISBLANK(_xlpm.numIter)), 20, _xlpm.numIter),
_xlpm.order,IF(_xlfn.ISOMITTED(_xlpm.order), 1, _xlpm.order),
_xlpm.candIter, _xlfn.REDUCE(FACTORIZE_QR(_xlpm.matrix), _xlfn.SEQUENCE(_xlpm.numIter),_xlfn.LAMBDA(_xlpm.accum,_xlpm.x, FACTORIZE_QR( MMULT(_xlfn.TAKE(_xlpm.accum,, IF(ISEVEN(_xlpm.x),-1,1)*_xlpm.nCols), _xlfn.TAKE(_xlpm.accum,,-IF(ISEVEN(_xlpm.x),-1,1)*_xlpm.nCols)) ) )),
_xlpm.vals, DIAG(_xlfn.TAKE(_xlpm.candIter,,-_xlpm.nCols)),
_xlfn.SWITCH(_xlpm.order, 1, _xlfn._xlws.SORT(_xlpm.vals,,1), -1, _xlfn._xlws.SORT(_xlpm.vals,,-1), 2, _xlfn.SORTBY(_xlpm.vals, MATCH(ABS(_xlpm.vals), _xlfn._xlws.SORT(ABS(_xlpm.vals)),0)), -2, _xlfn.SORTBY(_xlpm.vals, MATCH(ABS(_xlpm.vals), _xlfn._xlws.SORT(ABS(_xlpm.vals), ,-1 ),0)))
))($F$10:$I$13,$F$15,$F$16)</f>
        <v>-3.4525311987359886</v>
      </c>
      <c r="L10" s="63"/>
      <c r="M10" s="63"/>
    </row>
    <row r="11" spans="1:19" x14ac:dyDescent="0.3">
      <c r="F11" s="12">
        <v>5</v>
      </c>
      <c r="G11" s="12">
        <v>5</v>
      </c>
      <c r="H11" s="12">
        <v>6</v>
      </c>
      <c r="I11" s="12">
        <v>7</v>
      </c>
      <c r="K11" s="63">
        <v>-1.0633306740961159</v>
      </c>
      <c r="L11" s="63"/>
      <c r="M11" s="63"/>
    </row>
    <row r="12" spans="1:19" x14ac:dyDescent="0.3">
      <c r="F12" s="12">
        <v>1</v>
      </c>
      <c r="G12" s="12">
        <v>4</v>
      </c>
      <c r="H12" s="12">
        <v>2</v>
      </c>
      <c r="I12" s="12">
        <v>3</v>
      </c>
      <c r="K12" s="63">
        <v>-0.11985756608448105</v>
      </c>
      <c r="L12" s="63"/>
      <c r="M12" s="63"/>
    </row>
    <row r="13" spans="1:19" x14ac:dyDescent="0.3">
      <c r="F13" s="12">
        <v>5</v>
      </c>
      <c r="G13" s="12">
        <v>3</v>
      </c>
      <c r="H13" s="12">
        <v>2</v>
      </c>
      <c r="I13" s="12">
        <v>1</v>
      </c>
      <c r="K13" s="63">
        <v>13.635775489623526</v>
      </c>
      <c r="L13" s="63"/>
      <c r="M13" s="63"/>
    </row>
    <row r="14" spans="1:19" s="21" customFormat="1" x14ac:dyDescent="0.3">
      <c r="A14" s="17"/>
      <c r="B14"/>
      <c r="C14"/>
      <c r="D14"/>
      <c r="E14"/>
      <c r="F14"/>
      <c r="G14"/>
      <c r="H14"/>
      <c r="I14"/>
      <c r="J14"/>
      <c r="K14" s="27"/>
      <c r="L14" s="15"/>
      <c r="M14" s="27"/>
      <c r="N14" s="15"/>
      <c r="O14" s="15"/>
      <c r="P14" s="15"/>
      <c r="Q14" s="15"/>
      <c r="R14" s="15"/>
      <c r="S14" s="15"/>
    </row>
    <row r="15" spans="1:19" s="21" customFormat="1" x14ac:dyDescent="0.3">
      <c r="A15" s="17"/>
      <c r="B15"/>
      <c r="C15"/>
      <c r="D15"/>
      <c r="E15" s="13" t="s">
        <v>858</v>
      </c>
      <c r="F15" s="12">
        <v>20</v>
      </c>
      <c r="G15"/>
      <c r="H15"/>
      <c r="I15"/>
      <c r="J15"/>
      <c r="K15" s="27"/>
      <c r="L15" s="15"/>
      <c r="M15" s="27"/>
      <c r="N15" s="15"/>
      <c r="O15" s="15"/>
      <c r="P15" s="15"/>
      <c r="Q15" s="15"/>
      <c r="R15" s="15"/>
      <c r="S15" s="15"/>
    </row>
    <row r="16" spans="1:19" s="21" customFormat="1" x14ac:dyDescent="0.3">
      <c r="A16" s="17"/>
      <c r="B16"/>
      <c r="C16"/>
      <c r="D16"/>
      <c r="E16" s="13" t="s">
        <v>631</v>
      </c>
      <c r="F16" s="12">
        <v>1</v>
      </c>
      <c r="G16"/>
      <c r="H16"/>
      <c r="I16"/>
      <c r="J16"/>
      <c r="K16" s="27"/>
      <c r="L16" s="15"/>
      <c r="M16" s="27"/>
      <c r="N16" s="15"/>
      <c r="O16" s="15"/>
      <c r="P16" s="15"/>
      <c r="Q16" s="15"/>
      <c r="R16" s="15"/>
      <c r="S16" s="15"/>
    </row>
    <row r="17" spans="1:19" s="21" customFormat="1" x14ac:dyDescent="0.3">
      <c r="A17" s="17"/>
      <c r="B17"/>
      <c r="C17"/>
      <c r="D17"/>
      <c r="E17"/>
      <c r="F17"/>
      <c r="G17"/>
      <c r="H17"/>
      <c r="I17"/>
      <c r="J17"/>
      <c r="K17" s="27"/>
      <c r="L17" s="15"/>
      <c r="M17" s="27"/>
      <c r="N17" s="15"/>
      <c r="O17" s="15"/>
      <c r="P17" s="15"/>
      <c r="Q17" s="15"/>
      <c r="R17" s="15"/>
      <c r="S17" s="15"/>
    </row>
    <row r="18" spans="1:19" s="21" customFormat="1" x14ac:dyDescent="0.3">
      <c r="A18" s="17"/>
      <c r="B18"/>
      <c r="C18"/>
      <c r="D18"/>
      <c r="E18"/>
      <c r="F18"/>
      <c r="G18"/>
      <c r="H18"/>
      <c r="I18"/>
      <c r="J18"/>
      <c r="K18" s="27"/>
      <c r="L18" s="15"/>
      <c r="M18" s="27"/>
      <c r="N18" s="15"/>
      <c r="O18" s="15"/>
      <c r="P18" s="15"/>
      <c r="Q18" s="15"/>
      <c r="R18" s="15"/>
      <c r="S18" s="15"/>
    </row>
    <row r="19" spans="1:19" s="21" customFormat="1" x14ac:dyDescent="0.3">
      <c r="A19" s="17"/>
      <c r="B19"/>
      <c r="C19"/>
      <c r="D19"/>
      <c r="K19" s="27"/>
      <c r="L19" s="15"/>
      <c r="M19" s="27"/>
      <c r="N19" s="15"/>
      <c r="O19" s="15"/>
      <c r="P19" s="15"/>
      <c r="Q19" s="15"/>
      <c r="R19" s="15"/>
      <c r="S19" s="15"/>
    </row>
    <row r="20" spans="1:19" s="21" customFormat="1" x14ac:dyDescent="0.3">
      <c r="A20" s="17"/>
      <c r="B20"/>
      <c r="C20"/>
      <c r="D20"/>
      <c r="K20" s="27"/>
      <c r="L20" s="15"/>
      <c r="M20" s="27"/>
      <c r="N20" s="15"/>
      <c r="O20" s="15"/>
      <c r="P20" s="15"/>
      <c r="Q20" s="15"/>
      <c r="R20" s="15"/>
      <c r="S20" s="15"/>
    </row>
    <row r="21" spans="1:19" s="21" customFormat="1" x14ac:dyDescent="0.3">
      <c r="A21" s="17"/>
      <c r="B21"/>
      <c r="C21"/>
      <c r="D21" s="1" t="s">
        <v>17</v>
      </c>
      <c r="E21" s="13" t="s">
        <v>22</v>
      </c>
      <c r="F21" s="12">
        <v>1</v>
      </c>
      <c r="G21" s="12">
        <v>2</v>
      </c>
      <c r="H21" s="12">
        <v>3</v>
      </c>
      <c r="I21" s="12">
        <v>4</v>
      </c>
      <c r="J21"/>
      <c r="K21" s="63" cm="1">
        <f t="array" ref="K21:K24">EIGENVALUES($F$21:$I$24,$F$26,$F$27)</f>
        <v>-3.4525311987359886</v>
      </c>
      <c r="L21" s="15"/>
      <c r="M21" s="27"/>
      <c r="N21" s="15"/>
      <c r="O21" s="15"/>
      <c r="P21" s="15"/>
      <c r="Q21" s="15"/>
      <c r="R21" s="15"/>
      <c r="S21" s="15"/>
    </row>
    <row r="22" spans="1:19" s="21" customFormat="1" x14ac:dyDescent="0.3">
      <c r="A22" s="17"/>
      <c r="B22"/>
      <c r="C22"/>
      <c r="D22"/>
      <c r="E22"/>
      <c r="F22" s="12">
        <v>5</v>
      </c>
      <c r="G22" s="12">
        <v>5</v>
      </c>
      <c r="H22" s="12">
        <v>6</v>
      </c>
      <c r="I22" s="12">
        <v>7</v>
      </c>
      <c r="J22"/>
      <c r="K22" s="63">
        <v>-1.0633306740961159</v>
      </c>
      <c r="L22" s="15"/>
      <c r="M22" s="27"/>
      <c r="N22" s="15"/>
      <c r="O22" s="15"/>
      <c r="P22" s="15"/>
      <c r="Q22" s="15"/>
      <c r="R22" s="15"/>
      <c r="S22" s="15"/>
    </row>
    <row r="23" spans="1:19" s="21" customFormat="1" x14ac:dyDescent="0.3">
      <c r="A23" s="17"/>
      <c r="B23"/>
      <c r="C23"/>
      <c r="D23"/>
      <c r="E23"/>
      <c r="F23" s="12">
        <v>1</v>
      </c>
      <c r="G23" s="12">
        <v>4</v>
      </c>
      <c r="H23" s="12">
        <v>2</v>
      </c>
      <c r="I23" s="12">
        <v>3</v>
      </c>
      <c r="J23"/>
      <c r="K23" s="63">
        <v>-0.11985756608448105</v>
      </c>
      <c r="L23" s="15"/>
      <c r="M23" s="27"/>
      <c r="N23" s="15"/>
      <c r="O23" s="15"/>
      <c r="P23" s="15"/>
      <c r="Q23" s="15"/>
      <c r="R23" s="15"/>
      <c r="S23" s="15"/>
    </row>
    <row r="24" spans="1:19" s="21" customFormat="1" x14ac:dyDescent="0.3">
      <c r="A24" s="17"/>
      <c r="B24"/>
      <c r="C24"/>
      <c r="D24"/>
      <c r="E24"/>
      <c r="F24" s="12">
        <v>5</v>
      </c>
      <c r="G24" s="12">
        <v>3</v>
      </c>
      <c r="H24" s="12">
        <v>2</v>
      </c>
      <c r="I24" s="12">
        <v>1</v>
      </c>
      <c r="J24"/>
      <c r="K24" s="63">
        <v>13.635775489623526</v>
      </c>
      <c r="L24" s="15"/>
      <c r="M24" s="27"/>
      <c r="N24" s="15"/>
      <c r="O24" s="15"/>
      <c r="P24" s="15"/>
      <c r="Q24" s="15"/>
      <c r="R24" s="15"/>
      <c r="S24" s="15"/>
    </row>
    <row r="25" spans="1:19" s="21" customFormat="1" x14ac:dyDescent="0.3">
      <c r="A25" s="17"/>
      <c r="B25"/>
      <c r="C25"/>
      <c r="D25"/>
      <c r="E25"/>
      <c r="F25"/>
      <c r="J25"/>
      <c r="K25" s="63"/>
      <c r="L25" s="15"/>
      <c r="M25" s="27"/>
      <c r="N25" s="15"/>
      <c r="O25" s="15"/>
      <c r="P25" s="15"/>
      <c r="Q25" s="15"/>
      <c r="R25" s="15"/>
      <c r="S25" s="15"/>
    </row>
    <row r="26" spans="1:19" s="21" customFormat="1" x14ac:dyDescent="0.3">
      <c r="A26" s="17"/>
      <c r="B26"/>
      <c r="C26"/>
      <c r="D26"/>
      <c r="E26" s="13" t="s">
        <v>858</v>
      </c>
      <c r="F26" s="12">
        <v>20</v>
      </c>
      <c r="J26"/>
      <c r="K26" s="63"/>
      <c r="L26" s="15"/>
      <c r="M26" s="27"/>
      <c r="N26" s="15"/>
      <c r="O26" s="15"/>
      <c r="P26" s="15"/>
      <c r="Q26" s="15"/>
      <c r="R26" s="15"/>
      <c r="S26" s="15"/>
    </row>
    <row r="27" spans="1:19" s="21" customFormat="1" x14ac:dyDescent="0.3">
      <c r="A27" s="17"/>
      <c r="B27"/>
      <c r="C27"/>
      <c r="D27"/>
      <c r="E27" s="13" t="s">
        <v>631</v>
      </c>
      <c r="F27" s="12">
        <v>1</v>
      </c>
      <c r="G27"/>
      <c r="H27"/>
      <c r="I27"/>
      <c r="J27"/>
      <c r="K27" s="27"/>
      <c r="L27" s="15"/>
      <c r="M27" s="27"/>
      <c r="N27" s="15"/>
      <c r="O27" s="15"/>
      <c r="P27" s="15"/>
      <c r="Q27" s="15"/>
      <c r="R27" s="15"/>
      <c r="S27" s="15"/>
    </row>
    <row r="28" spans="1:19" s="21" customFormat="1" x14ac:dyDescent="0.3">
      <c r="A28" s="17"/>
      <c r="B28"/>
      <c r="C28"/>
      <c r="D28"/>
      <c r="E28"/>
      <c r="F28"/>
      <c r="G28"/>
      <c r="H28"/>
      <c r="I28"/>
      <c r="J28"/>
      <c r="K28" s="27"/>
      <c r="L28" s="15"/>
      <c r="M28" s="27"/>
      <c r="N28" s="15"/>
      <c r="O28" s="15"/>
      <c r="P28" s="15"/>
      <c r="Q28" s="15"/>
      <c r="R28" s="15"/>
      <c r="S28" s="15"/>
    </row>
    <row r="29" spans="1:19" s="21" customFormat="1" x14ac:dyDescent="0.3">
      <c r="A29" s="17"/>
      <c r="B29"/>
      <c r="C29"/>
      <c r="D29"/>
      <c r="E29"/>
      <c r="F29"/>
      <c r="G29"/>
      <c r="H29"/>
      <c r="I29"/>
      <c r="J29"/>
      <c r="K29" s="27"/>
      <c r="L29" s="15"/>
      <c r="M29" s="27"/>
      <c r="N29" s="15"/>
      <c r="O29" s="15"/>
      <c r="P29" s="15"/>
      <c r="Q29" s="15"/>
      <c r="R29" s="15"/>
      <c r="S29" s="15"/>
    </row>
    <row r="30" spans="1:19" s="21" customFormat="1" x14ac:dyDescent="0.3">
      <c r="A30" s="17"/>
      <c r="B30"/>
      <c r="C30"/>
      <c r="D30"/>
      <c r="E30"/>
      <c r="F30"/>
      <c r="G30"/>
      <c r="H30"/>
      <c r="I30"/>
      <c r="J30"/>
      <c r="K30" s="27"/>
      <c r="L30" s="15"/>
      <c r="M30" s="27"/>
      <c r="N30" s="15"/>
      <c r="O30" s="15"/>
      <c r="P30" s="15"/>
      <c r="Q30" s="15"/>
      <c r="R30" s="15"/>
      <c r="S30" s="15"/>
    </row>
    <row r="31" spans="1:19" s="21" customFormat="1" x14ac:dyDescent="0.3">
      <c r="A31" s="17"/>
      <c r="B31"/>
      <c r="C31"/>
      <c r="D31"/>
      <c r="E31"/>
      <c r="F31"/>
      <c r="G31"/>
      <c r="H31"/>
      <c r="I31"/>
      <c r="J31"/>
      <c r="K31" s="27"/>
      <c r="L31" s="15"/>
      <c r="M31" s="27"/>
      <c r="N31" s="15"/>
      <c r="O31" s="15"/>
      <c r="P31" s="15"/>
      <c r="Q31" s="15"/>
      <c r="R31" s="15"/>
      <c r="S31" s="15"/>
    </row>
    <row r="32" spans="1:19" s="21" customFormat="1" x14ac:dyDescent="0.3">
      <c r="A32" s="17"/>
      <c r="B32"/>
      <c r="C32"/>
      <c r="D32"/>
      <c r="E32"/>
      <c r="F32"/>
      <c r="G32"/>
      <c r="H32"/>
      <c r="I32"/>
      <c r="J32"/>
      <c r="K32" s="27"/>
      <c r="L32" s="15"/>
      <c r="M32" s="27"/>
      <c r="N32" s="15"/>
      <c r="O32" s="15"/>
      <c r="P32" s="15"/>
      <c r="Q32" s="15"/>
      <c r="R32" s="15"/>
      <c r="S32" s="15"/>
    </row>
    <row r="33" spans="1:19" s="21" customFormat="1" x14ac:dyDescent="0.3">
      <c r="A33" s="17"/>
      <c r="B33"/>
      <c r="C33"/>
      <c r="D33"/>
      <c r="E33"/>
      <c r="F33"/>
      <c r="G33"/>
      <c r="H33"/>
      <c r="I33"/>
      <c r="J33"/>
      <c r="K33" s="27"/>
      <c r="L33" s="15"/>
      <c r="M33" s="27"/>
      <c r="N33" s="15"/>
      <c r="O33" s="15"/>
      <c r="P33" s="15"/>
      <c r="Q33" s="15"/>
      <c r="R33" s="15"/>
      <c r="S33" s="15"/>
    </row>
    <row r="34" spans="1:19" s="21" customFormat="1" x14ac:dyDescent="0.3">
      <c r="A34" s="17"/>
      <c r="B34"/>
      <c r="C34"/>
      <c r="D34"/>
      <c r="E34"/>
      <c r="F34"/>
      <c r="G34"/>
      <c r="H34"/>
      <c r="I34"/>
      <c r="J34"/>
      <c r="K34" s="27"/>
      <c r="L34" s="15"/>
      <c r="M34" s="27"/>
      <c r="N34" s="15"/>
      <c r="O34" s="15"/>
      <c r="P34" s="15"/>
      <c r="Q34" s="15"/>
      <c r="R34" s="15"/>
      <c r="S34" s="15"/>
    </row>
    <row r="35" spans="1:19" s="21" customFormat="1" x14ac:dyDescent="0.3">
      <c r="A35" s="17"/>
      <c r="B35"/>
      <c r="C35"/>
      <c r="D35"/>
      <c r="E35"/>
      <c r="F35"/>
      <c r="G35"/>
      <c r="H35"/>
      <c r="I35"/>
      <c r="J35"/>
      <c r="K35" s="27"/>
      <c r="L35" s="15"/>
      <c r="M35" s="27"/>
      <c r="N35" s="15"/>
      <c r="O35" s="15"/>
      <c r="P35" s="15"/>
      <c r="Q35" s="15"/>
      <c r="R35" s="15"/>
      <c r="S35" s="15"/>
    </row>
    <row r="36" spans="1:19" s="21" customFormat="1" x14ac:dyDescent="0.3">
      <c r="A36" s="17"/>
      <c r="B36"/>
      <c r="C36"/>
      <c r="D36"/>
      <c r="E36"/>
      <c r="F36"/>
      <c r="G36"/>
      <c r="H36"/>
      <c r="I36"/>
      <c r="J36"/>
      <c r="K36" s="27"/>
      <c r="L36" s="15"/>
      <c r="M36" s="27"/>
      <c r="N36" s="15"/>
      <c r="O36" s="15"/>
      <c r="P36" s="15"/>
      <c r="Q36" s="15"/>
      <c r="R36" s="15"/>
      <c r="S36" s="15"/>
    </row>
    <row r="37" spans="1:19" s="21" customFormat="1" x14ac:dyDescent="0.3">
      <c r="A37" s="17"/>
      <c r="B37"/>
      <c r="C37"/>
      <c r="D37"/>
      <c r="E37"/>
      <c r="F37"/>
      <c r="G37"/>
      <c r="H37"/>
      <c r="I37"/>
      <c r="J37"/>
      <c r="K37" s="27"/>
      <c r="L37" s="15"/>
      <c r="M37" s="27"/>
      <c r="N37" s="15"/>
      <c r="O37" s="15"/>
      <c r="P37" s="15"/>
      <c r="Q37" s="15"/>
      <c r="R37" s="15"/>
      <c r="S37" s="15"/>
    </row>
    <row r="38" spans="1:19" s="21" customFormat="1" x14ac:dyDescent="0.3">
      <c r="A38" s="17"/>
      <c r="B38"/>
      <c r="C38"/>
      <c r="D38"/>
      <c r="E38"/>
      <c r="F38"/>
      <c r="G38"/>
      <c r="H38"/>
      <c r="I38"/>
      <c r="J38"/>
      <c r="K38" s="27"/>
      <c r="L38" s="15"/>
      <c r="M38" s="27"/>
      <c r="N38" s="15"/>
      <c r="O38" s="15"/>
      <c r="P38" s="15"/>
      <c r="Q38" s="15"/>
      <c r="R38" s="15"/>
      <c r="S38" s="15"/>
    </row>
    <row r="39" spans="1:19" s="21" customFormat="1" x14ac:dyDescent="0.3">
      <c r="A39" s="17"/>
      <c r="B39"/>
      <c r="C39"/>
      <c r="D39"/>
      <c r="E39"/>
      <c r="F39"/>
      <c r="G39"/>
      <c r="H39"/>
      <c r="I39"/>
      <c r="J39"/>
      <c r="K39" s="27"/>
      <c r="L39" s="15"/>
      <c r="M39" s="27"/>
      <c r="N39" s="15"/>
      <c r="O39" s="15"/>
      <c r="P39" s="15"/>
      <c r="Q39" s="15"/>
      <c r="R39" s="15"/>
      <c r="S39" s="15"/>
    </row>
    <row r="40" spans="1:19" s="21" customFormat="1" x14ac:dyDescent="0.3">
      <c r="A40" s="17"/>
      <c r="B40"/>
      <c r="C40"/>
      <c r="D40"/>
      <c r="E40"/>
      <c r="F40"/>
      <c r="G40"/>
      <c r="H40"/>
      <c r="I40"/>
      <c r="J40"/>
      <c r="K40" s="27"/>
      <c r="L40" s="15"/>
      <c r="M40" s="27"/>
      <c r="N40" s="15"/>
      <c r="O40" s="15"/>
      <c r="P40" s="15"/>
      <c r="Q40" s="15"/>
      <c r="R40" s="15"/>
      <c r="S40" s="15"/>
    </row>
    <row r="41" spans="1:19" s="21" customFormat="1" x14ac:dyDescent="0.3">
      <c r="A41" s="17"/>
      <c r="B41"/>
      <c r="C41"/>
      <c r="D41"/>
      <c r="E41"/>
      <c r="F41"/>
      <c r="G41"/>
      <c r="H41"/>
      <c r="I41"/>
      <c r="J41"/>
      <c r="K41" s="27"/>
      <c r="L41" s="15"/>
      <c r="M41" s="27"/>
      <c r="N41" s="15"/>
      <c r="O41" s="15"/>
      <c r="P41" s="15"/>
      <c r="Q41" s="15"/>
      <c r="R41" s="15"/>
      <c r="S41" s="15"/>
    </row>
    <row r="42" spans="1:19" s="21" customFormat="1" x14ac:dyDescent="0.3">
      <c r="A42" s="17"/>
      <c r="B42"/>
      <c r="C42"/>
      <c r="D42"/>
      <c r="E42"/>
      <c r="F42"/>
      <c r="G42"/>
      <c r="H42"/>
      <c r="I42"/>
      <c r="J42"/>
      <c r="K42" s="27"/>
      <c r="L42" s="15"/>
      <c r="M42" s="27"/>
      <c r="N42" s="15"/>
      <c r="O42" s="15"/>
      <c r="P42" s="15"/>
      <c r="Q42" s="15"/>
      <c r="R42" s="15"/>
      <c r="S42" s="15"/>
    </row>
    <row r="43" spans="1:19" s="21" customFormat="1" x14ac:dyDescent="0.3">
      <c r="A43" s="17"/>
      <c r="B43"/>
      <c r="C43"/>
      <c r="D43"/>
      <c r="E43"/>
      <c r="F43"/>
      <c r="G43"/>
      <c r="H43"/>
      <c r="I43"/>
      <c r="J43"/>
      <c r="K43" s="27"/>
      <c r="L43" s="15"/>
      <c r="M43" s="27"/>
      <c r="N43" s="15"/>
      <c r="O43" s="15"/>
      <c r="P43" s="15"/>
      <c r="Q43" s="15"/>
      <c r="R43" s="15"/>
      <c r="S43" s="15"/>
    </row>
    <row r="44" spans="1:19" s="21" customFormat="1" x14ac:dyDescent="0.3">
      <c r="A44" s="17"/>
      <c r="B44"/>
      <c r="C44"/>
      <c r="D44"/>
      <c r="E44"/>
      <c r="F44"/>
      <c r="G44"/>
      <c r="H44"/>
      <c r="I44"/>
      <c r="J44"/>
      <c r="K44" s="27"/>
      <c r="L44" s="15"/>
      <c r="M44" s="27"/>
      <c r="N44" s="15"/>
      <c r="O44" s="15"/>
      <c r="P44" s="15"/>
      <c r="Q44" s="15"/>
      <c r="R44" s="15"/>
      <c r="S44" s="15"/>
    </row>
    <row r="45" spans="1:19" s="21" customFormat="1" x14ac:dyDescent="0.3">
      <c r="A45" s="17"/>
      <c r="B45"/>
      <c r="C45"/>
      <c r="D45"/>
      <c r="E45"/>
      <c r="F45"/>
      <c r="G45"/>
      <c r="H45"/>
      <c r="I45"/>
      <c r="J45"/>
      <c r="K45" s="27"/>
      <c r="L45" s="15"/>
      <c r="M45" s="27"/>
      <c r="N45" s="15"/>
      <c r="O45" s="15"/>
      <c r="P45" s="15"/>
      <c r="Q45" s="15"/>
      <c r="R45" s="15"/>
      <c r="S45" s="15"/>
    </row>
    <row r="46" spans="1:19" s="21" customFormat="1" x14ac:dyDescent="0.3">
      <c r="A46" s="17"/>
      <c r="B46"/>
      <c r="C46"/>
      <c r="D46"/>
      <c r="E46"/>
      <c r="F46"/>
      <c r="G46"/>
      <c r="H46"/>
      <c r="I46"/>
      <c r="J46"/>
      <c r="K46" s="27"/>
      <c r="L46" s="15"/>
      <c r="M46" s="27"/>
      <c r="N46" s="15"/>
      <c r="O46" s="15"/>
      <c r="P46" s="15"/>
      <c r="Q46" s="15"/>
      <c r="R46" s="15"/>
      <c r="S46" s="15"/>
    </row>
    <row r="47" spans="1:19" s="21" customFormat="1" x14ac:dyDescent="0.3">
      <c r="A47" s="17"/>
      <c r="B47"/>
      <c r="C47"/>
      <c r="D47"/>
      <c r="E47"/>
      <c r="F47"/>
      <c r="G47"/>
      <c r="H47"/>
      <c r="I47"/>
      <c r="J47"/>
      <c r="K47" s="27"/>
      <c r="L47" s="15"/>
      <c r="M47" s="27"/>
      <c r="N47" s="15"/>
      <c r="O47" s="15"/>
      <c r="P47" s="15"/>
      <c r="Q47" s="15"/>
      <c r="R47" s="15"/>
      <c r="S47" s="15"/>
    </row>
    <row r="48" spans="1:19" s="21" customFormat="1" x14ac:dyDescent="0.3">
      <c r="A48" s="17"/>
      <c r="B48"/>
      <c r="C48"/>
      <c r="D48"/>
      <c r="E48"/>
      <c r="F48"/>
      <c r="G48"/>
      <c r="H48"/>
      <c r="I48"/>
      <c r="J48"/>
      <c r="K48" s="27"/>
      <c r="L48" s="15"/>
      <c r="M48" s="27"/>
      <c r="N48" s="15"/>
      <c r="O48" s="15"/>
      <c r="P48" s="15"/>
      <c r="Q48" s="15"/>
      <c r="R48" s="15"/>
      <c r="S48" s="15"/>
    </row>
    <row r="49" spans="1:19" s="21" customFormat="1" x14ac:dyDescent="0.3">
      <c r="A49" s="17"/>
      <c r="B49"/>
      <c r="C49"/>
      <c r="D49"/>
      <c r="E49"/>
      <c r="F49"/>
      <c r="G49"/>
      <c r="H49"/>
      <c r="I49"/>
      <c r="J49"/>
      <c r="K49" s="27"/>
      <c r="L49" s="15"/>
      <c r="M49" s="27"/>
      <c r="N49" s="15"/>
      <c r="O49" s="15"/>
      <c r="P49" s="15"/>
      <c r="Q49" s="15"/>
      <c r="R49" s="15"/>
      <c r="S49" s="15"/>
    </row>
    <row r="50" spans="1:19" s="21" customFormat="1" x14ac:dyDescent="0.3">
      <c r="A50" s="17"/>
      <c r="B50"/>
      <c r="C50"/>
      <c r="D50"/>
      <c r="E50"/>
      <c r="F50"/>
      <c r="G50"/>
      <c r="H50"/>
      <c r="I50"/>
      <c r="J50"/>
      <c r="K50" s="27"/>
      <c r="L50" s="15"/>
      <c r="M50" s="27"/>
      <c r="N50" s="15"/>
      <c r="O50" s="15"/>
      <c r="P50" s="15"/>
      <c r="Q50" s="15"/>
      <c r="R50" s="15"/>
      <c r="S50" s="15"/>
    </row>
    <row r="51" spans="1:19" s="21" customFormat="1" x14ac:dyDescent="0.3">
      <c r="A51" s="17"/>
      <c r="B51"/>
      <c r="C51"/>
      <c r="D51"/>
      <c r="E51"/>
      <c r="F51"/>
      <c r="G51"/>
      <c r="H51"/>
      <c r="I51"/>
      <c r="J51"/>
      <c r="K51" s="27"/>
      <c r="L51" s="15"/>
      <c r="M51" s="27"/>
      <c r="N51" s="15"/>
      <c r="O51" s="15"/>
      <c r="P51" s="15"/>
      <c r="Q51" s="15"/>
      <c r="R51" s="15"/>
      <c r="S51" s="15"/>
    </row>
    <row r="52" spans="1:19" s="21" customFormat="1" x14ac:dyDescent="0.3">
      <c r="A52" s="17"/>
      <c r="B52"/>
      <c r="C52"/>
      <c r="D52"/>
      <c r="E52"/>
      <c r="F52"/>
      <c r="G52"/>
      <c r="H52"/>
      <c r="I52"/>
      <c r="J52"/>
      <c r="K52" s="27"/>
      <c r="L52" s="15"/>
      <c r="M52" s="27"/>
      <c r="N52" s="15"/>
      <c r="O52" s="15"/>
      <c r="P52" s="15"/>
      <c r="Q52" s="15"/>
      <c r="R52" s="15"/>
      <c r="S52" s="15"/>
    </row>
    <row r="53" spans="1:19" s="21" customFormat="1" x14ac:dyDescent="0.3">
      <c r="A53" s="17"/>
      <c r="B53"/>
      <c r="C53"/>
      <c r="D53"/>
      <c r="E53"/>
      <c r="F53"/>
      <c r="G53"/>
      <c r="H53"/>
      <c r="I53"/>
      <c r="J53"/>
      <c r="K53" s="27"/>
      <c r="L53" s="15"/>
      <c r="M53" s="27"/>
      <c r="N53" s="15"/>
      <c r="O53" s="15"/>
      <c r="P53" s="15"/>
      <c r="Q53" s="15"/>
      <c r="R53" s="15"/>
      <c r="S53" s="15"/>
    </row>
    <row r="54" spans="1:19" s="21" customFormat="1" x14ac:dyDescent="0.3">
      <c r="A54" s="17"/>
      <c r="B54"/>
      <c r="C54"/>
      <c r="D54"/>
      <c r="E54"/>
      <c r="F54"/>
      <c r="G54"/>
      <c r="H54"/>
      <c r="I54"/>
      <c r="J54"/>
      <c r="K54" s="27"/>
      <c r="L54" s="15"/>
      <c r="M54" s="27"/>
      <c r="N54" s="15"/>
      <c r="O54" s="15"/>
      <c r="P54" s="15"/>
      <c r="Q54" s="15"/>
      <c r="R54" s="15"/>
      <c r="S54" s="15"/>
    </row>
    <row r="55" spans="1:19" s="21" customFormat="1" x14ac:dyDescent="0.3">
      <c r="A55" s="17"/>
      <c r="B55"/>
      <c r="C55"/>
      <c r="D55"/>
      <c r="E55"/>
      <c r="F55"/>
      <c r="G55"/>
      <c r="H55"/>
      <c r="I55"/>
      <c r="J55"/>
      <c r="K55" s="27"/>
      <c r="L55" s="15"/>
      <c r="M55" s="27"/>
      <c r="N55" s="15"/>
      <c r="O55" s="15"/>
      <c r="P55" s="15"/>
      <c r="Q55" s="15"/>
      <c r="R55" s="15"/>
      <c r="S55" s="15"/>
    </row>
    <row r="56" spans="1:19" s="21" customFormat="1" x14ac:dyDescent="0.3">
      <c r="A56" s="17"/>
      <c r="B56"/>
      <c r="C56"/>
      <c r="D56"/>
      <c r="E56"/>
      <c r="F56"/>
      <c r="G56"/>
      <c r="H56"/>
      <c r="I56"/>
      <c r="J56"/>
      <c r="K56" s="27"/>
      <c r="L56" s="15"/>
      <c r="M56" s="27"/>
      <c r="N56" s="15"/>
      <c r="O56" s="15"/>
      <c r="P56" s="15"/>
      <c r="Q56" s="15"/>
      <c r="R56" s="15"/>
      <c r="S56" s="15"/>
    </row>
    <row r="57" spans="1:19" s="21" customFormat="1" x14ac:dyDescent="0.3">
      <c r="A57" s="17"/>
      <c r="B57"/>
      <c r="C57"/>
      <c r="D57"/>
      <c r="E57"/>
      <c r="F57"/>
      <c r="G57"/>
      <c r="H57"/>
      <c r="I57"/>
      <c r="J57"/>
      <c r="K57" s="27"/>
      <c r="L57" s="15"/>
      <c r="M57" s="27"/>
      <c r="N57" s="15"/>
      <c r="O57" s="15"/>
      <c r="P57" s="15"/>
      <c r="Q57" s="15"/>
      <c r="R57" s="15"/>
      <c r="S57" s="15"/>
    </row>
    <row r="58" spans="1:19" s="21" customFormat="1" x14ac:dyDescent="0.3">
      <c r="A58" s="17"/>
      <c r="B58"/>
      <c r="C58"/>
      <c r="D58"/>
      <c r="E58"/>
      <c r="F58"/>
      <c r="G58"/>
      <c r="H58"/>
      <c r="I58"/>
      <c r="J58"/>
      <c r="K58" s="27"/>
      <c r="L58" s="15"/>
      <c r="M58" s="27"/>
      <c r="N58" s="15"/>
      <c r="O58" s="15"/>
      <c r="P58" s="15"/>
      <c r="Q58" s="15"/>
      <c r="R58" s="15"/>
      <c r="S58" s="15"/>
    </row>
    <row r="59" spans="1:19" s="21" customFormat="1" x14ac:dyDescent="0.3">
      <c r="A59" s="17"/>
      <c r="B59"/>
      <c r="C59"/>
      <c r="D59"/>
      <c r="E59"/>
      <c r="F59"/>
      <c r="G59"/>
      <c r="H59"/>
      <c r="I59"/>
      <c r="J59"/>
      <c r="K59" s="27"/>
      <c r="L59" s="15"/>
      <c r="M59" s="27"/>
      <c r="N59" s="15"/>
      <c r="O59" s="15"/>
      <c r="P59" s="15"/>
      <c r="Q59" s="15"/>
      <c r="R59" s="15"/>
      <c r="S59" s="15"/>
    </row>
    <row r="60" spans="1:19" s="21" customFormat="1" x14ac:dyDescent="0.3">
      <c r="A60" s="17"/>
      <c r="B60"/>
      <c r="C60"/>
      <c r="D60"/>
      <c r="E60"/>
      <c r="F60"/>
      <c r="G60"/>
      <c r="H60"/>
      <c r="I60"/>
      <c r="J60"/>
      <c r="K60" s="27"/>
      <c r="L60" s="15"/>
      <c r="M60" s="27"/>
      <c r="N60" s="15"/>
      <c r="O60" s="15"/>
      <c r="P60" s="15"/>
      <c r="Q60" s="15"/>
      <c r="R60" s="15"/>
      <c r="S60" s="15"/>
    </row>
    <row r="61" spans="1:19" s="21" customFormat="1" x14ac:dyDescent="0.3">
      <c r="A61" s="17"/>
      <c r="B61"/>
      <c r="C61"/>
      <c r="D61"/>
      <c r="E61"/>
      <c r="F61"/>
      <c r="G61"/>
      <c r="H61"/>
      <c r="I61"/>
      <c r="J61"/>
      <c r="K61" s="27"/>
      <c r="L61" s="15"/>
      <c r="M61" s="27"/>
      <c r="N61" s="15"/>
      <c r="O61" s="15"/>
      <c r="P61" s="15"/>
      <c r="Q61" s="15"/>
      <c r="R61" s="15"/>
      <c r="S61" s="15"/>
    </row>
    <row r="62" spans="1:19" s="21" customFormat="1" x14ac:dyDescent="0.3">
      <c r="A62" s="17"/>
      <c r="B62"/>
      <c r="C62"/>
      <c r="D62"/>
      <c r="E62"/>
      <c r="F62"/>
      <c r="G62"/>
      <c r="H62"/>
      <c r="I62"/>
      <c r="J62"/>
      <c r="K62" s="27"/>
      <c r="L62" s="15"/>
      <c r="M62" s="27"/>
      <c r="N62" s="15"/>
      <c r="O62" s="15"/>
      <c r="P62" s="15"/>
      <c r="Q62" s="15"/>
      <c r="R62" s="15"/>
      <c r="S62" s="15"/>
    </row>
    <row r="63" spans="1:19" s="21" customFormat="1" x14ac:dyDescent="0.3">
      <c r="A63" s="17"/>
      <c r="B63"/>
      <c r="C63"/>
      <c r="D63"/>
      <c r="E63"/>
      <c r="F63"/>
      <c r="G63"/>
      <c r="H63"/>
      <c r="I63"/>
      <c r="J63"/>
      <c r="K63" s="27"/>
      <c r="L63" s="15"/>
      <c r="M63" s="27"/>
      <c r="N63" s="15"/>
      <c r="O63" s="15"/>
      <c r="P63" s="15"/>
      <c r="Q63" s="15"/>
      <c r="R63" s="15"/>
      <c r="S63" s="15"/>
    </row>
    <row r="64" spans="1:19" s="21" customFormat="1" x14ac:dyDescent="0.3">
      <c r="A64" s="17"/>
      <c r="B64"/>
      <c r="C64"/>
      <c r="D64"/>
      <c r="E64"/>
      <c r="F64"/>
      <c r="G64"/>
      <c r="H64"/>
      <c r="I64"/>
      <c r="J64"/>
      <c r="K64" s="27"/>
      <c r="L64" s="15"/>
      <c r="M64" s="27"/>
      <c r="N64" s="15"/>
      <c r="O64" s="15"/>
      <c r="P64" s="15"/>
      <c r="Q64" s="15"/>
      <c r="R64" s="15"/>
      <c r="S64" s="15"/>
    </row>
    <row r="65" spans="1:19" s="21" customFormat="1" x14ac:dyDescent="0.3">
      <c r="A65" s="17"/>
      <c r="B65"/>
      <c r="C65"/>
      <c r="D65"/>
      <c r="E65"/>
      <c r="F65"/>
      <c r="G65"/>
      <c r="H65"/>
      <c r="I65"/>
      <c r="J65"/>
      <c r="K65" s="27"/>
      <c r="L65" s="15"/>
      <c r="M65" s="27"/>
      <c r="N65" s="15"/>
      <c r="O65" s="15"/>
      <c r="P65" s="15"/>
      <c r="Q65" s="15"/>
      <c r="R65" s="15"/>
      <c r="S65" s="15"/>
    </row>
    <row r="66" spans="1:19" s="21" customFormat="1" x14ac:dyDescent="0.3">
      <c r="A66" s="17"/>
      <c r="B66"/>
      <c r="C66"/>
      <c r="D66"/>
      <c r="E66"/>
      <c r="F66"/>
      <c r="G66"/>
      <c r="H66"/>
      <c r="I66"/>
      <c r="J66"/>
      <c r="K66" s="27"/>
      <c r="L66" s="15"/>
      <c r="M66" s="27"/>
      <c r="N66" s="15"/>
      <c r="O66" s="15"/>
      <c r="P66" s="15"/>
      <c r="Q66" s="15"/>
      <c r="R66" s="15"/>
      <c r="S66" s="15"/>
    </row>
    <row r="67" spans="1:19" s="21" customFormat="1" x14ac:dyDescent="0.3">
      <c r="A67" s="17"/>
      <c r="B67"/>
      <c r="C67"/>
      <c r="D67"/>
      <c r="E67"/>
      <c r="F67"/>
      <c r="G67"/>
      <c r="H67"/>
      <c r="I67"/>
      <c r="J67"/>
      <c r="K67" s="27"/>
      <c r="L67" s="15"/>
      <c r="M67" s="27"/>
      <c r="N67" s="15"/>
      <c r="O67" s="15"/>
      <c r="P67" s="15"/>
      <c r="Q67" s="15"/>
      <c r="R67" s="15"/>
      <c r="S67" s="15"/>
    </row>
    <row r="68" spans="1:19" s="21" customFormat="1" x14ac:dyDescent="0.3">
      <c r="A68" s="17"/>
      <c r="B68"/>
      <c r="C68"/>
      <c r="D68"/>
      <c r="E68"/>
      <c r="F68"/>
      <c r="G68"/>
      <c r="H68"/>
      <c r="I68"/>
      <c r="J68"/>
      <c r="K68" s="27"/>
      <c r="L68" s="15"/>
      <c r="M68" s="27"/>
      <c r="N68" s="15"/>
      <c r="O68" s="15"/>
      <c r="P68" s="15"/>
      <c r="Q68" s="15"/>
      <c r="R68" s="15"/>
      <c r="S68" s="15"/>
    </row>
    <row r="69" spans="1:19" s="21" customFormat="1" x14ac:dyDescent="0.3">
      <c r="A69" s="17"/>
      <c r="B69"/>
      <c r="C69"/>
      <c r="D69"/>
      <c r="E69"/>
      <c r="F69"/>
      <c r="G69"/>
      <c r="H69"/>
      <c r="I69"/>
      <c r="J69"/>
      <c r="K69" s="27"/>
      <c r="L69" s="15"/>
      <c r="M69" s="27"/>
      <c r="N69" s="15"/>
      <c r="O69" s="15"/>
      <c r="P69" s="15"/>
      <c r="Q69" s="15"/>
      <c r="R69" s="15"/>
      <c r="S69" s="15"/>
    </row>
    <row r="70" spans="1:19" s="21" customFormat="1" x14ac:dyDescent="0.3">
      <c r="A70" s="17"/>
      <c r="B70"/>
      <c r="C70"/>
      <c r="D70"/>
      <c r="E70"/>
      <c r="F70"/>
      <c r="G70"/>
      <c r="H70"/>
      <c r="I70"/>
      <c r="J70"/>
      <c r="K70" s="27"/>
      <c r="L70" s="15"/>
      <c r="M70" s="27"/>
      <c r="N70" s="15"/>
      <c r="O70" s="15"/>
      <c r="P70" s="15"/>
      <c r="Q70" s="15"/>
      <c r="R70" s="15"/>
      <c r="S70" s="15"/>
    </row>
    <row r="71" spans="1:19" s="21" customFormat="1" x14ac:dyDescent="0.3">
      <c r="A71" s="17"/>
      <c r="B71"/>
      <c r="C71"/>
      <c r="D71"/>
      <c r="E71"/>
      <c r="F71"/>
      <c r="G71"/>
      <c r="H71"/>
      <c r="I71"/>
      <c r="J71"/>
      <c r="K71" s="27"/>
      <c r="L71" s="15"/>
      <c r="M71" s="27"/>
      <c r="N71" s="15"/>
      <c r="O71" s="15"/>
      <c r="P71" s="15"/>
      <c r="Q71" s="15"/>
      <c r="R71" s="15"/>
      <c r="S71" s="15"/>
    </row>
    <row r="72" spans="1:19" s="21" customFormat="1" x14ac:dyDescent="0.3">
      <c r="A72" s="17"/>
      <c r="B72"/>
      <c r="C72"/>
      <c r="D72"/>
      <c r="E72"/>
      <c r="F72"/>
      <c r="G72"/>
      <c r="H72"/>
      <c r="I72"/>
      <c r="J72"/>
      <c r="K72" s="27"/>
      <c r="L72" s="15"/>
      <c r="M72" s="27"/>
      <c r="N72" s="15"/>
      <c r="O72" s="15"/>
      <c r="P72" s="15"/>
      <c r="Q72" s="15"/>
      <c r="R72" s="15"/>
      <c r="S72" s="15"/>
    </row>
    <row r="73" spans="1:19" s="21" customFormat="1" x14ac:dyDescent="0.3">
      <c r="A73" s="17"/>
      <c r="B73"/>
      <c r="C73"/>
      <c r="D73"/>
      <c r="E73"/>
      <c r="F73"/>
      <c r="G73"/>
      <c r="H73"/>
      <c r="I73"/>
      <c r="J73"/>
      <c r="K73" s="27"/>
      <c r="L73" s="15"/>
      <c r="M73" s="27"/>
      <c r="N73" s="15"/>
      <c r="O73" s="15"/>
      <c r="P73" s="15"/>
      <c r="Q73" s="15"/>
      <c r="R73" s="15"/>
      <c r="S73" s="15"/>
    </row>
    <row r="74" spans="1:19" s="21" customFormat="1" x14ac:dyDescent="0.3">
      <c r="A74" s="17"/>
      <c r="B74"/>
      <c r="C74"/>
      <c r="D74"/>
      <c r="E74"/>
      <c r="F74"/>
      <c r="G74"/>
      <c r="H74"/>
      <c r="I74"/>
      <c r="J74"/>
      <c r="K74" s="27"/>
      <c r="L74" s="15"/>
      <c r="M74" s="27"/>
      <c r="N74" s="15"/>
      <c r="O74" s="15"/>
      <c r="P74" s="15"/>
      <c r="Q74" s="15"/>
      <c r="R74" s="15"/>
      <c r="S74" s="15"/>
    </row>
    <row r="75" spans="1:19" s="21" customFormat="1" x14ac:dyDescent="0.3">
      <c r="A75" s="17"/>
      <c r="B75"/>
      <c r="C75"/>
      <c r="D75"/>
      <c r="E75"/>
      <c r="F75"/>
      <c r="G75"/>
      <c r="H75"/>
      <c r="I75"/>
      <c r="J75"/>
      <c r="K75" s="27"/>
      <c r="L75" s="15"/>
      <c r="M75" s="27"/>
      <c r="N75" s="15"/>
      <c r="O75" s="15"/>
      <c r="P75" s="15"/>
      <c r="Q75" s="15"/>
      <c r="R75" s="15"/>
      <c r="S75" s="15"/>
    </row>
    <row r="76" spans="1:19" s="21" customFormat="1" x14ac:dyDescent="0.3">
      <c r="A76" s="17"/>
      <c r="B76"/>
      <c r="C76"/>
      <c r="D76"/>
      <c r="E76"/>
      <c r="F76"/>
      <c r="G76"/>
      <c r="H76"/>
      <c r="I76"/>
      <c r="J76"/>
      <c r="K76" s="27"/>
      <c r="L76" s="15"/>
      <c r="M76" s="27"/>
      <c r="N76" s="15"/>
      <c r="O76" s="15"/>
      <c r="P76" s="15"/>
      <c r="Q76" s="15"/>
      <c r="R76" s="15"/>
      <c r="S76" s="15"/>
    </row>
    <row r="77" spans="1:19" s="21" customFormat="1" x14ac:dyDescent="0.3">
      <c r="A77" s="17"/>
      <c r="B77"/>
      <c r="C77"/>
      <c r="D77"/>
      <c r="E77"/>
      <c r="F77"/>
      <c r="G77"/>
      <c r="H77"/>
      <c r="I77"/>
      <c r="J77"/>
      <c r="K77" s="27"/>
      <c r="L77" s="15"/>
      <c r="M77" s="27"/>
      <c r="N77" s="15"/>
      <c r="O77" s="15"/>
      <c r="P77" s="15"/>
      <c r="Q77" s="15"/>
      <c r="R77" s="15"/>
      <c r="S77" s="15"/>
    </row>
    <row r="78" spans="1:19" s="21" customFormat="1" x14ac:dyDescent="0.3">
      <c r="A78" s="17"/>
      <c r="B78"/>
      <c r="C78"/>
      <c r="D78"/>
      <c r="E78"/>
      <c r="F78"/>
      <c r="G78"/>
      <c r="H78"/>
      <c r="I78"/>
      <c r="J78"/>
      <c r="K78" s="27"/>
      <c r="L78" s="15"/>
      <c r="M78" s="27"/>
      <c r="N78" s="15"/>
      <c r="O78" s="15"/>
      <c r="P78" s="15"/>
      <c r="Q78" s="15"/>
      <c r="R78" s="15"/>
      <c r="S78" s="15"/>
    </row>
    <row r="79" spans="1:19" s="21" customFormat="1" x14ac:dyDescent="0.3">
      <c r="A79" s="17"/>
      <c r="B79"/>
      <c r="C79"/>
      <c r="D79"/>
      <c r="E79"/>
      <c r="F79"/>
      <c r="G79"/>
      <c r="H79"/>
      <c r="I79"/>
      <c r="J79"/>
      <c r="K79" s="27"/>
      <c r="L79" s="15"/>
      <c r="M79" s="27"/>
      <c r="N79" s="15"/>
      <c r="O79" s="15"/>
      <c r="P79" s="15"/>
      <c r="Q79" s="15"/>
      <c r="R79" s="15"/>
      <c r="S79" s="15"/>
    </row>
    <row r="80" spans="1:19" s="21" customFormat="1" x14ac:dyDescent="0.3">
      <c r="A80" s="17"/>
      <c r="B80"/>
      <c r="C80"/>
      <c r="D80"/>
      <c r="E80"/>
      <c r="F80"/>
      <c r="G80"/>
      <c r="H80"/>
      <c r="I80"/>
      <c r="J80"/>
      <c r="K80" s="27"/>
      <c r="L80" s="15"/>
      <c r="M80" s="27"/>
      <c r="N80" s="15"/>
      <c r="O80" s="15"/>
      <c r="P80" s="15"/>
      <c r="Q80" s="15"/>
      <c r="R80" s="15"/>
      <c r="S80" s="15"/>
    </row>
    <row r="81" spans="1:19" s="21" customFormat="1" x14ac:dyDescent="0.3">
      <c r="A81" s="17"/>
      <c r="B81"/>
      <c r="C81"/>
      <c r="D81"/>
      <c r="E81"/>
      <c r="F81"/>
      <c r="G81"/>
      <c r="H81"/>
      <c r="I81"/>
      <c r="J81"/>
      <c r="K81" s="27"/>
      <c r="L81" s="15"/>
      <c r="M81" s="27"/>
      <c r="N81" s="15"/>
      <c r="O81" s="15"/>
      <c r="P81" s="15"/>
      <c r="Q81" s="15"/>
      <c r="R81" s="15"/>
      <c r="S81" s="15"/>
    </row>
    <row r="82" spans="1:19" s="21" customFormat="1" x14ac:dyDescent="0.3">
      <c r="A82" s="17"/>
      <c r="B82"/>
      <c r="C82"/>
      <c r="D82"/>
      <c r="E82"/>
      <c r="F82"/>
      <c r="G82"/>
      <c r="H82"/>
      <c r="I82"/>
      <c r="J82"/>
      <c r="K82" s="27"/>
      <c r="L82" s="15"/>
      <c r="M82" s="27"/>
      <c r="N82" s="15"/>
      <c r="O82" s="15"/>
      <c r="P82" s="15"/>
      <c r="Q82" s="15"/>
      <c r="R82" s="15"/>
      <c r="S82" s="15"/>
    </row>
    <row r="83" spans="1:19" s="21" customFormat="1" x14ac:dyDescent="0.3">
      <c r="A83" s="17"/>
      <c r="B83"/>
      <c r="C83"/>
      <c r="D83"/>
      <c r="E83"/>
      <c r="F83"/>
      <c r="G83"/>
      <c r="H83"/>
      <c r="I83"/>
      <c r="J83"/>
      <c r="K83" s="27"/>
      <c r="L83" s="15"/>
      <c r="M83" s="27"/>
      <c r="N83" s="15"/>
      <c r="O83" s="15"/>
      <c r="P83" s="15"/>
      <c r="Q83" s="15"/>
      <c r="R83" s="15"/>
      <c r="S83" s="15"/>
    </row>
    <row r="84" spans="1:19" s="21" customFormat="1" x14ac:dyDescent="0.3">
      <c r="A84" s="17"/>
      <c r="B84"/>
      <c r="C84"/>
      <c r="D84"/>
      <c r="E84"/>
      <c r="F84"/>
      <c r="G84"/>
      <c r="H84"/>
      <c r="I84"/>
      <c r="J84"/>
      <c r="K84" s="27"/>
      <c r="L84" s="15"/>
      <c r="M84" s="27"/>
      <c r="N84" s="15"/>
      <c r="O84" s="15"/>
      <c r="P84" s="15"/>
      <c r="Q84" s="15"/>
      <c r="R84" s="15"/>
      <c r="S84" s="15"/>
    </row>
    <row r="85" spans="1:19" s="21" customFormat="1" x14ac:dyDescent="0.3">
      <c r="A85" s="17"/>
      <c r="B85"/>
      <c r="C85"/>
      <c r="D85"/>
      <c r="E85"/>
      <c r="F85"/>
      <c r="G85"/>
      <c r="H85"/>
      <c r="I85"/>
      <c r="J85"/>
      <c r="K85" s="27"/>
      <c r="L85" s="15"/>
      <c r="M85" s="27"/>
      <c r="N85" s="15"/>
      <c r="O85" s="15"/>
      <c r="P85" s="15"/>
      <c r="Q85" s="15"/>
      <c r="R85" s="15"/>
      <c r="S85" s="15"/>
    </row>
    <row r="86" spans="1:19" s="21" customFormat="1" x14ac:dyDescent="0.3">
      <c r="A86" s="17"/>
      <c r="B86"/>
      <c r="C86"/>
      <c r="D86"/>
      <c r="E86"/>
      <c r="F86"/>
      <c r="G86"/>
      <c r="H86"/>
      <c r="I86"/>
      <c r="J86"/>
      <c r="K86" s="27"/>
      <c r="L86" s="15"/>
      <c r="M86" s="27"/>
      <c r="N86" s="15"/>
      <c r="O86" s="15"/>
      <c r="P86" s="15"/>
      <c r="Q86" s="15"/>
      <c r="R86" s="15"/>
      <c r="S86" s="15"/>
    </row>
    <row r="87" spans="1:19" s="21" customFormat="1" x14ac:dyDescent="0.3">
      <c r="A87" s="17"/>
      <c r="B87"/>
      <c r="C87"/>
      <c r="D87"/>
      <c r="E87"/>
      <c r="F87"/>
      <c r="G87"/>
      <c r="H87"/>
      <c r="I87"/>
      <c r="J87"/>
      <c r="K87" s="27"/>
      <c r="L87" s="15"/>
      <c r="M87" s="27"/>
      <c r="N87" s="15"/>
      <c r="O87" s="15"/>
      <c r="P87" s="15"/>
      <c r="Q87" s="15"/>
      <c r="R87" s="15"/>
      <c r="S87" s="15"/>
    </row>
    <row r="88" spans="1:19" s="21" customFormat="1" x14ac:dyDescent="0.3">
      <c r="A88" s="17"/>
      <c r="B88"/>
      <c r="C88"/>
      <c r="D88"/>
      <c r="E88"/>
      <c r="F88"/>
      <c r="G88"/>
      <c r="H88"/>
      <c r="I88"/>
      <c r="J88"/>
      <c r="K88" s="27"/>
      <c r="L88" s="15"/>
      <c r="M88" s="27"/>
      <c r="N88" s="15"/>
      <c r="O88" s="15"/>
      <c r="P88" s="15"/>
      <c r="Q88" s="15"/>
      <c r="R88" s="15"/>
      <c r="S88" s="15"/>
    </row>
    <row r="89" spans="1:19" s="21" customFormat="1" x14ac:dyDescent="0.3">
      <c r="A89" s="17"/>
      <c r="B89"/>
      <c r="C89"/>
      <c r="D89"/>
      <c r="E89"/>
      <c r="F89"/>
      <c r="G89"/>
      <c r="H89"/>
      <c r="I89"/>
      <c r="J89"/>
      <c r="K89" s="27"/>
      <c r="L89" s="15"/>
      <c r="M89" s="27"/>
      <c r="N89" s="15"/>
      <c r="O89" s="15"/>
      <c r="P89" s="15"/>
      <c r="Q89" s="15"/>
      <c r="R89" s="15"/>
      <c r="S89" s="15"/>
    </row>
    <row r="90" spans="1:19" s="21" customFormat="1" x14ac:dyDescent="0.3">
      <c r="A90" s="17"/>
      <c r="B90"/>
      <c r="C90"/>
      <c r="D90"/>
      <c r="E90"/>
      <c r="F90"/>
      <c r="G90"/>
      <c r="H90"/>
      <c r="I90"/>
      <c r="J90"/>
      <c r="K90" s="27"/>
      <c r="L90" s="15"/>
      <c r="M90" s="27"/>
      <c r="N90" s="15"/>
      <c r="O90" s="15"/>
      <c r="P90" s="15"/>
      <c r="Q90" s="15"/>
      <c r="R90" s="15"/>
      <c r="S90" s="15"/>
    </row>
    <row r="91" spans="1:19" s="21" customFormat="1" x14ac:dyDescent="0.3">
      <c r="A91" s="17"/>
      <c r="B91"/>
      <c r="C91"/>
      <c r="D91"/>
      <c r="E91"/>
      <c r="F91"/>
      <c r="G91"/>
      <c r="H91"/>
      <c r="I91"/>
      <c r="J91"/>
      <c r="K91" s="27"/>
      <c r="L91" s="15"/>
      <c r="M91" s="27"/>
      <c r="N91" s="15"/>
      <c r="O91" s="15"/>
      <c r="P91" s="15"/>
      <c r="Q91" s="15"/>
      <c r="R91" s="15"/>
      <c r="S91" s="15"/>
    </row>
    <row r="92" spans="1:19" s="21" customFormat="1" x14ac:dyDescent="0.3">
      <c r="A92" s="17"/>
      <c r="B92"/>
      <c r="C92"/>
      <c r="D92"/>
      <c r="E92"/>
      <c r="F92"/>
      <c r="G92"/>
      <c r="H92"/>
      <c r="I92"/>
      <c r="J92"/>
      <c r="K92" s="27"/>
      <c r="L92" s="15"/>
      <c r="M92" s="27"/>
      <c r="N92" s="15"/>
      <c r="O92" s="15"/>
      <c r="P92" s="15"/>
      <c r="Q92" s="15"/>
      <c r="R92" s="15"/>
      <c r="S92" s="15"/>
    </row>
    <row r="93" spans="1:19" s="21" customFormat="1" x14ac:dyDescent="0.3">
      <c r="A93" s="17"/>
      <c r="B93"/>
      <c r="C93"/>
      <c r="D93"/>
      <c r="E93"/>
      <c r="F93"/>
      <c r="G93"/>
      <c r="H93"/>
      <c r="I93"/>
      <c r="J93"/>
      <c r="K93" s="27"/>
      <c r="L93" s="15"/>
      <c r="M93" s="27"/>
      <c r="N93" s="15"/>
      <c r="O93" s="15"/>
      <c r="P93" s="15"/>
      <c r="Q93" s="15"/>
      <c r="R93" s="15"/>
      <c r="S93" s="15"/>
    </row>
    <row r="94" spans="1:19" s="21" customFormat="1" x14ac:dyDescent="0.3">
      <c r="A94" s="17"/>
      <c r="B94"/>
      <c r="C94"/>
      <c r="D94"/>
      <c r="E94"/>
      <c r="F94"/>
      <c r="G94"/>
      <c r="H94"/>
      <c r="I94"/>
      <c r="J94"/>
      <c r="K94" s="27"/>
      <c r="L94" s="15"/>
      <c r="M94" s="27"/>
      <c r="N94" s="15"/>
      <c r="O94" s="15"/>
      <c r="P94" s="15"/>
      <c r="Q94" s="15"/>
      <c r="R94" s="15"/>
      <c r="S94" s="15"/>
    </row>
    <row r="95" spans="1:19" s="21" customFormat="1" x14ac:dyDescent="0.3">
      <c r="A95" s="17"/>
      <c r="B95"/>
      <c r="C95"/>
      <c r="D95"/>
      <c r="E95"/>
      <c r="F95"/>
      <c r="G95"/>
      <c r="H95"/>
      <c r="I95"/>
      <c r="J95"/>
      <c r="K95" s="27"/>
      <c r="L95" s="15"/>
      <c r="M95" s="27"/>
      <c r="N95" s="15"/>
      <c r="O95" s="15"/>
      <c r="P95" s="15"/>
      <c r="Q95" s="15"/>
      <c r="R95" s="15"/>
      <c r="S95" s="15"/>
    </row>
    <row r="96" spans="1:19" s="21" customFormat="1" x14ac:dyDescent="0.3">
      <c r="A96" s="17"/>
      <c r="B96"/>
      <c r="C96"/>
      <c r="D96"/>
      <c r="E96"/>
      <c r="F96"/>
      <c r="G96"/>
      <c r="H96"/>
      <c r="I96"/>
      <c r="J96"/>
      <c r="K96" s="27"/>
      <c r="L96" s="15"/>
      <c r="M96" s="27"/>
      <c r="N96" s="15"/>
      <c r="O96" s="15"/>
      <c r="P96" s="15"/>
      <c r="Q96" s="15"/>
      <c r="R96" s="15"/>
      <c r="S96" s="15"/>
    </row>
    <row r="97" spans="1:19" s="21" customFormat="1" x14ac:dyDescent="0.3">
      <c r="A97" s="17"/>
      <c r="B97"/>
      <c r="C97"/>
      <c r="D97"/>
      <c r="E97"/>
      <c r="F97"/>
      <c r="G97"/>
      <c r="H97"/>
      <c r="I97"/>
      <c r="J97"/>
      <c r="K97" s="27"/>
      <c r="L97" s="15"/>
      <c r="M97" s="27"/>
      <c r="N97" s="15"/>
      <c r="O97" s="15"/>
      <c r="P97" s="15"/>
      <c r="Q97" s="15"/>
      <c r="R97" s="15"/>
      <c r="S97" s="15"/>
    </row>
    <row r="98" spans="1:19" s="21" customFormat="1" x14ac:dyDescent="0.3">
      <c r="A98" s="17"/>
      <c r="B98"/>
      <c r="C98"/>
      <c r="D98"/>
      <c r="E98"/>
      <c r="F98"/>
      <c r="G98"/>
      <c r="H98"/>
      <c r="I98"/>
      <c r="J98"/>
      <c r="K98" s="27"/>
      <c r="L98" s="15"/>
      <c r="M98" s="27"/>
      <c r="N98" s="15"/>
      <c r="O98" s="15"/>
      <c r="P98" s="15"/>
      <c r="Q98" s="15"/>
      <c r="R98" s="15"/>
      <c r="S98" s="15"/>
    </row>
    <row r="99" spans="1:19" s="21" customFormat="1" x14ac:dyDescent="0.3">
      <c r="A99" s="17"/>
      <c r="B99"/>
      <c r="C99"/>
      <c r="D99"/>
      <c r="E99"/>
      <c r="F99"/>
      <c r="G99"/>
      <c r="H99"/>
      <c r="I99"/>
      <c r="J99"/>
      <c r="K99" s="27"/>
      <c r="L99" s="15"/>
      <c r="M99" s="27"/>
      <c r="N99" s="15"/>
      <c r="O99" s="15"/>
      <c r="P99" s="15"/>
      <c r="Q99" s="15"/>
      <c r="R99" s="15"/>
      <c r="S99" s="15"/>
    </row>
    <row r="100" spans="1:19" s="21" customFormat="1" x14ac:dyDescent="0.3">
      <c r="A100" s="17"/>
      <c r="B100"/>
      <c r="C100"/>
      <c r="D100"/>
      <c r="E100"/>
      <c r="F100"/>
      <c r="G100"/>
      <c r="H100"/>
      <c r="I100"/>
      <c r="J100"/>
      <c r="K100" s="27"/>
      <c r="L100" s="15"/>
      <c r="M100" s="27"/>
      <c r="N100" s="15"/>
      <c r="O100" s="15"/>
      <c r="P100" s="15"/>
      <c r="Q100" s="15"/>
      <c r="R100" s="15"/>
      <c r="S100" s="15"/>
    </row>
    <row r="101" spans="1:19" s="21" customFormat="1" x14ac:dyDescent="0.3">
      <c r="A101" s="17"/>
      <c r="B101"/>
      <c r="C101"/>
      <c r="D101"/>
      <c r="E101"/>
      <c r="F101"/>
      <c r="G101"/>
      <c r="H101"/>
      <c r="I101"/>
      <c r="J101"/>
      <c r="K101" s="27"/>
      <c r="L101" s="15"/>
      <c r="M101" s="27"/>
      <c r="N101" s="15"/>
      <c r="O101" s="15"/>
      <c r="P101" s="15"/>
      <c r="Q101" s="15"/>
      <c r="R101" s="15"/>
      <c r="S101" s="15"/>
    </row>
    <row r="102" spans="1:19" s="21" customFormat="1" x14ac:dyDescent="0.3">
      <c r="A102" s="17"/>
      <c r="B102"/>
      <c r="C102"/>
      <c r="D102"/>
      <c r="E102"/>
      <c r="F102"/>
      <c r="G102"/>
      <c r="H102"/>
      <c r="I102"/>
      <c r="J102"/>
      <c r="K102" s="27"/>
      <c r="L102" s="15"/>
      <c r="M102" s="27"/>
      <c r="N102" s="15"/>
      <c r="O102" s="15"/>
      <c r="P102" s="15"/>
      <c r="Q102" s="15"/>
      <c r="R102" s="15"/>
      <c r="S102" s="15"/>
    </row>
    <row r="103" spans="1:19" s="21" customFormat="1" x14ac:dyDescent="0.3">
      <c r="A103" s="17"/>
      <c r="B103"/>
      <c r="C103"/>
      <c r="D103"/>
      <c r="E103"/>
      <c r="F103"/>
      <c r="G103"/>
      <c r="H103"/>
      <c r="I103"/>
      <c r="J103"/>
      <c r="K103" s="27"/>
      <c r="L103" s="15"/>
      <c r="M103" s="27"/>
      <c r="N103" s="15"/>
      <c r="O103" s="15"/>
      <c r="P103" s="15"/>
      <c r="Q103" s="15"/>
      <c r="R103" s="15"/>
      <c r="S103" s="15"/>
    </row>
    <row r="3011" spans="16:16" x14ac:dyDescent="0.3">
      <c r="P3011" s="54"/>
    </row>
  </sheetData>
  <pageMargins left="0.511811024" right="0.511811024" top="0.78740157499999996" bottom="0.78740157499999996" header="0.31496062000000002" footer="0.31496062000000002"/>
  <drawing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B661D-6280-4C5C-8F58-E1A5E8C3CF4C}">
  <sheetPr>
    <tabColor theme="9" tint="0.59999389629810485"/>
  </sheetPr>
  <dimension ref="A1:R99"/>
  <sheetViews>
    <sheetView showGridLines="0" zoomScale="85" zoomScaleNormal="85" workbookViewId="0">
      <selection activeCell="K10" sqref="K10"/>
    </sheetView>
  </sheetViews>
  <sheetFormatPr defaultColWidth="8.85546875" defaultRowHeight="18.75" x14ac:dyDescent="0.3"/>
  <cols>
    <col min="1" max="1" width="12.7109375" style="17" customWidth="1"/>
    <col min="2" max="2" width="85.28515625" customWidth="1"/>
    <col min="3" max="3" width="9.7109375" customWidth="1"/>
    <col min="4" max="4" width="8.85546875" customWidth="1"/>
    <col min="5" max="5" width="11" bestFit="1" customWidth="1"/>
    <col min="6" max="6" width="12.42578125" bestFit="1" customWidth="1"/>
    <col min="10" max="10" width="12.42578125" style="63" bestFit="1" customWidth="1"/>
    <col min="11" max="18" width="8.85546875" style="63"/>
  </cols>
  <sheetData>
    <row r="1" spans="1:18" x14ac:dyDescent="0.3">
      <c r="A1" s="16" t="s">
        <v>592</v>
      </c>
      <c r="J1" s="118"/>
      <c r="K1" s="118"/>
      <c r="L1" s="118"/>
      <c r="M1" s="118"/>
      <c r="N1" s="118"/>
      <c r="O1" s="118"/>
      <c r="P1" s="118"/>
      <c r="Q1" s="118"/>
      <c r="R1" s="118"/>
    </row>
    <row r="2" spans="1:18" x14ac:dyDescent="0.3">
      <c r="A2" s="17" t="s">
        <v>907</v>
      </c>
      <c r="J2" s="118"/>
      <c r="K2" s="118"/>
      <c r="L2" s="118"/>
      <c r="M2" s="118"/>
      <c r="N2" s="118"/>
      <c r="O2" s="118"/>
      <c r="P2" s="118"/>
      <c r="Q2" s="118"/>
      <c r="R2" s="118"/>
    </row>
    <row r="4" spans="1:18" ht="15.75" x14ac:dyDescent="0.25">
      <c r="A4" s="2" t="s">
        <v>15</v>
      </c>
      <c r="B4" s="2" t="s">
        <v>16</v>
      </c>
      <c r="C4" s="2"/>
    </row>
    <row r="5" spans="1:18" ht="15.75" x14ac:dyDescent="0.25">
      <c r="A5" s="23" t="s">
        <v>22</v>
      </c>
      <c r="B5" s="26" t="s">
        <v>677</v>
      </c>
      <c r="C5" s="26"/>
    </row>
    <row r="6" spans="1:18" ht="15.75" x14ac:dyDescent="0.25">
      <c r="A6" s="23" t="s">
        <v>858</v>
      </c>
      <c r="B6" s="26" t="s">
        <v>859</v>
      </c>
      <c r="C6" s="26"/>
    </row>
    <row r="7" spans="1:18" ht="15.75" x14ac:dyDescent="0.25">
      <c r="A7" s="23" t="s">
        <v>626</v>
      </c>
      <c r="B7" s="26" t="s">
        <v>628</v>
      </c>
      <c r="C7" s="26"/>
    </row>
    <row r="8" spans="1:18" ht="47.25" x14ac:dyDescent="0.25">
      <c r="A8" s="23" t="s">
        <v>631</v>
      </c>
      <c r="B8" s="26" t="s">
        <v>629</v>
      </c>
      <c r="C8" s="26"/>
    </row>
    <row r="10" spans="1:18" x14ac:dyDescent="0.3">
      <c r="D10" s="1" t="s">
        <v>17</v>
      </c>
      <c r="E10" s="13" t="s">
        <v>22</v>
      </c>
      <c r="F10" s="12">
        <v>2</v>
      </c>
      <c r="G10" s="12">
        <v>-1</v>
      </c>
      <c r="H10" s="12">
        <v>0</v>
      </c>
      <c r="J10" s="63" cm="1">
        <f t="array" ref="J10:L12">_xlfn.LAMBDA(_xlpm.matrix,_xlop.numIter,_xlop.normalized,_xlop.order,_xlfn.LET(
_xlpm.norm, ROWS(_xlpm.matrix)*MAX(ABS(_xlpm.matrix)),
_xlpm.numIter,IF(OR(_xlfn.ISOMITTED(_xlpm.numIter), ISBLANK(_xlpm.numIter)), 20, _xlpm.numIter),
_xlpm.normalized,IF(_xlfn.ISOMITTED(_xlpm.normalized), FALSE, _xlpm.normalized),
_xlpm.order,IF(_xlfn.ISOMITTED(_xlpm.order), 1, _xlpm.order),
_xlpm.eigVals, EIGENVALUES(_xlpm.matrix,_xlpm.numIter,_xlpm.order),
_xlpm.n, ROWS(_xlpm.matrix),
_xlpm.eigVecs, _xlfn.MAKEARRAY(_xlpm.n,_xlpm.n, _xlfn.LAMBDA(_xlpm.row,_xlpm.col, _xlfn.LET(_xlpm.eigMatrix, _xlpm.matrix-INDEX(_xlpm.eigVals,_xlpm.col)*_xlfn.MUNIT(ROWS(_xlpm.matrix)), _xlpm.eigVector, _xlfn.VSTACK(1, MMULT( MINVERSE( _xlfn.DROP(_xlpm.eigMatrix,1,1) ), -_xlfn.DROP(INDEX(_xlpm.eigMatrix,0,1),1) ) ), INDEX(_xlpm.eigVector,_xlpm.row) )) ),
_xlpm.normEigVecs, _xlfn.MAKEARRAY(_xlpm.n, _xlpm.n, _xlfn.LAMBDA(_xlpm.row,_xlpm.col, INDEX(_xlpm.eigVecs, _xlpm.row, _xlpm.col)/MNORM(INDEX(_xlpm.eigVecs,0,_xlpm.col), 2))),
IF(_xlpm.normalized, _xlpm.normEigVecs, _xlpm.eigVecs)
))($F$10:$H$12,$F$14,F$15,$F$16)</f>
        <v>0.49995513108432355</v>
      </c>
      <c r="K10" s="63">
        <v>0.70710678071763078</v>
      </c>
      <c r="L10" s="63">
        <v>0.49999999998978195</v>
      </c>
    </row>
    <row r="11" spans="1:18" x14ac:dyDescent="0.3">
      <c r="F11" s="12">
        <v>-1</v>
      </c>
      <c r="G11" s="12">
        <v>2</v>
      </c>
      <c r="H11" s="12">
        <v>-1</v>
      </c>
      <c r="J11" s="63">
        <v>-0.70711947062023417</v>
      </c>
      <c r="K11" s="63">
        <v>2.1026147677727182E-5</v>
      </c>
      <c r="L11" s="63">
        <v>0.70710678118943759</v>
      </c>
    </row>
    <row r="12" spans="1:18" x14ac:dyDescent="0.3">
      <c r="F12" s="12">
        <v>0</v>
      </c>
      <c r="G12" s="12">
        <v>-1</v>
      </c>
      <c r="H12" s="12">
        <v>2</v>
      </c>
      <c r="J12" s="63">
        <v>0.50002692044750618</v>
      </c>
      <c r="K12" s="63">
        <v>-0.7071067813428531</v>
      </c>
      <c r="L12" s="63">
        <v>0.50000000000613087</v>
      </c>
    </row>
    <row r="13" spans="1:18" s="21" customFormat="1" x14ac:dyDescent="0.3">
      <c r="A13" s="17"/>
      <c r="B13"/>
      <c r="C13"/>
      <c r="D13"/>
      <c r="E13"/>
      <c r="F13"/>
      <c r="G13"/>
      <c r="H13"/>
      <c r="I13"/>
      <c r="J13" s="63"/>
      <c r="K13" s="63"/>
      <c r="L13" s="63"/>
      <c r="M13" s="63"/>
      <c r="N13" s="63"/>
      <c r="O13" s="63"/>
      <c r="P13" s="63"/>
      <c r="Q13" s="63"/>
      <c r="R13" s="63"/>
    </row>
    <row r="14" spans="1:18" s="21" customFormat="1" x14ac:dyDescent="0.3">
      <c r="A14" s="17"/>
      <c r="B14"/>
      <c r="C14"/>
      <c r="D14"/>
      <c r="E14" s="13" t="s">
        <v>591</v>
      </c>
      <c r="F14" s="12">
        <v>20</v>
      </c>
      <c r="G14"/>
      <c r="H14"/>
      <c r="I14"/>
      <c r="J14" s="63"/>
      <c r="K14" s="63"/>
      <c r="L14" s="63"/>
      <c r="M14" s="63"/>
      <c r="N14" s="63"/>
      <c r="O14" s="63"/>
      <c r="P14" s="63"/>
      <c r="Q14" s="63"/>
      <c r="R14" s="63"/>
    </row>
    <row r="15" spans="1:18" s="21" customFormat="1" x14ac:dyDescent="0.3">
      <c r="A15" s="17"/>
      <c r="B15"/>
      <c r="C15"/>
      <c r="D15"/>
      <c r="E15" s="13" t="s">
        <v>627</v>
      </c>
      <c r="F15" s="12" t="b">
        <v>1</v>
      </c>
      <c r="G15"/>
      <c r="H15"/>
      <c r="I15"/>
      <c r="J15" s="63"/>
      <c r="K15" s="63"/>
      <c r="L15" s="63"/>
      <c r="M15" s="63"/>
      <c r="N15" s="63"/>
      <c r="O15" s="63"/>
      <c r="P15" s="63"/>
      <c r="Q15" s="63"/>
      <c r="R15" s="63"/>
    </row>
    <row r="16" spans="1:18" s="21" customFormat="1" x14ac:dyDescent="0.3">
      <c r="A16" s="17"/>
      <c r="B16"/>
      <c r="C16"/>
      <c r="D16"/>
      <c r="E16" s="13" t="s">
        <v>630</v>
      </c>
      <c r="F16" s="12">
        <v>-1</v>
      </c>
      <c r="G16"/>
      <c r="H16"/>
      <c r="I16"/>
      <c r="J16" s="63"/>
      <c r="K16" s="63"/>
      <c r="L16" s="63"/>
      <c r="M16" s="63"/>
      <c r="N16" s="63"/>
      <c r="O16" s="63"/>
      <c r="P16" s="63"/>
      <c r="Q16" s="63"/>
      <c r="R16" s="63"/>
    </row>
    <row r="17" spans="1:18" s="21" customFormat="1" x14ac:dyDescent="0.3">
      <c r="A17" s="17"/>
      <c r="B17"/>
      <c r="C17"/>
      <c r="D17"/>
      <c r="E17"/>
      <c r="F17"/>
      <c r="G17"/>
      <c r="H17"/>
      <c r="I17"/>
      <c r="J17" s="63"/>
      <c r="K17" s="63"/>
      <c r="L17" s="63"/>
      <c r="M17" s="63"/>
      <c r="N17" s="63"/>
      <c r="O17" s="63"/>
      <c r="P17" s="63"/>
      <c r="Q17" s="63"/>
      <c r="R17" s="63"/>
    </row>
    <row r="18" spans="1:18" s="21" customFormat="1" x14ac:dyDescent="0.3">
      <c r="A18" s="17"/>
      <c r="B18"/>
      <c r="C18"/>
      <c r="D18"/>
      <c r="E18"/>
      <c r="F18"/>
      <c r="G18"/>
      <c r="H18"/>
      <c r="I18"/>
      <c r="J18" s="63"/>
      <c r="K18" s="63"/>
      <c r="L18" s="63"/>
      <c r="M18" s="63"/>
      <c r="N18" s="63"/>
      <c r="O18" s="63"/>
      <c r="P18" s="63"/>
      <c r="Q18" s="63"/>
      <c r="R18" s="63"/>
    </row>
    <row r="19" spans="1:18" s="21" customFormat="1" x14ac:dyDescent="0.3">
      <c r="A19" s="17"/>
      <c r="B19"/>
      <c r="C19"/>
      <c r="D19" s="1" t="s">
        <v>17</v>
      </c>
      <c r="E19" s="13" t="s">
        <v>22</v>
      </c>
      <c r="F19" s="12">
        <v>2</v>
      </c>
      <c r="G19" s="12">
        <v>-1</v>
      </c>
      <c r="H19" s="12">
        <v>0</v>
      </c>
      <c r="I19"/>
      <c r="J19" s="63" cm="1">
        <f t="array" ref="J19:L21">EIGENVECTORS($F$19:$H$21,$F$23,$F$24,$F$25)</f>
        <v>1</v>
      </c>
      <c r="K19" s="63">
        <v>1</v>
      </c>
      <c r="L19" s="63">
        <v>1</v>
      </c>
      <c r="M19" s="63"/>
      <c r="N19" s="63"/>
      <c r="O19" s="63"/>
      <c r="P19" s="63"/>
      <c r="Q19" s="63"/>
      <c r="R19" s="63"/>
    </row>
    <row r="20" spans="1:18" s="21" customFormat="1" x14ac:dyDescent="0.3">
      <c r="A20" s="17"/>
      <c r="B20"/>
      <c r="C20"/>
      <c r="D20"/>
      <c r="E20"/>
      <c r="F20" s="12">
        <v>-1</v>
      </c>
      <c r="G20" s="12">
        <v>2</v>
      </c>
      <c r="H20" s="12">
        <v>-1</v>
      </c>
      <c r="I20"/>
      <c r="J20" s="63">
        <v>-1.4143658633657865</v>
      </c>
      <c r="K20" s="63">
        <v>2.9735463230020361E-5</v>
      </c>
      <c r="L20" s="63">
        <v>1.4142135624077763</v>
      </c>
      <c r="M20" s="63"/>
      <c r="N20" s="63"/>
      <c r="O20" s="63"/>
      <c r="P20" s="63"/>
      <c r="Q20" s="63"/>
      <c r="R20" s="63"/>
    </row>
    <row r="21" spans="1:18" s="21" customFormat="1" x14ac:dyDescent="0.3">
      <c r="A21" s="17"/>
      <c r="B21"/>
      <c r="C21"/>
      <c r="D21"/>
      <c r="E21"/>
      <c r="F21" s="12">
        <v>0</v>
      </c>
      <c r="G21" s="12">
        <v>-1</v>
      </c>
      <c r="H21" s="12">
        <v>2</v>
      </c>
      <c r="I21"/>
      <c r="J21" s="63">
        <v>1.0001435916119652</v>
      </c>
      <c r="K21" s="63">
        <v>-1.0000000008841978</v>
      </c>
      <c r="L21" s="63">
        <v>1.0000000000326978</v>
      </c>
      <c r="M21" s="63"/>
      <c r="N21" s="63"/>
      <c r="O21" s="63"/>
      <c r="P21" s="63"/>
      <c r="Q21" s="63"/>
      <c r="R21" s="63"/>
    </row>
    <row r="22" spans="1:18" s="21" customFormat="1" x14ac:dyDescent="0.3">
      <c r="A22" s="17"/>
      <c r="B22"/>
      <c r="C22"/>
      <c r="D22"/>
      <c r="E22"/>
      <c r="F22"/>
      <c r="G22"/>
      <c r="H22"/>
      <c r="I22"/>
      <c r="J22" s="63"/>
      <c r="K22" s="63"/>
      <c r="L22" s="63"/>
      <c r="M22" s="63"/>
      <c r="N22" s="63"/>
      <c r="O22" s="63"/>
      <c r="P22" s="63"/>
      <c r="Q22" s="63"/>
      <c r="R22" s="63"/>
    </row>
    <row r="23" spans="1:18" s="21" customFormat="1" x14ac:dyDescent="0.3">
      <c r="A23" s="17"/>
      <c r="B23"/>
      <c r="C23"/>
      <c r="D23"/>
      <c r="E23" s="13" t="s">
        <v>591</v>
      </c>
      <c r="F23" s="12">
        <v>20</v>
      </c>
      <c r="G23"/>
      <c r="H23"/>
      <c r="I23"/>
      <c r="J23" s="63"/>
      <c r="K23" s="63"/>
      <c r="L23" s="63"/>
      <c r="M23" s="63"/>
      <c r="N23" s="63"/>
      <c r="O23" s="63"/>
      <c r="P23" s="63"/>
      <c r="Q23" s="63"/>
      <c r="R23" s="63"/>
    </row>
    <row r="24" spans="1:18" s="21" customFormat="1" x14ac:dyDescent="0.3">
      <c r="A24" s="17"/>
      <c r="B24"/>
      <c r="C24"/>
      <c r="D24"/>
      <c r="E24" s="13" t="s">
        <v>627</v>
      </c>
      <c r="F24" s="12" t="b">
        <v>0</v>
      </c>
      <c r="G24"/>
      <c r="H24"/>
      <c r="I24"/>
      <c r="J24" s="63"/>
      <c r="K24" s="63"/>
      <c r="L24" s="63"/>
      <c r="M24" s="63"/>
      <c r="N24" s="63"/>
      <c r="O24" s="63"/>
      <c r="P24" s="63"/>
      <c r="Q24" s="63"/>
      <c r="R24" s="63"/>
    </row>
    <row r="25" spans="1:18" s="21" customFormat="1" x14ac:dyDescent="0.3">
      <c r="A25" s="17"/>
      <c r="B25"/>
      <c r="C25"/>
      <c r="D25"/>
      <c r="E25" s="13" t="s">
        <v>630</v>
      </c>
      <c r="F25" s="12">
        <v>-1</v>
      </c>
      <c r="G25"/>
      <c r="H25"/>
      <c r="I25"/>
      <c r="J25" s="63"/>
      <c r="K25" s="63"/>
      <c r="L25" s="63"/>
      <c r="M25" s="63"/>
      <c r="N25" s="63"/>
      <c r="O25" s="63"/>
      <c r="P25" s="63"/>
      <c r="Q25" s="63"/>
      <c r="R25" s="63"/>
    </row>
    <row r="26" spans="1:18" s="21" customFormat="1" x14ac:dyDescent="0.3">
      <c r="A26" s="17"/>
      <c r="B26"/>
      <c r="C26"/>
      <c r="D26"/>
      <c r="E26"/>
      <c r="F26"/>
      <c r="G26"/>
      <c r="H26"/>
      <c r="I26"/>
      <c r="J26" s="63"/>
      <c r="K26" s="63"/>
      <c r="L26" s="63"/>
      <c r="M26" s="63"/>
      <c r="N26" s="63"/>
      <c r="O26" s="63"/>
      <c r="P26" s="63"/>
      <c r="Q26" s="63"/>
      <c r="R26" s="63"/>
    </row>
    <row r="27" spans="1:18" s="21" customFormat="1" x14ac:dyDescent="0.3">
      <c r="A27" s="17"/>
      <c r="B27"/>
      <c r="C27"/>
      <c r="D27"/>
      <c r="E27"/>
      <c r="F27"/>
      <c r="G27"/>
      <c r="H27"/>
      <c r="I27"/>
      <c r="J27" s="63"/>
      <c r="K27" s="63"/>
      <c r="L27" s="63"/>
      <c r="M27" s="63"/>
      <c r="N27" s="63"/>
      <c r="O27" s="63"/>
      <c r="P27" s="63"/>
      <c r="Q27" s="63"/>
      <c r="R27" s="63"/>
    </row>
    <row r="28" spans="1:18" s="21" customFormat="1" x14ac:dyDescent="0.3">
      <c r="A28" s="17"/>
      <c r="B28"/>
      <c r="C28"/>
      <c r="D28"/>
      <c r="E28"/>
      <c r="F28"/>
      <c r="G28"/>
      <c r="H28"/>
      <c r="I28"/>
      <c r="J28" s="63"/>
      <c r="K28" s="63"/>
      <c r="L28" s="63"/>
      <c r="M28" s="63"/>
      <c r="N28" s="63"/>
      <c r="O28" s="63"/>
      <c r="P28" s="63"/>
      <c r="Q28" s="63"/>
      <c r="R28" s="63"/>
    </row>
    <row r="29" spans="1:18" s="21" customFormat="1" x14ac:dyDescent="0.3">
      <c r="A29" s="17"/>
      <c r="B29"/>
      <c r="C29"/>
      <c r="D29"/>
      <c r="E29"/>
      <c r="F29"/>
      <c r="G29"/>
      <c r="H29"/>
      <c r="I29"/>
      <c r="J29" s="63"/>
      <c r="K29" s="63"/>
      <c r="L29" s="63"/>
      <c r="M29" s="63"/>
      <c r="N29" s="63"/>
      <c r="O29" s="63"/>
      <c r="P29" s="63"/>
      <c r="Q29" s="63"/>
      <c r="R29" s="63"/>
    </row>
    <row r="30" spans="1:18" s="21" customFormat="1" x14ac:dyDescent="0.3">
      <c r="A30" s="17"/>
      <c r="B30"/>
      <c r="C30"/>
      <c r="D30"/>
      <c r="E30"/>
      <c r="F30"/>
      <c r="G30"/>
      <c r="H30"/>
      <c r="I30"/>
      <c r="J30" s="63"/>
      <c r="K30" s="63"/>
      <c r="L30" s="63"/>
      <c r="M30" s="63"/>
      <c r="N30" s="63"/>
      <c r="O30" s="63"/>
      <c r="P30" s="63"/>
      <c r="Q30" s="63"/>
      <c r="R30" s="63"/>
    </row>
    <row r="31" spans="1:18" s="21" customFormat="1" x14ac:dyDescent="0.3">
      <c r="A31" s="17"/>
      <c r="B31"/>
      <c r="C31"/>
      <c r="D31"/>
      <c r="E31"/>
      <c r="F31"/>
      <c r="G31"/>
      <c r="H31"/>
      <c r="I31"/>
      <c r="J31" s="63"/>
      <c r="K31" s="63"/>
      <c r="L31" s="63"/>
      <c r="M31" s="63"/>
      <c r="N31" s="63"/>
      <c r="O31" s="63"/>
      <c r="P31" s="63"/>
      <c r="Q31" s="63"/>
      <c r="R31" s="63"/>
    </row>
    <row r="32" spans="1:18" s="21" customFormat="1" x14ac:dyDescent="0.3">
      <c r="A32" s="17"/>
      <c r="B32"/>
      <c r="C32"/>
      <c r="D32"/>
      <c r="E32"/>
      <c r="F32"/>
      <c r="G32"/>
      <c r="H32"/>
      <c r="I32"/>
      <c r="J32" s="63"/>
      <c r="K32" s="63"/>
      <c r="L32" s="63"/>
      <c r="M32" s="63"/>
      <c r="N32" s="63"/>
      <c r="O32" s="63"/>
      <c r="P32" s="63"/>
      <c r="Q32" s="63"/>
      <c r="R32" s="63"/>
    </row>
    <row r="33" spans="1:18" s="21" customFormat="1" x14ac:dyDescent="0.3">
      <c r="A33" s="17"/>
      <c r="B33"/>
      <c r="C33"/>
      <c r="D33"/>
      <c r="E33"/>
      <c r="F33"/>
      <c r="G33"/>
      <c r="H33"/>
      <c r="I33"/>
      <c r="J33" s="63"/>
      <c r="K33" s="63"/>
      <c r="L33" s="63"/>
      <c r="M33" s="63"/>
      <c r="N33" s="63"/>
      <c r="O33" s="63"/>
      <c r="P33" s="63"/>
      <c r="Q33" s="63"/>
      <c r="R33" s="63"/>
    </row>
    <row r="34" spans="1:18" s="21" customFormat="1" x14ac:dyDescent="0.3">
      <c r="A34" s="17"/>
      <c r="B34"/>
      <c r="C34"/>
      <c r="D34"/>
      <c r="E34"/>
      <c r="F34"/>
      <c r="G34"/>
      <c r="H34"/>
      <c r="I34"/>
      <c r="J34" s="63"/>
      <c r="K34" s="63"/>
      <c r="L34" s="63"/>
      <c r="M34" s="63"/>
      <c r="N34" s="63"/>
      <c r="O34" s="63"/>
      <c r="P34" s="63"/>
      <c r="Q34" s="63"/>
      <c r="R34" s="63"/>
    </row>
    <row r="35" spans="1:18" s="21" customFormat="1" x14ac:dyDescent="0.3">
      <c r="A35" s="17"/>
      <c r="B35"/>
      <c r="C35"/>
      <c r="D35"/>
      <c r="E35"/>
      <c r="F35"/>
      <c r="G35"/>
      <c r="H35"/>
      <c r="I35"/>
      <c r="J35" s="63"/>
      <c r="K35" s="63"/>
      <c r="L35" s="63"/>
      <c r="M35" s="63"/>
      <c r="N35" s="63"/>
      <c r="O35" s="63"/>
      <c r="P35" s="63"/>
      <c r="Q35" s="63"/>
      <c r="R35" s="63"/>
    </row>
    <row r="36" spans="1:18" s="21" customFormat="1" x14ac:dyDescent="0.3">
      <c r="A36" s="17"/>
      <c r="B36"/>
      <c r="C36"/>
      <c r="D36"/>
      <c r="E36"/>
      <c r="F36"/>
      <c r="G36"/>
      <c r="H36"/>
      <c r="I36"/>
      <c r="J36" s="63"/>
      <c r="K36" s="63"/>
      <c r="L36" s="63"/>
      <c r="M36" s="63"/>
      <c r="N36" s="63"/>
      <c r="O36" s="63"/>
      <c r="P36" s="63"/>
      <c r="Q36" s="63"/>
      <c r="R36" s="63"/>
    </row>
    <row r="37" spans="1:18" s="21" customFormat="1" x14ac:dyDescent="0.3">
      <c r="A37" s="17"/>
      <c r="B37"/>
      <c r="C37"/>
      <c r="D37"/>
      <c r="E37"/>
      <c r="F37"/>
      <c r="G37"/>
      <c r="H37"/>
      <c r="I37"/>
      <c r="J37" s="63"/>
      <c r="K37" s="63"/>
      <c r="L37" s="63"/>
      <c r="M37" s="63"/>
      <c r="N37" s="63"/>
      <c r="O37" s="63"/>
      <c r="P37" s="63"/>
      <c r="Q37" s="63"/>
      <c r="R37" s="63"/>
    </row>
    <row r="38" spans="1:18" s="21" customFormat="1" x14ac:dyDescent="0.3">
      <c r="A38" s="17"/>
      <c r="B38"/>
      <c r="C38"/>
      <c r="D38"/>
      <c r="E38"/>
      <c r="F38"/>
      <c r="G38"/>
      <c r="H38"/>
      <c r="I38"/>
      <c r="J38" s="63"/>
      <c r="K38" s="63"/>
      <c r="L38" s="63"/>
      <c r="M38" s="63"/>
      <c r="N38" s="63"/>
      <c r="O38" s="63"/>
      <c r="P38" s="63"/>
      <c r="Q38" s="63"/>
      <c r="R38" s="63"/>
    </row>
    <row r="39" spans="1:18" s="21" customFormat="1" x14ac:dyDescent="0.3">
      <c r="A39" s="17"/>
      <c r="B39"/>
      <c r="C39"/>
      <c r="D39"/>
      <c r="E39"/>
      <c r="F39"/>
      <c r="G39"/>
      <c r="H39"/>
      <c r="I39"/>
      <c r="J39" s="63"/>
      <c r="K39" s="63"/>
      <c r="L39" s="63"/>
      <c r="M39" s="63"/>
      <c r="N39" s="63"/>
      <c r="O39" s="63"/>
      <c r="P39" s="63"/>
      <c r="Q39" s="63"/>
      <c r="R39" s="63"/>
    </row>
    <row r="40" spans="1:18" s="21" customFormat="1" x14ac:dyDescent="0.3">
      <c r="A40" s="17"/>
      <c r="B40"/>
      <c r="C40"/>
      <c r="D40"/>
      <c r="E40"/>
      <c r="F40"/>
      <c r="G40"/>
      <c r="H40"/>
      <c r="I40"/>
      <c r="J40" s="63"/>
      <c r="K40" s="63"/>
      <c r="L40" s="63"/>
      <c r="M40" s="63"/>
      <c r="N40" s="63"/>
      <c r="O40" s="63"/>
      <c r="P40" s="63"/>
      <c r="Q40" s="63"/>
      <c r="R40" s="63"/>
    </row>
    <row r="41" spans="1:18" s="21" customFormat="1" x14ac:dyDescent="0.3">
      <c r="A41" s="17"/>
      <c r="B41"/>
      <c r="C41"/>
      <c r="D41"/>
      <c r="E41"/>
      <c r="F41"/>
      <c r="G41"/>
      <c r="H41"/>
      <c r="I41"/>
      <c r="J41" s="63"/>
      <c r="K41" s="63"/>
      <c r="L41" s="63"/>
      <c r="M41" s="63"/>
      <c r="N41" s="63"/>
      <c r="O41" s="63"/>
      <c r="P41" s="63"/>
      <c r="Q41" s="63"/>
      <c r="R41" s="63"/>
    </row>
    <row r="42" spans="1:18" s="21" customFormat="1" x14ac:dyDescent="0.3">
      <c r="A42" s="17"/>
      <c r="B42"/>
      <c r="C42"/>
      <c r="D42"/>
      <c r="E42"/>
      <c r="F42"/>
      <c r="G42"/>
      <c r="H42"/>
      <c r="I42"/>
      <c r="J42" s="63"/>
      <c r="K42" s="63"/>
      <c r="L42" s="63"/>
      <c r="M42" s="63"/>
      <c r="N42" s="63"/>
      <c r="O42" s="63"/>
      <c r="P42" s="63"/>
      <c r="Q42" s="63"/>
      <c r="R42" s="63"/>
    </row>
    <row r="43" spans="1:18" s="21" customFormat="1" x14ac:dyDescent="0.3">
      <c r="A43" s="17"/>
      <c r="B43"/>
      <c r="C43"/>
      <c r="D43"/>
      <c r="E43"/>
      <c r="F43"/>
      <c r="G43"/>
      <c r="H43"/>
      <c r="I43"/>
      <c r="J43" s="63"/>
      <c r="K43" s="63"/>
      <c r="L43" s="63"/>
      <c r="M43" s="63"/>
      <c r="N43" s="63"/>
      <c r="O43" s="63"/>
      <c r="P43" s="63"/>
      <c r="Q43" s="63"/>
      <c r="R43" s="63"/>
    </row>
    <row r="44" spans="1:18" s="21" customFormat="1" x14ac:dyDescent="0.3">
      <c r="A44" s="17"/>
      <c r="B44"/>
      <c r="C44"/>
      <c r="D44"/>
      <c r="E44"/>
      <c r="F44"/>
      <c r="G44"/>
      <c r="H44"/>
      <c r="I44"/>
      <c r="J44" s="63"/>
      <c r="K44" s="63"/>
      <c r="L44" s="63"/>
      <c r="M44" s="63"/>
      <c r="N44" s="63"/>
      <c r="O44" s="63"/>
      <c r="P44" s="63"/>
      <c r="Q44" s="63"/>
      <c r="R44" s="63"/>
    </row>
    <row r="45" spans="1:18" s="21" customFormat="1" x14ac:dyDescent="0.3">
      <c r="A45" s="17"/>
      <c r="B45"/>
      <c r="C45"/>
      <c r="D45"/>
      <c r="E45"/>
      <c r="F45"/>
      <c r="G45"/>
      <c r="H45"/>
      <c r="I45"/>
      <c r="J45" s="63"/>
      <c r="K45" s="63"/>
      <c r="L45" s="63"/>
      <c r="M45" s="63"/>
      <c r="N45" s="63"/>
      <c r="O45" s="63"/>
      <c r="P45" s="63"/>
      <c r="Q45" s="63"/>
      <c r="R45" s="63"/>
    </row>
    <row r="46" spans="1:18" s="21" customFormat="1" x14ac:dyDescent="0.3">
      <c r="A46" s="17"/>
      <c r="B46"/>
      <c r="C46"/>
      <c r="D46"/>
      <c r="E46"/>
      <c r="F46"/>
      <c r="G46"/>
      <c r="H46"/>
      <c r="I46"/>
      <c r="J46" s="63"/>
      <c r="K46" s="63"/>
      <c r="L46" s="63"/>
      <c r="M46" s="63"/>
      <c r="N46" s="63"/>
      <c r="O46" s="63"/>
      <c r="P46" s="63"/>
      <c r="Q46" s="63"/>
      <c r="R46" s="63"/>
    </row>
    <row r="47" spans="1:18" s="21" customFormat="1" x14ac:dyDescent="0.3">
      <c r="A47" s="17"/>
      <c r="B47"/>
      <c r="C47"/>
      <c r="D47"/>
      <c r="E47"/>
      <c r="F47"/>
      <c r="G47"/>
      <c r="H47"/>
      <c r="I47"/>
      <c r="J47" s="63"/>
      <c r="K47" s="63"/>
      <c r="L47" s="63"/>
      <c r="M47" s="63"/>
      <c r="N47" s="63"/>
      <c r="O47" s="63"/>
      <c r="P47" s="63"/>
      <c r="Q47" s="63"/>
      <c r="R47" s="63"/>
    </row>
    <row r="48" spans="1:18" s="21" customFormat="1" x14ac:dyDescent="0.3">
      <c r="A48" s="17"/>
      <c r="B48"/>
      <c r="C48"/>
      <c r="D48"/>
      <c r="E48"/>
      <c r="F48"/>
      <c r="G48"/>
      <c r="H48"/>
      <c r="I48"/>
      <c r="J48" s="63"/>
      <c r="K48" s="63"/>
      <c r="L48" s="63"/>
      <c r="M48" s="63"/>
      <c r="N48" s="63"/>
      <c r="O48" s="63"/>
      <c r="P48" s="63"/>
      <c r="Q48" s="63"/>
      <c r="R48" s="63"/>
    </row>
    <row r="49" spans="1:18" s="21" customFormat="1" x14ac:dyDescent="0.3">
      <c r="A49" s="17"/>
      <c r="B49"/>
      <c r="C49"/>
      <c r="D49"/>
      <c r="E49"/>
      <c r="F49"/>
      <c r="G49"/>
      <c r="H49"/>
      <c r="I49"/>
      <c r="J49" s="63"/>
      <c r="K49" s="63"/>
      <c r="L49" s="63"/>
      <c r="M49" s="63"/>
      <c r="N49" s="63"/>
      <c r="O49" s="63"/>
      <c r="P49" s="63"/>
      <c r="Q49" s="63"/>
      <c r="R49" s="63"/>
    </row>
    <row r="50" spans="1:18" s="21" customFormat="1" x14ac:dyDescent="0.3">
      <c r="A50" s="17"/>
      <c r="B50"/>
      <c r="C50"/>
      <c r="D50"/>
      <c r="E50"/>
      <c r="F50"/>
      <c r="G50"/>
      <c r="H50"/>
      <c r="I50"/>
      <c r="J50" s="63"/>
      <c r="K50" s="63"/>
      <c r="L50" s="63"/>
      <c r="M50" s="63"/>
      <c r="N50" s="63"/>
      <c r="O50" s="63"/>
      <c r="P50" s="63"/>
      <c r="Q50" s="63"/>
      <c r="R50" s="63"/>
    </row>
    <row r="51" spans="1:18" s="21" customFormat="1" x14ac:dyDescent="0.3">
      <c r="A51" s="17"/>
      <c r="B51"/>
      <c r="C51"/>
      <c r="D51"/>
      <c r="E51"/>
      <c r="F51"/>
      <c r="G51"/>
      <c r="H51"/>
      <c r="I51"/>
      <c r="J51" s="63"/>
      <c r="K51" s="63"/>
      <c r="L51" s="63"/>
      <c r="M51" s="63"/>
      <c r="N51" s="63"/>
      <c r="O51" s="63"/>
      <c r="P51" s="63"/>
      <c r="Q51" s="63"/>
      <c r="R51" s="63"/>
    </row>
    <row r="52" spans="1:18" s="21" customFormat="1" x14ac:dyDescent="0.3">
      <c r="A52" s="17"/>
      <c r="B52"/>
      <c r="C52"/>
      <c r="D52"/>
      <c r="E52"/>
      <c r="F52"/>
      <c r="G52"/>
      <c r="H52"/>
      <c r="I52"/>
      <c r="J52" s="63"/>
      <c r="K52" s="63"/>
      <c r="L52" s="63"/>
      <c r="M52" s="63"/>
      <c r="N52" s="63"/>
      <c r="O52" s="63"/>
      <c r="P52" s="63"/>
      <c r="Q52" s="63"/>
      <c r="R52" s="63"/>
    </row>
    <row r="53" spans="1:18" s="21" customFormat="1" x14ac:dyDescent="0.3">
      <c r="A53" s="17"/>
      <c r="B53"/>
      <c r="C53"/>
      <c r="D53"/>
      <c r="E53"/>
      <c r="F53"/>
      <c r="G53"/>
      <c r="H53"/>
      <c r="I53"/>
      <c r="J53" s="63"/>
      <c r="K53" s="63"/>
      <c r="L53" s="63"/>
      <c r="M53" s="63"/>
      <c r="N53" s="63"/>
      <c r="O53" s="63"/>
      <c r="P53" s="63"/>
      <c r="Q53" s="63"/>
      <c r="R53" s="63"/>
    </row>
    <row r="54" spans="1:18" s="21" customFormat="1" x14ac:dyDescent="0.3">
      <c r="A54" s="17"/>
      <c r="B54"/>
      <c r="C54"/>
      <c r="D54"/>
      <c r="E54"/>
      <c r="F54"/>
      <c r="G54"/>
      <c r="H54"/>
      <c r="I54"/>
      <c r="J54" s="63"/>
      <c r="K54" s="63"/>
      <c r="L54" s="63"/>
      <c r="M54" s="63"/>
      <c r="N54" s="63"/>
      <c r="O54" s="63"/>
      <c r="P54" s="63"/>
      <c r="Q54" s="63"/>
      <c r="R54" s="63"/>
    </row>
    <row r="55" spans="1:18" s="21" customFormat="1" x14ac:dyDescent="0.3">
      <c r="A55" s="17"/>
      <c r="B55"/>
      <c r="C55"/>
      <c r="D55"/>
      <c r="E55"/>
      <c r="F55"/>
      <c r="G55"/>
      <c r="H55"/>
      <c r="I55"/>
      <c r="J55" s="63"/>
      <c r="K55" s="63"/>
      <c r="L55" s="63"/>
      <c r="M55" s="63"/>
      <c r="N55" s="63"/>
      <c r="O55" s="63"/>
      <c r="P55" s="63"/>
      <c r="Q55" s="63"/>
      <c r="R55" s="63"/>
    </row>
    <row r="56" spans="1:18" s="21" customFormat="1" x14ac:dyDescent="0.3">
      <c r="A56" s="17"/>
      <c r="B56"/>
      <c r="C56"/>
      <c r="D56"/>
      <c r="E56"/>
      <c r="F56"/>
      <c r="G56"/>
      <c r="H56"/>
      <c r="I56"/>
      <c r="J56" s="63"/>
      <c r="K56" s="63"/>
      <c r="L56" s="63"/>
      <c r="M56" s="63"/>
      <c r="N56" s="63"/>
      <c r="O56" s="63"/>
      <c r="P56" s="63"/>
      <c r="Q56" s="63"/>
      <c r="R56" s="63"/>
    </row>
    <row r="57" spans="1:18" s="21" customFormat="1" x14ac:dyDescent="0.3">
      <c r="A57" s="17"/>
      <c r="B57"/>
      <c r="C57"/>
      <c r="D57"/>
      <c r="E57"/>
      <c r="F57"/>
      <c r="G57"/>
      <c r="H57"/>
      <c r="I57"/>
      <c r="J57" s="63"/>
      <c r="K57" s="63"/>
      <c r="L57" s="63"/>
      <c r="M57" s="63"/>
      <c r="N57" s="63"/>
      <c r="O57" s="63"/>
      <c r="P57" s="63"/>
      <c r="Q57" s="63"/>
      <c r="R57" s="63"/>
    </row>
    <row r="58" spans="1:18" s="21" customFormat="1" x14ac:dyDescent="0.3">
      <c r="A58" s="17"/>
      <c r="B58"/>
      <c r="C58"/>
      <c r="D58"/>
      <c r="E58"/>
      <c r="F58"/>
      <c r="G58"/>
      <c r="H58"/>
      <c r="I58"/>
      <c r="J58" s="63"/>
      <c r="K58" s="63"/>
      <c r="L58" s="63"/>
      <c r="M58" s="63"/>
      <c r="N58" s="63"/>
      <c r="O58" s="63"/>
      <c r="P58" s="63"/>
      <c r="Q58" s="63"/>
      <c r="R58" s="63"/>
    </row>
    <row r="59" spans="1:18" s="21" customFormat="1" x14ac:dyDescent="0.3">
      <c r="A59" s="17"/>
      <c r="B59"/>
      <c r="C59"/>
      <c r="D59"/>
      <c r="E59"/>
      <c r="F59"/>
      <c r="G59"/>
      <c r="H59"/>
      <c r="I59"/>
      <c r="J59" s="63"/>
      <c r="K59" s="63"/>
      <c r="L59" s="63"/>
      <c r="M59" s="63"/>
      <c r="N59" s="63"/>
      <c r="O59" s="63"/>
      <c r="P59" s="63"/>
      <c r="Q59" s="63"/>
      <c r="R59" s="63"/>
    </row>
    <row r="60" spans="1:18" s="21" customFormat="1" x14ac:dyDescent="0.3">
      <c r="A60" s="17"/>
      <c r="B60"/>
      <c r="C60"/>
      <c r="D60"/>
      <c r="E60"/>
      <c r="F60"/>
      <c r="G60"/>
      <c r="H60"/>
      <c r="I60"/>
      <c r="J60" s="63"/>
      <c r="K60" s="63"/>
      <c r="L60" s="63"/>
      <c r="M60" s="63"/>
      <c r="N60" s="63"/>
      <c r="O60" s="63"/>
      <c r="P60" s="63"/>
      <c r="Q60" s="63"/>
      <c r="R60" s="63"/>
    </row>
    <row r="61" spans="1:18" s="21" customFormat="1" x14ac:dyDescent="0.3">
      <c r="A61" s="17"/>
      <c r="B61"/>
      <c r="C61"/>
      <c r="D61"/>
      <c r="E61"/>
      <c r="F61"/>
      <c r="G61"/>
      <c r="H61"/>
      <c r="I61"/>
      <c r="J61" s="63"/>
      <c r="K61" s="63"/>
      <c r="L61" s="63"/>
      <c r="M61" s="63"/>
      <c r="N61" s="63"/>
      <c r="O61" s="63"/>
      <c r="P61" s="63"/>
      <c r="Q61" s="63"/>
      <c r="R61" s="63"/>
    </row>
    <row r="62" spans="1:18" s="21" customFormat="1" x14ac:dyDescent="0.3">
      <c r="A62" s="17"/>
      <c r="B62"/>
      <c r="C62"/>
      <c r="D62"/>
      <c r="E62"/>
      <c r="F62"/>
      <c r="G62"/>
      <c r="H62"/>
      <c r="I62"/>
      <c r="J62" s="63"/>
      <c r="K62" s="63"/>
      <c r="L62" s="63"/>
      <c r="M62" s="63"/>
      <c r="N62" s="63"/>
      <c r="O62" s="63"/>
      <c r="P62" s="63"/>
      <c r="Q62" s="63"/>
      <c r="R62" s="63"/>
    </row>
    <row r="63" spans="1:18" s="21" customFormat="1" x14ac:dyDescent="0.3">
      <c r="A63" s="17"/>
      <c r="B63"/>
      <c r="C63"/>
      <c r="D63"/>
      <c r="E63"/>
      <c r="F63"/>
      <c r="G63"/>
      <c r="H63"/>
      <c r="I63"/>
      <c r="J63" s="63"/>
      <c r="K63" s="63"/>
      <c r="L63" s="63"/>
      <c r="M63" s="63"/>
      <c r="N63" s="63"/>
      <c r="O63" s="63"/>
      <c r="P63" s="63"/>
      <c r="Q63" s="63"/>
      <c r="R63" s="63"/>
    </row>
    <row r="64" spans="1:18" s="21" customFormat="1" x14ac:dyDescent="0.3">
      <c r="A64" s="17"/>
      <c r="B64"/>
      <c r="C64"/>
      <c r="D64"/>
      <c r="E64"/>
      <c r="F64"/>
      <c r="G64"/>
      <c r="H64"/>
      <c r="I64"/>
      <c r="J64" s="63"/>
      <c r="K64" s="63"/>
      <c r="L64" s="63"/>
      <c r="M64" s="63"/>
      <c r="N64" s="63"/>
      <c r="O64" s="63"/>
      <c r="P64" s="63"/>
      <c r="Q64" s="63"/>
      <c r="R64" s="63"/>
    </row>
    <row r="65" spans="1:18" s="21" customFormat="1" x14ac:dyDescent="0.3">
      <c r="A65" s="17"/>
      <c r="B65"/>
      <c r="C65"/>
      <c r="D65"/>
      <c r="E65"/>
      <c r="F65"/>
      <c r="G65"/>
      <c r="H65"/>
      <c r="I65"/>
      <c r="J65" s="63"/>
      <c r="K65" s="63"/>
      <c r="L65" s="63"/>
      <c r="M65" s="63"/>
      <c r="N65" s="63"/>
      <c r="O65" s="63"/>
      <c r="P65" s="63"/>
      <c r="Q65" s="63"/>
      <c r="R65" s="63"/>
    </row>
    <row r="66" spans="1:18" s="21" customFormat="1" x14ac:dyDescent="0.3">
      <c r="A66" s="17"/>
      <c r="B66"/>
      <c r="C66"/>
      <c r="D66"/>
      <c r="E66"/>
      <c r="F66"/>
      <c r="G66"/>
      <c r="H66"/>
      <c r="I66"/>
      <c r="J66" s="63"/>
      <c r="K66" s="63"/>
      <c r="L66" s="63"/>
      <c r="M66" s="63"/>
      <c r="N66" s="63"/>
      <c r="O66" s="63"/>
      <c r="P66" s="63"/>
      <c r="Q66" s="63"/>
      <c r="R66" s="63"/>
    </row>
    <row r="67" spans="1:18" s="21" customFormat="1" x14ac:dyDescent="0.3">
      <c r="A67" s="17"/>
      <c r="B67"/>
      <c r="C67"/>
      <c r="D67"/>
      <c r="E67"/>
      <c r="F67"/>
      <c r="G67"/>
      <c r="H67"/>
      <c r="I67"/>
      <c r="J67" s="63"/>
      <c r="K67" s="63"/>
      <c r="L67" s="63"/>
      <c r="M67" s="63"/>
      <c r="N67" s="63"/>
      <c r="O67" s="63"/>
      <c r="P67" s="63"/>
      <c r="Q67" s="63"/>
      <c r="R67" s="63"/>
    </row>
    <row r="68" spans="1:18" s="21" customFormat="1" x14ac:dyDescent="0.3">
      <c r="A68" s="17"/>
      <c r="B68"/>
      <c r="C68"/>
      <c r="D68"/>
      <c r="E68"/>
      <c r="F68"/>
      <c r="G68"/>
      <c r="H68"/>
      <c r="I68"/>
      <c r="J68" s="63"/>
      <c r="K68" s="63"/>
      <c r="L68" s="63"/>
      <c r="M68" s="63"/>
      <c r="N68" s="63"/>
      <c r="O68" s="63"/>
      <c r="P68" s="63"/>
      <c r="Q68" s="63"/>
      <c r="R68" s="63"/>
    </row>
    <row r="69" spans="1:18" s="21" customFormat="1" x14ac:dyDescent="0.3">
      <c r="A69" s="17"/>
      <c r="B69"/>
      <c r="C69"/>
      <c r="D69"/>
      <c r="E69"/>
      <c r="F69"/>
      <c r="G69"/>
      <c r="H69"/>
      <c r="I69"/>
      <c r="J69" s="63"/>
      <c r="K69" s="63"/>
      <c r="L69" s="63"/>
      <c r="M69" s="63"/>
      <c r="N69" s="63"/>
      <c r="O69" s="63"/>
      <c r="P69" s="63"/>
      <c r="Q69" s="63"/>
      <c r="R69" s="63"/>
    </row>
    <row r="70" spans="1:18" s="21" customFormat="1" x14ac:dyDescent="0.3">
      <c r="A70" s="17"/>
      <c r="B70"/>
      <c r="C70"/>
      <c r="D70"/>
      <c r="E70"/>
      <c r="F70"/>
      <c r="G70"/>
      <c r="H70"/>
      <c r="I70"/>
      <c r="J70" s="63"/>
      <c r="K70" s="63"/>
      <c r="L70" s="63"/>
      <c r="M70" s="63"/>
      <c r="N70" s="63"/>
      <c r="O70" s="63"/>
      <c r="P70" s="63"/>
      <c r="Q70" s="63"/>
      <c r="R70" s="63"/>
    </row>
    <row r="71" spans="1:18" s="21" customFormat="1" x14ac:dyDescent="0.3">
      <c r="A71" s="17"/>
      <c r="B71"/>
      <c r="C71"/>
      <c r="D71"/>
      <c r="E71"/>
      <c r="F71"/>
      <c r="G71"/>
      <c r="H71"/>
      <c r="I71"/>
      <c r="J71" s="63"/>
      <c r="K71" s="63"/>
      <c r="L71" s="63"/>
      <c r="M71" s="63"/>
      <c r="N71" s="63"/>
      <c r="O71" s="63"/>
      <c r="P71" s="63"/>
      <c r="Q71" s="63"/>
      <c r="R71" s="63"/>
    </row>
    <row r="72" spans="1:18" s="21" customFormat="1" x14ac:dyDescent="0.3">
      <c r="A72" s="17"/>
      <c r="B72"/>
      <c r="C72"/>
      <c r="D72"/>
      <c r="E72"/>
      <c r="F72"/>
      <c r="G72"/>
      <c r="H72"/>
      <c r="I72"/>
      <c r="J72" s="63"/>
      <c r="K72" s="63"/>
      <c r="L72" s="63"/>
      <c r="M72" s="63"/>
      <c r="N72" s="63"/>
      <c r="O72" s="63"/>
      <c r="P72" s="63"/>
      <c r="Q72" s="63"/>
      <c r="R72" s="63"/>
    </row>
    <row r="73" spans="1:18" s="21" customFormat="1" x14ac:dyDescent="0.3">
      <c r="A73" s="17"/>
      <c r="B73"/>
      <c r="C73"/>
      <c r="D73"/>
      <c r="E73"/>
      <c r="F73"/>
      <c r="G73"/>
      <c r="H73"/>
      <c r="I73"/>
      <c r="J73" s="63"/>
      <c r="K73" s="63"/>
      <c r="L73" s="63"/>
      <c r="M73" s="63"/>
      <c r="N73" s="63"/>
      <c r="O73" s="63"/>
      <c r="P73" s="63"/>
      <c r="Q73" s="63"/>
      <c r="R73" s="63"/>
    </row>
    <row r="74" spans="1:18" s="21" customFormat="1" x14ac:dyDescent="0.3">
      <c r="A74" s="17"/>
      <c r="B74"/>
      <c r="C74"/>
      <c r="D74"/>
      <c r="E74"/>
      <c r="F74"/>
      <c r="G74"/>
      <c r="H74"/>
      <c r="I74"/>
      <c r="J74" s="63"/>
      <c r="K74" s="63"/>
      <c r="L74" s="63"/>
      <c r="M74" s="63"/>
      <c r="N74" s="63"/>
      <c r="O74" s="63"/>
      <c r="P74" s="63"/>
      <c r="Q74" s="63"/>
      <c r="R74" s="63"/>
    </row>
    <row r="75" spans="1:18" s="21" customFormat="1" x14ac:dyDescent="0.3">
      <c r="A75" s="17"/>
      <c r="B75"/>
      <c r="C75"/>
      <c r="D75"/>
      <c r="E75"/>
      <c r="F75"/>
      <c r="G75"/>
      <c r="H75"/>
      <c r="I75"/>
      <c r="J75" s="63"/>
      <c r="K75" s="63"/>
      <c r="L75" s="63"/>
      <c r="M75" s="63"/>
      <c r="N75" s="63"/>
      <c r="O75" s="63"/>
      <c r="P75" s="63"/>
      <c r="Q75" s="63"/>
      <c r="R75" s="63"/>
    </row>
    <row r="76" spans="1:18" s="21" customFormat="1" x14ac:dyDescent="0.3">
      <c r="A76" s="17"/>
      <c r="B76"/>
      <c r="C76"/>
      <c r="D76"/>
      <c r="E76"/>
      <c r="F76"/>
      <c r="G76"/>
      <c r="H76"/>
      <c r="I76"/>
      <c r="J76" s="63"/>
      <c r="K76" s="63"/>
      <c r="L76" s="63"/>
      <c r="M76" s="63"/>
      <c r="N76" s="63"/>
      <c r="O76" s="63"/>
      <c r="P76" s="63"/>
      <c r="Q76" s="63"/>
      <c r="R76" s="63"/>
    </row>
    <row r="77" spans="1:18" s="21" customFormat="1" x14ac:dyDescent="0.3">
      <c r="A77" s="17"/>
      <c r="B77"/>
      <c r="C77"/>
      <c r="D77"/>
      <c r="E77"/>
      <c r="F77"/>
      <c r="G77"/>
      <c r="H77"/>
      <c r="I77"/>
      <c r="J77" s="63"/>
      <c r="K77" s="63"/>
      <c r="L77" s="63"/>
      <c r="M77" s="63"/>
      <c r="N77" s="63"/>
      <c r="O77" s="63"/>
      <c r="P77" s="63"/>
      <c r="Q77" s="63"/>
      <c r="R77" s="63"/>
    </row>
    <row r="78" spans="1:18" s="21" customFormat="1" x14ac:dyDescent="0.3">
      <c r="A78" s="17"/>
      <c r="B78"/>
      <c r="C78"/>
      <c r="D78"/>
      <c r="E78"/>
      <c r="F78"/>
      <c r="G78"/>
      <c r="H78"/>
      <c r="I78"/>
      <c r="J78" s="63"/>
      <c r="K78" s="63"/>
      <c r="L78" s="63"/>
      <c r="M78" s="63"/>
      <c r="N78" s="63"/>
      <c r="O78" s="63"/>
      <c r="P78" s="63"/>
      <c r="Q78" s="63"/>
      <c r="R78" s="63"/>
    </row>
    <row r="79" spans="1:18" s="21" customFormat="1" x14ac:dyDescent="0.3">
      <c r="A79" s="17"/>
      <c r="B79"/>
      <c r="C79"/>
      <c r="D79"/>
      <c r="E79"/>
      <c r="F79"/>
      <c r="G79"/>
      <c r="H79"/>
      <c r="I79"/>
      <c r="J79" s="63"/>
      <c r="K79" s="63"/>
      <c r="L79" s="63"/>
      <c r="M79" s="63"/>
      <c r="N79" s="63"/>
      <c r="O79" s="63"/>
      <c r="P79" s="63"/>
      <c r="Q79" s="63"/>
      <c r="R79" s="63"/>
    </row>
    <row r="80" spans="1:18" s="21" customFormat="1" x14ac:dyDescent="0.3">
      <c r="A80" s="17"/>
      <c r="B80"/>
      <c r="C80"/>
      <c r="D80"/>
      <c r="E80"/>
      <c r="F80"/>
      <c r="G80"/>
      <c r="H80"/>
      <c r="I80"/>
      <c r="J80" s="63"/>
      <c r="K80" s="63"/>
      <c r="L80" s="63"/>
      <c r="M80" s="63"/>
      <c r="N80" s="63"/>
      <c r="O80" s="63"/>
      <c r="P80" s="63"/>
      <c r="Q80" s="63"/>
      <c r="R80" s="63"/>
    </row>
    <row r="81" spans="1:18" s="21" customFormat="1" x14ac:dyDescent="0.3">
      <c r="A81" s="17"/>
      <c r="B81"/>
      <c r="C81"/>
      <c r="D81"/>
      <c r="E81"/>
      <c r="F81"/>
      <c r="G81"/>
      <c r="H81"/>
      <c r="I81"/>
      <c r="J81" s="63"/>
      <c r="K81" s="63"/>
      <c r="L81" s="63"/>
      <c r="M81" s="63"/>
      <c r="N81" s="63"/>
      <c r="O81" s="63"/>
      <c r="P81" s="63"/>
      <c r="Q81" s="63"/>
      <c r="R81" s="63"/>
    </row>
    <row r="82" spans="1:18" s="21" customFormat="1" x14ac:dyDescent="0.3">
      <c r="A82" s="17"/>
      <c r="B82"/>
      <c r="C82"/>
      <c r="D82"/>
      <c r="E82"/>
      <c r="F82"/>
      <c r="G82"/>
      <c r="H82"/>
      <c r="I82"/>
      <c r="J82" s="63"/>
      <c r="K82" s="63"/>
      <c r="L82" s="63"/>
      <c r="M82" s="63"/>
      <c r="N82" s="63"/>
      <c r="O82" s="63"/>
      <c r="P82" s="63"/>
      <c r="Q82" s="63"/>
      <c r="R82" s="63"/>
    </row>
    <row r="83" spans="1:18" s="21" customFormat="1" x14ac:dyDescent="0.3">
      <c r="A83" s="17"/>
      <c r="B83"/>
      <c r="C83"/>
      <c r="D83"/>
      <c r="E83"/>
      <c r="F83"/>
      <c r="G83"/>
      <c r="H83"/>
      <c r="I83"/>
      <c r="J83" s="63"/>
      <c r="K83" s="63"/>
      <c r="L83" s="63"/>
      <c r="M83" s="63"/>
      <c r="N83" s="63"/>
      <c r="O83" s="63"/>
      <c r="P83" s="63"/>
      <c r="Q83" s="63"/>
      <c r="R83" s="63"/>
    </row>
    <row r="84" spans="1:18" s="21" customFormat="1" x14ac:dyDescent="0.3">
      <c r="A84" s="17"/>
      <c r="B84"/>
      <c r="C84"/>
      <c r="D84"/>
      <c r="E84"/>
      <c r="F84"/>
      <c r="G84"/>
      <c r="H84"/>
      <c r="I84"/>
      <c r="J84" s="63"/>
      <c r="K84" s="63"/>
      <c r="L84" s="63"/>
      <c r="M84" s="63"/>
      <c r="N84" s="63"/>
      <c r="O84" s="63"/>
      <c r="P84" s="63"/>
      <c r="Q84" s="63"/>
      <c r="R84" s="63"/>
    </row>
    <row r="85" spans="1:18" s="21" customFormat="1" x14ac:dyDescent="0.3">
      <c r="A85" s="17"/>
      <c r="B85"/>
      <c r="C85"/>
      <c r="D85"/>
      <c r="E85"/>
      <c r="F85"/>
      <c r="G85"/>
      <c r="H85"/>
      <c r="I85"/>
      <c r="J85" s="63"/>
      <c r="K85" s="63"/>
      <c r="L85" s="63"/>
      <c r="M85" s="63"/>
      <c r="N85" s="63"/>
      <c r="O85" s="63"/>
      <c r="P85" s="63"/>
      <c r="Q85" s="63"/>
      <c r="R85" s="63"/>
    </row>
    <row r="86" spans="1:18" s="21" customFormat="1" x14ac:dyDescent="0.3">
      <c r="A86" s="17"/>
      <c r="B86"/>
      <c r="C86"/>
      <c r="D86"/>
      <c r="E86"/>
      <c r="F86"/>
      <c r="G86"/>
      <c r="H86"/>
      <c r="I86"/>
      <c r="J86" s="63"/>
      <c r="K86" s="63"/>
      <c r="L86" s="63"/>
      <c r="M86" s="63"/>
      <c r="N86" s="63"/>
      <c r="O86" s="63"/>
      <c r="P86" s="63"/>
      <c r="Q86" s="63"/>
      <c r="R86" s="63"/>
    </row>
    <row r="87" spans="1:18" s="21" customFormat="1" x14ac:dyDescent="0.3">
      <c r="A87" s="17"/>
      <c r="B87"/>
      <c r="C87"/>
      <c r="D87"/>
      <c r="E87"/>
      <c r="F87"/>
      <c r="G87"/>
      <c r="H87"/>
      <c r="I87"/>
      <c r="J87" s="63"/>
      <c r="K87" s="63"/>
      <c r="L87" s="63"/>
      <c r="M87" s="63"/>
      <c r="N87" s="63"/>
      <c r="O87" s="63"/>
      <c r="P87" s="63"/>
      <c r="Q87" s="63"/>
      <c r="R87" s="63"/>
    </row>
    <row r="88" spans="1:18" s="21" customFormat="1" x14ac:dyDescent="0.3">
      <c r="A88" s="17"/>
      <c r="B88"/>
      <c r="C88"/>
      <c r="D88"/>
      <c r="E88"/>
      <c r="F88"/>
      <c r="G88"/>
      <c r="H88"/>
      <c r="I88"/>
      <c r="J88" s="63"/>
      <c r="K88" s="63"/>
      <c r="L88" s="63"/>
      <c r="M88" s="63"/>
      <c r="N88" s="63"/>
      <c r="O88" s="63"/>
      <c r="P88" s="63"/>
      <c r="Q88" s="63"/>
      <c r="R88" s="63"/>
    </row>
    <row r="89" spans="1:18" s="21" customFormat="1" x14ac:dyDescent="0.3">
      <c r="A89" s="17"/>
      <c r="B89"/>
      <c r="C89"/>
      <c r="D89"/>
      <c r="E89"/>
      <c r="F89"/>
      <c r="G89"/>
      <c r="H89"/>
      <c r="I89"/>
      <c r="J89" s="63"/>
      <c r="K89" s="63"/>
      <c r="L89" s="63"/>
      <c r="M89" s="63"/>
      <c r="N89" s="63"/>
      <c r="O89" s="63"/>
      <c r="P89" s="63"/>
      <c r="Q89" s="63"/>
      <c r="R89" s="63"/>
    </row>
    <row r="90" spans="1:18" s="21" customFormat="1" x14ac:dyDescent="0.3">
      <c r="A90" s="17"/>
      <c r="B90"/>
      <c r="C90"/>
      <c r="D90"/>
      <c r="E90"/>
      <c r="F90"/>
      <c r="G90"/>
      <c r="H90"/>
      <c r="I90"/>
      <c r="J90" s="63"/>
      <c r="K90" s="63"/>
      <c r="L90" s="63"/>
      <c r="M90" s="63"/>
      <c r="N90" s="63"/>
      <c r="O90" s="63"/>
      <c r="P90" s="63"/>
      <c r="Q90" s="63"/>
      <c r="R90" s="63"/>
    </row>
    <row r="91" spans="1:18" s="21" customFormat="1" x14ac:dyDescent="0.3">
      <c r="A91" s="17"/>
      <c r="B91"/>
      <c r="C91"/>
      <c r="D91"/>
      <c r="E91"/>
      <c r="F91"/>
      <c r="G91"/>
      <c r="H91"/>
      <c r="I91"/>
      <c r="J91" s="63"/>
      <c r="K91" s="63"/>
      <c r="L91" s="63"/>
      <c r="M91" s="63"/>
      <c r="N91" s="63"/>
      <c r="O91" s="63"/>
      <c r="P91" s="63"/>
      <c r="Q91" s="63"/>
      <c r="R91" s="63"/>
    </row>
    <row r="92" spans="1:18" s="21" customFormat="1" x14ac:dyDescent="0.3">
      <c r="A92" s="17"/>
      <c r="B92"/>
      <c r="C92"/>
      <c r="D92"/>
      <c r="E92"/>
      <c r="F92"/>
      <c r="G92"/>
      <c r="H92"/>
      <c r="I92"/>
      <c r="J92" s="63"/>
      <c r="K92" s="63"/>
      <c r="L92" s="63"/>
      <c r="M92" s="63"/>
      <c r="N92" s="63"/>
      <c r="O92" s="63"/>
      <c r="P92" s="63"/>
      <c r="Q92" s="63"/>
      <c r="R92" s="63"/>
    </row>
    <row r="93" spans="1:18" s="21" customFormat="1" x14ac:dyDescent="0.3">
      <c r="A93" s="17"/>
      <c r="B93"/>
      <c r="C93"/>
      <c r="D93"/>
      <c r="E93"/>
      <c r="F93"/>
      <c r="G93"/>
      <c r="H93"/>
      <c r="I93"/>
      <c r="J93" s="63"/>
      <c r="K93" s="63"/>
      <c r="L93" s="63"/>
      <c r="M93" s="63"/>
      <c r="N93" s="63"/>
      <c r="O93" s="63"/>
      <c r="P93" s="63"/>
      <c r="Q93" s="63"/>
      <c r="R93" s="63"/>
    </row>
    <row r="94" spans="1:18" s="21" customFormat="1" x14ac:dyDescent="0.3">
      <c r="A94" s="17"/>
      <c r="B94"/>
      <c r="C94"/>
      <c r="D94"/>
      <c r="E94"/>
      <c r="F94"/>
      <c r="G94"/>
      <c r="H94"/>
      <c r="I94"/>
      <c r="J94" s="63"/>
      <c r="K94" s="63"/>
      <c r="L94" s="63"/>
      <c r="M94" s="63"/>
      <c r="N94" s="63"/>
      <c r="O94" s="63"/>
      <c r="P94" s="63"/>
      <c r="Q94" s="63"/>
      <c r="R94" s="63"/>
    </row>
    <row r="95" spans="1:18" s="21" customFormat="1" x14ac:dyDescent="0.3">
      <c r="A95" s="17"/>
      <c r="B95"/>
      <c r="C95"/>
      <c r="D95"/>
      <c r="E95"/>
      <c r="F95"/>
      <c r="G95"/>
      <c r="H95"/>
      <c r="I95"/>
      <c r="J95" s="63"/>
      <c r="K95" s="63"/>
      <c r="L95" s="63"/>
      <c r="M95" s="63"/>
      <c r="N95" s="63"/>
      <c r="O95" s="63"/>
      <c r="P95" s="63"/>
      <c r="Q95" s="63"/>
      <c r="R95" s="63"/>
    </row>
    <row r="96" spans="1:18" s="21" customFormat="1" x14ac:dyDescent="0.3">
      <c r="A96" s="17"/>
      <c r="B96"/>
      <c r="C96"/>
      <c r="D96"/>
      <c r="E96"/>
      <c r="F96"/>
      <c r="G96"/>
      <c r="H96"/>
      <c r="I96"/>
      <c r="J96" s="63"/>
      <c r="K96" s="63"/>
      <c r="L96" s="63"/>
      <c r="M96" s="63"/>
      <c r="N96" s="63"/>
      <c r="O96" s="63"/>
      <c r="P96" s="63"/>
      <c r="Q96" s="63"/>
      <c r="R96" s="63"/>
    </row>
    <row r="97" spans="1:18" s="21" customFormat="1" x14ac:dyDescent="0.3">
      <c r="A97" s="17"/>
      <c r="B97"/>
      <c r="C97"/>
      <c r="D97"/>
      <c r="E97"/>
      <c r="F97"/>
      <c r="G97"/>
      <c r="H97"/>
      <c r="I97"/>
      <c r="J97" s="63"/>
      <c r="K97" s="63"/>
      <c r="L97" s="63"/>
      <c r="M97" s="63"/>
      <c r="N97" s="63"/>
      <c r="O97" s="63"/>
      <c r="P97" s="63"/>
      <c r="Q97" s="63"/>
      <c r="R97" s="63"/>
    </row>
    <row r="98" spans="1:18" s="21" customFormat="1" x14ac:dyDescent="0.3">
      <c r="A98" s="17"/>
      <c r="B98"/>
      <c r="C98"/>
      <c r="D98"/>
      <c r="E98"/>
      <c r="F98"/>
      <c r="G98"/>
      <c r="H98"/>
      <c r="I98"/>
      <c r="J98" s="63"/>
      <c r="K98" s="63"/>
      <c r="L98" s="63"/>
      <c r="M98" s="63"/>
      <c r="N98" s="63"/>
      <c r="O98" s="63"/>
      <c r="P98" s="63"/>
      <c r="Q98" s="63"/>
      <c r="R98" s="63"/>
    </row>
    <row r="99" spans="1:18" s="21" customFormat="1" x14ac:dyDescent="0.3">
      <c r="A99" s="17"/>
      <c r="B99"/>
      <c r="C99"/>
      <c r="D99"/>
      <c r="E99"/>
      <c r="F99"/>
      <c r="G99"/>
      <c r="H99"/>
      <c r="I99"/>
      <c r="J99" s="63"/>
      <c r="K99" s="63"/>
      <c r="L99" s="63"/>
      <c r="M99" s="63"/>
      <c r="N99" s="63"/>
      <c r="O99" s="63"/>
      <c r="P99" s="63"/>
      <c r="Q99" s="63"/>
      <c r="R99" s="63"/>
    </row>
  </sheetData>
  <pageMargins left="0.511811024" right="0.511811024" top="0.78740157499999996" bottom="0.78740157499999996" header="0.31496062000000002" footer="0.3149606200000000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31806-45A1-426F-8106-17602A67DFC1}">
  <sheetPr>
    <tabColor theme="9" tint="0.59999389629810485"/>
  </sheetPr>
  <dimension ref="A1:S3012"/>
  <sheetViews>
    <sheetView showGridLines="0" zoomScaleNormal="100" workbookViewId="0">
      <selection activeCell="K23" sqref="K23"/>
    </sheetView>
  </sheetViews>
  <sheetFormatPr defaultColWidth="8.85546875" defaultRowHeight="18.75" x14ac:dyDescent="0.3"/>
  <cols>
    <col min="1" max="1" width="18.5703125" style="17" customWidth="1"/>
    <col min="2" max="2" width="60.5703125" customWidth="1"/>
    <col min="3" max="3" width="9.7109375" customWidth="1"/>
    <col min="4" max="4" width="8.85546875" customWidth="1"/>
    <col min="5" max="5" width="10" bestFit="1" customWidth="1"/>
    <col min="11" max="11" width="9.140625" style="15" customWidth="1"/>
    <col min="12" max="12" width="10.42578125" style="15" customWidth="1"/>
    <col min="13" max="13" width="11.42578125" style="15" customWidth="1"/>
    <col min="14" max="18" width="10.42578125" style="15" customWidth="1"/>
    <col min="19" max="19" width="8.85546875" style="15"/>
  </cols>
  <sheetData>
    <row r="1" spans="1:19" x14ac:dyDescent="0.3">
      <c r="A1" s="16" t="s">
        <v>862</v>
      </c>
      <c r="K1" s="14"/>
      <c r="L1" s="14"/>
      <c r="M1" s="14"/>
      <c r="N1" s="14"/>
      <c r="O1" s="14"/>
      <c r="P1" s="14"/>
      <c r="Q1" s="14"/>
      <c r="R1" s="14"/>
      <c r="S1" s="14"/>
    </row>
    <row r="2" spans="1:19" x14ac:dyDescent="0.25">
      <c r="A2" s="146" t="s">
        <v>866</v>
      </c>
      <c r="B2" s="146"/>
      <c r="C2" s="146"/>
      <c r="D2" s="146"/>
      <c r="E2" s="146"/>
      <c r="F2" s="146"/>
      <c r="G2" s="146"/>
      <c r="H2" s="146"/>
      <c r="I2" s="146"/>
      <c r="K2" s="14"/>
      <c r="L2" s="14"/>
      <c r="M2" s="14"/>
      <c r="N2" s="14"/>
      <c r="O2" s="14"/>
      <c r="P2" s="14"/>
      <c r="Q2" s="14"/>
      <c r="R2" s="14"/>
      <c r="S2" s="14"/>
    </row>
    <row r="3" spans="1:19" x14ac:dyDescent="0.25">
      <c r="A3" s="128"/>
      <c r="B3" s="128"/>
      <c r="C3" s="128"/>
      <c r="D3" s="128"/>
      <c r="E3" s="128"/>
      <c r="F3" s="128"/>
      <c r="G3" s="128"/>
      <c r="H3" s="128"/>
      <c r="I3" s="128"/>
      <c r="K3" s="14"/>
      <c r="L3" s="14"/>
      <c r="M3" s="14"/>
      <c r="N3" s="14"/>
      <c r="O3" s="14"/>
      <c r="P3" s="14"/>
      <c r="Q3" s="14"/>
      <c r="R3" s="14"/>
      <c r="S3" s="14"/>
    </row>
    <row r="4" spans="1:19" x14ac:dyDescent="0.3">
      <c r="A4" s="17" t="s">
        <v>865</v>
      </c>
      <c r="K4" s="14"/>
      <c r="L4" s="14"/>
      <c r="M4" s="14"/>
      <c r="N4" s="14"/>
      <c r="O4" s="14"/>
      <c r="P4" s="14"/>
      <c r="Q4" s="14"/>
      <c r="R4" s="14"/>
      <c r="S4" s="14"/>
    </row>
    <row r="5" spans="1:19" x14ac:dyDescent="0.3">
      <c r="M5" s="27"/>
    </row>
    <row r="6" spans="1:19" ht="15.75" x14ac:dyDescent="0.25">
      <c r="A6" s="2" t="s">
        <v>15</v>
      </c>
      <c r="B6" s="2" t="s">
        <v>16</v>
      </c>
      <c r="C6" s="2"/>
      <c r="M6" s="27"/>
    </row>
    <row r="7" spans="1:19" ht="15.75" x14ac:dyDescent="0.25">
      <c r="A7" s="23" t="s">
        <v>248</v>
      </c>
      <c r="B7" s="26" t="s">
        <v>863</v>
      </c>
      <c r="C7" s="26"/>
      <c r="M7" s="27"/>
    </row>
    <row r="8" spans="1:19" ht="15.75" x14ac:dyDescent="0.25">
      <c r="A8" s="23" t="s">
        <v>249</v>
      </c>
      <c r="B8" s="26" t="s">
        <v>864</v>
      </c>
      <c r="C8" s="26"/>
      <c r="M8" s="27"/>
    </row>
    <row r="9" spans="1:19" ht="15.75" x14ac:dyDescent="0.25">
      <c r="A9" s="23"/>
      <c r="B9" s="26"/>
      <c r="C9" s="26"/>
      <c r="M9" s="27"/>
    </row>
    <row r="10" spans="1:19" ht="15.75" x14ac:dyDescent="0.25">
      <c r="A10" s="23"/>
      <c r="B10" s="26"/>
      <c r="C10" s="26"/>
      <c r="M10" s="27"/>
    </row>
    <row r="11" spans="1:19" x14ac:dyDescent="0.3">
      <c r="M11" s="27"/>
    </row>
    <row r="12" spans="1:19" x14ac:dyDescent="0.3">
      <c r="D12" s="1" t="s">
        <v>17</v>
      </c>
      <c r="E12" s="13" t="s">
        <v>248</v>
      </c>
      <c r="F12" s="12">
        <v>1</v>
      </c>
      <c r="G12" s="12">
        <v>2</v>
      </c>
      <c r="H12" s="12">
        <v>3</v>
      </c>
      <c r="I12" s="12">
        <v>4</v>
      </c>
      <c r="K12" s="63" cm="1">
        <f t="array" ref="K12:K15">_xlfn.LAMBDA(_xlpm.A,_xlpm.B,
_xlfn.LET(
_xlpm.QR, FACTORIZE_QR(_xlpm.A),
_xlpm.Q, _xlfn.TAKE(_xlpm.QR,,ROWS(_xlpm.QR)),
_xlpm.R, _xlfn.TAKE(_xlpm.QR,,-(COLUMNS(_xlpm.QR)-ROWS(_xlpm.QR))),
MMULT(MINVERSE(_xlpm.R), MMULT(TRANSPOSE(_xlpm.Q),_xlpm.B))
)
)($F$12:$I$15,$F$17:$F$20)</f>
        <v>-17.000000000016051</v>
      </c>
      <c r="L12" s="63"/>
      <c r="M12" s="27"/>
      <c r="N12" s="63"/>
      <c r="O12" s="63"/>
      <c r="P12" s="63"/>
      <c r="Q12" s="63"/>
      <c r="R12" s="63"/>
      <c r="S12" s="63"/>
    </row>
    <row r="13" spans="1:19" x14ac:dyDescent="0.3">
      <c r="F13" s="12">
        <v>5</v>
      </c>
      <c r="G13" s="12">
        <v>5</v>
      </c>
      <c r="H13" s="12">
        <v>6</v>
      </c>
      <c r="I13" s="12">
        <v>7</v>
      </c>
      <c r="K13" s="63">
        <v>7.0000000000057785</v>
      </c>
      <c r="L13" s="63"/>
      <c r="M13" s="27"/>
      <c r="N13" s="63"/>
      <c r="O13" s="63"/>
      <c r="P13" s="63"/>
      <c r="Q13" s="63"/>
      <c r="R13" s="63"/>
      <c r="S13" s="63"/>
    </row>
    <row r="14" spans="1:19" x14ac:dyDescent="0.3">
      <c r="F14" s="12">
        <v>1</v>
      </c>
      <c r="G14" s="12">
        <v>4</v>
      </c>
      <c r="H14" s="12">
        <v>2</v>
      </c>
      <c r="I14" s="12">
        <v>3</v>
      </c>
      <c r="K14" s="63">
        <v>53.000000000049816</v>
      </c>
      <c r="L14" s="63"/>
      <c r="M14" s="27"/>
      <c r="N14" s="63"/>
      <c r="O14" s="63"/>
      <c r="P14" s="63"/>
      <c r="Q14" s="63"/>
      <c r="R14" s="63"/>
      <c r="S14" s="63"/>
    </row>
    <row r="15" spans="1:19" x14ac:dyDescent="0.3">
      <c r="F15" s="12">
        <v>5</v>
      </c>
      <c r="G15" s="12">
        <v>3</v>
      </c>
      <c r="H15" s="12">
        <v>2</v>
      </c>
      <c r="I15" s="12">
        <v>1</v>
      </c>
      <c r="K15" s="63">
        <v>-38.000000000035591</v>
      </c>
      <c r="L15" s="63"/>
      <c r="M15" s="27"/>
      <c r="N15" s="63"/>
      <c r="O15" s="63"/>
      <c r="P15" s="63"/>
      <c r="Q15" s="63"/>
      <c r="R15" s="63"/>
      <c r="S15" s="63"/>
    </row>
    <row r="16" spans="1:19" s="21" customFormat="1" x14ac:dyDescent="0.3">
      <c r="A16" s="17"/>
      <c r="B16"/>
      <c r="C16"/>
      <c r="D16"/>
      <c r="E16"/>
      <c r="F16"/>
      <c r="G16"/>
      <c r="H16"/>
      <c r="I16"/>
      <c r="J16"/>
      <c r="K16" s="27"/>
      <c r="L16" s="15"/>
      <c r="M16" s="27"/>
      <c r="N16" s="15"/>
      <c r="O16" s="15"/>
      <c r="P16" s="15"/>
      <c r="Q16" s="15"/>
      <c r="R16" s="15"/>
      <c r="S16" s="15"/>
    </row>
    <row r="17" spans="1:19" s="21" customFormat="1" x14ac:dyDescent="0.3">
      <c r="A17" s="17"/>
      <c r="B17"/>
      <c r="C17"/>
      <c r="D17"/>
      <c r="E17" s="13" t="s">
        <v>249</v>
      </c>
      <c r="F17" s="12">
        <v>4</v>
      </c>
      <c r="G17"/>
      <c r="H17"/>
      <c r="I17"/>
      <c r="J17"/>
      <c r="K17" s="27"/>
      <c r="L17" s="15"/>
      <c r="M17" s="27"/>
      <c r="N17" s="27"/>
      <c r="O17" s="15"/>
      <c r="P17" s="15"/>
      <c r="Q17" s="15"/>
      <c r="R17" s="15"/>
      <c r="S17" s="15"/>
    </row>
    <row r="18" spans="1:19" s="21" customFormat="1" x14ac:dyDescent="0.3">
      <c r="A18" s="17"/>
      <c r="B18"/>
      <c r="C18"/>
      <c r="D18"/>
      <c r="E18"/>
      <c r="F18" s="12">
        <v>2</v>
      </c>
      <c r="G18"/>
      <c r="H18"/>
      <c r="I18"/>
      <c r="J18"/>
      <c r="K18" s="27"/>
      <c r="L18" s="15"/>
      <c r="M18" s="27"/>
      <c r="N18" s="15"/>
      <c r="O18" s="15"/>
      <c r="P18" s="15"/>
      <c r="Q18" s="15"/>
      <c r="R18" s="15"/>
      <c r="S18" s="15"/>
    </row>
    <row r="19" spans="1:19" s="21" customFormat="1" x14ac:dyDescent="0.3">
      <c r="A19" s="17"/>
      <c r="B19"/>
      <c r="C19"/>
      <c r="D19"/>
      <c r="E19"/>
      <c r="F19" s="12">
        <v>3</v>
      </c>
      <c r="G19"/>
      <c r="H19"/>
      <c r="I19"/>
      <c r="J19"/>
      <c r="K19" s="27"/>
      <c r="L19" s="15"/>
      <c r="M19" s="27"/>
      <c r="N19" s="15"/>
      <c r="O19" s="15"/>
      <c r="P19" s="15"/>
      <c r="Q19" s="15"/>
      <c r="R19" s="15"/>
      <c r="S19" s="15"/>
    </row>
    <row r="20" spans="1:19" s="21" customFormat="1" x14ac:dyDescent="0.3">
      <c r="A20" s="17"/>
      <c r="B20"/>
      <c r="C20"/>
      <c r="D20"/>
      <c r="E20"/>
      <c r="F20" s="12">
        <v>4</v>
      </c>
      <c r="G20"/>
      <c r="H20"/>
      <c r="I20"/>
      <c r="J20"/>
      <c r="K20" s="27"/>
      <c r="L20" s="15"/>
      <c r="M20" s="27"/>
      <c r="N20" s="15"/>
      <c r="O20" s="15"/>
      <c r="P20" s="15"/>
      <c r="Q20" s="15"/>
      <c r="R20" s="15"/>
      <c r="S20" s="15"/>
    </row>
    <row r="21" spans="1:19" s="21" customFormat="1" x14ac:dyDescent="0.3">
      <c r="A21" s="17"/>
      <c r="B21"/>
      <c r="C21"/>
      <c r="D21"/>
      <c r="E21"/>
      <c r="F21"/>
      <c r="G21"/>
      <c r="H21"/>
      <c r="I21"/>
      <c r="J21"/>
      <c r="K21" s="27"/>
      <c r="L21" s="15"/>
      <c r="M21" s="27"/>
      <c r="N21" s="15"/>
      <c r="O21" s="15"/>
      <c r="P21" s="15"/>
      <c r="Q21" s="15"/>
      <c r="R21" s="15"/>
      <c r="S21" s="15"/>
    </row>
    <row r="22" spans="1:19" s="21" customFormat="1" x14ac:dyDescent="0.3">
      <c r="A22" s="17"/>
      <c r="B22"/>
      <c r="C22"/>
      <c r="D22"/>
      <c r="E22"/>
      <c r="F22"/>
      <c r="G22"/>
      <c r="H22"/>
      <c r="I22"/>
      <c r="J22"/>
      <c r="K22" s="27"/>
      <c r="L22" s="15"/>
      <c r="M22" s="27"/>
      <c r="N22" s="15"/>
      <c r="O22" s="15"/>
      <c r="P22" s="15"/>
      <c r="Q22" s="15"/>
      <c r="R22" s="15"/>
      <c r="S22" s="15"/>
    </row>
    <row r="23" spans="1:19" s="21" customFormat="1" x14ac:dyDescent="0.3">
      <c r="A23" s="17"/>
      <c r="B23"/>
      <c r="C23"/>
      <c r="D23" s="1" t="s">
        <v>17</v>
      </c>
      <c r="E23" s="13" t="s">
        <v>22</v>
      </c>
      <c r="F23" s="12">
        <v>1</v>
      </c>
      <c r="G23" s="12">
        <v>2</v>
      </c>
      <c r="H23" s="12">
        <v>3</v>
      </c>
      <c r="I23" s="12">
        <v>4</v>
      </c>
      <c r="J23"/>
      <c r="K23" s="63" cm="1">
        <f t="array" ref="K23:K26">LINSOLVE($F$23:$I$26,$F$28:$F$31)</f>
        <v>-17.000000000016051</v>
      </c>
      <c r="L23" s="63"/>
      <c r="M23" s="63"/>
      <c r="N23" s="63"/>
      <c r="O23" s="63"/>
      <c r="P23" s="63"/>
      <c r="Q23" s="63"/>
      <c r="R23" s="63"/>
      <c r="S23" s="63"/>
    </row>
    <row r="24" spans="1:19" s="21" customFormat="1" x14ac:dyDescent="0.3">
      <c r="A24" s="17"/>
      <c r="B24"/>
      <c r="C24"/>
      <c r="D24"/>
      <c r="E24"/>
      <c r="F24" s="12">
        <v>5</v>
      </c>
      <c r="G24" s="12">
        <v>5</v>
      </c>
      <c r="H24" s="12">
        <v>6</v>
      </c>
      <c r="I24" s="12">
        <v>7</v>
      </c>
      <c r="J24"/>
      <c r="K24" s="63">
        <v>7.0000000000057785</v>
      </c>
      <c r="L24" s="63"/>
      <c r="M24" s="63"/>
      <c r="N24" s="63"/>
      <c r="O24" s="63"/>
      <c r="P24" s="63"/>
      <c r="Q24" s="63"/>
      <c r="R24" s="63"/>
      <c r="S24" s="63"/>
    </row>
    <row r="25" spans="1:19" s="21" customFormat="1" x14ac:dyDescent="0.3">
      <c r="A25" s="17"/>
      <c r="B25"/>
      <c r="C25"/>
      <c r="D25"/>
      <c r="E25"/>
      <c r="F25" s="12">
        <v>1</v>
      </c>
      <c r="G25" s="12">
        <v>4</v>
      </c>
      <c r="H25" s="12">
        <v>2</v>
      </c>
      <c r="I25" s="12">
        <v>3</v>
      </c>
      <c r="J25"/>
      <c r="K25" s="63">
        <v>53.000000000049816</v>
      </c>
      <c r="L25" s="63"/>
      <c r="M25" s="63"/>
      <c r="N25" s="63"/>
      <c r="O25" s="63"/>
      <c r="P25" s="63"/>
      <c r="Q25" s="63"/>
      <c r="R25" s="63"/>
      <c r="S25" s="63"/>
    </row>
    <row r="26" spans="1:19" s="21" customFormat="1" x14ac:dyDescent="0.3">
      <c r="A26" s="17"/>
      <c r="B26"/>
      <c r="C26"/>
      <c r="D26"/>
      <c r="E26"/>
      <c r="F26" s="12">
        <v>5</v>
      </c>
      <c r="G26" s="12">
        <v>3</v>
      </c>
      <c r="H26" s="12">
        <v>2</v>
      </c>
      <c r="I26" s="12">
        <v>1</v>
      </c>
      <c r="J26"/>
      <c r="K26" s="63">
        <v>-38.000000000035591</v>
      </c>
      <c r="L26" s="63"/>
      <c r="M26" s="63"/>
      <c r="N26" s="63"/>
      <c r="O26" s="63"/>
      <c r="P26" s="63"/>
      <c r="Q26" s="63"/>
      <c r="R26" s="63"/>
      <c r="S26" s="63"/>
    </row>
    <row r="27" spans="1:19" s="21" customFormat="1" x14ac:dyDescent="0.3">
      <c r="A27" s="17"/>
      <c r="B27"/>
      <c r="C27"/>
      <c r="D27"/>
      <c r="E27"/>
      <c r="F27"/>
      <c r="G27"/>
      <c r="H27"/>
      <c r="I27"/>
      <c r="J27"/>
      <c r="K27" s="27"/>
      <c r="L27" s="15"/>
      <c r="M27" s="27"/>
      <c r="N27" s="15"/>
      <c r="O27" s="15"/>
      <c r="P27" s="15"/>
      <c r="Q27" s="15"/>
      <c r="R27" s="15"/>
      <c r="S27" s="15"/>
    </row>
    <row r="28" spans="1:19" s="21" customFormat="1" x14ac:dyDescent="0.3">
      <c r="A28" s="17"/>
      <c r="B28"/>
      <c r="C28"/>
      <c r="D28"/>
      <c r="E28" s="13" t="s">
        <v>249</v>
      </c>
      <c r="F28" s="12">
        <v>4</v>
      </c>
      <c r="G28"/>
      <c r="H28"/>
      <c r="I28"/>
      <c r="J28"/>
      <c r="K28" s="27"/>
      <c r="L28" s="15"/>
      <c r="M28" s="27"/>
      <c r="N28" s="15"/>
      <c r="O28" s="15"/>
      <c r="P28" s="15"/>
      <c r="Q28" s="15"/>
      <c r="R28" s="15"/>
      <c r="S28" s="15"/>
    </row>
    <row r="29" spans="1:19" s="21" customFormat="1" x14ac:dyDescent="0.3">
      <c r="A29" s="17"/>
      <c r="B29"/>
      <c r="C29"/>
      <c r="D29"/>
      <c r="E29"/>
      <c r="F29" s="12">
        <v>2</v>
      </c>
      <c r="G29"/>
      <c r="H29"/>
      <c r="I29"/>
      <c r="J29"/>
      <c r="K29" s="27"/>
      <c r="L29" s="15"/>
      <c r="M29" s="27"/>
      <c r="N29" s="15"/>
      <c r="O29" s="15"/>
      <c r="P29" s="15"/>
      <c r="Q29" s="15"/>
      <c r="R29" s="15"/>
      <c r="S29" s="15"/>
    </row>
    <row r="30" spans="1:19" s="21" customFormat="1" x14ac:dyDescent="0.3">
      <c r="A30" s="17"/>
      <c r="B30"/>
      <c r="C30"/>
      <c r="D30"/>
      <c r="E30"/>
      <c r="F30" s="12">
        <v>3</v>
      </c>
      <c r="G30"/>
      <c r="H30"/>
      <c r="I30"/>
      <c r="J30"/>
      <c r="K30" s="27"/>
      <c r="L30" s="15"/>
      <c r="M30" s="27"/>
      <c r="N30" s="15"/>
      <c r="O30" s="15"/>
      <c r="P30" s="15"/>
      <c r="Q30" s="15"/>
      <c r="R30" s="15"/>
      <c r="S30" s="15"/>
    </row>
    <row r="31" spans="1:19" s="21" customFormat="1" x14ac:dyDescent="0.3">
      <c r="A31" s="17"/>
      <c r="B31"/>
      <c r="C31"/>
      <c r="D31"/>
      <c r="E31"/>
      <c r="F31" s="12">
        <v>4</v>
      </c>
      <c r="G31"/>
      <c r="H31"/>
      <c r="I31"/>
      <c r="J31"/>
      <c r="K31" s="27"/>
      <c r="L31" s="15"/>
      <c r="M31" s="27"/>
      <c r="N31" s="15"/>
      <c r="O31" s="15"/>
      <c r="P31" s="15"/>
      <c r="Q31" s="15"/>
      <c r="R31" s="15"/>
      <c r="S31" s="15"/>
    </row>
    <row r="32" spans="1:19" s="21" customFormat="1" x14ac:dyDescent="0.3">
      <c r="A32" s="17"/>
      <c r="B32"/>
      <c r="C32"/>
      <c r="D32"/>
      <c r="E32"/>
      <c r="F32"/>
      <c r="G32"/>
      <c r="H32"/>
      <c r="I32"/>
      <c r="J32"/>
      <c r="K32" s="27"/>
      <c r="L32" s="15"/>
      <c r="M32" s="27"/>
      <c r="N32" s="15"/>
      <c r="O32" s="15"/>
      <c r="P32" s="15"/>
      <c r="Q32" s="15"/>
      <c r="R32" s="15"/>
      <c r="S32" s="15"/>
    </row>
    <row r="33" spans="1:19" s="21" customFormat="1" x14ac:dyDescent="0.3">
      <c r="A33" s="17"/>
      <c r="B33"/>
      <c r="C33"/>
      <c r="D33"/>
      <c r="E33"/>
      <c r="F33"/>
      <c r="G33"/>
      <c r="H33"/>
      <c r="I33"/>
      <c r="J33"/>
      <c r="K33" s="27"/>
      <c r="L33" s="15"/>
      <c r="M33" s="27"/>
      <c r="N33" s="15"/>
      <c r="O33" s="15"/>
      <c r="P33" s="15"/>
      <c r="Q33" s="15"/>
      <c r="R33" s="15"/>
      <c r="S33" s="15"/>
    </row>
    <row r="34" spans="1:19" s="21" customFormat="1" x14ac:dyDescent="0.3">
      <c r="A34" s="17"/>
      <c r="B34"/>
      <c r="C34"/>
      <c r="D34"/>
      <c r="E34"/>
      <c r="F34"/>
      <c r="G34"/>
      <c r="H34"/>
      <c r="I34"/>
      <c r="J34"/>
      <c r="K34" s="27"/>
      <c r="L34" s="15"/>
      <c r="M34" s="27"/>
      <c r="N34" s="15"/>
      <c r="O34" s="15"/>
      <c r="P34" s="15"/>
      <c r="Q34" s="15"/>
      <c r="R34" s="15"/>
      <c r="S34" s="15"/>
    </row>
    <row r="35" spans="1:19" s="21" customFormat="1" x14ac:dyDescent="0.3">
      <c r="A35" s="17"/>
      <c r="B35"/>
      <c r="C35"/>
      <c r="D35"/>
      <c r="E35"/>
      <c r="F35"/>
      <c r="G35"/>
      <c r="H35"/>
      <c r="I35"/>
      <c r="J35"/>
      <c r="K35" s="27"/>
      <c r="L35" s="15"/>
      <c r="M35" s="27"/>
      <c r="N35" s="15"/>
      <c r="O35" s="15"/>
      <c r="P35" s="15"/>
      <c r="Q35" s="15"/>
      <c r="R35" s="15"/>
      <c r="S35" s="15"/>
    </row>
    <row r="36" spans="1:19" s="21" customFormat="1" x14ac:dyDescent="0.3">
      <c r="A36" s="17"/>
      <c r="B36"/>
      <c r="C36"/>
      <c r="D36"/>
      <c r="E36"/>
      <c r="F36"/>
      <c r="G36"/>
      <c r="H36"/>
      <c r="I36"/>
      <c r="J36"/>
      <c r="K36" s="27"/>
      <c r="L36" s="15"/>
      <c r="M36" s="27"/>
      <c r="N36" s="15"/>
      <c r="O36" s="15"/>
      <c r="P36" s="15"/>
      <c r="Q36" s="15"/>
      <c r="R36" s="15"/>
      <c r="S36" s="15"/>
    </row>
    <row r="37" spans="1:19" s="21" customFormat="1" x14ac:dyDescent="0.3">
      <c r="A37" s="17"/>
      <c r="B37"/>
      <c r="C37"/>
      <c r="D37"/>
      <c r="E37"/>
      <c r="F37"/>
      <c r="G37"/>
      <c r="H37"/>
      <c r="I37"/>
      <c r="J37"/>
      <c r="K37" s="27"/>
      <c r="L37" s="15"/>
      <c r="M37" s="27"/>
      <c r="N37" s="15"/>
      <c r="O37" s="15"/>
      <c r="P37" s="15"/>
      <c r="Q37" s="15"/>
      <c r="R37" s="15"/>
      <c r="S37" s="15"/>
    </row>
    <row r="38" spans="1:19" s="21" customFormat="1" x14ac:dyDescent="0.3">
      <c r="A38" s="17"/>
      <c r="B38"/>
      <c r="C38"/>
      <c r="D38"/>
      <c r="E38"/>
      <c r="F38"/>
      <c r="G38"/>
      <c r="H38"/>
      <c r="I38"/>
      <c r="J38"/>
      <c r="K38" s="27"/>
      <c r="L38" s="15"/>
      <c r="M38" s="27"/>
      <c r="N38" s="15"/>
      <c r="O38" s="15"/>
      <c r="P38" s="15"/>
      <c r="Q38" s="15"/>
      <c r="R38" s="15"/>
      <c r="S38" s="15"/>
    </row>
    <row r="39" spans="1:19" s="21" customFormat="1" x14ac:dyDescent="0.3">
      <c r="A39" s="17"/>
      <c r="B39"/>
      <c r="C39"/>
      <c r="D39"/>
      <c r="E39"/>
      <c r="F39"/>
      <c r="G39"/>
      <c r="H39"/>
      <c r="I39"/>
      <c r="J39"/>
      <c r="K39" s="27"/>
      <c r="L39" s="15"/>
      <c r="M39" s="27"/>
      <c r="N39" s="15"/>
      <c r="O39" s="15"/>
      <c r="P39" s="15"/>
      <c r="Q39" s="15"/>
      <c r="R39" s="15"/>
      <c r="S39" s="15"/>
    </row>
    <row r="40" spans="1:19" s="21" customFormat="1" x14ac:dyDescent="0.3">
      <c r="A40" s="17"/>
      <c r="B40"/>
      <c r="C40"/>
      <c r="D40"/>
      <c r="E40"/>
      <c r="F40"/>
      <c r="G40"/>
      <c r="H40"/>
      <c r="I40"/>
      <c r="J40"/>
      <c r="K40" s="27"/>
      <c r="L40" s="15"/>
      <c r="M40" s="27"/>
      <c r="N40" s="15"/>
      <c r="O40" s="15"/>
      <c r="P40" s="15"/>
      <c r="Q40" s="15"/>
      <c r="R40" s="15"/>
      <c r="S40" s="15"/>
    </row>
    <row r="41" spans="1:19" s="21" customFormat="1" x14ac:dyDescent="0.3">
      <c r="A41" s="17"/>
      <c r="B41"/>
      <c r="C41"/>
      <c r="D41"/>
      <c r="E41"/>
      <c r="F41"/>
      <c r="G41"/>
      <c r="H41"/>
      <c r="I41"/>
      <c r="J41"/>
      <c r="K41" s="27"/>
      <c r="L41" s="15"/>
      <c r="M41" s="27"/>
      <c r="N41" s="15"/>
      <c r="O41" s="15"/>
      <c r="P41" s="15"/>
      <c r="Q41" s="15"/>
      <c r="R41" s="15"/>
      <c r="S41" s="15"/>
    </row>
    <row r="42" spans="1:19" s="21" customFormat="1" x14ac:dyDescent="0.3">
      <c r="A42" s="17"/>
      <c r="B42"/>
      <c r="C42"/>
      <c r="D42"/>
      <c r="E42"/>
      <c r="F42"/>
      <c r="G42"/>
      <c r="H42"/>
      <c r="I42"/>
      <c r="J42"/>
      <c r="K42" s="27"/>
      <c r="L42" s="15"/>
      <c r="M42" s="27"/>
      <c r="N42" s="15"/>
      <c r="O42" s="15"/>
      <c r="P42" s="15"/>
      <c r="Q42" s="15"/>
      <c r="R42" s="15"/>
      <c r="S42" s="15"/>
    </row>
    <row r="43" spans="1:19" s="21" customFormat="1" x14ac:dyDescent="0.3">
      <c r="A43" s="17"/>
      <c r="B43"/>
      <c r="C43"/>
      <c r="D43"/>
      <c r="E43"/>
      <c r="F43"/>
      <c r="G43"/>
      <c r="H43"/>
      <c r="I43"/>
      <c r="J43"/>
      <c r="K43" s="27"/>
      <c r="L43" s="15"/>
      <c r="M43" s="27"/>
      <c r="N43" s="15"/>
      <c r="O43" s="15"/>
      <c r="P43" s="15"/>
      <c r="Q43" s="15"/>
      <c r="R43" s="15"/>
      <c r="S43" s="15"/>
    </row>
    <row r="44" spans="1:19" s="21" customFormat="1" x14ac:dyDescent="0.3">
      <c r="A44" s="17"/>
      <c r="B44"/>
      <c r="C44"/>
      <c r="D44"/>
      <c r="E44"/>
      <c r="F44"/>
      <c r="G44"/>
      <c r="H44"/>
      <c r="I44"/>
      <c r="J44"/>
      <c r="K44" s="27"/>
      <c r="L44" s="15"/>
      <c r="M44" s="27"/>
      <c r="N44" s="15"/>
      <c r="O44" s="15"/>
      <c r="P44" s="15"/>
      <c r="Q44" s="15"/>
      <c r="R44" s="15"/>
      <c r="S44" s="15"/>
    </row>
    <row r="45" spans="1:19" s="21" customFormat="1" x14ac:dyDescent="0.3">
      <c r="A45" s="17"/>
      <c r="B45"/>
      <c r="C45"/>
      <c r="D45"/>
      <c r="E45"/>
      <c r="F45"/>
      <c r="G45"/>
      <c r="H45"/>
      <c r="I45"/>
      <c r="J45"/>
      <c r="K45" s="27"/>
      <c r="L45" s="15"/>
      <c r="M45" s="27"/>
      <c r="N45" s="15"/>
      <c r="O45" s="15"/>
      <c r="P45" s="15"/>
      <c r="Q45" s="15"/>
      <c r="R45" s="15"/>
      <c r="S45" s="15"/>
    </row>
    <row r="46" spans="1:19" s="21" customFormat="1" x14ac:dyDescent="0.3">
      <c r="A46" s="17"/>
      <c r="B46"/>
      <c r="C46"/>
      <c r="D46"/>
      <c r="E46"/>
      <c r="F46"/>
      <c r="G46"/>
      <c r="H46"/>
      <c r="I46"/>
      <c r="J46"/>
      <c r="K46" s="27"/>
      <c r="L46" s="15"/>
      <c r="M46" s="27"/>
      <c r="N46" s="15"/>
      <c r="O46" s="15"/>
      <c r="P46" s="15"/>
      <c r="Q46" s="15"/>
      <c r="R46" s="15"/>
      <c r="S46" s="15"/>
    </row>
    <row r="47" spans="1:19" s="21" customFormat="1" x14ac:dyDescent="0.3">
      <c r="A47" s="17"/>
      <c r="B47"/>
      <c r="C47"/>
      <c r="D47"/>
      <c r="E47"/>
      <c r="F47"/>
      <c r="G47"/>
      <c r="H47"/>
      <c r="I47"/>
      <c r="J47"/>
      <c r="K47" s="27"/>
      <c r="L47" s="15"/>
      <c r="M47" s="27"/>
      <c r="N47" s="15"/>
      <c r="O47" s="15"/>
      <c r="P47" s="15"/>
      <c r="Q47" s="15"/>
      <c r="R47" s="15"/>
      <c r="S47" s="15"/>
    </row>
    <row r="48" spans="1:19" s="21" customFormat="1" x14ac:dyDescent="0.3">
      <c r="A48" s="17"/>
      <c r="B48"/>
      <c r="C48"/>
      <c r="D48"/>
      <c r="E48"/>
      <c r="F48"/>
      <c r="G48"/>
      <c r="H48"/>
      <c r="I48"/>
      <c r="J48"/>
      <c r="K48" s="27"/>
      <c r="L48" s="15"/>
      <c r="M48" s="27"/>
      <c r="N48" s="15"/>
      <c r="O48" s="15"/>
      <c r="P48" s="15"/>
      <c r="Q48" s="15"/>
      <c r="R48" s="15"/>
      <c r="S48" s="15"/>
    </row>
    <row r="49" spans="1:19" s="21" customFormat="1" x14ac:dyDescent="0.3">
      <c r="A49" s="17"/>
      <c r="B49"/>
      <c r="C49"/>
      <c r="D49"/>
      <c r="E49"/>
      <c r="F49"/>
      <c r="G49"/>
      <c r="H49"/>
      <c r="I49"/>
      <c r="J49"/>
      <c r="K49" s="27"/>
      <c r="L49" s="15"/>
      <c r="M49" s="27"/>
      <c r="N49" s="15"/>
      <c r="O49" s="15"/>
      <c r="P49" s="15"/>
      <c r="Q49" s="15"/>
      <c r="R49" s="15"/>
      <c r="S49" s="15"/>
    </row>
    <row r="50" spans="1:19" s="21" customFormat="1" x14ac:dyDescent="0.3">
      <c r="A50" s="17"/>
      <c r="B50"/>
      <c r="C50"/>
      <c r="D50"/>
      <c r="E50"/>
      <c r="F50"/>
      <c r="G50"/>
      <c r="H50"/>
      <c r="I50"/>
      <c r="J50"/>
      <c r="K50" s="27"/>
      <c r="L50" s="15"/>
      <c r="M50" s="27"/>
      <c r="N50" s="15"/>
      <c r="O50" s="15"/>
      <c r="P50" s="15"/>
      <c r="Q50" s="15"/>
      <c r="R50" s="15"/>
      <c r="S50" s="15"/>
    </row>
    <row r="51" spans="1:19" s="21" customFormat="1" x14ac:dyDescent="0.3">
      <c r="A51" s="17"/>
      <c r="B51"/>
      <c r="C51"/>
      <c r="D51"/>
      <c r="E51"/>
      <c r="F51"/>
      <c r="G51"/>
      <c r="H51"/>
      <c r="I51"/>
      <c r="J51"/>
      <c r="K51" s="27"/>
      <c r="L51" s="15"/>
      <c r="M51" s="27"/>
      <c r="N51" s="15"/>
      <c r="O51" s="15"/>
      <c r="P51" s="15"/>
      <c r="Q51" s="15"/>
      <c r="R51" s="15"/>
      <c r="S51" s="15"/>
    </row>
    <row r="52" spans="1:19" s="21" customFormat="1" x14ac:dyDescent="0.3">
      <c r="A52" s="17"/>
      <c r="B52"/>
      <c r="C52"/>
      <c r="D52"/>
      <c r="E52"/>
      <c r="F52"/>
      <c r="G52"/>
      <c r="H52"/>
      <c r="I52"/>
      <c r="J52"/>
      <c r="K52" s="27"/>
      <c r="L52" s="15"/>
      <c r="M52" s="27"/>
      <c r="N52" s="15"/>
      <c r="O52" s="15"/>
      <c r="P52" s="15"/>
      <c r="Q52" s="15"/>
      <c r="R52" s="15"/>
      <c r="S52" s="15"/>
    </row>
    <row r="53" spans="1:19" s="21" customFormat="1" x14ac:dyDescent="0.3">
      <c r="A53" s="17"/>
      <c r="B53"/>
      <c r="C53"/>
      <c r="D53"/>
      <c r="E53"/>
      <c r="F53"/>
      <c r="G53"/>
      <c r="H53"/>
      <c r="I53"/>
      <c r="J53"/>
      <c r="K53" s="27"/>
      <c r="L53" s="15"/>
      <c r="M53" s="27"/>
      <c r="N53" s="15"/>
      <c r="O53" s="15"/>
      <c r="P53" s="15"/>
      <c r="Q53" s="15"/>
      <c r="R53" s="15"/>
      <c r="S53" s="15"/>
    </row>
    <row r="54" spans="1:19" s="21" customFormat="1" x14ac:dyDescent="0.3">
      <c r="A54" s="17"/>
      <c r="B54"/>
      <c r="C54"/>
      <c r="D54"/>
      <c r="E54"/>
      <c r="F54"/>
      <c r="G54"/>
      <c r="H54"/>
      <c r="I54"/>
      <c r="J54"/>
      <c r="K54" s="27"/>
      <c r="L54" s="15"/>
      <c r="M54" s="27"/>
      <c r="N54" s="15"/>
      <c r="O54" s="15"/>
      <c r="P54" s="15"/>
      <c r="Q54" s="15"/>
      <c r="R54" s="15"/>
      <c r="S54" s="15"/>
    </row>
    <row r="55" spans="1:19" s="21" customFormat="1" x14ac:dyDescent="0.3">
      <c r="A55" s="17"/>
      <c r="B55"/>
      <c r="C55"/>
      <c r="D55"/>
      <c r="E55"/>
      <c r="F55"/>
      <c r="G55"/>
      <c r="H55"/>
      <c r="I55"/>
      <c r="J55"/>
      <c r="K55" s="27"/>
      <c r="L55" s="15"/>
      <c r="M55" s="27"/>
      <c r="N55" s="15"/>
      <c r="O55" s="15"/>
      <c r="P55" s="15"/>
      <c r="Q55" s="15"/>
      <c r="R55" s="15"/>
      <c r="S55" s="15"/>
    </row>
    <row r="56" spans="1:19" s="21" customFormat="1" x14ac:dyDescent="0.3">
      <c r="A56" s="17"/>
      <c r="B56"/>
      <c r="C56"/>
      <c r="D56"/>
      <c r="E56"/>
      <c r="F56"/>
      <c r="G56"/>
      <c r="H56"/>
      <c r="I56"/>
      <c r="J56"/>
      <c r="K56" s="27"/>
      <c r="L56" s="15"/>
      <c r="M56" s="27"/>
      <c r="N56" s="15"/>
      <c r="O56" s="15"/>
      <c r="P56" s="15"/>
      <c r="Q56" s="15"/>
      <c r="R56" s="15"/>
      <c r="S56" s="15"/>
    </row>
    <row r="57" spans="1:19" s="21" customFormat="1" x14ac:dyDescent="0.3">
      <c r="A57" s="17"/>
      <c r="B57"/>
      <c r="C57"/>
      <c r="D57"/>
      <c r="E57"/>
      <c r="F57"/>
      <c r="G57"/>
      <c r="H57"/>
      <c r="I57"/>
      <c r="J57"/>
      <c r="K57" s="27"/>
      <c r="L57" s="15"/>
      <c r="M57" s="27"/>
      <c r="N57" s="15"/>
      <c r="O57" s="15"/>
      <c r="P57" s="15"/>
      <c r="Q57" s="15"/>
      <c r="R57" s="15"/>
      <c r="S57" s="15"/>
    </row>
    <row r="58" spans="1:19" s="21" customFormat="1" x14ac:dyDescent="0.3">
      <c r="A58" s="17"/>
      <c r="B58"/>
      <c r="C58"/>
      <c r="D58"/>
      <c r="E58"/>
      <c r="F58"/>
      <c r="G58"/>
      <c r="H58"/>
      <c r="I58"/>
      <c r="J58"/>
      <c r="K58" s="27"/>
      <c r="L58" s="15"/>
      <c r="M58" s="27"/>
      <c r="N58" s="15"/>
      <c r="O58" s="15"/>
      <c r="P58" s="15"/>
      <c r="Q58" s="15"/>
      <c r="R58" s="15"/>
      <c r="S58" s="15"/>
    </row>
    <row r="59" spans="1:19" s="21" customFormat="1" x14ac:dyDescent="0.3">
      <c r="A59" s="17"/>
      <c r="B59"/>
      <c r="C59"/>
      <c r="D59"/>
      <c r="E59"/>
      <c r="F59"/>
      <c r="G59"/>
      <c r="H59"/>
      <c r="I59"/>
      <c r="J59"/>
      <c r="K59" s="27"/>
      <c r="L59" s="15"/>
      <c r="M59" s="27"/>
      <c r="N59" s="15"/>
      <c r="O59" s="15"/>
      <c r="P59" s="15"/>
      <c r="Q59" s="15"/>
      <c r="R59" s="15"/>
      <c r="S59" s="15"/>
    </row>
    <row r="60" spans="1:19" s="21" customFormat="1" x14ac:dyDescent="0.3">
      <c r="A60" s="17"/>
      <c r="B60"/>
      <c r="C60"/>
      <c r="D60"/>
      <c r="E60"/>
      <c r="F60"/>
      <c r="G60"/>
      <c r="H60"/>
      <c r="I60"/>
      <c r="J60"/>
      <c r="K60" s="27"/>
      <c r="L60" s="15"/>
      <c r="M60" s="27"/>
      <c r="N60" s="15"/>
      <c r="O60" s="15"/>
      <c r="P60" s="15"/>
      <c r="Q60" s="15"/>
      <c r="R60" s="15"/>
      <c r="S60" s="15"/>
    </row>
    <row r="61" spans="1:19" s="21" customFormat="1" x14ac:dyDescent="0.3">
      <c r="A61" s="17"/>
      <c r="B61"/>
      <c r="C61"/>
      <c r="D61"/>
      <c r="E61"/>
      <c r="F61"/>
      <c r="G61"/>
      <c r="H61"/>
      <c r="I61"/>
      <c r="J61"/>
      <c r="K61" s="27"/>
      <c r="L61" s="15"/>
      <c r="M61" s="27"/>
      <c r="N61" s="15"/>
      <c r="O61" s="15"/>
      <c r="P61" s="15"/>
      <c r="Q61" s="15"/>
      <c r="R61" s="15"/>
      <c r="S61" s="15"/>
    </row>
    <row r="62" spans="1:19" s="21" customFormat="1" x14ac:dyDescent="0.3">
      <c r="A62" s="17"/>
      <c r="B62"/>
      <c r="C62"/>
      <c r="D62"/>
      <c r="E62"/>
      <c r="F62"/>
      <c r="G62"/>
      <c r="H62"/>
      <c r="I62"/>
      <c r="J62"/>
      <c r="K62" s="27"/>
      <c r="L62" s="15"/>
      <c r="M62" s="27"/>
      <c r="N62" s="15"/>
      <c r="O62" s="15"/>
      <c r="P62" s="15"/>
      <c r="Q62" s="15"/>
      <c r="R62" s="15"/>
      <c r="S62" s="15"/>
    </row>
    <row r="63" spans="1:19" s="21" customFormat="1" x14ac:dyDescent="0.3">
      <c r="A63" s="17"/>
      <c r="B63"/>
      <c r="C63"/>
      <c r="D63"/>
      <c r="E63"/>
      <c r="F63"/>
      <c r="G63"/>
      <c r="H63"/>
      <c r="I63"/>
      <c r="J63"/>
      <c r="K63" s="27"/>
      <c r="L63" s="15"/>
      <c r="M63" s="27"/>
      <c r="N63" s="15"/>
      <c r="O63" s="15"/>
      <c r="P63" s="15"/>
      <c r="Q63" s="15"/>
      <c r="R63" s="15"/>
      <c r="S63" s="15"/>
    </row>
    <row r="64" spans="1:19" s="21" customFormat="1" x14ac:dyDescent="0.3">
      <c r="A64" s="17"/>
      <c r="B64"/>
      <c r="C64"/>
      <c r="D64"/>
      <c r="E64"/>
      <c r="F64"/>
      <c r="G64"/>
      <c r="H64"/>
      <c r="I64"/>
      <c r="J64"/>
      <c r="K64" s="27"/>
      <c r="L64" s="15"/>
      <c r="M64" s="27"/>
      <c r="N64" s="15"/>
      <c r="O64" s="15"/>
      <c r="P64" s="15"/>
      <c r="Q64" s="15"/>
      <c r="R64" s="15"/>
      <c r="S64" s="15"/>
    </row>
    <row r="65" spans="1:19" s="21" customFormat="1" x14ac:dyDescent="0.3">
      <c r="A65" s="17"/>
      <c r="B65"/>
      <c r="C65"/>
      <c r="D65"/>
      <c r="E65"/>
      <c r="F65"/>
      <c r="G65"/>
      <c r="H65"/>
      <c r="I65"/>
      <c r="J65"/>
      <c r="K65" s="27"/>
      <c r="L65" s="15"/>
      <c r="M65" s="27"/>
      <c r="N65" s="15"/>
      <c r="O65" s="15"/>
      <c r="P65" s="15"/>
      <c r="Q65" s="15"/>
      <c r="R65" s="15"/>
      <c r="S65" s="15"/>
    </row>
    <row r="66" spans="1:19" s="21" customFormat="1" x14ac:dyDescent="0.3">
      <c r="A66" s="17"/>
      <c r="B66"/>
      <c r="C66"/>
      <c r="D66"/>
      <c r="E66"/>
      <c r="F66"/>
      <c r="G66"/>
      <c r="H66"/>
      <c r="I66"/>
      <c r="J66"/>
      <c r="K66" s="27"/>
      <c r="L66" s="15"/>
      <c r="M66" s="27"/>
      <c r="N66" s="15"/>
      <c r="O66" s="15"/>
      <c r="P66" s="15"/>
      <c r="Q66" s="15"/>
      <c r="R66" s="15"/>
      <c r="S66" s="15"/>
    </row>
    <row r="67" spans="1:19" s="21" customFormat="1" x14ac:dyDescent="0.3">
      <c r="A67" s="17"/>
      <c r="B67"/>
      <c r="C67"/>
      <c r="D67"/>
      <c r="E67"/>
      <c r="F67"/>
      <c r="G67"/>
      <c r="H67"/>
      <c r="I67"/>
      <c r="J67"/>
      <c r="K67" s="27"/>
      <c r="L67" s="15"/>
      <c r="M67" s="27"/>
      <c r="N67" s="15"/>
      <c r="O67" s="15"/>
      <c r="P67" s="15"/>
      <c r="Q67" s="15"/>
      <c r="R67" s="15"/>
      <c r="S67" s="15"/>
    </row>
    <row r="68" spans="1:19" s="21" customFormat="1" x14ac:dyDescent="0.3">
      <c r="A68" s="17"/>
      <c r="B68"/>
      <c r="C68"/>
      <c r="D68"/>
      <c r="E68"/>
      <c r="F68"/>
      <c r="G68"/>
      <c r="H68"/>
      <c r="I68"/>
      <c r="J68"/>
      <c r="K68" s="27"/>
      <c r="L68" s="15"/>
      <c r="M68" s="27"/>
      <c r="N68" s="15"/>
      <c r="O68" s="15"/>
      <c r="P68" s="15"/>
      <c r="Q68" s="15"/>
      <c r="R68" s="15"/>
      <c r="S68" s="15"/>
    </row>
    <row r="69" spans="1:19" s="21" customFormat="1" x14ac:dyDescent="0.3">
      <c r="A69" s="17"/>
      <c r="B69"/>
      <c r="C69"/>
      <c r="D69"/>
      <c r="E69"/>
      <c r="F69"/>
      <c r="G69"/>
      <c r="H69"/>
      <c r="I69"/>
      <c r="J69"/>
      <c r="K69" s="27"/>
      <c r="L69" s="15"/>
      <c r="M69" s="27"/>
      <c r="N69" s="15"/>
      <c r="O69" s="15"/>
      <c r="P69" s="15"/>
      <c r="Q69" s="15"/>
      <c r="R69" s="15"/>
      <c r="S69" s="15"/>
    </row>
    <row r="70" spans="1:19" s="21" customFormat="1" x14ac:dyDescent="0.3">
      <c r="A70" s="17"/>
      <c r="B70"/>
      <c r="C70"/>
      <c r="D70"/>
      <c r="E70"/>
      <c r="F70"/>
      <c r="G70"/>
      <c r="H70"/>
      <c r="I70"/>
      <c r="J70"/>
      <c r="K70" s="27"/>
      <c r="L70" s="15"/>
      <c r="M70" s="27"/>
      <c r="N70" s="15"/>
      <c r="O70" s="15"/>
      <c r="P70" s="15"/>
      <c r="Q70" s="15"/>
      <c r="R70" s="15"/>
      <c r="S70" s="15"/>
    </row>
    <row r="71" spans="1:19" s="21" customFormat="1" x14ac:dyDescent="0.3">
      <c r="A71" s="17"/>
      <c r="B71"/>
      <c r="C71"/>
      <c r="D71"/>
      <c r="E71"/>
      <c r="F71"/>
      <c r="G71"/>
      <c r="H71"/>
      <c r="I71"/>
      <c r="J71"/>
      <c r="K71" s="27"/>
      <c r="L71" s="15"/>
      <c r="M71" s="27"/>
      <c r="N71" s="15"/>
      <c r="O71" s="15"/>
      <c r="P71" s="15"/>
      <c r="Q71" s="15"/>
      <c r="R71" s="15"/>
      <c r="S71" s="15"/>
    </row>
    <row r="72" spans="1:19" s="21" customFormat="1" x14ac:dyDescent="0.3">
      <c r="A72" s="17"/>
      <c r="B72"/>
      <c r="C72"/>
      <c r="D72"/>
      <c r="E72"/>
      <c r="F72"/>
      <c r="G72"/>
      <c r="H72"/>
      <c r="I72"/>
      <c r="J72"/>
      <c r="K72" s="27"/>
      <c r="L72" s="15"/>
      <c r="M72" s="27"/>
      <c r="N72" s="15"/>
      <c r="O72" s="15"/>
      <c r="P72" s="15"/>
      <c r="Q72" s="15"/>
      <c r="R72" s="15"/>
      <c r="S72" s="15"/>
    </row>
    <row r="73" spans="1:19" s="21" customFormat="1" x14ac:dyDescent="0.3">
      <c r="A73" s="17"/>
      <c r="B73"/>
      <c r="C73"/>
      <c r="D73"/>
      <c r="E73"/>
      <c r="F73"/>
      <c r="G73"/>
      <c r="H73"/>
      <c r="I73"/>
      <c r="J73"/>
      <c r="K73" s="27"/>
      <c r="L73" s="15"/>
      <c r="M73" s="27"/>
      <c r="N73" s="15"/>
      <c r="O73" s="15"/>
      <c r="P73" s="15"/>
      <c r="Q73" s="15"/>
      <c r="R73" s="15"/>
      <c r="S73" s="15"/>
    </row>
    <row r="74" spans="1:19" s="21" customFormat="1" x14ac:dyDescent="0.3">
      <c r="A74" s="17"/>
      <c r="B74"/>
      <c r="C74"/>
      <c r="D74"/>
      <c r="E74"/>
      <c r="F74"/>
      <c r="G74"/>
      <c r="H74"/>
      <c r="I74"/>
      <c r="J74"/>
      <c r="K74" s="27"/>
      <c r="L74" s="15"/>
      <c r="M74" s="27"/>
      <c r="N74" s="15"/>
      <c r="O74" s="15"/>
      <c r="P74" s="15"/>
      <c r="Q74" s="15"/>
      <c r="R74" s="15"/>
      <c r="S74" s="15"/>
    </row>
    <row r="75" spans="1:19" s="21" customFormat="1" x14ac:dyDescent="0.3">
      <c r="A75" s="17"/>
      <c r="B75"/>
      <c r="C75"/>
      <c r="D75"/>
      <c r="E75"/>
      <c r="F75"/>
      <c r="G75"/>
      <c r="H75"/>
      <c r="I75"/>
      <c r="J75"/>
      <c r="K75" s="27"/>
      <c r="L75" s="15"/>
      <c r="M75" s="27"/>
      <c r="N75" s="15"/>
      <c r="O75" s="15"/>
      <c r="P75" s="15"/>
      <c r="Q75" s="15"/>
      <c r="R75" s="15"/>
      <c r="S75" s="15"/>
    </row>
    <row r="76" spans="1:19" s="21" customFormat="1" x14ac:dyDescent="0.3">
      <c r="A76" s="17"/>
      <c r="B76"/>
      <c r="C76"/>
      <c r="D76"/>
      <c r="E76"/>
      <c r="F76"/>
      <c r="G76"/>
      <c r="H76"/>
      <c r="I76"/>
      <c r="J76"/>
      <c r="K76" s="27"/>
      <c r="L76" s="15"/>
      <c r="M76" s="27"/>
      <c r="N76" s="15"/>
      <c r="O76" s="15"/>
      <c r="P76" s="15"/>
      <c r="Q76" s="15"/>
      <c r="R76" s="15"/>
      <c r="S76" s="15"/>
    </row>
    <row r="77" spans="1:19" s="21" customFormat="1" x14ac:dyDescent="0.3">
      <c r="A77" s="17"/>
      <c r="B77"/>
      <c r="C77"/>
      <c r="D77"/>
      <c r="E77"/>
      <c r="F77"/>
      <c r="G77"/>
      <c r="H77"/>
      <c r="I77"/>
      <c r="J77"/>
      <c r="K77" s="27"/>
      <c r="L77" s="15"/>
      <c r="M77" s="27"/>
      <c r="N77" s="15"/>
      <c r="O77" s="15"/>
      <c r="P77" s="15"/>
      <c r="Q77" s="15"/>
      <c r="R77" s="15"/>
      <c r="S77" s="15"/>
    </row>
    <row r="78" spans="1:19" s="21" customFormat="1" x14ac:dyDescent="0.3">
      <c r="A78" s="17"/>
      <c r="B78"/>
      <c r="C78"/>
      <c r="D78"/>
      <c r="E78"/>
      <c r="F78"/>
      <c r="G78"/>
      <c r="H78"/>
      <c r="I78"/>
      <c r="J78"/>
      <c r="K78" s="27"/>
      <c r="L78" s="15"/>
      <c r="M78" s="27"/>
      <c r="N78" s="15"/>
      <c r="O78" s="15"/>
      <c r="P78" s="15"/>
      <c r="Q78" s="15"/>
      <c r="R78" s="15"/>
      <c r="S78" s="15"/>
    </row>
    <row r="79" spans="1:19" s="21" customFormat="1" x14ac:dyDescent="0.3">
      <c r="A79" s="17"/>
      <c r="B79"/>
      <c r="C79"/>
      <c r="D79"/>
      <c r="E79"/>
      <c r="F79"/>
      <c r="G79"/>
      <c r="H79"/>
      <c r="I79"/>
      <c r="J79"/>
      <c r="K79" s="27"/>
      <c r="L79" s="15"/>
      <c r="M79" s="27"/>
      <c r="N79" s="15"/>
      <c r="O79" s="15"/>
      <c r="P79" s="15"/>
      <c r="Q79" s="15"/>
      <c r="R79" s="15"/>
      <c r="S79" s="15"/>
    </row>
    <row r="80" spans="1:19" s="21" customFormat="1" x14ac:dyDescent="0.3">
      <c r="A80" s="17"/>
      <c r="B80"/>
      <c r="C80"/>
      <c r="D80"/>
      <c r="E80"/>
      <c r="F80"/>
      <c r="G80"/>
      <c r="H80"/>
      <c r="I80"/>
      <c r="J80"/>
      <c r="K80" s="27"/>
      <c r="L80" s="15"/>
      <c r="M80" s="27"/>
      <c r="N80" s="15"/>
      <c r="O80" s="15"/>
      <c r="P80" s="15"/>
      <c r="Q80" s="15"/>
      <c r="R80" s="15"/>
      <c r="S80" s="15"/>
    </row>
    <row r="81" spans="1:19" s="21" customFormat="1" x14ac:dyDescent="0.3">
      <c r="A81" s="17"/>
      <c r="B81"/>
      <c r="C81"/>
      <c r="D81"/>
      <c r="E81"/>
      <c r="F81"/>
      <c r="G81"/>
      <c r="H81"/>
      <c r="I81"/>
      <c r="J81"/>
      <c r="K81" s="27"/>
      <c r="L81" s="15"/>
      <c r="M81" s="27"/>
      <c r="N81" s="15"/>
      <c r="O81" s="15"/>
      <c r="P81" s="15"/>
      <c r="Q81" s="15"/>
      <c r="R81" s="15"/>
      <c r="S81" s="15"/>
    </row>
    <row r="82" spans="1:19" s="21" customFormat="1" x14ac:dyDescent="0.3">
      <c r="A82" s="17"/>
      <c r="B82"/>
      <c r="C82"/>
      <c r="D82"/>
      <c r="E82"/>
      <c r="F82"/>
      <c r="G82"/>
      <c r="H82"/>
      <c r="I82"/>
      <c r="J82"/>
      <c r="K82" s="27"/>
      <c r="L82" s="15"/>
      <c r="M82" s="27"/>
      <c r="N82" s="15"/>
      <c r="O82" s="15"/>
      <c r="P82" s="15"/>
      <c r="Q82" s="15"/>
      <c r="R82" s="15"/>
      <c r="S82" s="15"/>
    </row>
    <row r="83" spans="1:19" s="21" customFormat="1" x14ac:dyDescent="0.3">
      <c r="A83" s="17"/>
      <c r="B83"/>
      <c r="C83"/>
      <c r="D83"/>
      <c r="E83"/>
      <c r="F83"/>
      <c r="G83"/>
      <c r="H83"/>
      <c r="I83"/>
      <c r="J83"/>
      <c r="K83" s="27"/>
      <c r="L83" s="15"/>
      <c r="M83" s="27"/>
      <c r="N83" s="15"/>
      <c r="O83" s="15"/>
      <c r="P83" s="15"/>
      <c r="Q83" s="15"/>
      <c r="R83" s="15"/>
      <c r="S83" s="15"/>
    </row>
    <row r="84" spans="1:19" s="21" customFormat="1" x14ac:dyDescent="0.3">
      <c r="A84" s="17"/>
      <c r="B84"/>
      <c r="C84"/>
      <c r="D84"/>
      <c r="E84"/>
      <c r="F84"/>
      <c r="G84"/>
      <c r="H84"/>
      <c r="I84"/>
      <c r="J84"/>
      <c r="K84" s="27"/>
      <c r="L84" s="15"/>
      <c r="M84" s="27"/>
      <c r="N84" s="15"/>
      <c r="O84" s="15"/>
      <c r="P84" s="15"/>
      <c r="Q84" s="15"/>
      <c r="R84" s="15"/>
      <c r="S84" s="15"/>
    </row>
    <row r="85" spans="1:19" s="21" customFormat="1" x14ac:dyDescent="0.3">
      <c r="A85" s="17"/>
      <c r="B85"/>
      <c r="C85"/>
      <c r="D85"/>
      <c r="E85"/>
      <c r="F85"/>
      <c r="G85"/>
      <c r="H85"/>
      <c r="I85"/>
      <c r="J85"/>
      <c r="K85" s="27"/>
      <c r="L85" s="15"/>
      <c r="M85" s="27"/>
      <c r="N85" s="15"/>
      <c r="O85" s="15"/>
      <c r="P85" s="15"/>
      <c r="Q85" s="15"/>
      <c r="R85" s="15"/>
      <c r="S85" s="15"/>
    </row>
    <row r="86" spans="1:19" s="21" customFormat="1" x14ac:dyDescent="0.3">
      <c r="A86" s="17"/>
      <c r="B86"/>
      <c r="C86"/>
      <c r="D86"/>
      <c r="E86"/>
      <c r="F86"/>
      <c r="G86"/>
      <c r="H86"/>
      <c r="I86"/>
      <c r="J86"/>
      <c r="K86" s="27"/>
      <c r="L86" s="15"/>
      <c r="M86" s="27"/>
      <c r="N86" s="15"/>
      <c r="O86" s="15"/>
      <c r="P86" s="15"/>
      <c r="Q86" s="15"/>
      <c r="R86" s="15"/>
      <c r="S86" s="15"/>
    </row>
    <row r="87" spans="1:19" s="21" customFormat="1" x14ac:dyDescent="0.3">
      <c r="A87" s="17"/>
      <c r="B87"/>
      <c r="C87"/>
      <c r="D87"/>
      <c r="E87"/>
      <c r="F87"/>
      <c r="G87"/>
      <c r="H87"/>
      <c r="I87"/>
      <c r="J87"/>
      <c r="K87" s="27"/>
      <c r="L87" s="15"/>
      <c r="M87" s="27"/>
      <c r="N87" s="15"/>
      <c r="O87" s="15"/>
      <c r="P87" s="15"/>
      <c r="Q87" s="15"/>
      <c r="R87" s="15"/>
      <c r="S87" s="15"/>
    </row>
    <row r="88" spans="1:19" s="21" customFormat="1" x14ac:dyDescent="0.3">
      <c r="A88" s="17"/>
      <c r="B88"/>
      <c r="C88"/>
      <c r="D88"/>
      <c r="E88"/>
      <c r="F88"/>
      <c r="G88"/>
      <c r="H88"/>
      <c r="I88"/>
      <c r="J88"/>
      <c r="K88" s="27"/>
      <c r="L88" s="15"/>
      <c r="M88" s="27"/>
      <c r="N88" s="15"/>
      <c r="O88" s="15"/>
      <c r="P88" s="15"/>
      <c r="Q88" s="15"/>
      <c r="R88" s="15"/>
      <c r="S88" s="15"/>
    </row>
    <row r="89" spans="1:19" s="21" customFormat="1" x14ac:dyDescent="0.3">
      <c r="A89" s="17"/>
      <c r="B89"/>
      <c r="C89"/>
      <c r="D89"/>
      <c r="E89"/>
      <c r="F89"/>
      <c r="G89"/>
      <c r="H89"/>
      <c r="I89"/>
      <c r="J89"/>
      <c r="K89" s="27"/>
      <c r="L89" s="15"/>
      <c r="M89" s="27"/>
      <c r="N89" s="15"/>
      <c r="O89" s="15"/>
      <c r="P89" s="15"/>
      <c r="Q89" s="15"/>
      <c r="R89" s="15"/>
      <c r="S89" s="15"/>
    </row>
    <row r="90" spans="1:19" s="21" customFormat="1" x14ac:dyDescent="0.3">
      <c r="A90" s="17"/>
      <c r="B90"/>
      <c r="C90"/>
      <c r="D90"/>
      <c r="E90"/>
      <c r="F90"/>
      <c r="G90"/>
      <c r="H90"/>
      <c r="I90"/>
      <c r="J90"/>
      <c r="K90" s="27"/>
      <c r="L90" s="15"/>
      <c r="M90" s="27"/>
      <c r="N90" s="15"/>
      <c r="O90" s="15"/>
      <c r="P90" s="15"/>
      <c r="Q90" s="15"/>
      <c r="R90" s="15"/>
      <c r="S90" s="15"/>
    </row>
    <row r="91" spans="1:19" s="21" customFormat="1" x14ac:dyDescent="0.3">
      <c r="A91" s="17"/>
      <c r="B91"/>
      <c r="C91"/>
      <c r="D91"/>
      <c r="E91"/>
      <c r="F91"/>
      <c r="G91"/>
      <c r="H91"/>
      <c r="I91"/>
      <c r="J91"/>
      <c r="K91" s="27"/>
      <c r="L91" s="15"/>
      <c r="M91" s="27"/>
      <c r="N91" s="15"/>
      <c r="O91" s="15"/>
      <c r="P91" s="15"/>
      <c r="Q91" s="15"/>
      <c r="R91" s="15"/>
      <c r="S91" s="15"/>
    </row>
    <row r="92" spans="1:19" s="21" customFormat="1" x14ac:dyDescent="0.3">
      <c r="A92" s="17"/>
      <c r="B92"/>
      <c r="C92"/>
      <c r="D92"/>
      <c r="E92"/>
      <c r="F92"/>
      <c r="G92"/>
      <c r="H92"/>
      <c r="I92"/>
      <c r="J92"/>
      <c r="K92" s="27"/>
      <c r="L92" s="15"/>
      <c r="M92" s="27"/>
      <c r="N92" s="15"/>
      <c r="O92" s="15"/>
      <c r="P92" s="15"/>
      <c r="Q92" s="15"/>
      <c r="R92" s="15"/>
      <c r="S92" s="15"/>
    </row>
    <row r="93" spans="1:19" s="21" customFormat="1" x14ac:dyDescent="0.3">
      <c r="A93" s="17"/>
      <c r="B93"/>
      <c r="C93"/>
      <c r="D93"/>
      <c r="E93"/>
      <c r="F93"/>
      <c r="G93"/>
      <c r="H93"/>
      <c r="I93"/>
      <c r="J93"/>
      <c r="K93" s="27"/>
      <c r="L93" s="15"/>
      <c r="M93" s="27"/>
      <c r="N93" s="15"/>
      <c r="O93" s="15"/>
      <c r="P93" s="15"/>
      <c r="Q93" s="15"/>
      <c r="R93" s="15"/>
      <c r="S93" s="15"/>
    </row>
    <row r="94" spans="1:19" s="21" customFormat="1" x14ac:dyDescent="0.3">
      <c r="A94" s="17"/>
      <c r="B94"/>
      <c r="C94"/>
      <c r="D94"/>
      <c r="E94"/>
      <c r="F94"/>
      <c r="G94"/>
      <c r="H94"/>
      <c r="I94"/>
      <c r="J94"/>
      <c r="K94" s="27"/>
      <c r="L94" s="15"/>
      <c r="M94" s="27"/>
      <c r="N94" s="15"/>
      <c r="O94" s="15"/>
      <c r="P94" s="15"/>
      <c r="Q94" s="15"/>
      <c r="R94" s="15"/>
      <c r="S94" s="15"/>
    </row>
    <row r="95" spans="1:19" s="21" customFormat="1" x14ac:dyDescent="0.3">
      <c r="A95" s="17"/>
      <c r="B95"/>
      <c r="C95"/>
      <c r="D95"/>
      <c r="E95"/>
      <c r="F95"/>
      <c r="G95"/>
      <c r="H95"/>
      <c r="I95"/>
      <c r="J95"/>
      <c r="K95" s="27"/>
      <c r="L95" s="15"/>
      <c r="M95" s="27"/>
      <c r="N95" s="15"/>
      <c r="O95" s="15"/>
      <c r="P95" s="15"/>
      <c r="Q95" s="15"/>
      <c r="R95" s="15"/>
      <c r="S95" s="15"/>
    </row>
    <row r="96" spans="1:19" s="21" customFormat="1" x14ac:dyDescent="0.3">
      <c r="A96" s="17"/>
      <c r="B96"/>
      <c r="C96"/>
      <c r="D96"/>
      <c r="E96"/>
      <c r="F96"/>
      <c r="G96"/>
      <c r="H96"/>
      <c r="I96"/>
      <c r="J96"/>
      <c r="K96" s="27"/>
      <c r="L96" s="15"/>
      <c r="M96" s="27"/>
      <c r="N96" s="15"/>
      <c r="O96" s="15"/>
      <c r="P96" s="15"/>
      <c r="Q96" s="15"/>
      <c r="R96" s="15"/>
      <c r="S96" s="15"/>
    </row>
    <row r="97" spans="1:19" s="21" customFormat="1" x14ac:dyDescent="0.3">
      <c r="A97" s="17"/>
      <c r="B97"/>
      <c r="C97"/>
      <c r="D97"/>
      <c r="E97"/>
      <c r="F97"/>
      <c r="G97"/>
      <c r="H97"/>
      <c r="I97"/>
      <c r="J97"/>
      <c r="K97" s="27"/>
      <c r="L97" s="15"/>
      <c r="M97" s="27"/>
      <c r="N97" s="15"/>
      <c r="O97" s="15"/>
      <c r="P97" s="15"/>
      <c r="Q97" s="15"/>
      <c r="R97" s="15"/>
      <c r="S97" s="15"/>
    </row>
    <row r="98" spans="1:19" s="21" customFormat="1" x14ac:dyDescent="0.3">
      <c r="A98" s="17"/>
      <c r="B98"/>
      <c r="C98"/>
      <c r="D98"/>
      <c r="E98"/>
      <c r="F98"/>
      <c r="G98"/>
      <c r="H98"/>
      <c r="I98"/>
      <c r="J98"/>
      <c r="K98" s="27"/>
      <c r="L98" s="15"/>
      <c r="M98" s="27"/>
      <c r="N98" s="15"/>
      <c r="O98" s="15"/>
      <c r="P98" s="15"/>
      <c r="Q98" s="15"/>
      <c r="R98" s="15"/>
      <c r="S98" s="15"/>
    </row>
    <row r="99" spans="1:19" s="21" customFormat="1" x14ac:dyDescent="0.3">
      <c r="A99" s="17"/>
      <c r="B99"/>
      <c r="C99"/>
      <c r="D99"/>
      <c r="E99"/>
      <c r="F99"/>
      <c r="G99"/>
      <c r="H99"/>
      <c r="I99"/>
      <c r="J99"/>
      <c r="K99" s="27"/>
      <c r="L99" s="15"/>
      <c r="M99" s="27"/>
      <c r="N99" s="15"/>
      <c r="O99" s="15"/>
      <c r="P99" s="15"/>
      <c r="Q99" s="15"/>
      <c r="R99" s="15"/>
      <c r="S99" s="15"/>
    </row>
    <row r="100" spans="1:19" s="21" customFormat="1" x14ac:dyDescent="0.3">
      <c r="A100" s="17"/>
      <c r="B100"/>
      <c r="C100"/>
      <c r="D100"/>
      <c r="E100"/>
      <c r="F100"/>
      <c r="G100"/>
      <c r="H100"/>
      <c r="I100"/>
      <c r="J100"/>
      <c r="K100" s="27"/>
      <c r="L100" s="15"/>
      <c r="M100" s="27"/>
      <c r="N100" s="15"/>
      <c r="O100" s="15"/>
      <c r="P100" s="15"/>
      <c r="Q100" s="15"/>
      <c r="R100" s="15"/>
      <c r="S100" s="15"/>
    </row>
    <row r="101" spans="1:19" s="21" customFormat="1" x14ac:dyDescent="0.3">
      <c r="A101" s="17"/>
      <c r="B101"/>
      <c r="C101"/>
      <c r="D101"/>
      <c r="E101"/>
      <c r="F101"/>
      <c r="G101"/>
      <c r="H101"/>
      <c r="I101"/>
      <c r="J101"/>
      <c r="K101" s="27"/>
      <c r="L101" s="15"/>
      <c r="M101" s="27"/>
      <c r="N101" s="15"/>
      <c r="O101" s="15"/>
      <c r="P101" s="15"/>
      <c r="Q101" s="15"/>
      <c r="R101" s="15"/>
      <c r="S101" s="15"/>
    </row>
    <row r="102" spans="1:19" s="21" customFormat="1" x14ac:dyDescent="0.3">
      <c r="A102" s="17"/>
      <c r="B102"/>
      <c r="C102"/>
      <c r="D102"/>
      <c r="E102"/>
      <c r="F102"/>
      <c r="G102"/>
      <c r="H102"/>
      <c r="I102"/>
      <c r="J102"/>
      <c r="K102" s="27"/>
      <c r="L102" s="15"/>
      <c r="M102" s="27"/>
      <c r="N102" s="15"/>
      <c r="O102" s="15"/>
      <c r="P102" s="15"/>
      <c r="Q102" s="15"/>
      <c r="R102" s="15"/>
      <c r="S102" s="15"/>
    </row>
    <row r="103" spans="1:19" s="21" customFormat="1" x14ac:dyDescent="0.3">
      <c r="A103" s="17"/>
      <c r="B103"/>
      <c r="C103"/>
      <c r="D103"/>
      <c r="E103"/>
      <c r="F103"/>
      <c r="G103"/>
      <c r="H103"/>
      <c r="I103"/>
      <c r="J103"/>
      <c r="K103" s="27"/>
      <c r="L103" s="15"/>
      <c r="M103" s="27"/>
      <c r="N103" s="15"/>
      <c r="O103" s="15"/>
      <c r="P103" s="15"/>
      <c r="Q103" s="15"/>
      <c r="R103" s="15"/>
      <c r="S103" s="15"/>
    </row>
    <row r="104" spans="1:19" s="21" customFormat="1" x14ac:dyDescent="0.3">
      <c r="A104" s="17"/>
      <c r="B104"/>
      <c r="C104"/>
      <c r="D104"/>
      <c r="E104"/>
      <c r="F104"/>
      <c r="G104"/>
      <c r="H104"/>
      <c r="I104"/>
      <c r="J104"/>
      <c r="K104" s="27"/>
      <c r="L104" s="15"/>
      <c r="M104" s="27"/>
      <c r="N104" s="15"/>
      <c r="O104" s="15"/>
      <c r="P104" s="15"/>
      <c r="Q104" s="15"/>
      <c r="R104" s="15"/>
      <c r="S104" s="15"/>
    </row>
    <row r="3012" spans="1:16" s="15" customFormat="1" x14ac:dyDescent="0.3">
      <c r="A3012" s="17"/>
      <c r="B3012"/>
      <c r="C3012"/>
      <c r="D3012"/>
      <c r="E3012"/>
      <c r="F3012"/>
      <c r="G3012"/>
      <c r="H3012"/>
      <c r="I3012"/>
      <c r="J3012"/>
      <c r="P3012" s="54"/>
    </row>
  </sheetData>
  <mergeCells count="1">
    <mergeCell ref="A2:I2"/>
  </mergeCells>
  <pageMargins left="0.511811024" right="0.511811024" top="0.78740157499999996" bottom="0.78740157499999996" header="0.31496062000000002" footer="0.3149606200000000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31FA4-DCBA-4189-9379-44DD5C2DB357}">
  <sheetPr>
    <tabColor theme="9" tint="0.59999389629810485"/>
  </sheetPr>
  <dimension ref="A1:W244"/>
  <sheetViews>
    <sheetView showGridLines="0" zoomScale="85" zoomScaleNormal="85" workbookViewId="0"/>
  </sheetViews>
  <sheetFormatPr defaultColWidth="8.85546875" defaultRowHeight="18.75" x14ac:dyDescent="0.3"/>
  <cols>
    <col min="1" max="1" width="25.7109375" style="17" customWidth="1"/>
    <col min="2" max="2" width="51.140625" customWidth="1"/>
    <col min="4" max="4" width="7.140625" bestFit="1" customWidth="1"/>
    <col min="5" max="5" width="23.5703125" customWidth="1"/>
    <col min="6" max="6" width="6.7109375" bestFit="1" customWidth="1"/>
    <col min="7" max="7" width="7.140625" customWidth="1"/>
    <col min="8" max="8" width="12.5703125" style="15" customWidth="1"/>
    <col min="9" max="11" width="9" style="15" customWidth="1"/>
    <col min="12" max="12" width="8.42578125" style="15" customWidth="1"/>
    <col min="13" max="20" width="8.85546875" style="15"/>
  </cols>
  <sheetData>
    <row r="1" spans="1:20" x14ac:dyDescent="0.3">
      <c r="A1" s="16" t="s">
        <v>937</v>
      </c>
      <c r="H1" s="14"/>
      <c r="I1" s="14"/>
      <c r="J1" s="14"/>
      <c r="K1" s="14"/>
      <c r="L1" s="14"/>
      <c r="M1" s="14"/>
      <c r="N1" s="14"/>
      <c r="O1" s="14"/>
      <c r="P1" s="14"/>
      <c r="Q1" s="14"/>
      <c r="R1" s="14"/>
      <c r="S1" s="14"/>
      <c r="T1" s="14"/>
    </row>
    <row r="2" spans="1:20" x14ac:dyDescent="0.3">
      <c r="A2" s="17" t="s">
        <v>938</v>
      </c>
      <c r="H2" s="14"/>
      <c r="I2" s="14"/>
      <c r="J2" s="14"/>
      <c r="K2" s="14"/>
      <c r="L2" s="14"/>
      <c r="M2" s="14"/>
      <c r="N2" s="14"/>
      <c r="O2" s="14"/>
      <c r="P2" s="14"/>
      <c r="Q2" s="14"/>
      <c r="R2" s="14"/>
      <c r="S2" s="14"/>
      <c r="T2" s="14"/>
    </row>
    <row r="4" spans="1:20" ht="15.75" x14ac:dyDescent="0.25">
      <c r="A4" s="2" t="s">
        <v>15</v>
      </c>
      <c r="B4" s="2" t="s">
        <v>16</v>
      </c>
    </row>
    <row r="5" spans="1:20" ht="31.5" x14ac:dyDescent="0.25">
      <c r="A5" s="23" t="s">
        <v>934</v>
      </c>
      <c r="B5" s="26" t="s">
        <v>954</v>
      </c>
    </row>
    <row r="6" spans="1:20" ht="15.75" x14ac:dyDescent="0.25">
      <c r="A6" s="23" t="s">
        <v>935</v>
      </c>
      <c r="B6" s="26" t="s">
        <v>939</v>
      </c>
    </row>
    <row r="7" spans="1:20" ht="15.75" x14ac:dyDescent="0.25">
      <c r="A7" s="23" t="s">
        <v>936</v>
      </c>
      <c r="B7" s="26" t="s">
        <v>940</v>
      </c>
    </row>
    <row r="8" spans="1:20" ht="15.75" x14ac:dyDescent="0.25">
      <c r="A8" s="23"/>
      <c r="B8" s="26"/>
    </row>
    <row r="9" spans="1:20" ht="15.75" x14ac:dyDescent="0.25">
      <c r="A9" s="23"/>
      <c r="B9" s="26"/>
    </row>
    <row r="10" spans="1:20" ht="15.75" x14ac:dyDescent="0.25">
      <c r="A10" s="23"/>
      <c r="B10" s="26"/>
    </row>
    <row r="11" spans="1:20" x14ac:dyDescent="0.3">
      <c r="D11" s="13" t="s">
        <v>934</v>
      </c>
      <c r="E11" s="13" t="s">
        <v>935</v>
      </c>
      <c r="F11" s="13" t="s">
        <v>936</v>
      </c>
      <c r="H11" s="61" t="s">
        <v>253</v>
      </c>
    </row>
    <row r="12" spans="1:20" ht="18.75" customHeight="1" x14ac:dyDescent="0.3">
      <c r="D12" s="55">
        <v>15</v>
      </c>
      <c r="E12" s="103" t="s">
        <v>941</v>
      </c>
      <c r="F12" s="53">
        <v>72.400000000000006</v>
      </c>
      <c r="H12" s="27" cm="1">
        <f t="array" aca="1" ref="H12:H26" ca="1">_xlfn.LAMBDA(_xlpm.nboot,_xlpm.bootfun,_xlpm.data,
_xlfn.SCAN(0,_xlfn.SEQUENCE(_xlpm.nboot),_xlfn.LAMBDA(_xlpm.accum,_xlpm.x,
_xlpm.bootfun( SAMPLE(_xlpm.data,ROWS(_xlpm.data),1,FALSE) ) ))
)($D$12, _xlfn.LAMBDA(_xlpm.x, AVERAGE(_xlpm.x)), $F$12:$F$29)</f>
        <v>77.427777777777763</v>
      </c>
      <c r="I12" s="54"/>
      <c r="J12" s="54"/>
    </row>
    <row r="13" spans="1:20" x14ac:dyDescent="0.3">
      <c r="F13" s="53">
        <v>69.7</v>
      </c>
      <c r="H13" s="27">
        <f ca="1"/>
        <v>77.183333333333337</v>
      </c>
      <c r="I13" s="54"/>
      <c r="J13" s="54"/>
    </row>
    <row r="14" spans="1:20" x14ac:dyDescent="0.3">
      <c r="F14" s="53">
        <v>77.400000000000006</v>
      </c>
      <c r="H14" s="27">
        <f ca="1"/>
        <v>78.322222222222223</v>
      </c>
      <c r="I14" s="54"/>
      <c r="J14" s="54"/>
    </row>
    <row r="15" spans="1:20" x14ac:dyDescent="0.3">
      <c r="F15" s="53">
        <v>79.599999999999994</v>
      </c>
      <c r="H15" s="27">
        <f ca="1"/>
        <v>79.994444444444468</v>
      </c>
      <c r="I15" s="54"/>
      <c r="J15" s="54"/>
    </row>
    <row r="16" spans="1:20" x14ac:dyDescent="0.3">
      <c r="F16" s="53">
        <v>80.400000000000006</v>
      </c>
      <c r="H16" s="27">
        <f ca="1"/>
        <v>78.877777777777794</v>
      </c>
      <c r="I16" s="54"/>
      <c r="J16" s="54"/>
    </row>
    <row r="17" spans="4:11" x14ac:dyDescent="0.3">
      <c r="F17" s="53">
        <v>77.5</v>
      </c>
      <c r="H17" s="27">
        <f ca="1"/>
        <v>78.083333333333329</v>
      </c>
      <c r="I17" s="54"/>
      <c r="J17" s="54"/>
      <c r="K17" s="54"/>
    </row>
    <row r="18" spans="4:11" x14ac:dyDescent="0.3">
      <c r="F18" s="53">
        <v>83.3</v>
      </c>
      <c r="H18" s="27">
        <f ca="1"/>
        <v>76.88333333333334</v>
      </c>
      <c r="I18" s="54"/>
      <c r="J18" s="54"/>
      <c r="K18" s="54"/>
    </row>
    <row r="19" spans="4:11" x14ac:dyDescent="0.3">
      <c r="F19" s="53">
        <v>83.6</v>
      </c>
      <c r="H19" s="27">
        <f ca="1"/>
        <v>76.26111111111112</v>
      </c>
      <c r="I19" s="54"/>
      <c r="J19" s="54"/>
      <c r="K19" s="54"/>
    </row>
    <row r="20" spans="4:11" x14ac:dyDescent="0.3">
      <c r="F20" s="53">
        <v>82.1</v>
      </c>
      <c r="H20" s="27">
        <f ca="1"/>
        <v>77.12222222222222</v>
      </c>
      <c r="I20" s="54"/>
      <c r="J20" s="54"/>
      <c r="K20" s="54"/>
    </row>
    <row r="21" spans="4:11" x14ac:dyDescent="0.3">
      <c r="F21" s="53">
        <v>89.2</v>
      </c>
      <c r="H21" s="27">
        <f ca="1"/>
        <v>80.144444444444431</v>
      </c>
      <c r="I21" s="54"/>
      <c r="J21" s="54"/>
      <c r="K21" s="54"/>
    </row>
    <row r="22" spans="4:11" x14ac:dyDescent="0.3">
      <c r="F22" s="53">
        <v>83.9</v>
      </c>
      <c r="H22" s="27">
        <f ca="1"/>
        <v>80.61666666666666</v>
      </c>
      <c r="I22" s="54"/>
      <c r="J22" s="54"/>
      <c r="K22" s="54"/>
    </row>
    <row r="23" spans="4:11" x14ac:dyDescent="0.3">
      <c r="F23" s="53">
        <v>74.599999999999994</v>
      </c>
      <c r="H23" s="27">
        <f ca="1"/>
        <v>78.105555555555554</v>
      </c>
      <c r="I23" s="54"/>
      <c r="J23" s="54"/>
      <c r="K23" s="54"/>
    </row>
    <row r="24" spans="4:11" x14ac:dyDescent="0.3">
      <c r="F24" s="53">
        <v>74</v>
      </c>
      <c r="H24" s="27">
        <f ca="1"/>
        <v>77.683333333333337</v>
      </c>
      <c r="I24" s="54"/>
      <c r="J24" s="54"/>
      <c r="K24" s="54"/>
    </row>
    <row r="25" spans="4:11" x14ac:dyDescent="0.3">
      <c r="F25" s="53">
        <v>71.8</v>
      </c>
      <c r="H25" s="27">
        <f ca="1"/>
        <v>78.26666666666668</v>
      </c>
      <c r="I25" s="54"/>
      <c r="J25" s="54"/>
      <c r="K25" s="54"/>
    </row>
    <row r="26" spans="4:11" x14ac:dyDescent="0.3">
      <c r="F26" s="53">
        <v>77.400000000000006</v>
      </c>
      <c r="H26" s="27">
        <f ca="1"/>
        <v>77.8888888888889</v>
      </c>
      <c r="I26" s="54"/>
      <c r="J26" s="54"/>
      <c r="K26" s="54"/>
    </row>
    <row r="27" spans="4:11" x14ac:dyDescent="0.3">
      <c r="F27" s="53">
        <v>76.5</v>
      </c>
      <c r="H27" s="54"/>
      <c r="I27" s="54"/>
      <c r="J27" s="54"/>
      <c r="K27" s="54"/>
    </row>
    <row r="28" spans="4:11" x14ac:dyDescent="0.3">
      <c r="F28" s="53">
        <v>79.7</v>
      </c>
      <c r="H28" s="54"/>
      <c r="I28" s="54"/>
      <c r="J28" s="54"/>
      <c r="K28" s="54"/>
    </row>
    <row r="29" spans="4:11" x14ac:dyDescent="0.3">
      <c r="F29" s="53">
        <v>76.3</v>
      </c>
      <c r="H29" s="54"/>
      <c r="I29" s="54"/>
      <c r="J29" s="54"/>
      <c r="K29" s="54"/>
    </row>
    <row r="30" spans="4:11" x14ac:dyDescent="0.3">
      <c r="H30" s="54"/>
      <c r="I30" s="54"/>
      <c r="J30" s="54"/>
      <c r="K30" s="54"/>
    </row>
    <row r="31" spans="4:11" x14ac:dyDescent="0.3">
      <c r="H31" s="54"/>
      <c r="I31" s="54"/>
      <c r="J31" s="54"/>
      <c r="K31" s="54"/>
    </row>
    <row r="32" spans="4:11" x14ac:dyDescent="0.3">
      <c r="D32" s="13" t="s">
        <v>934</v>
      </c>
      <c r="E32" s="13" t="s">
        <v>935</v>
      </c>
      <c r="F32" s="13" t="s">
        <v>167</v>
      </c>
      <c r="H32" s="90" t="s">
        <v>254</v>
      </c>
      <c r="K32" s="54"/>
    </row>
    <row r="33" spans="4:11" x14ac:dyDescent="0.3">
      <c r="D33" s="55">
        <v>15</v>
      </c>
      <c r="E33" s="103" t="s">
        <v>941</v>
      </c>
      <c r="F33" s="53">
        <v>72.400000000000006</v>
      </c>
      <c r="H33" s="27" cm="1">
        <f t="array" aca="1" ref="H33:H47" ca="1">BOOTSTRP($D$33, _xlfn.LAMBDA(_xlpm.x, AVERAGE(_xlpm.x)), $F$33:$F$50)</f>
        <v>77.40000000000002</v>
      </c>
      <c r="J33" s="54"/>
      <c r="K33" s="54"/>
    </row>
    <row r="34" spans="4:11" x14ac:dyDescent="0.3">
      <c r="F34" s="53">
        <v>69.7</v>
      </c>
      <c r="H34" s="27">
        <f ca="1"/>
        <v>77.966666666666669</v>
      </c>
      <c r="J34" s="54"/>
      <c r="K34" s="54"/>
    </row>
    <row r="35" spans="4:11" x14ac:dyDescent="0.3">
      <c r="F35" s="53">
        <v>77.400000000000006</v>
      </c>
      <c r="H35" s="27">
        <f ca="1"/>
        <v>76.844444444444449</v>
      </c>
      <c r="J35" s="54"/>
      <c r="K35" s="54"/>
    </row>
    <row r="36" spans="4:11" x14ac:dyDescent="0.3">
      <c r="F36" s="53">
        <v>79.599999999999994</v>
      </c>
      <c r="H36" s="27">
        <f ca="1"/>
        <v>80.11666666666666</v>
      </c>
      <c r="J36" s="54"/>
      <c r="K36" s="54"/>
    </row>
    <row r="37" spans="4:11" x14ac:dyDescent="0.3">
      <c r="F37" s="53">
        <v>80.400000000000006</v>
      </c>
      <c r="H37" s="27">
        <f ca="1"/>
        <v>79.222222222222229</v>
      </c>
      <c r="J37" s="54"/>
      <c r="K37" s="54"/>
    </row>
    <row r="38" spans="4:11" x14ac:dyDescent="0.3">
      <c r="F38" s="53">
        <v>77.5</v>
      </c>
      <c r="H38" s="27">
        <f ca="1"/>
        <v>79.983333333333348</v>
      </c>
      <c r="J38" s="54"/>
      <c r="K38" s="54"/>
    </row>
    <row r="39" spans="4:11" x14ac:dyDescent="0.3">
      <c r="F39" s="53">
        <v>83.3</v>
      </c>
      <c r="H39" s="27">
        <f ca="1"/>
        <v>76.572222222222237</v>
      </c>
      <c r="J39" s="54"/>
      <c r="K39" s="54"/>
    </row>
    <row r="40" spans="4:11" x14ac:dyDescent="0.3">
      <c r="F40" s="53">
        <v>83.6</v>
      </c>
      <c r="H40" s="27">
        <f ca="1"/>
        <v>78.705555555555563</v>
      </c>
      <c r="J40" s="54"/>
      <c r="K40" s="54"/>
    </row>
    <row r="41" spans="4:11" x14ac:dyDescent="0.3">
      <c r="F41" s="53">
        <v>82.1</v>
      </c>
      <c r="H41" s="27">
        <f ca="1"/>
        <v>78.98888888888888</v>
      </c>
      <c r="J41" s="54"/>
      <c r="K41" s="54"/>
    </row>
    <row r="42" spans="4:11" x14ac:dyDescent="0.3">
      <c r="F42" s="53">
        <v>89.2</v>
      </c>
      <c r="H42" s="27">
        <f ca="1"/>
        <v>78.711111111111123</v>
      </c>
      <c r="J42" s="54"/>
      <c r="K42" s="54"/>
    </row>
    <row r="43" spans="4:11" x14ac:dyDescent="0.3">
      <c r="F43" s="53">
        <v>83.9</v>
      </c>
      <c r="H43" s="27">
        <f ca="1"/>
        <v>78.027777777777771</v>
      </c>
      <c r="J43" s="54"/>
      <c r="K43" s="54"/>
    </row>
    <row r="44" spans="4:11" x14ac:dyDescent="0.3">
      <c r="F44" s="53">
        <v>74.599999999999994</v>
      </c>
      <c r="H44" s="27">
        <f ca="1"/>
        <v>78.12777777777778</v>
      </c>
      <c r="J44" s="54"/>
      <c r="K44" s="54"/>
    </row>
    <row r="45" spans="4:11" x14ac:dyDescent="0.3">
      <c r="F45" s="53">
        <v>74</v>
      </c>
      <c r="H45" s="27">
        <f ca="1"/>
        <v>76.805555555555557</v>
      </c>
      <c r="J45" s="54"/>
      <c r="K45" s="54"/>
    </row>
    <row r="46" spans="4:11" x14ac:dyDescent="0.3">
      <c r="F46" s="53">
        <v>71.8</v>
      </c>
      <c r="H46" s="27">
        <f ca="1"/>
        <v>76.416666666666671</v>
      </c>
      <c r="J46" s="54"/>
      <c r="K46" s="54"/>
    </row>
    <row r="47" spans="4:11" x14ac:dyDescent="0.3">
      <c r="F47" s="53">
        <v>77.400000000000006</v>
      </c>
      <c r="H47" s="27">
        <f ca="1"/>
        <v>78.733333333333334</v>
      </c>
      <c r="J47" s="54"/>
      <c r="K47" s="54"/>
    </row>
    <row r="48" spans="4:11" x14ac:dyDescent="0.3">
      <c r="F48" s="53">
        <v>76.5</v>
      </c>
      <c r="H48" s="27"/>
      <c r="J48" s="54"/>
      <c r="K48" s="54"/>
    </row>
    <row r="49" spans="1:23" x14ac:dyDescent="0.3">
      <c r="F49" s="53">
        <v>79.7</v>
      </c>
      <c r="H49" s="27"/>
      <c r="J49" s="54"/>
      <c r="K49" s="54"/>
    </row>
    <row r="50" spans="1:23" x14ac:dyDescent="0.3">
      <c r="F50" s="53">
        <v>76.3</v>
      </c>
      <c r="H50" s="27"/>
      <c r="J50" s="54"/>
      <c r="K50" s="54"/>
    </row>
    <row r="51" spans="1:23" x14ac:dyDescent="0.3">
      <c r="H51" s="54"/>
      <c r="J51" s="54"/>
      <c r="K51" s="54"/>
    </row>
    <row r="52" spans="1:23" x14ac:dyDescent="0.3">
      <c r="H52" s="54"/>
      <c r="I52" s="54"/>
      <c r="J52" s="54"/>
      <c r="K52" s="54"/>
    </row>
    <row r="53" spans="1:23" s="15" customFormat="1" x14ac:dyDescent="0.3">
      <c r="A53" s="17"/>
      <c r="B53"/>
      <c r="C53"/>
      <c r="D53"/>
      <c r="E53"/>
      <c r="F53"/>
      <c r="G53"/>
      <c r="H53" s="54"/>
      <c r="I53" s="54"/>
      <c r="J53" s="54"/>
      <c r="K53" s="54"/>
      <c r="U53"/>
      <c r="V53"/>
      <c r="W53"/>
    </row>
    <row r="54" spans="1:23" s="15" customFormat="1" x14ac:dyDescent="0.3">
      <c r="A54" s="17"/>
      <c r="B54"/>
      <c r="C54"/>
      <c r="D54"/>
      <c r="E54"/>
      <c r="F54"/>
      <c r="G54"/>
      <c r="H54" s="54"/>
      <c r="I54" s="54"/>
      <c r="J54" s="54"/>
      <c r="K54" s="54"/>
      <c r="U54"/>
      <c r="V54"/>
      <c r="W54"/>
    </row>
    <row r="55" spans="1:23" s="15" customFormat="1" x14ac:dyDescent="0.3">
      <c r="A55" s="17"/>
      <c r="B55"/>
      <c r="C55"/>
      <c r="D55"/>
      <c r="E55"/>
      <c r="F55"/>
      <c r="G55"/>
      <c r="H55" s="54"/>
      <c r="I55" s="54"/>
      <c r="J55" s="54"/>
      <c r="K55" s="54"/>
      <c r="U55"/>
      <c r="V55"/>
      <c r="W55"/>
    </row>
    <row r="56" spans="1:23" s="15" customFormat="1" x14ac:dyDescent="0.3">
      <c r="A56" s="17"/>
      <c r="B56"/>
      <c r="C56"/>
      <c r="D56"/>
      <c r="E56"/>
      <c r="F56"/>
      <c r="G56"/>
      <c r="H56" s="54"/>
      <c r="I56" s="54"/>
      <c r="J56" s="54"/>
      <c r="K56" s="54"/>
      <c r="U56"/>
      <c r="V56"/>
      <c r="W56"/>
    </row>
    <row r="57" spans="1:23" s="15" customFormat="1" x14ac:dyDescent="0.3">
      <c r="A57" s="17"/>
      <c r="B57"/>
      <c r="C57"/>
      <c r="D57"/>
      <c r="E57"/>
      <c r="F57"/>
      <c r="G57"/>
      <c r="H57" s="54"/>
      <c r="I57" s="54"/>
      <c r="J57" s="54"/>
      <c r="K57" s="54"/>
      <c r="U57"/>
      <c r="V57"/>
      <c r="W57"/>
    </row>
    <row r="58" spans="1:23" s="15" customFormat="1" x14ac:dyDescent="0.3">
      <c r="A58" s="17"/>
      <c r="B58"/>
      <c r="C58"/>
      <c r="D58"/>
      <c r="E58"/>
      <c r="F58"/>
      <c r="G58"/>
      <c r="H58" s="54"/>
      <c r="I58" s="54"/>
      <c r="J58" s="54"/>
      <c r="K58" s="54"/>
      <c r="U58"/>
      <c r="V58"/>
      <c r="W58"/>
    </row>
    <row r="59" spans="1:23" s="15" customFormat="1" x14ac:dyDescent="0.3">
      <c r="A59" s="17"/>
      <c r="B59"/>
      <c r="C59"/>
      <c r="D59"/>
      <c r="E59"/>
      <c r="F59"/>
      <c r="G59"/>
      <c r="H59" s="54"/>
      <c r="I59" s="54"/>
      <c r="J59" s="54"/>
      <c r="K59" s="54"/>
      <c r="U59"/>
      <c r="V59"/>
      <c r="W59"/>
    </row>
    <row r="60" spans="1:23" s="15" customFormat="1" x14ac:dyDescent="0.3">
      <c r="A60" s="17"/>
      <c r="B60"/>
      <c r="C60"/>
      <c r="D60"/>
      <c r="E60"/>
      <c r="F60"/>
      <c r="G60"/>
      <c r="H60" s="54"/>
      <c r="I60" s="54"/>
      <c r="J60" s="54"/>
      <c r="K60" s="54"/>
      <c r="U60"/>
      <c r="V60"/>
      <c r="W60"/>
    </row>
    <row r="61" spans="1:23" s="15" customFormat="1" x14ac:dyDescent="0.3">
      <c r="A61" s="17"/>
      <c r="B61"/>
      <c r="C61"/>
      <c r="D61"/>
      <c r="E61"/>
      <c r="F61"/>
      <c r="G61"/>
      <c r="H61" s="54"/>
      <c r="I61" s="54"/>
      <c r="J61" s="54"/>
      <c r="K61" s="54"/>
      <c r="U61"/>
      <c r="V61"/>
      <c r="W61"/>
    </row>
    <row r="62" spans="1:23" s="15" customFormat="1" x14ac:dyDescent="0.3">
      <c r="A62" s="17"/>
      <c r="B62"/>
      <c r="C62"/>
      <c r="D62"/>
      <c r="E62"/>
      <c r="F62"/>
      <c r="G62"/>
      <c r="H62" s="54"/>
      <c r="I62" s="54"/>
      <c r="J62" s="54"/>
      <c r="K62" s="54"/>
      <c r="U62"/>
      <c r="V62"/>
      <c r="W62"/>
    </row>
    <row r="63" spans="1:23" s="15" customFormat="1" x14ac:dyDescent="0.3">
      <c r="A63" s="17"/>
      <c r="B63"/>
      <c r="C63"/>
      <c r="D63"/>
      <c r="E63"/>
      <c r="F63"/>
      <c r="G63"/>
      <c r="H63" s="54"/>
      <c r="I63" s="54"/>
      <c r="J63" s="54"/>
      <c r="K63" s="54"/>
      <c r="U63"/>
      <c r="V63"/>
      <c r="W63"/>
    </row>
    <row r="64" spans="1:23" s="15" customFormat="1" x14ac:dyDescent="0.3">
      <c r="A64" s="17"/>
      <c r="B64"/>
      <c r="C64"/>
      <c r="D64"/>
      <c r="E64"/>
      <c r="F64"/>
      <c r="G64"/>
      <c r="H64" s="54"/>
      <c r="I64" s="54"/>
      <c r="J64" s="54"/>
      <c r="K64" s="54"/>
      <c r="U64"/>
      <c r="V64"/>
      <c r="W64"/>
    </row>
    <row r="65" spans="1:23" s="15" customFormat="1" x14ac:dyDescent="0.3">
      <c r="A65" s="17"/>
      <c r="B65"/>
      <c r="C65"/>
      <c r="D65"/>
      <c r="E65"/>
      <c r="F65"/>
      <c r="G65"/>
      <c r="H65" s="54"/>
      <c r="I65" s="54"/>
      <c r="J65" s="54"/>
      <c r="K65" s="54"/>
      <c r="U65"/>
      <c r="V65"/>
      <c r="W65"/>
    </row>
    <row r="66" spans="1:23" s="15" customFormat="1" x14ac:dyDescent="0.3">
      <c r="A66" s="17"/>
      <c r="B66"/>
      <c r="C66"/>
      <c r="D66"/>
      <c r="E66"/>
      <c r="F66"/>
      <c r="G66"/>
      <c r="H66" s="54"/>
      <c r="I66" s="54"/>
      <c r="J66" s="54"/>
      <c r="K66" s="54"/>
      <c r="U66"/>
      <c r="V66"/>
      <c r="W66"/>
    </row>
    <row r="67" spans="1:23" s="15" customFormat="1" x14ac:dyDescent="0.3">
      <c r="A67" s="17"/>
      <c r="B67"/>
      <c r="C67"/>
      <c r="D67"/>
      <c r="E67"/>
      <c r="F67"/>
      <c r="G67"/>
      <c r="H67" s="54"/>
      <c r="I67" s="54"/>
      <c r="J67" s="54"/>
      <c r="K67" s="54"/>
      <c r="U67"/>
      <c r="V67"/>
      <c r="W67"/>
    </row>
    <row r="68" spans="1:23" s="15" customFormat="1" x14ac:dyDescent="0.3">
      <c r="A68" s="17"/>
      <c r="B68"/>
      <c r="C68"/>
      <c r="D68"/>
      <c r="E68"/>
      <c r="F68"/>
      <c r="G68"/>
      <c r="H68" s="54"/>
      <c r="I68" s="54"/>
      <c r="J68" s="54"/>
      <c r="K68" s="54"/>
      <c r="U68"/>
      <c r="V68"/>
      <c r="W68"/>
    </row>
    <row r="69" spans="1:23" s="15" customFormat="1" x14ac:dyDescent="0.3">
      <c r="A69" s="17"/>
      <c r="B69"/>
      <c r="C69"/>
      <c r="D69"/>
      <c r="E69"/>
      <c r="F69"/>
      <c r="G69"/>
      <c r="H69" s="54"/>
      <c r="I69" s="54"/>
      <c r="J69" s="54"/>
      <c r="K69" s="54"/>
      <c r="U69"/>
      <c r="V69"/>
      <c r="W69"/>
    </row>
    <row r="70" spans="1:23" s="15" customFormat="1" x14ac:dyDescent="0.3">
      <c r="A70" s="17"/>
      <c r="B70"/>
      <c r="C70"/>
      <c r="D70"/>
      <c r="E70"/>
      <c r="F70"/>
      <c r="G70"/>
      <c r="H70" s="54"/>
      <c r="I70" s="54"/>
      <c r="J70" s="54"/>
      <c r="K70" s="54"/>
      <c r="U70"/>
      <c r="V70"/>
      <c r="W70"/>
    </row>
    <row r="71" spans="1:23" s="15" customFormat="1" x14ac:dyDescent="0.3">
      <c r="A71" s="17"/>
      <c r="B71"/>
      <c r="C71"/>
      <c r="D71"/>
      <c r="E71"/>
      <c r="F71"/>
      <c r="G71"/>
      <c r="H71" s="54"/>
      <c r="I71" s="54"/>
      <c r="J71" s="54"/>
      <c r="K71" s="54"/>
      <c r="U71"/>
      <c r="V71"/>
      <c r="W71"/>
    </row>
    <row r="72" spans="1:23" s="15" customFormat="1" x14ac:dyDescent="0.3">
      <c r="A72" s="17"/>
      <c r="B72"/>
      <c r="C72"/>
      <c r="D72"/>
      <c r="E72"/>
      <c r="F72"/>
      <c r="G72"/>
      <c r="H72" s="54"/>
      <c r="I72" s="54"/>
      <c r="J72" s="54"/>
      <c r="K72" s="54"/>
      <c r="U72"/>
      <c r="V72"/>
      <c r="W72"/>
    </row>
    <row r="73" spans="1:23" s="15" customFormat="1" x14ac:dyDescent="0.3">
      <c r="A73" s="17"/>
      <c r="B73"/>
      <c r="C73"/>
      <c r="D73"/>
      <c r="E73"/>
      <c r="F73"/>
      <c r="G73"/>
      <c r="H73" s="54"/>
      <c r="I73" s="54"/>
      <c r="J73" s="54"/>
      <c r="K73" s="54"/>
      <c r="U73"/>
      <c r="V73"/>
      <c r="W73"/>
    </row>
    <row r="74" spans="1:23" s="15" customFormat="1" x14ac:dyDescent="0.3">
      <c r="A74" s="17"/>
      <c r="B74"/>
      <c r="C74"/>
      <c r="D74"/>
      <c r="E74"/>
      <c r="F74"/>
      <c r="G74"/>
      <c r="H74" s="54"/>
      <c r="I74" s="54"/>
      <c r="J74" s="54"/>
      <c r="K74" s="54"/>
      <c r="U74"/>
      <c r="V74"/>
      <c r="W74"/>
    </row>
    <row r="75" spans="1:23" s="15" customFormat="1" x14ac:dyDescent="0.3">
      <c r="A75" s="17"/>
      <c r="B75"/>
      <c r="C75"/>
      <c r="D75"/>
      <c r="E75"/>
      <c r="F75"/>
      <c r="G75"/>
      <c r="H75" s="54"/>
      <c r="I75" s="54"/>
      <c r="J75" s="54"/>
      <c r="K75" s="54"/>
      <c r="U75"/>
      <c r="V75"/>
      <c r="W75"/>
    </row>
    <row r="76" spans="1:23" s="15" customFormat="1" x14ac:dyDescent="0.3">
      <c r="A76" s="17"/>
      <c r="B76"/>
      <c r="C76"/>
      <c r="D76"/>
      <c r="E76"/>
      <c r="F76"/>
      <c r="G76"/>
      <c r="H76" s="54"/>
      <c r="I76" s="54"/>
      <c r="J76" s="54"/>
      <c r="K76" s="54"/>
      <c r="U76"/>
      <c r="V76"/>
      <c r="W76"/>
    </row>
    <row r="77" spans="1:23" s="15" customFormat="1" x14ac:dyDescent="0.3">
      <c r="A77" s="17"/>
      <c r="B77"/>
      <c r="C77"/>
      <c r="D77"/>
      <c r="E77"/>
      <c r="F77"/>
      <c r="G77"/>
      <c r="H77" s="54"/>
      <c r="I77" s="54"/>
      <c r="J77" s="54"/>
      <c r="K77" s="54"/>
      <c r="U77"/>
      <c r="V77"/>
      <c r="W77"/>
    </row>
    <row r="78" spans="1:23" s="15" customFormat="1" x14ac:dyDescent="0.3">
      <c r="A78" s="17"/>
      <c r="B78"/>
      <c r="C78"/>
      <c r="D78"/>
      <c r="E78"/>
      <c r="F78"/>
      <c r="G78"/>
      <c r="H78" s="54"/>
      <c r="I78" s="54"/>
      <c r="J78" s="54"/>
      <c r="K78" s="54"/>
      <c r="U78"/>
      <c r="V78"/>
      <c r="W78"/>
    </row>
    <row r="79" spans="1:23" s="15" customFormat="1" x14ac:dyDescent="0.3">
      <c r="A79" s="17"/>
      <c r="B79"/>
      <c r="C79"/>
      <c r="D79"/>
      <c r="E79"/>
      <c r="F79"/>
      <c r="G79"/>
      <c r="H79" s="54"/>
      <c r="I79" s="54"/>
      <c r="J79" s="54"/>
      <c r="K79" s="54"/>
      <c r="U79"/>
      <c r="V79"/>
      <c r="W79"/>
    </row>
    <row r="80" spans="1:23" s="15" customFormat="1" x14ac:dyDescent="0.3">
      <c r="A80" s="17"/>
      <c r="B80"/>
      <c r="C80"/>
      <c r="D80"/>
      <c r="E80"/>
      <c r="F80"/>
      <c r="G80"/>
      <c r="H80" s="54"/>
      <c r="I80" s="54"/>
      <c r="J80" s="54"/>
      <c r="K80" s="54"/>
      <c r="U80"/>
      <c r="V80"/>
      <c r="W80"/>
    </row>
    <row r="81" spans="1:23" s="15" customFormat="1" x14ac:dyDescent="0.3">
      <c r="A81" s="17"/>
      <c r="B81"/>
      <c r="C81"/>
      <c r="D81"/>
      <c r="E81"/>
      <c r="F81"/>
      <c r="G81"/>
      <c r="H81" s="54"/>
      <c r="I81" s="54"/>
      <c r="J81" s="54"/>
      <c r="K81" s="54"/>
      <c r="U81"/>
      <c r="V81"/>
      <c r="W81"/>
    </row>
    <row r="82" spans="1:23" s="15" customFormat="1" x14ac:dyDescent="0.3">
      <c r="A82" s="17"/>
      <c r="B82"/>
      <c r="C82"/>
      <c r="D82"/>
      <c r="E82"/>
      <c r="F82"/>
      <c r="G82"/>
      <c r="H82" s="54"/>
      <c r="I82" s="54"/>
      <c r="J82" s="54"/>
      <c r="K82" s="54"/>
      <c r="U82"/>
      <c r="V82"/>
      <c r="W82"/>
    </row>
    <row r="83" spans="1:23" s="15" customFormat="1" x14ac:dyDescent="0.3">
      <c r="A83" s="17"/>
      <c r="B83"/>
      <c r="C83"/>
      <c r="D83"/>
      <c r="E83"/>
      <c r="F83"/>
      <c r="G83"/>
      <c r="H83" s="54"/>
      <c r="I83" s="54"/>
      <c r="J83" s="54"/>
      <c r="K83" s="54"/>
      <c r="U83"/>
      <c r="V83"/>
      <c r="W83"/>
    </row>
    <row r="84" spans="1:23" s="15" customFormat="1" x14ac:dyDescent="0.3">
      <c r="A84" s="17"/>
      <c r="B84"/>
      <c r="C84"/>
      <c r="D84"/>
      <c r="E84"/>
      <c r="F84"/>
      <c r="G84"/>
      <c r="H84" s="54"/>
      <c r="I84" s="54"/>
      <c r="J84" s="54"/>
      <c r="K84" s="54"/>
      <c r="U84"/>
      <c r="V84"/>
      <c r="W84"/>
    </row>
    <row r="85" spans="1:23" s="15" customFormat="1" x14ac:dyDescent="0.3">
      <c r="A85" s="17"/>
      <c r="B85"/>
      <c r="C85"/>
      <c r="D85"/>
      <c r="E85"/>
      <c r="F85"/>
      <c r="G85"/>
      <c r="H85" s="54"/>
      <c r="I85" s="54"/>
      <c r="J85" s="54"/>
      <c r="K85" s="54"/>
      <c r="U85"/>
      <c r="V85"/>
      <c r="W85"/>
    </row>
    <row r="86" spans="1:23" s="15" customFormat="1" x14ac:dyDescent="0.3">
      <c r="A86" s="17"/>
      <c r="B86"/>
      <c r="C86"/>
      <c r="D86"/>
      <c r="E86"/>
      <c r="F86"/>
      <c r="G86"/>
      <c r="H86" s="54"/>
      <c r="I86" s="54"/>
      <c r="J86" s="54"/>
      <c r="K86" s="54"/>
      <c r="U86"/>
      <c r="V86"/>
      <c r="W86"/>
    </row>
    <row r="87" spans="1:23" s="15" customFormat="1" x14ac:dyDescent="0.3">
      <c r="A87" s="17"/>
      <c r="B87"/>
      <c r="C87"/>
      <c r="D87"/>
      <c r="E87"/>
      <c r="F87"/>
      <c r="G87"/>
      <c r="H87" s="54"/>
      <c r="I87" s="54"/>
      <c r="J87" s="54"/>
      <c r="K87" s="54"/>
      <c r="U87"/>
      <c r="V87"/>
      <c r="W87"/>
    </row>
    <row r="88" spans="1:23" s="15" customFormat="1" x14ac:dyDescent="0.3">
      <c r="A88" s="17"/>
      <c r="B88"/>
      <c r="C88"/>
      <c r="D88"/>
      <c r="E88"/>
      <c r="F88"/>
      <c r="G88"/>
      <c r="H88" s="54"/>
      <c r="I88" s="54"/>
      <c r="J88" s="54"/>
      <c r="K88" s="54"/>
      <c r="U88"/>
      <c r="V88"/>
      <c r="W88"/>
    </row>
    <row r="89" spans="1:23" s="15" customFormat="1" x14ac:dyDescent="0.3">
      <c r="A89" s="17"/>
      <c r="B89"/>
      <c r="C89"/>
      <c r="D89"/>
      <c r="E89"/>
      <c r="F89"/>
      <c r="G89"/>
      <c r="H89" s="54"/>
      <c r="I89" s="54"/>
      <c r="J89" s="54"/>
      <c r="K89" s="54"/>
      <c r="U89"/>
      <c r="V89"/>
      <c r="W89"/>
    </row>
    <row r="90" spans="1:23" s="15" customFormat="1" x14ac:dyDescent="0.3">
      <c r="A90" s="17"/>
      <c r="B90"/>
      <c r="C90"/>
      <c r="D90"/>
      <c r="E90"/>
      <c r="F90"/>
      <c r="G90"/>
      <c r="H90" s="54"/>
      <c r="I90" s="54"/>
      <c r="J90" s="54"/>
      <c r="K90" s="54"/>
      <c r="U90"/>
      <c r="V90"/>
      <c r="W90"/>
    </row>
    <row r="91" spans="1:23" s="15" customFormat="1" x14ac:dyDescent="0.3">
      <c r="A91" s="17"/>
      <c r="B91"/>
      <c r="C91"/>
      <c r="D91"/>
      <c r="E91"/>
      <c r="F91"/>
      <c r="G91"/>
      <c r="H91" s="54"/>
      <c r="I91" s="54"/>
      <c r="J91" s="54"/>
      <c r="K91" s="54"/>
      <c r="U91"/>
      <c r="V91"/>
      <c r="W91"/>
    </row>
    <row r="92" spans="1:23" s="15" customFormat="1" x14ac:dyDescent="0.3">
      <c r="A92" s="17"/>
      <c r="B92"/>
      <c r="C92"/>
      <c r="D92"/>
      <c r="E92"/>
      <c r="F92"/>
      <c r="G92"/>
      <c r="H92" s="54"/>
      <c r="I92" s="54"/>
      <c r="J92" s="54"/>
      <c r="K92" s="54"/>
      <c r="U92"/>
      <c r="V92"/>
      <c r="W92"/>
    </row>
    <row r="93" spans="1:23" s="15" customFormat="1" x14ac:dyDescent="0.3">
      <c r="A93" s="17"/>
      <c r="B93"/>
      <c r="C93"/>
      <c r="D93"/>
      <c r="E93"/>
      <c r="F93"/>
      <c r="G93"/>
      <c r="H93" s="54"/>
      <c r="I93" s="54"/>
      <c r="J93" s="54"/>
      <c r="K93" s="54"/>
      <c r="U93"/>
      <c r="V93"/>
      <c r="W93"/>
    </row>
    <row r="94" spans="1:23" s="15" customFormat="1" x14ac:dyDescent="0.3">
      <c r="A94" s="17"/>
      <c r="B94"/>
      <c r="C94"/>
      <c r="D94"/>
      <c r="E94"/>
      <c r="F94"/>
      <c r="G94"/>
      <c r="H94" s="54"/>
      <c r="I94" s="54"/>
      <c r="J94" s="54"/>
      <c r="K94" s="54"/>
      <c r="U94"/>
      <c r="V94"/>
      <c r="W94"/>
    </row>
    <row r="95" spans="1:23" s="15" customFormat="1" x14ac:dyDescent="0.3">
      <c r="A95" s="17"/>
      <c r="B95"/>
      <c r="C95"/>
      <c r="D95"/>
      <c r="E95"/>
      <c r="F95"/>
      <c r="G95"/>
      <c r="H95" s="54"/>
      <c r="I95" s="54"/>
      <c r="J95" s="54"/>
      <c r="K95" s="54"/>
      <c r="U95"/>
      <c r="V95"/>
      <c r="W95"/>
    </row>
    <row r="96" spans="1:23" s="15" customFormat="1" x14ac:dyDescent="0.3">
      <c r="A96" s="17"/>
      <c r="B96"/>
      <c r="C96"/>
      <c r="D96"/>
      <c r="E96"/>
      <c r="F96"/>
      <c r="G96"/>
      <c r="H96" s="54"/>
      <c r="I96" s="54"/>
      <c r="J96" s="54"/>
      <c r="K96" s="54"/>
      <c r="U96"/>
      <c r="V96"/>
      <c r="W96"/>
    </row>
    <row r="97" spans="1:23" s="15" customFormat="1" x14ac:dyDescent="0.3">
      <c r="A97" s="17"/>
      <c r="B97"/>
      <c r="C97"/>
      <c r="D97"/>
      <c r="E97"/>
      <c r="F97"/>
      <c r="G97"/>
      <c r="H97" s="54"/>
      <c r="I97" s="54"/>
      <c r="J97" s="54"/>
      <c r="K97" s="54"/>
      <c r="U97"/>
      <c r="V97"/>
      <c r="W97"/>
    </row>
    <row r="98" spans="1:23" s="15" customFormat="1" x14ac:dyDescent="0.3">
      <c r="A98" s="17"/>
      <c r="B98"/>
      <c r="C98"/>
      <c r="D98"/>
      <c r="E98"/>
      <c r="F98"/>
      <c r="G98"/>
      <c r="H98" s="54"/>
      <c r="I98" s="54"/>
      <c r="J98" s="54"/>
      <c r="K98" s="54"/>
      <c r="U98"/>
      <c r="V98"/>
      <c r="W98"/>
    </row>
    <row r="99" spans="1:23" s="15" customFormat="1" x14ac:dyDescent="0.3">
      <c r="A99" s="17"/>
      <c r="B99"/>
      <c r="C99"/>
      <c r="D99"/>
      <c r="E99"/>
      <c r="F99"/>
      <c r="G99"/>
      <c r="H99" s="54"/>
      <c r="I99" s="54"/>
      <c r="J99" s="54"/>
      <c r="K99" s="54"/>
      <c r="U99"/>
      <c r="V99"/>
      <c r="W99"/>
    </row>
    <row r="100" spans="1:23" s="15" customFormat="1" x14ac:dyDescent="0.3">
      <c r="A100" s="17"/>
      <c r="B100"/>
      <c r="C100"/>
      <c r="D100"/>
      <c r="E100"/>
      <c r="F100"/>
      <c r="G100"/>
      <c r="H100" s="54"/>
      <c r="I100" s="54"/>
      <c r="J100" s="54"/>
      <c r="K100" s="54"/>
      <c r="U100"/>
      <c r="V100"/>
      <c r="W100"/>
    </row>
    <row r="101" spans="1:23" s="15" customFormat="1" x14ac:dyDescent="0.3">
      <c r="A101" s="17"/>
      <c r="B101"/>
      <c r="C101"/>
      <c r="D101"/>
      <c r="E101"/>
      <c r="F101"/>
      <c r="G101"/>
      <c r="H101" s="54"/>
      <c r="I101" s="54"/>
      <c r="J101" s="54"/>
      <c r="K101" s="54"/>
      <c r="U101"/>
      <c r="V101"/>
      <c r="W101"/>
    </row>
    <row r="102" spans="1:23" s="15" customFormat="1" x14ac:dyDescent="0.3">
      <c r="A102" s="17"/>
      <c r="B102"/>
      <c r="C102"/>
      <c r="D102"/>
      <c r="E102"/>
      <c r="F102"/>
      <c r="G102"/>
      <c r="H102" s="54"/>
      <c r="I102" s="54"/>
      <c r="J102" s="54"/>
      <c r="K102" s="54"/>
      <c r="U102"/>
      <c r="V102"/>
      <c r="W102"/>
    </row>
    <row r="103" spans="1:23" s="15" customFormat="1" x14ac:dyDescent="0.3">
      <c r="A103" s="17"/>
      <c r="B103"/>
      <c r="C103"/>
      <c r="D103"/>
      <c r="E103"/>
      <c r="F103"/>
      <c r="G103"/>
      <c r="H103" s="54"/>
      <c r="I103" s="54"/>
      <c r="J103" s="54"/>
      <c r="K103" s="54"/>
      <c r="U103"/>
      <c r="V103"/>
      <c r="W103"/>
    </row>
    <row r="104" spans="1:23" s="15" customFormat="1" x14ac:dyDescent="0.3">
      <c r="A104" s="17"/>
      <c r="B104"/>
      <c r="C104"/>
      <c r="D104"/>
      <c r="E104"/>
      <c r="F104"/>
      <c r="G104"/>
      <c r="H104" s="54"/>
      <c r="I104" s="54"/>
      <c r="J104" s="54"/>
      <c r="K104" s="54"/>
      <c r="U104"/>
      <c r="V104"/>
      <c r="W104"/>
    </row>
    <row r="105" spans="1:23" s="15" customFormat="1" x14ac:dyDescent="0.3">
      <c r="A105" s="17"/>
      <c r="B105"/>
      <c r="C105"/>
      <c r="D105"/>
      <c r="E105"/>
      <c r="F105"/>
      <c r="G105"/>
      <c r="H105" s="54"/>
      <c r="I105" s="54"/>
      <c r="J105" s="54"/>
      <c r="K105" s="54"/>
      <c r="U105"/>
      <c r="V105"/>
      <c r="W105"/>
    </row>
    <row r="106" spans="1:23" s="15" customFormat="1" x14ac:dyDescent="0.3">
      <c r="A106" s="17"/>
      <c r="B106"/>
      <c r="C106"/>
      <c r="D106"/>
      <c r="E106"/>
      <c r="F106"/>
      <c r="G106"/>
      <c r="H106" s="54"/>
      <c r="I106" s="54"/>
      <c r="J106" s="54"/>
      <c r="K106" s="54"/>
      <c r="U106"/>
      <c r="V106"/>
      <c r="W106"/>
    </row>
    <row r="107" spans="1:23" s="15" customFormat="1" x14ac:dyDescent="0.3">
      <c r="A107" s="17"/>
      <c r="B107"/>
      <c r="C107"/>
      <c r="D107"/>
      <c r="E107"/>
      <c r="F107"/>
      <c r="G107"/>
      <c r="H107" s="54"/>
      <c r="I107" s="54"/>
      <c r="J107" s="54"/>
      <c r="K107" s="54"/>
      <c r="U107"/>
      <c r="V107"/>
      <c r="W107"/>
    </row>
    <row r="108" spans="1:23" s="15" customFormat="1" x14ac:dyDescent="0.3">
      <c r="A108" s="17"/>
      <c r="B108"/>
      <c r="C108"/>
      <c r="D108"/>
      <c r="E108"/>
      <c r="F108"/>
      <c r="G108"/>
      <c r="H108" s="54"/>
      <c r="I108" s="54"/>
      <c r="J108" s="54"/>
      <c r="K108" s="54"/>
      <c r="U108"/>
      <c r="V108"/>
      <c r="W108"/>
    </row>
    <row r="109" spans="1:23" s="15" customFormat="1" x14ac:dyDescent="0.3">
      <c r="A109" s="17"/>
      <c r="B109"/>
      <c r="C109"/>
      <c r="D109"/>
      <c r="E109"/>
      <c r="F109"/>
      <c r="G109"/>
      <c r="H109" s="54"/>
      <c r="I109" s="54"/>
      <c r="J109" s="54"/>
      <c r="K109" s="54"/>
      <c r="U109"/>
      <c r="V109"/>
      <c r="W109"/>
    </row>
    <row r="110" spans="1:23" s="15" customFormat="1" x14ac:dyDescent="0.3">
      <c r="A110" s="17"/>
      <c r="B110"/>
      <c r="C110"/>
      <c r="D110"/>
      <c r="E110"/>
      <c r="F110"/>
      <c r="G110"/>
      <c r="H110" s="54"/>
      <c r="I110" s="54"/>
      <c r="J110" s="54"/>
      <c r="K110" s="54"/>
      <c r="U110"/>
      <c r="V110"/>
      <c r="W110"/>
    </row>
    <row r="111" spans="1:23" s="15" customFormat="1" x14ac:dyDescent="0.3">
      <c r="A111" s="17"/>
      <c r="B111"/>
      <c r="C111"/>
      <c r="D111"/>
      <c r="E111"/>
      <c r="F111"/>
      <c r="G111"/>
      <c r="H111" s="54"/>
      <c r="I111" s="54"/>
      <c r="J111" s="54"/>
      <c r="K111" s="54"/>
      <c r="U111"/>
      <c r="V111"/>
      <c r="W111"/>
    </row>
    <row r="112" spans="1:23" s="15" customFormat="1" x14ac:dyDescent="0.3">
      <c r="A112" s="17"/>
      <c r="B112"/>
      <c r="C112"/>
      <c r="D112"/>
      <c r="E112"/>
      <c r="F112"/>
      <c r="G112"/>
      <c r="H112" s="54"/>
      <c r="I112" s="54"/>
      <c r="J112" s="54"/>
      <c r="K112" s="54"/>
      <c r="U112"/>
      <c r="V112"/>
      <c r="W112"/>
    </row>
    <row r="113" spans="1:23" s="15" customFormat="1" x14ac:dyDescent="0.3">
      <c r="A113" s="17"/>
      <c r="B113"/>
      <c r="C113"/>
      <c r="D113"/>
      <c r="E113"/>
      <c r="F113"/>
      <c r="G113"/>
      <c r="H113" s="54"/>
      <c r="I113" s="54"/>
      <c r="J113" s="54"/>
      <c r="K113" s="54"/>
      <c r="U113"/>
      <c r="V113"/>
      <c r="W113"/>
    </row>
    <row r="114" spans="1:23" s="15" customFormat="1" x14ac:dyDescent="0.3">
      <c r="A114" s="17"/>
      <c r="B114"/>
      <c r="C114"/>
      <c r="D114"/>
      <c r="E114"/>
      <c r="F114"/>
      <c r="G114"/>
      <c r="H114" s="54"/>
      <c r="I114" s="54"/>
      <c r="J114" s="54"/>
      <c r="K114" s="54"/>
      <c r="U114"/>
      <c r="V114"/>
      <c r="W114"/>
    </row>
    <row r="115" spans="1:23" s="15" customFormat="1" x14ac:dyDescent="0.3">
      <c r="A115" s="17"/>
      <c r="B115"/>
      <c r="C115"/>
      <c r="D115"/>
      <c r="E115"/>
      <c r="F115"/>
      <c r="G115"/>
      <c r="H115" s="54"/>
      <c r="I115" s="54"/>
      <c r="J115" s="54"/>
      <c r="K115" s="54"/>
      <c r="U115"/>
      <c r="V115"/>
      <c r="W115"/>
    </row>
    <row r="116" spans="1:23" s="15" customFormat="1" x14ac:dyDescent="0.3">
      <c r="A116" s="17"/>
      <c r="B116"/>
      <c r="C116"/>
      <c r="D116"/>
      <c r="E116"/>
      <c r="F116"/>
      <c r="G116"/>
      <c r="H116" s="54"/>
      <c r="I116" s="54"/>
      <c r="J116" s="54"/>
      <c r="K116" s="54"/>
      <c r="U116"/>
      <c r="V116"/>
      <c r="W116"/>
    </row>
    <row r="117" spans="1:23" s="15" customFormat="1" x14ac:dyDescent="0.3">
      <c r="A117" s="17"/>
      <c r="B117"/>
      <c r="C117"/>
      <c r="D117"/>
      <c r="E117"/>
      <c r="F117"/>
      <c r="G117"/>
      <c r="H117" s="54"/>
      <c r="I117" s="54"/>
      <c r="J117" s="54"/>
      <c r="K117" s="54"/>
      <c r="U117"/>
      <c r="V117"/>
      <c r="W117"/>
    </row>
    <row r="118" spans="1:23" s="15" customFormat="1" x14ac:dyDescent="0.3">
      <c r="A118" s="17"/>
      <c r="B118"/>
      <c r="C118"/>
      <c r="D118"/>
      <c r="E118"/>
      <c r="F118"/>
      <c r="G118"/>
      <c r="H118" s="54"/>
      <c r="I118" s="54"/>
      <c r="J118" s="54"/>
      <c r="K118" s="54"/>
      <c r="U118"/>
      <c r="V118"/>
      <c r="W118"/>
    </row>
    <row r="119" spans="1:23" s="15" customFormat="1" x14ac:dyDescent="0.3">
      <c r="A119" s="17"/>
      <c r="B119"/>
      <c r="C119"/>
      <c r="D119"/>
      <c r="E119"/>
      <c r="F119"/>
      <c r="G119"/>
      <c r="H119" s="54"/>
      <c r="I119" s="54"/>
      <c r="J119" s="54"/>
      <c r="K119" s="54"/>
      <c r="U119"/>
      <c r="V119"/>
      <c r="W119"/>
    </row>
    <row r="120" spans="1:23" s="15" customFormat="1" x14ac:dyDescent="0.3">
      <c r="A120" s="17"/>
      <c r="B120"/>
      <c r="C120"/>
      <c r="D120"/>
      <c r="E120"/>
      <c r="F120"/>
      <c r="G120"/>
      <c r="H120" s="54"/>
      <c r="I120" s="54"/>
      <c r="J120" s="54"/>
      <c r="K120" s="54"/>
      <c r="U120"/>
      <c r="V120"/>
      <c r="W120"/>
    </row>
    <row r="121" spans="1:23" s="15" customFormat="1" x14ac:dyDescent="0.3">
      <c r="A121" s="17"/>
      <c r="B121"/>
      <c r="C121"/>
      <c r="D121"/>
      <c r="E121"/>
      <c r="F121"/>
      <c r="G121"/>
      <c r="H121" s="54"/>
      <c r="I121" s="54"/>
      <c r="J121" s="54"/>
      <c r="K121" s="54"/>
      <c r="U121"/>
      <c r="V121"/>
      <c r="W121"/>
    </row>
    <row r="122" spans="1:23" s="15" customFormat="1" x14ac:dyDescent="0.3">
      <c r="A122" s="17"/>
      <c r="B122"/>
      <c r="C122"/>
      <c r="D122"/>
      <c r="E122"/>
      <c r="F122"/>
      <c r="G122"/>
      <c r="H122" s="54"/>
      <c r="I122" s="54"/>
      <c r="J122" s="54"/>
      <c r="K122" s="54"/>
      <c r="U122"/>
      <c r="V122"/>
      <c r="W122"/>
    </row>
    <row r="123" spans="1:23" s="15" customFormat="1" x14ac:dyDescent="0.3">
      <c r="A123" s="17"/>
      <c r="B123"/>
      <c r="C123"/>
      <c r="D123"/>
      <c r="E123"/>
      <c r="F123"/>
      <c r="G123"/>
      <c r="H123" s="54"/>
      <c r="I123" s="54"/>
      <c r="J123" s="54"/>
      <c r="K123" s="54"/>
      <c r="U123"/>
      <c r="V123"/>
      <c r="W123"/>
    </row>
    <row r="124" spans="1:23" s="15" customFormat="1" x14ac:dyDescent="0.3">
      <c r="A124" s="17"/>
      <c r="B124"/>
      <c r="C124"/>
      <c r="D124"/>
      <c r="E124"/>
      <c r="F124"/>
      <c r="G124"/>
      <c r="H124" s="54"/>
      <c r="I124" s="54"/>
      <c r="J124" s="54"/>
      <c r="K124" s="54"/>
      <c r="U124"/>
      <c r="V124"/>
      <c r="W124"/>
    </row>
    <row r="125" spans="1:23" s="15" customFormat="1" x14ac:dyDescent="0.3">
      <c r="A125" s="17"/>
      <c r="B125"/>
      <c r="C125"/>
      <c r="D125"/>
      <c r="E125"/>
      <c r="F125"/>
      <c r="G125"/>
      <c r="H125" s="54"/>
      <c r="I125" s="54"/>
      <c r="J125" s="54"/>
      <c r="K125" s="54"/>
      <c r="U125"/>
      <c r="V125"/>
      <c r="W125"/>
    </row>
    <row r="126" spans="1:23" s="15" customFormat="1" x14ac:dyDescent="0.3">
      <c r="A126" s="17"/>
      <c r="B126"/>
      <c r="C126"/>
      <c r="D126"/>
      <c r="E126"/>
      <c r="F126"/>
      <c r="G126"/>
      <c r="H126" s="54"/>
      <c r="I126" s="54"/>
      <c r="J126" s="54"/>
      <c r="K126" s="54"/>
      <c r="U126"/>
      <c r="V126"/>
      <c r="W126"/>
    </row>
    <row r="127" spans="1:23" s="15" customFormat="1" x14ac:dyDescent="0.3">
      <c r="A127" s="17"/>
      <c r="B127"/>
      <c r="C127"/>
      <c r="D127"/>
      <c r="E127"/>
      <c r="F127"/>
      <c r="G127"/>
      <c r="H127" s="54"/>
      <c r="I127" s="54"/>
      <c r="J127" s="54"/>
      <c r="K127" s="54"/>
      <c r="U127"/>
      <c r="V127"/>
      <c r="W127"/>
    </row>
    <row r="128" spans="1:23" s="15" customFormat="1" x14ac:dyDescent="0.3">
      <c r="A128" s="17"/>
      <c r="B128"/>
      <c r="C128"/>
      <c r="D128"/>
      <c r="E128"/>
      <c r="F128"/>
      <c r="G128"/>
      <c r="H128" s="54"/>
      <c r="I128" s="54"/>
      <c r="J128" s="54"/>
      <c r="K128" s="54"/>
      <c r="U128"/>
      <c r="V128"/>
      <c r="W128"/>
    </row>
    <row r="129" spans="1:23" s="15" customFormat="1" x14ac:dyDescent="0.3">
      <c r="A129" s="17"/>
      <c r="B129"/>
      <c r="C129"/>
      <c r="D129"/>
      <c r="E129"/>
      <c r="F129"/>
      <c r="G129"/>
      <c r="H129" s="54"/>
      <c r="I129" s="54"/>
      <c r="J129" s="54"/>
      <c r="K129" s="54"/>
      <c r="U129"/>
      <c r="V129"/>
      <c r="W129"/>
    </row>
    <row r="130" spans="1:23" s="15" customFormat="1" x14ac:dyDescent="0.3">
      <c r="A130" s="17"/>
      <c r="B130"/>
      <c r="C130"/>
      <c r="D130"/>
      <c r="E130"/>
      <c r="F130"/>
      <c r="G130"/>
      <c r="H130" s="54"/>
      <c r="I130" s="54"/>
      <c r="J130" s="54"/>
      <c r="K130" s="54"/>
      <c r="U130"/>
      <c r="V130"/>
      <c r="W130"/>
    </row>
    <row r="131" spans="1:23" s="15" customFormat="1" x14ac:dyDescent="0.3">
      <c r="A131" s="17"/>
      <c r="B131"/>
      <c r="C131"/>
      <c r="D131"/>
      <c r="E131"/>
      <c r="F131"/>
      <c r="G131"/>
      <c r="H131" s="54"/>
      <c r="I131" s="54"/>
      <c r="J131" s="54"/>
      <c r="K131" s="54"/>
      <c r="U131"/>
      <c r="V131"/>
      <c r="W131"/>
    </row>
    <row r="132" spans="1:23" s="15" customFormat="1" x14ac:dyDescent="0.3">
      <c r="A132" s="17"/>
      <c r="B132"/>
      <c r="C132"/>
      <c r="D132"/>
      <c r="E132"/>
      <c r="F132"/>
      <c r="G132"/>
      <c r="H132" s="54"/>
      <c r="I132" s="54"/>
      <c r="J132" s="54"/>
      <c r="K132" s="54"/>
      <c r="U132"/>
      <c r="V132"/>
      <c r="W132"/>
    </row>
    <row r="133" spans="1:23" s="15" customFormat="1" x14ac:dyDescent="0.3">
      <c r="A133" s="17"/>
      <c r="B133"/>
      <c r="C133"/>
      <c r="D133"/>
      <c r="E133"/>
      <c r="F133"/>
      <c r="G133"/>
      <c r="H133" s="54"/>
      <c r="I133" s="54"/>
      <c r="J133" s="54"/>
      <c r="K133" s="54"/>
      <c r="U133"/>
      <c r="V133"/>
      <c r="W133"/>
    </row>
    <row r="134" spans="1:23" s="15" customFormat="1" x14ac:dyDescent="0.3">
      <c r="A134" s="17"/>
      <c r="B134"/>
      <c r="C134"/>
      <c r="D134"/>
      <c r="E134"/>
      <c r="F134"/>
      <c r="G134"/>
      <c r="H134" s="54"/>
      <c r="I134" s="54"/>
      <c r="J134" s="54"/>
      <c r="K134" s="54"/>
      <c r="U134"/>
      <c r="V134"/>
      <c r="W134"/>
    </row>
    <row r="135" spans="1:23" s="15" customFormat="1" x14ac:dyDescent="0.3">
      <c r="A135" s="17"/>
      <c r="B135"/>
      <c r="C135"/>
      <c r="D135"/>
      <c r="E135"/>
      <c r="F135"/>
      <c r="G135"/>
      <c r="H135" s="54"/>
      <c r="I135" s="54"/>
      <c r="J135" s="54"/>
      <c r="K135" s="54"/>
      <c r="U135"/>
      <c r="V135"/>
      <c r="W135"/>
    </row>
    <row r="136" spans="1:23" s="15" customFormat="1" x14ac:dyDescent="0.3">
      <c r="A136" s="17"/>
      <c r="B136"/>
      <c r="C136"/>
      <c r="D136"/>
      <c r="E136"/>
      <c r="F136"/>
      <c r="G136"/>
      <c r="H136" s="54"/>
      <c r="I136" s="54"/>
      <c r="J136" s="54"/>
      <c r="K136" s="54"/>
      <c r="U136"/>
      <c r="V136"/>
      <c r="W136"/>
    </row>
    <row r="137" spans="1:23" s="15" customFormat="1" x14ac:dyDescent="0.3">
      <c r="A137" s="17"/>
      <c r="B137"/>
      <c r="C137"/>
      <c r="D137"/>
      <c r="E137"/>
      <c r="F137"/>
      <c r="G137"/>
      <c r="H137" s="54"/>
      <c r="I137" s="54"/>
      <c r="J137" s="54"/>
      <c r="K137" s="54"/>
      <c r="U137"/>
      <c r="V137"/>
      <c r="W137"/>
    </row>
    <row r="138" spans="1:23" s="15" customFormat="1" x14ac:dyDescent="0.3">
      <c r="A138" s="17"/>
      <c r="B138"/>
      <c r="C138"/>
      <c r="D138"/>
      <c r="E138"/>
      <c r="F138"/>
      <c r="G138"/>
      <c r="H138" s="54"/>
      <c r="I138" s="54"/>
      <c r="J138" s="54"/>
      <c r="K138" s="54"/>
      <c r="U138"/>
      <c r="V138"/>
      <c r="W138"/>
    </row>
    <row r="139" spans="1:23" s="15" customFormat="1" x14ac:dyDescent="0.3">
      <c r="A139" s="17"/>
      <c r="B139"/>
      <c r="C139"/>
      <c r="D139"/>
      <c r="E139"/>
      <c r="F139"/>
      <c r="G139"/>
      <c r="H139" s="54"/>
      <c r="I139" s="54"/>
      <c r="J139" s="54"/>
      <c r="K139" s="54"/>
      <c r="U139"/>
      <c r="V139"/>
      <c r="W139"/>
    </row>
    <row r="140" spans="1:23" s="15" customFormat="1" x14ac:dyDescent="0.3">
      <c r="A140" s="17"/>
      <c r="B140"/>
      <c r="C140"/>
      <c r="D140"/>
      <c r="E140"/>
      <c r="F140"/>
      <c r="G140"/>
      <c r="H140" s="54"/>
      <c r="I140" s="54"/>
      <c r="J140" s="54"/>
      <c r="K140" s="54"/>
      <c r="U140"/>
      <c r="V140"/>
      <c r="W140"/>
    </row>
    <row r="141" spans="1:23" s="15" customFormat="1" x14ac:dyDescent="0.3">
      <c r="A141" s="17"/>
      <c r="B141"/>
      <c r="C141"/>
      <c r="D141"/>
      <c r="E141"/>
      <c r="F141"/>
      <c r="G141"/>
      <c r="H141" s="54"/>
      <c r="I141" s="54"/>
      <c r="J141" s="54"/>
      <c r="K141" s="54"/>
      <c r="U141"/>
      <c r="V141"/>
      <c r="W141"/>
    </row>
    <row r="142" spans="1:23" s="15" customFormat="1" x14ac:dyDescent="0.3">
      <c r="A142" s="17"/>
      <c r="B142"/>
      <c r="C142"/>
      <c r="D142"/>
      <c r="E142"/>
      <c r="F142"/>
      <c r="G142"/>
      <c r="H142" s="54"/>
      <c r="I142" s="54"/>
      <c r="J142" s="54"/>
      <c r="K142" s="54"/>
      <c r="U142"/>
      <c r="V142"/>
      <c r="W142"/>
    </row>
    <row r="143" spans="1:23" s="15" customFormat="1" x14ac:dyDescent="0.3">
      <c r="A143" s="17"/>
      <c r="B143"/>
      <c r="C143"/>
      <c r="D143"/>
      <c r="E143"/>
      <c r="F143"/>
      <c r="G143"/>
      <c r="H143" s="54"/>
      <c r="I143" s="54"/>
      <c r="J143" s="54"/>
      <c r="K143" s="54"/>
      <c r="U143"/>
      <c r="V143"/>
      <c r="W143"/>
    </row>
    <row r="144" spans="1:23" s="15" customFormat="1" x14ac:dyDescent="0.3">
      <c r="A144" s="17"/>
      <c r="B144"/>
      <c r="C144"/>
      <c r="D144"/>
      <c r="E144"/>
      <c r="F144"/>
      <c r="G144"/>
      <c r="H144" s="54"/>
      <c r="I144" s="54"/>
      <c r="J144" s="54"/>
      <c r="K144" s="54"/>
      <c r="U144"/>
      <c r="V144"/>
      <c r="W144"/>
    </row>
    <row r="145" spans="1:23" s="15" customFormat="1" x14ac:dyDescent="0.3">
      <c r="A145" s="17"/>
      <c r="B145"/>
      <c r="C145"/>
      <c r="D145"/>
      <c r="E145"/>
      <c r="F145"/>
      <c r="G145"/>
      <c r="H145" s="54"/>
      <c r="I145" s="54"/>
      <c r="J145" s="54"/>
      <c r="K145" s="54"/>
      <c r="U145"/>
      <c r="V145"/>
      <c r="W145"/>
    </row>
    <row r="146" spans="1:23" s="15" customFormat="1" x14ac:dyDescent="0.3">
      <c r="A146" s="17"/>
      <c r="B146"/>
      <c r="C146"/>
      <c r="D146"/>
      <c r="E146"/>
      <c r="F146"/>
      <c r="G146"/>
      <c r="H146" s="54"/>
      <c r="I146" s="54"/>
      <c r="J146" s="54"/>
      <c r="K146" s="54"/>
      <c r="U146"/>
      <c r="V146"/>
      <c r="W146"/>
    </row>
    <row r="147" spans="1:23" s="15" customFormat="1" x14ac:dyDescent="0.3">
      <c r="A147" s="17"/>
      <c r="B147"/>
      <c r="C147"/>
      <c r="D147"/>
      <c r="E147"/>
      <c r="F147"/>
      <c r="G147"/>
      <c r="H147" s="54"/>
      <c r="I147" s="54"/>
      <c r="J147" s="54"/>
      <c r="K147" s="54"/>
      <c r="U147"/>
      <c r="V147"/>
      <c r="W147"/>
    </row>
    <row r="148" spans="1:23" s="15" customFormat="1" x14ac:dyDescent="0.3">
      <c r="A148" s="17"/>
      <c r="B148"/>
      <c r="C148"/>
      <c r="D148"/>
      <c r="E148"/>
      <c r="F148"/>
      <c r="G148"/>
      <c r="H148" s="54"/>
      <c r="I148" s="54"/>
      <c r="J148" s="54"/>
      <c r="K148" s="54"/>
      <c r="U148"/>
      <c r="V148"/>
      <c r="W148"/>
    </row>
    <row r="149" spans="1:23" s="15" customFormat="1" x14ac:dyDescent="0.3">
      <c r="A149" s="17"/>
      <c r="B149"/>
      <c r="C149"/>
      <c r="D149"/>
      <c r="E149"/>
      <c r="F149"/>
      <c r="G149"/>
      <c r="H149" s="54"/>
      <c r="I149" s="54"/>
      <c r="J149" s="54"/>
      <c r="K149" s="54"/>
      <c r="U149"/>
      <c r="V149"/>
      <c r="W149"/>
    </row>
    <row r="150" spans="1:23" s="15" customFormat="1" x14ac:dyDescent="0.3">
      <c r="A150" s="17"/>
      <c r="B150"/>
      <c r="C150"/>
      <c r="D150"/>
      <c r="E150"/>
      <c r="F150"/>
      <c r="G150"/>
      <c r="H150" s="54"/>
      <c r="I150" s="54"/>
      <c r="J150" s="54"/>
      <c r="K150" s="54"/>
      <c r="U150"/>
      <c r="V150"/>
      <c r="W150"/>
    </row>
    <row r="151" spans="1:23" s="15" customFormat="1" x14ac:dyDescent="0.3">
      <c r="A151" s="17"/>
      <c r="B151"/>
      <c r="C151"/>
      <c r="D151"/>
      <c r="E151"/>
      <c r="F151"/>
      <c r="G151"/>
      <c r="H151" s="54"/>
      <c r="I151" s="54"/>
      <c r="J151" s="54"/>
      <c r="K151" s="54"/>
      <c r="U151"/>
      <c r="V151"/>
      <c r="W151"/>
    </row>
    <row r="152" spans="1:23" s="15" customFormat="1" x14ac:dyDescent="0.3">
      <c r="A152" s="17"/>
      <c r="B152"/>
      <c r="C152"/>
      <c r="D152"/>
      <c r="E152"/>
      <c r="F152"/>
      <c r="G152"/>
      <c r="H152" s="54"/>
      <c r="I152" s="54"/>
      <c r="J152" s="54"/>
      <c r="K152" s="54"/>
      <c r="U152"/>
      <c r="V152"/>
      <c r="W152"/>
    </row>
    <row r="153" spans="1:23" s="15" customFormat="1" x14ac:dyDescent="0.3">
      <c r="A153" s="17"/>
      <c r="B153"/>
      <c r="C153"/>
      <c r="D153"/>
      <c r="E153"/>
      <c r="F153"/>
      <c r="G153"/>
      <c r="H153" s="54"/>
      <c r="I153" s="54"/>
      <c r="J153" s="54"/>
      <c r="K153" s="54"/>
      <c r="U153"/>
      <c r="V153"/>
      <c r="W153"/>
    </row>
    <row r="154" spans="1:23" s="15" customFormat="1" x14ac:dyDescent="0.3">
      <c r="A154" s="17"/>
      <c r="B154"/>
      <c r="C154"/>
      <c r="D154"/>
      <c r="E154"/>
      <c r="F154"/>
      <c r="G154"/>
      <c r="H154" s="54"/>
      <c r="I154" s="54"/>
      <c r="J154" s="54"/>
      <c r="K154" s="54"/>
      <c r="U154"/>
      <c r="V154"/>
      <c r="W154"/>
    </row>
    <row r="155" spans="1:23" s="15" customFormat="1" x14ac:dyDescent="0.3">
      <c r="A155" s="17"/>
      <c r="B155"/>
      <c r="C155"/>
      <c r="D155"/>
      <c r="E155"/>
      <c r="F155"/>
      <c r="G155"/>
      <c r="H155" s="54"/>
      <c r="I155" s="54"/>
      <c r="J155" s="54"/>
      <c r="K155" s="54"/>
      <c r="U155"/>
      <c r="V155"/>
      <c r="W155"/>
    </row>
    <row r="156" spans="1:23" s="15" customFormat="1" x14ac:dyDescent="0.3">
      <c r="A156" s="17"/>
      <c r="B156"/>
      <c r="C156"/>
      <c r="D156"/>
      <c r="E156"/>
      <c r="F156"/>
      <c r="G156"/>
      <c r="H156" s="54"/>
      <c r="I156" s="54"/>
      <c r="J156" s="54"/>
      <c r="K156" s="54"/>
      <c r="U156"/>
      <c r="V156"/>
      <c r="W156"/>
    </row>
    <row r="157" spans="1:23" s="15" customFormat="1" x14ac:dyDescent="0.3">
      <c r="A157" s="17"/>
      <c r="B157"/>
      <c r="C157"/>
      <c r="D157"/>
      <c r="E157"/>
      <c r="F157"/>
      <c r="G157"/>
      <c r="H157" s="54"/>
      <c r="I157" s="54"/>
      <c r="J157" s="54"/>
      <c r="K157" s="54"/>
      <c r="U157"/>
      <c r="V157"/>
      <c r="W157"/>
    </row>
    <row r="158" spans="1:23" s="15" customFormat="1" x14ac:dyDescent="0.3">
      <c r="A158" s="17"/>
      <c r="B158"/>
      <c r="C158"/>
      <c r="D158"/>
      <c r="E158"/>
      <c r="F158"/>
      <c r="G158"/>
      <c r="H158" s="54"/>
      <c r="I158" s="54"/>
      <c r="J158" s="54"/>
      <c r="K158" s="54"/>
      <c r="U158"/>
      <c r="V158"/>
      <c r="W158"/>
    </row>
    <row r="159" spans="1:23" s="15" customFormat="1" x14ac:dyDescent="0.3">
      <c r="A159" s="17"/>
      <c r="B159"/>
      <c r="C159"/>
      <c r="D159"/>
      <c r="E159"/>
      <c r="F159"/>
      <c r="G159"/>
      <c r="H159" s="54"/>
      <c r="I159" s="54"/>
      <c r="J159" s="54"/>
      <c r="K159" s="54"/>
      <c r="U159"/>
      <c r="V159"/>
      <c r="W159"/>
    </row>
    <row r="160" spans="1:23" s="15" customFormat="1" x14ac:dyDescent="0.3">
      <c r="A160" s="17"/>
      <c r="B160"/>
      <c r="C160"/>
      <c r="D160"/>
      <c r="E160"/>
      <c r="F160"/>
      <c r="G160"/>
      <c r="H160" s="54"/>
      <c r="I160" s="54"/>
      <c r="J160" s="54"/>
      <c r="K160" s="54"/>
      <c r="U160"/>
      <c r="V160"/>
      <c r="W160"/>
    </row>
    <row r="161" spans="1:23" s="15" customFormat="1" x14ac:dyDescent="0.3">
      <c r="A161" s="17"/>
      <c r="B161"/>
      <c r="C161"/>
      <c r="D161"/>
      <c r="E161"/>
      <c r="F161"/>
      <c r="G161"/>
      <c r="H161" s="54"/>
      <c r="I161" s="54"/>
      <c r="J161" s="54"/>
      <c r="K161" s="54"/>
      <c r="U161"/>
      <c r="V161"/>
      <c r="W161"/>
    </row>
    <row r="162" spans="1:23" s="15" customFormat="1" x14ac:dyDescent="0.3">
      <c r="A162" s="17"/>
      <c r="B162"/>
      <c r="C162"/>
      <c r="D162"/>
      <c r="E162"/>
      <c r="F162"/>
      <c r="G162"/>
      <c r="H162" s="54"/>
      <c r="I162" s="54"/>
      <c r="J162" s="54"/>
      <c r="K162" s="54"/>
      <c r="U162"/>
      <c r="V162"/>
      <c r="W162"/>
    </row>
    <row r="163" spans="1:23" s="15" customFormat="1" x14ac:dyDescent="0.3">
      <c r="A163" s="17"/>
      <c r="B163"/>
      <c r="C163"/>
      <c r="D163"/>
      <c r="E163"/>
      <c r="F163"/>
      <c r="G163"/>
      <c r="H163" s="54"/>
      <c r="I163" s="54"/>
      <c r="J163" s="54"/>
      <c r="K163" s="54"/>
      <c r="U163"/>
      <c r="V163"/>
      <c r="W163"/>
    </row>
    <row r="164" spans="1:23" s="15" customFormat="1" x14ac:dyDescent="0.3">
      <c r="A164" s="17"/>
      <c r="B164"/>
      <c r="C164"/>
      <c r="D164"/>
      <c r="E164"/>
      <c r="F164"/>
      <c r="G164"/>
      <c r="H164" s="54"/>
      <c r="I164" s="54"/>
      <c r="J164" s="54"/>
      <c r="K164" s="54"/>
      <c r="U164"/>
      <c r="V164"/>
      <c r="W164"/>
    </row>
    <row r="165" spans="1:23" s="15" customFormat="1" x14ac:dyDescent="0.3">
      <c r="A165" s="17"/>
      <c r="B165"/>
      <c r="C165"/>
      <c r="D165"/>
      <c r="E165"/>
      <c r="F165"/>
      <c r="G165"/>
      <c r="H165" s="54"/>
      <c r="I165" s="54"/>
      <c r="J165" s="54"/>
      <c r="K165" s="54"/>
      <c r="U165"/>
      <c r="V165"/>
      <c r="W165"/>
    </row>
    <row r="166" spans="1:23" s="15" customFormat="1" x14ac:dyDescent="0.3">
      <c r="A166" s="17"/>
      <c r="B166"/>
      <c r="C166"/>
      <c r="D166"/>
      <c r="E166"/>
      <c r="F166"/>
      <c r="G166"/>
      <c r="H166" s="54"/>
      <c r="I166" s="54"/>
      <c r="J166" s="54"/>
      <c r="K166" s="54"/>
      <c r="U166"/>
      <c r="V166"/>
      <c r="W166"/>
    </row>
    <row r="167" spans="1:23" s="15" customFormat="1" x14ac:dyDescent="0.3">
      <c r="A167" s="17"/>
      <c r="B167"/>
      <c r="C167"/>
      <c r="D167"/>
      <c r="E167"/>
      <c r="F167"/>
      <c r="G167"/>
      <c r="H167" s="54"/>
      <c r="I167" s="54"/>
      <c r="J167" s="54"/>
      <c r="K167" s="54"/>
      <c r="U167"/>
      <c r="V167"/>
      <c r="W167"/>
    </row>
    <row r="168" spans="1:23" s="15" customFormat="1" x14ac:dyDescent="0.3">
      <c r="A168" s="17"/>
      <c r="B168"/>
      <c r="C168"/>
      <c r="D168"/>
      <c r="E168"/>
      <c r="F168"/>
      <c r="G168"/>
      <c r="H168" s="54"/>
      <c r="I168" s="54"/>
      <c r="J168" s="54"/>
      <c r="K168" s="54"/>
      <c r="U168"/>
      <c r="V168"/>
      <c r="W168"/>
    </row>
    <row r="169" spans="1:23" s="15" customFormat="1" x14ac:dyDescent="0.3">
      <c r="A169" s="17"/>
      <c r="B169"/>
      <c r="C169"/>
      <c r="D169"/>
      <c r="E169"/>
      <c r="F169"/>
      <c r="G169"/>
      <c r="H169" s="54"/>
      <c r="I169" s="54"/>
      <c r="J169" s="54"/>
      <c r="K169" s="54"/>
      <c r="U169"/>
      <c r="V169"/>
      <c r="W169"/>
    </row>
    <row r="170" spans="1:23" s="15" customFormat="1" x14ac:dyDescent="0.3">
      <c r="A170" s="17"/>
      <c r="B170"/>
      <c r="C170"/>
      <c r="D170"/>
      <c r="E170"/>
      <c r="F170"/>
      <c r="G170"/>
      <c r="H170" s="54"/>
      <c r="I170" s="54"/>
      <c r="J170" s="54"/>
      <c r="K170" s="54"/>
      <c r="U170"/>
      <c r="V170"/>
      <c r="W170"/>
    </row>
    <row r="171" spans="1:23" s="15" customFormat="1" x14ac:dyDescent="0.3">
      <c r="A171" s="17"/>
      <c r="B171"/>
      <c r="C171"/>
      <c r="D171"/>
      <c r="E171"/>
      <c r="F171"/>
      <c r="G171"/>
      <c r="H171" s="54"/>
      <c r="I171" s="54"/>
      <c r="J171" s="54"/>
      <c r="K171" s="54"/>
      <c r="U171"/>
      <c r="V171"/>
      <c r="W171"/>
    </row>
    <row r="172" spans="1:23" s="15" customFormat="1" x14ac:dyDescent="0.3">
      <c r="A172" s="17"/>
      <c r="B172"/>
      <c r="C172"/>
      <c r="D172"/>
      <c r="E172"/>
      <c r="F172"/>
      <c r="G172"/>
      <c r="H172" s="54"/>
      <c r="I172" s="54"/>
      <c r="J172" s="54"/>
      <c r="K172" s="54"/>
      <c r="U172"/>
      <c r="V172"/>
      <c r="W172"/>
    </row>
    <row r="173" spans="1:23" s="15" customFormat="1" x14ac:dyDescent="0.3">
      <c r="A173" s="17"/>
      <c r="B173"/>
      <c r="C173"/>
      <c r="D173"/>
      <c r="E173"/>
      <c r="F173"/>
      <c r="G173"/>
      <c r="H173" s="54"/>
      <c r="I173" s="54"/>
      <c r="J173" s="54"/>
      <c r="K173" s="54"/>
      <c r="U173"/>
      <c r="V173"/>
      <c r="W173"/>
    </row>
    <row r="174" spans="1:23" s="15" customFormat="1" x14ac:dyDescent="0.3">
      <c r="A174" s="17"/>
      <c r="B174"/>
      <c r="C174"/>
      <c r="D174"/>
      <c r="E174"/>
      <c r="F174"/>
      <c r="G174"/>
      <c r="H174" s="54"/>
      <c r="I174" s="54"/>
      <c r="J174" s="54"/>
      <c r="K174" s="54"/>
      <c r="U174"/>
      <c r="V174"/>
      <c r="W174"/>
    </row>
    <row r="175" spans="1:23" s="15" customFormat="1" x14ac:dyDescent="0.3">
      <c r="A175" s="17"/>
      <c r="B175"/>
      <c r="C175"/>
      <c r="D175"/>
      <c r="E175"/>
      <c r="F175"/>
      <c r="G175"/>
      <c r="H175" s="54"/>
      <c r="I175" s="54"/>
      <c r="J175" s="54"/>
      <c r="K175" s="54"/>
      <c r="U175"/>
      <c r="V175"/>
      <c r="W175"/>
    </row>
    <row r="176" spans="1:23" s="15" customFormat="1" x14ac:dyDescent="0.3">
      <c r="A176" s="17"/>
      <c r="B176"/>
      <c r="C176"/>
      <c r="D176"/>
      <c r="E176"/>
      <c r="F176"/>
      <c r="G176"/>
      <c r="H176" s="54"/>
      <c r="I176" s="54"/>
      <c r="J176" s="54"/>
      <c r="K176" s="54"/>
      <c r="U176"/>
      <c r="V176"/>
      <c r="W176"/>
    </row>
    <row r="177" spans="1:23" s="15" customFormat="1" x14ac:dyDescent="0.3">
      <c r="A177" s="17"/>
      <c r="B177"/>
      <c r="C177"/>
      <c r="D177"/>
      <c r="E177"/>
      <c r="F177"/>
      <c r="G177"/>
      <c r="H177" s="54"/>
      <c r="I177" s="54"/>
      <c r="J177" s="54"/>
      <c r="K177" s="54"/>
      <c r="U177"/>
      <c r="V177"/>
      <c r="W177"/>
    </row>
    <row r="178" spans="1:23" s="15" customFormat="1" x14ac:dyDescent="0.3">
      <c r="A178" s="17"/>
      <c r="B178"/>
      <c r="C178"/>
      <c r="D178"/>
      <c r="E178"/>
      <c r="F178"/>
      <c r="G178"/>
      <c r="H178" s="54"/>
      <c r="I178" s="54"/>
      <c r="J178" s="54"/>
      <c r="K178" s="54"/>
      <c r="U178"/>
      <c r="V178"/>
      <c r="W178"/>
    </row>
    <row r="179" spans="1:23" s="15" customFormat="1" x14ac:dyDescent="0.3">
      <c r="A179" s="17"/>
      <c r="B179"/>
      <c r="C179"/>
      <c r="D179"/>
      <c r="E179"/>
      <c r="F179"/>
      <c r="G179"/>
      <c r="H179" s="54"/>
      <c r="I179" s="54"/>
      <c r="J179" s="54"/>
      <c r="K179" s="54"/>
      <c r="U179"/>
      <c r="V179"/>
      <c r="W179"/>
    </row>
    <row r="180" spans="1:23" s="15" customFormat="1" x14ac:dyDescent="0.3">
      <c r="A180" s="17"/>
      <c r="B180"/>
      <c r="C180"/>
      <c r="D180"/>
      <c r="E180"/>
      <c r="F180"/>
      <c r="G180"/>
      <c r="H180" s="54"/>
      <c r="I180" s="54"/>
      <c r="J180" s="54"/>
      <c r="K180" s="54"/>
      <c r="U180"/>
      <c r="V180"/>
      <c r="W180"/>
    </row>
    <row r="181" spans="1:23" s="15" customFormat="1" x14ac:dyDescent="0.3">
      <c r="A181" s="17"/>
      <c r="B181"/>
      <c r="C181"/>
      <c r="D181"/>
      <c r="E181"/>
      <c r="F181"/>
      <c r="G181"/>
      <c r="H181" s="54"/>
      <c r="I181" s="54"/>
      <c r="J181" s="54"/>
      <c r="K181" s="54"/>
      <c r="U181"/>
      <c r="V181"/>
      <c r="W181"/>
    </row>
    <row r="182" spans="1:23" s="15" customFormat="1" x14ac:dyDescent="0.3">
      <c r="A182" s="17"/>
      <c r="B182"/>
      <c r="C182"/>
      <c r="D182"/>
      <c r="E182"/>
      <c r="F182"/>
      <c r="G182"/>
      <c r="H182" s="54"/>
      <c r="I182" s="54"/>
      <c r="J182" s="54"/>
      <c r="K182" s="54"/>
      <c r="U182"/>
      <c r="V182"/>
      <c r="W182"/>
    </row>
    <row r="183" spans="1:23" s="15" customFormat="1" x14ac:dyDescent="0.3">
      <c r="A183" s="17"/>
      <c r="B183"/>
      <c r="C183"/>
      <c r="D183"/>
      <c r="E183"/>
      <c r="F183"/>
      <c r="G183"/>
      <c r="H183" s="54"/>
      <c r="I183" s="54"/>
      <c r="J183" s="54"/>
      <c r="K183" s="54"/>
      <c r="U183"/>
      <c r="V183"/>
      <c r="W183"/>
    </row>
    <row r="184" spans="1:23" s="15" customFormat="1" x14ac:dyDescent="0.3">
      <c r="A184" s="17"/>
      <c r="B184"/>
      <c r="C184"/>
      <c r="D184"/>
      <c r="E184"/>
      <c r="F184"/>
      <c r="G184"/>
      <c r="H184" s="54"/>
      <c r="I184" s="54"/>
      <c r="J184" s="54"/>
      <c r="K184" s="54"/>
      <c r="U184"/>
      <c r="V184"/>
      <c r="W184"/>
    </row>
    <row r="185" spans="1:23" s="15" customFormat="1" x14ac:dyDescent="0.3">
      <c r="A185" s="17"/>
      <c r="B185"/>
      <c r="C185"/>
      <c r="D185"/>
      <c r="E185"/>
      <c r="F185"/>
      <c r="G185"/>
      <c r="H185" s="54"/>
      <c r="I185" s="54"/>
      <c r="J185" s="54"/>
      <c r="K185" s="54"/>
      <c r="U185"/>
      <c r="V185"/>
      <c r="W185"/>
    </row>
    <row r="186" spans="1:23" s="15" customFormat="1" x14ac:dyDescent="0.3">
      <c r="A186" s="17"/>
      <c r="B186"/>
      <c r="C186"/>
      <c r="D186"/>
      <c r="E186"/>
      <c r="F186"/>
      <c r="G186"/>
      <c r="H186" s="54"/>
      <c r="I186" s="54"/>
      <c r="J186" s="54"/>
      <c r="K186" s="54"/>
      <c r="U186"/>
      <c r="V186"/>
      <c r="W186"/>
    </row>
    <row r="187" spans="1:23" s="15" customFormat="1" x14ac:dyDescent="0.3">
      <c r="A187" s="17"/>
      <c r="B187"/>
      <c r="C187"/>
      <c r="D187"/>
      <c r="E187"/>
      <c r="F187"/>
      <c r="G187"/>
      <c r="H187" s="54"/>
      <c r="I187" s="54"/>
      <c r="J187" s="54"/>
      <c r="K187" s="54"/>
      <c r="U187"/>
      <c r="V187"/>
      <c r="W187"/>
    </row>
    <row r="188" spans="1:23" s="15" customFormat="1" x14ac:dyDescent="0.3">
      <c r="A188" s="17"/>
      <c r="B188"/>
      <c r="C188"/>
      <c r="D188"/>
      <c r="E188"/>
      <c r="F188"/>
      <c r="G188"/>
      <c r="H188" s="54"/>
      <c r="I188" s="54"/>
      <c r="J188" s="54"/>
      <c r="K188" s="54"/>
      <c r="U188"/>
      <c r="V188"/>
      <c r="W188"/>
    </row>
    <row r="189" spans="1:23" s="15" customFormat="1" x14ac:dyDescent="0.3">
      <c r="A189" s="17"/>
      <c r="B189"/>
      <c r="C189"/>
      <c r="D189"/>
      <c r="E189"/>
      <c r="F189"/>
      <c r="G189"/>
      <c r="H189" s="54"/>
      <c r="I189" s="54"/>
      <c r="J189" s="54"/>
      <c r="K189" s="54"/>
      <c r="U189"/>
      <c r="V189"/>
      <c r="W189"/>
    </row>
    <row r="190" spans="1:23" s="15" customFormat="1" x14ac:dyDescent="0.3">
      <c r="A190" s="17"/>
      <c r="B190"/>
      <c r="C190"/>
      <c r="D190"/>
      <c r="E190"/>
      <c r="F190"/>
      <c r="G190"/>
      <c r="H190" s="54"/>
      <c r="I190" s="54"/>
      <c r="J190" s="54"/>
      <c r="K190" s="54"/>
      <c r="U190"/>
      <c r="V190"/>
      <c r="W190"/>
    </row>
    <row r="191" spans="1:23" s="15" customFormat="1" x14ac:dyDescent="0.3">
      <c r="A191" s="17"/>
      <c r="B191"/>
      <c r="C191"/>
      <c r="D191"/>
      <c r="E191"/>
      <c r="F191"/>
      <c r="G191"/>
      <c r="H191" s="54"/>
      <c r="I191" s="54"/>
      <c r="J191" s="54"/>
      <c r="K191" s="54"/>
      <c r="U191"/>
      <c r="V191"/>
      <c r="W191"/>
    </row>
    <row r="192" spans="1:23" s="15" customFormat="1" x14ac:dyDescent="0.3">
      <c r="A192" s="17"/>
      <c r="B192"/>
      <c r="C192"/>
      <c r="D192"/>
      <c r="E192"/>
      <c r="F192"/>
      <c r="G192"/>
      <c r="H192" s="54"/>
      <c r="I192" s="54"/>
      <c r="J192" s="54"/>
      <c r="K192" s="54"/>
      <c r="U192"/>
      <c r="V192"/>
      <c r="W192"/>
    </row>
    <row r="193" spans="1:23" s="15" customFormat="1" x14ac:dyDescent="0.3">
      <c r="A193" s="17"/>
      <c r="B193"/>
      <c r="C193"/>
      <c r="D193"/>
      <c r="E193"/>
      <c r="F193"/>
      <c r="G193"/>
      <c r="H193" s="54"/>
      <c r="I193" s="54"/>
      <c r="J193" s="54"/>
      <c r="K193" s="54"/>
      <c r="U193"/>
      <c r="V193"/>
      <c r="W193"/>
    </row>
    <row r="194" spans="1:23" s="15" customFormat="1" x14ac:dyDescent="0.3">
      <c r="A194" s="17"/>
      <c r="B194"/>
      <c r="C194"/>
      <c r="D194"/>
      <c r="E194"/>
      <c r="F194"/>
      <c r="G194"/>
      <c r="H194" s="54"/>
      <c r="I194" s="54"/>
      <c r="J194" s="54"/>
      <c r="K194" s="54"/>
      <c r="U194"/>
      <c r="V194"/>
      <c r="W194"/>
    </row>
    <row r="195" spans="1:23" s="15" customFormat="1" x14ac:dyDescent="0.3">
      <c r="A195" s="17"/>
      <c r="B195"/>
      <c r="C195"/>
      <c r="D195"/>
      <c r="E195"/>
      <c r="F195"/>
      <c r="G195"/>
      <c r="H195" s="54"/>
      <c r="I195" s="54"/>
      <c r="J195" s="54"/>
      <c r="K195" s="54"/>
      <c r="U195"/>
      <c r="V195"/>
      <c r="W195"/>
    </row>
    <row r="196" spans="1:23" s="15" customFormat="1" x14ac:dyDescent="0.3">
      <c r="A196" s="17"/>
      <c r="B196"/>
      <c r="C196"/>
      <c r="D196"/>
      <c r="E196"/>
      <c r="F196"/>
      <c r="G196"/>
      <c r="H196" s="54"/>
      <c r="I196" s="54"/>
      <c r="J196" s="54"/>
      <c r="K196" s="54"/>
      <c r="U196"/>
      <c r="V196"/>
      <c r="W196"/>
    </row>
    <row r="197" spans="1:23" s="15" customFormat="1" x14ac:dyDescent="0.3">
      <c r="A197" s="17"/>
      <c r="B197"/>
      <c r="C197"/>
      <c r="D197"/>
      <c r="E197"/>
      <c r="F197"/>
      <c r="G197"/>
      <c r="H197" s="54"/>
      <c r="I197" s="54"/>
      <c r="J197" s="54"/>
      <c r="K197" s="54"/>
      <c r="U197"/>
      <c r="V197"/>
      <c r="W197"/>
    </row>
    <row r="198" spans="1:23" s="15" customFormat="1" x14ac:dyDescent="0.3">
      <c r="A198" s="17"/>
      <c r="B198"/>
      <c r="C198"/>
      <c r="D198"/>
      <c r="E198"/>
      <c r="F198"/>
      <c r="G198"/>
      <c r="H198" s="27"/>
      <c r="I198" s="27"/>
      <c r="J198" s="27"/>
      <c r="K198" s="27"/>
      <c r="U198"/>
      <c r="V198"/>
      <c r="W198"/>
    </row>
    <row r="199" spans="1:23" s="15" customFormat="1" x14ac:dyDescent="0.3">
      <c r="A199" s="17"/>
      <c r="B199"/>
      <c r="C199"/>
      <c r="D199"/>
      <c r="E199"/>
      <c r="F199"/>
      <c r="G199"/>
      <c r="H199" s="27"/>
      <c r="I199" s="27"/>
      <c r="J199" s="27"/>
      <c r="K199" s="27"/>
      <c r="U199"/>
      <c r="V199"/>
      <c r="W199"/>
    </row>
    <row r="200" spans="1:23" s="15" customFormat="1" x14ac:dyDescent="0.3">
      <c r="A200" s="17"/>
      <c r="B200"/>
      <c r="C200"/>
      <c r="D200"/>
      <c r="E200"/>
      <c r="F200"/>
      <c r="G200"/>
      <c r="H200" s="27"/>
      <c r="I200" s="27"/>
      <c r="J200" s="27"/>
      <c r="K200" s="27"/>
      <c r="U200"/>
      <c r="V200"/>
      <c r="W200"/>
    </row>
    <row r="201" spans="1:23" s="15" customFormat="1" x14ac:dyDescent="0.3">
      <c r="A201" s="17"/>
      <c r="B201"/>
      <c r="C201"/>
      <c r="D201"/>
      <c r="E201"/>
      <c r="F201"/>
      <c r="G201"/>
      <c r="H201" s="27"/>
      <c r="I201" s="27"/>
      <c r="J201" s="27"/>
      <c r="K201" s="27"/>
      <c r="U201"/>
      <c r="V201"/>
      <c r="W201"/>
    </row>
    <row r="202" spans="1:23" s="15" customFormat="1" x14ac:dyDescent="0.3">
      <c r="A202" s="17"/>
      <c r="B202"/>
      <c r="C202"/>
      <c r="D202"/>
      <c r="E202"/>
      <c r="F202"/>
      <c r="G202"/>
      <c r="H202" s="27"/>
      <c r="I202" s="27"/>
      <c r="J202" s="27"/>
      <c r="K202" s="27"/>
      <c r="U202"/>
      <c r="V202"/>
      <c r="W202"/>
    </row>
    <row r="203" spans="1:23" s="15" customFormat="1" x14ac:dyDescent="0.3">
      <c r="A203" s="17"/>
      <c r="B203"/>
      <c r="C203"/>
      <c r="D203"/>
      <c r="E203"/>
      <c r="F203"/>
      <c r="G203"/>
      <c r="H203" s="27"/>
      <c r="I203" s="27"/>
      <c r="J203" s="27"/>
      <c r="K203" s="27"/>
      <c r="U203"/>
      <c r="V203"/>
      <c r="W203"/>
    </row>
    <row r="204" spans="1:23" s="15" customFormat="1" x14ac:dyDescent="0.3">
      <c r="A204" s="17"/>
      <c r="B204"/>
      <c r="C204"/>
      <c r="D204"/>
      <c r="E204"/>
      <c r="F204"/>
      <c r="G204"/>
      <c r="H204" s="27"/>
      <c r="I204" s="27"/>
      <c r="J204" s="27"/>
      <c r="K204" s="27"/>
      <c r="U204"/>
      <c r="V204"/>
      <c r="W204"/>
    </row>
    <row r="205" spans="1:23" s="15" customFormat="1" x14ac:dyDescent="0.3">
      <c r="A205" s="17"/>
      <c r="B205"/>
      <c r="C205"/>
      <c r="D205"/>
      <c r="E205"/>
      <c r="F205"/>
      <c r="G205"/>
      <c r="H205" s="27"/>
      <c r="I205" s="27"/>
      <c r="J205" s="27"/>
      <c r="K205" s="27"/>
      <c r="U205"/>
      <c r="V205"/>
      <c r="W205"/>
    </row>
    <row r="206" spans="1:23" s="15" customFormat="1" x14ac:dyDescent="0.3">
      <c r="A206" s="17"/>
      <c r="B206"/>
      <c r="C206"/>
      <c r="D206"/>
      <c r="E206"/>
      <c r="F206"/>
      <c r="G206"/>
      <c r="H206" s="27"/>
      <c r="I206" s="27"/>
      <c r="J206" s="27"/>
      <c r="K206" s="27"/>
      <c r="U206"/>
      <c r="V206"/>
      <c r="W206"/>
    </row>
    <row r="207" spans="1:23" s="15" customFormat="1" x14ac:dyDescent="0.3">
      <c r="A207" s="17"/>
      <c r="B207"/>
      <c r="C207"/>
      <c r="D207"/>
      <c r="E207"/>
      <c r="F207"/>
      <c r="G207"/>
      <c r="H207" s="27"/>
      <c r="I207" s="27"/>
      <c r="J207" s="27"/>
      <c r="K207" s="27"/>
      <c r="U207"/>
      <c r="V207"/>
      <c r="W207"/>
    </row>
    <row r="208" spans="1:23" s="15" customFormat="1" x14ac:dyDescent="0.3">
      <c r="A208" s="17"/>
      <c r="B208"/>
      <c r="C208"/>
      <c r="D208"/>
      <c r="E208"/>
      <c r="F208"/>
      <c r="G208"/>
      <c r="H208" s="27"/>
      <c r="I208" s="27"/>
      <c r="J208" s="27"/>
      <c r="K208" s="27"/>
      <c r="U208"/>
      <c r="V208"/>
      <c r="W208"/>
    </row>
    <row r="209" spans="1:23" s="15" customFormat="1" x14ac:dyDescent="0.3">
      <c r="A209" s="17"/>
      <c r="B209"/>
      <c r="C209"/>
      <c r="D209"/>
      <c r="E209"/>
      <c r="F209"/>
      <c r="G209"/>
      <c r="H209" s="27"/>
      <c r="I209" s="27"/>
      <c r="J209" s="27"/>
      <c r="K209" s="27"/>
      <c r="U209"/>
      <c r="V209"/>
      <c r="W209"/>
    </row>
    <row r="210" spans="1:23" s="15" customFormat="1" x14ac:dyDescent="0.3">
      <c r="A210" s="17"/>
      <c r="B210"/>
      <c r="C210"/>
      <c r="D210"/>
      <c r="E210"/>
      <c r="F210"/>
      <c r="G210"/>
      <c r="H210" s="27"/>
      <c r="I210" s="27"/>
      <c r="J210" s="27"/>
      <c r="K210" s="27"/>
      <c r="U210"/>
      <c r="V210"/>
      <c r="W210"/>
    </row>
    <row r="211" spans="1:23" s="15" customFormat="1" x14ac:dyDescent="0.3">
      <c r="A211" s="17"/>
      <c r="B211"/>
      <c r="C211"/>
      <c r="D211"/>
      <c r="E211"/>
      <c r="F211"/>
      <c r="G211"/>
      <c r="H211" s="27"/>
      <c r="I211" s="27"/>
      <c r="J211" s="27"/>
      <c r="K211" s="27"/>
      <c r="U211"/>
      <c r="V211"/>
      <c r="W211"/>
    </row>
    <row r="212" spans="1:23" s="15" customFormat="1" x14ac:dyDescent="0.3">
      <c r="A212" s="17"/>
      <c r="B212"/>
      <c r="C212"/>
      <c r="D212"/>
      <c r="E212"/>
      <c r="F212"/>
      <c r="G212"/>
      <c r="H212" s="27"/>
      <c r="I212" s="27"/>
      <c r="J212" s="27"/>
      <c r="K212" s="27"/>
      <c r="U212"/>
      <c r="V212"/>
      <c r="W212"/>
    </row>
    <row r="213" spans="1:23" s="15" customFormat="1" x14ac:dyDescent="0.3">
      <c r="A213" s="17"/>
      <c r="B213"/>
      <c r="C213"/>
      <c r="D213"/>
      <c r="E213"/>
      <c r="F213"/>
      <c r="G213"/>
      <c r="H213" s="27"/>
      <c r="I213" s="27"/>
      <c r="J213" s="27"/>
      <c r="K213" s="27"/>
      <c r="U213"/>
      <c r="V213"/>
      <c r="W213"/>
    </row>
    <row r="214" spans="1:23" s="15" customFormat="1" x14ac:dyDescent="0.3">
      <c r="A214" s="17"/>
      <c r="B214"/>
      <c r="C214"/>
      <c r="D214"/>
      <c r="E214"/>
      <c r="F214"/>
      <c r="G214"/>
      <c r="H214" s="27"/>
      <c r="I214" s="27"/>
      <c r="J214" s="27"/>
      <c r="K214" s="27"/>
      <c r="U214"/>
      <c r="V214"/>
      <c r="W214"/>
    </row>
    <row r="215" spans="1:23" s="15" customFormat="1" x14ac:dyDescent="0.3">
      <c r="A215" s="17"/>
      <c r="B215"/>
      <c r="C215"/>
      <c r="D215"/>
      <c r="E215"/>
      <c r="F215"/>
      <c r="G215"/>
      <c r="H215" s="27"/>
      <c r="I215" s="27"/>
      <c r="J215" s="27"/>
      <c r="K215" s="27"/>
      <c r="U215"/>
      <c r="V215"/>
      <c r="W215"/>
    </row>
    <row r="216" spans="1:23" s="15" customFormat="1" x14ac:dyDescent="0.3">
      <c r="A216" s="17"/>
      <c r="B216"/>
      <c r="C216"/>
      <c r="D216"/>
      <c r="E216"/>
      <c r="F216"/>
      <c r="G216"/>
      <c r="H216" s="27"/>
      <c r="I216" s="27"/>
      <c r="J216" s="27"/>
      <c r="K216" s="27"/>
      <c r="U216"/>
      <c r="V216"/>
      <c r="W216"/>
    </row>
    <row r="217" spans="1:23" s="15" customFormat="1" x14ac:dyDescent="0.3">
      <c r="A217" s="17"/>
      <c r="B217"/>
      <c r="C217"/>
      <c r="D217"/>
      <c r="E217"/>
      <c r="F217"/>
      <c r="G217"/>
      <c r="H217" s="27"/>
      <c r="I217" s="27"/>
      <c r="J217" s="27"/>
      <c r="K217" s="27"/>
      <c r="U217"/>
      <c r="V217"/>
      <c r="W217"/>
    </row>
    <row r="218" spans="1:23" s="15" customFormat="1" x14ac:dyDescent="0.3">
      <c r="A218" s="17"/>
      <c r="B218"/>
      <c r="C218"/>
      <c r="D218"/>
      <c r="E218"/>
      <c r="F218"/>
      <c r="G218"/>
      <c r="H218" s="27"/>
      <c r="I218" s="27"/>
      <c r="J218" s="27"/>
      <c r="K218" s="27"/>
      <c r="U218"/>
      <c r="V218"/>
      <c r="W218"/>
    </row>
    <row r="219" spans="1:23" s="15" customFormat="1" x14ac:dyDescent="0.3">
      <c r="A219" s="17"/>
      <c r="B219"/>
      <c r="C219"/>
      <c r="D219"/>
      <c r="E219"/>
      <c r="F219"/>
      <c r="G219"/>
      <c r="H219" s="27"/>
      <c r="I219" s="27"/>
      <c r="J219" s="27"/>
      <c r="K219" s="27"/>
      <c r="U219"/>
      <c r="V219"/>
      <c r="W219"/>
    </row>
    <row r="220" spans="1:23" s="15" customFormat="1" x14ac:dyDescent="0.3">
      <c r="A220" s="17"/>
      <c r="B220"/>
      <c r="C220"/>
      <c r="D220"/>
      <c r="E220"/>
      <c r="F220"/>
      <c r="G220"/>
      <c r="H220" s="27"/>
      <c r="I220" s="27"/>
      <c r="J220" s="27"/>
      <c r="K220" s="27"/>
      <c r="U220"/>
      <c r="V220"/>
      <c r="W220"/>
    </row>
    <row r="221" spans="1:23" s="15" customFormat="1" x14ac:dyDescent="0.3">
      <c r="A221" s="17"/>
      <c r="B221"/>
      <c r="C221"/>
      <c r="D221"/>
      <c r="E221"/>
      <c r="F221"/>
      <c r="G221"/>
      <c r="H221" s="27"/>
      <c r="I221" s="27"/>
      <c r="J221" s="27"/>
      <c r="K221" s="27"/>
      <c r="U221"/>
      <c r="V221"/>
      <c r="W221"/>
    </row>
    <row r="222" spans="1:23" s="15" customFormat="1" x14ac:dyDescent="0.3">
      <c r="A222" s="17"/>
      <c r="B222"/>
      <c r="C222"/>
      <c r="D222"/>
      <c r="E222"/>
      <c r="F222"/>
      <c r="G222"/>
      <c r="H222" s="27"/>
      <c r="I222" s="27"/>
      <c r="J222" s="27"/>
      <c r="K222" s="27"/>
      <c r="U222"/>
      <c r="V222"/>
      <c r="W222"/>
    </row>
    <row r="223" spans="1:23" s="15" customFormat="1" x14ac:dyDescent="0.3">
      <c r="A223" s="17"/>
      <c r="B223"/>
      <c r="C223"/>
      <c r="D223"/>
      <c r="E223"/>
      <c r="F223"/>
      <c r="G223"/>
      <c r="H223" s="27"/>
      <c r="I223" s="27"/>
      <c r="J223" s="27"/>
      <c r="K223" s="27"/>
      <c r="U223"/>
      <c r="V223"/>
      <c r="W223"/>
    </row>
    <row r="224" spans="1:23" s="15" customFormat="1" x14ac:dyDescent="0.3">
      <c r="A224" s="17"/>
      <c r="B224"/>
      <c r="C224"/>
      <c r="D224"/>
      <c r="E224"/>
      <c r="F224"/>
      <c r="G224"/>
      <c r="H224" s="27"/>
      <c r="I224" s="27"/>
      <c r="J224" s="27"/>
      <c r="K224" s="27"/>
      <c r="U224"/>
      <c r="V224"/>
      <c r="W224"/>
    </row>
    <row r="225" spans="1:23" s="15" customFormat="1" x14ac:dyDescent="0.3">
      <c r="A225" s="17"/>
      <c r="B225"/>
      <c r="C225"/>
      <c r="D225"/>
      <c r="E225"/>
      <c r="F225"/>
      <c r="G225"/>
      <c r="H225" s="27"/>
      <c r="I225" s="27"/>
      <c r="J225" s="27"/>
      <c r="K225" s="27"/>
      <c r="U225"/>
      <c r="V225"/>
      <c r="W225"/>
    </row>
    <row r="226" spans="1:23" s="15" customFormat="1" x14ac:dyDescent="0.3">
      <c r="A226" s="17"/>
      <c r="B226"/>
      <c r="C226"/>
      <c r="D226"/>
      <c r="E226"/>
      <c r="F226"/>
      <c r="G226"/>
      <c r="H226" s="27"/>
      <c r="I226" s="27"/>
      <c r="J226" s="27"/>
      <c r="K226" s="27"/>
      <c r="U226"/>
      <c r="V226"/>
      <c r="W226"/>
    </row>
    <row r="227" spans="1:23" s="15" customFormat="1" x14ac:dyDescent="0.3">
      <c r="A227" s="17"/>
      <c r="B227"/>
      <c r="C227"/>
      <c r="D227"/>
      <c r="E227"/>
      <c r="F227"/>
      <c r="G227"/>
      <c r="H227" s="27"/>
      <c r="I227" s="27"/>
      <c r="J227" s="27"/>
      <c r="K227" s="27"/>
      <c r="U227"/>
      <c r="V227"/>
      <c r="W227"/>
    </row>
    <row r="228" spans="1:23" s="15" customFormat="1" x14ac:dyDescent="0.3">
      <c r="A228" s="17"/>
      <c r="B228"/>
      <c r="C228"/>
      <c r="D228"/>
      <c r="E228"/>
      <c r="F228"/>
      <c r="G228"/>
      <c r="H228" s="27"/>
      <c r="I228" s="27"/>
      <c r="J228" s="27"/>
      <c r="K228" s="27"/>
      <c r="U228"/>
      <c r="V228"/>
      <c r="W228"/>
    </row>
    <row r="229" spans="1:23" s="15" customFormat="1" x14ac:dyDescent="0.3">
      <c r="A229" s="17"/>
      <c r="B229"/>
      <c r="C229"/>
      <c r="D229"/>
      <c r="E229"/>
      <c r="F229"/>
      <c r="G229"/>
      <c r="H229" s="27"/>
      <c r="I229" s="27"/>
      <c r="J229" s="27"/>
      <c r="K229" s="27"/>
      <c r="U229"/>
      <c r="V229"/>
      <c r="W229"/>
    </row>
    <row r="230" spans="1:23" s="15" customFormat="1" x14ac:dyDescent="0.3">
      <c r="A230" s="17"/>
      <c r="B230"/>
      <c r="C230"/>
      <c r="D230"/>
      <c r="E230"/>
      <c r="F230"/>
      <c r="G230"/>
      <c r="H230" s="27"/>
      <c r="I230" s="27"/>
      <c r="J230" s="27"/>
      <c r="K230" s="27"/>
      <c r="U230"/>
      <c r="V230"/>
      <c r="W230"/>
    </row>
    <row r="231" spans="1:23" s="15" customFormat="1" x14ac:dyDescent="0.3">
      <c r="A231" s="17"/>
      <c r="B231"/>
      <c r="C231"/>
      <c r="D231"/>
      <c r="E231"/>
      <c r="F231"/>
      <c r="G231"/>
      <c r="H231" s="27"/>
      <c r="I231" s="27"/>
      <c r="J231" s="27"/>
      <c r="K231" s="27"/>
      <c r="U231"/>
      <c r="V231"/>
      <c r="W231"/>
    </row>
    <row r="232" spans="1:23" s="15" customFormat="1" x14ac:dyDescent="0.3">
      <c r="A232" s="17"/>
      <c r="B232"/>
      <c r="C232"/>
      <c r="D232"/>
      <c r="E232"/>
      <c r="F232"/>
      <c r="G232"/>
      <c r="H232" s="27"/>
      <c r="I232" s="27"/>
      <c r="J232" s="27"/>
      <c r="K232" s="27"/>
      <c r="U232"/>
      <c r="V232"/>
      <c r="W232"/>
    </row>
    <row r="233" spans="1:23" s="15" customFormat="1" x14ac:dyDescent="0.3">
      <c r="A233" s="17"/>
      <c r="B233"/>
      <c r="C233"/>
      <c r="D233"/>
      <c r="E233"/>
      <c r="F233"/>
      <c r="G233"/>
      <c r="H233" s="27"/>
      <c r="I233" s="27"/>
      <c r="J233" s="27"/>
      <c r="K233" s="27"/>
      <c r="U233"/>
      <c r="V233"/>
      <c r="W233"/>
    </row>
    <row r="234" spans="1:23" s="15" customFormat="1" x14ac:dyDescent="0.3">
      <c r="A234" s="17"/>
      <c r="B234"/>
      <c r="C234"/>
      <c r="D234"/>
      <c r="E234"/>
      <c r="F234"/>
      <c r="G234"/>
      <c r="H234" s="27"/>
      <c r="I234" s="27"/>
      <c r="J234" s="27"/>
      <c r="K234" s="27"/>
      <c r="U234"/>
      <c r="V234"/>
      <c r="W234"/>
    </row>
    <row r="235" spans="1:23" s="15" customFormat="1" x14ac:dyDescent="0.3">
      <c r="A235" s="17"/>
      <c r="B235"/>
      <c r="C235"/>
      <c r="D235"/>
      <c r="E235"/>
      <c r="F235"/>
      <c r="G235"/>
      <c r="H235" s="27"/>
      <c r="I235" s="27"/>
      <c r="J235" s="27"/>
      <c r="K235" s="27"/>
      <c r="U235"/>
      <c r="V235"/>
      <c r="W235"/>
    </row>
    <row r="236" spans="1:23" s="15" customFormat="1" x14ac:dyDescent="0.3">
      <c r="A236" s="17"/>
      <c r="B236"/>
      <c r="C236"/>
      <c r="D236"/>
      <c r="E236"/>
      <c r="F236"/>
      <c r="G236"/>
      <c r="H236" s="27"/>
      <c r="I236" s="27"/>
      <c r="J236" s="27"/>
      <c r="K236" s="27"/>
      <c r="U236"/>
      <c r="V236"/>
      <c r="W236"/>
    </row>
    <row r="237" spans="1:23" s="15" customFormat="1" x14ac:dyDescent="0.3">
      <c r="A237" s="17"/>
      <c r="B237"/>
      <c r="C237"/>
      <c r="D237"/>
      <c r="E237"/>
      <c r="F237"/>
      <c r="G237"/>
      <c r="H237" s="27"/>
      <c r="I237" s="27"/>
      <c r="J237" s="27"/>
      <c r="K237" s="27"/>
      <c r="U237"/>
      <c r="V237"/>
      <c r="W237"/>
    </row>
    <row r="238" spans="1:23" s="15" customFormat="1" x14ac:dyDescent="0.3">
      <c r="A238" s="17"/>
      <c r="B238"/>
      <c r="C238"/>
      <c r="D238"/>
      <c r="E238"/>
      <c r="F238"/>
      <c r="G238"/>
      <c r="H238" s="27"/>
      <c r="I238" s="27"/>
      <c r="J238" s="27"/>
      <c r="K238" s="27"/>
      <c r="U238"/>
      <c r="V238"/>
      <c r="W238"/>
    </row>
    <row r="239" spans="1:23" s="15" customFormat="1" x14ac:dyDescent="0.3">
      <c r="A239" s="17"/>
      <c r="B239"/>
      <c r="C239"/>
      <c r="D239"/>
      <c r="E239"/>
      <c r="F239"/>
      <c r="G239"/>
      <c r="H239" s="27"/>
      <c r="I239" s="27"/>
      <c r="J239" s="27"/>
      <c r="K239" s="27"/>
      <c r="U239"/>
      <c r="V239"/>
      <c r="W239"/>
    </row>
    <row r="240" spans="1:23" s="15" customFormat="1" x14ac:dyDescent="0.3">
      <c r="A240" s="17"/>
      <c r="B240"/>
      <c r="C240"/>
      <c r="D240"/>
      <c r="E240"/>
      <c r="F240"/>
      <c r="G240"/>
      <c r="H240" s="27"/>
      <c r="I240" s="27"/>
      <c r="J240" s="27"/>
      <c r="K240" s="27"/>
      <c r="U240"/>
      <c r="V240"/>
      <c r="W240"/>
    </row>
    <row r="241" spans="1:23" s="15" customFormat="1" x14ac:dyDescent="0.3">
      <c r="A241" s="17"/>
      <c r="B241"/>
      <c r="C241"/>
      <c r="D241"/>
      <c r="E241"/>
      <c r="F241"/>
      <c r="G241"/>
      <c r="H241" s="27"/>
      <c r="I241" s="27"/>
      <c r="J241" s="27"/>
      <c r="K241" s="27"/>
      <c r="U241"/>
      <c r="V241"/>
      <c r="W241"/>
    </row>
    <row r="242" spans="1:23" s="15" customFormat="1" x14ac:dyDescent="0.3">
      <c r="A242" s="17"/>
      <c r="B242"/>
      <c r="C242"/>
      <c r="D242"/>
      <c r="E242"/>
      <c r="F242"/>
      <c r="G242"/>
      <c r="H242" s="27"/>
      <c r="I242" s="27"/>
      <c r="J242" s="27"/>
      <c r="K242" s="27"/>
      <c r="U242"/>
      <c r="V242"/>
      <c r="W242"/>
    </row>
    <row r="243" spans="1:23" s="15" customFormat="1" x14ac:dyDescent="0.3">
      <c r="A243" s="17"/>
      <c r="B243"/>
      <c r="C243"/>
      <c r="D243"/>
      <c r="E243"/>
      <c r="F243"/>
      <c r="G243"/>
      <c r="H243" s="27"/>
      <c r="I243" s="27"/>
      <c r="J243" s="27"/>
      <c r="K243" s="27"/>
      <c r="U243"/>
      <c r="V243"/>
      <c r="W243"/>
    </row>
    <row r="244" spans="1:23" s="15" customFormat="1" x14ac:dyDescent="0.3">
      <c r="A244" s="17"/>
      <c r="B244"/>
      <c r="C244"/>
      <c r="D244"/>
      <c r="E244"/>
      <c r="F244"/>
      <c r="G244"/>
      <c r="H244" s="27"/>
      <c r="I244" s="27"/>
      <c r="J244" s="27"/>
      <c r="K244" s="27"/>
      <c r="U244"/>
      <c r="V244"/>
      <c r="W244"/>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86D63367-6E00-4284-8E3B-867B08054859}">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78</vt:i4>
      </vt:variant>
    </vt:vector>
  </HeadingPairs>
  <TitlesOfParts>
    <vt:vector size="78" baseType="lpstr">
      <vt:lpstr>Function List</vt:lpstr>
      <vt:lpstr>Main Functions</vt:lpstr>
      <vt:lpstr>OLS Functions</vt:lpstr>
      <vt:lpstr>STATIONARIZE</vt:lpstr>
      <vt:lpstr>ISSTATIONARY</vt:lpstr>
      <vt:lpstr>IORDER</vt:lpstr>
      <vt:lpstr>ISCOINTEGRATED</vt:lpstr>
      <vt:lpstr>DFTABLE</vt:lpstr>
      <vt:lpstr>GRANGER</vt:lpstr>
      <vt:lpstr>ANOVA</vt:lpstr>
      <vt:lpstr>LAG</vt:lpstr>
      <vt:lpstr>LEAD</vt:lpstr>
      <vt:lpstr>HPFILTER</vt:lpstr>
      <vt:lpstr>DIFF</vt:lpstr>
      <vt:lpstr>MOVAVG</vt:lpstr>
      <vt:lpstr>MOVSUM</vt:lpstr>
      <vt:lpstr>MOVPROD</vt:lpstr>
      <vt:lpstr>DETREND</vt:lpstr>
      <vt:lpstr>TSTREND</vt:lpstr>
      <vt:lpstr>SEASADJ</vt:lpstr>
      <vt:lpstr>SEASFACTOR</vt:lpstr>
      <vt:lpstr>DUMMYVAR</vt:lpstr>
      <vt:lpstr>ADDCONST</vt:lpstr>
      <vt:lpstr>ADDTREND</vt:lpstr>
      <vt:lpstr>HASCONST</vt:lpstr>
      <vt:lpstr>TSOPER</vt:lpstr>
      <vt:lpstr>APPLYCOLS</vt:lpstr>
      <vt:lpstr>EYE</vt:lpstr>
      <vt:lpstr>ZEROS</vt:lpstr>
      <vt:lpstr>ONES</vt:lpstr>
      <vt:lpstr>DIAG</vt:lpstr>
      <vt:lpstr>TRIL</vt:lpstr>
      <vt:lpstr>TRIU</vt:lpstr>
      <vt:lpstr>VEC</vt:lpstr>
      <vt:lpstr>RESHAPE</vt:lpstr>
      <vt:lpstr>FLIPLR</vt:lpstr>
      <vt:lpstr>FLIPUD</vt:lpstr>
      <vt:lpstr>REPMAT</vt:lpstr>
      <vt:lpstr>NOZERO (FIND)</vt:lpstr>
      <vt:lpstr>BLKDIAG</vt:lpstr>
      <vt:lpstr>ALL</vt:lpstr>
      <vt:lpstr>ANY</vt:lpstr>
      <vt:lpstr>NNZ</vt:lpstr>
      <vt:lpstr>LINSPACE</vt:lpstr>
      <vt:lpstr>LENGTH</vt:lpstr>
      <vt:lpstr>DIM</vt:lpstr>
      <vt:lpstr>NUMEL</vt:lpstr>
      <vt:lpstr>RMMISSING</vt:lpstr>
      <vt:lpstr>ISOUTLIER</vt:lpstr>
      <vt:lpstr>RMOUTLIERS</vt:lpstr>
      <vt:lpstr>MULTIFILTER</vt:lpstr>
      <vt:lpstr>TEXTTOARRAY</vt:lpstr>
      <vt:lpstr>STARTSWITH</vt:lpstr>
      <vt:lpstr>ENDSWITH</vt:lpstr>
      <vt:lpstr>CONTAINS</vt:lpstr>
      <vt:lpstr>ISMEMBER</vt:lpstr>
      <vt:lpstr>COMPLEMENT</vt:lpstr>
      <vt:lpstr>SORTRANGE</vt:lpstr>
      <vt:lpstr>RANKRANGE</vt:lpstr>
      <vt:lpstr>ISUNIQUE</vt:lpstr>
      <vt:lpstr>AGGREGBYDATE</vt:lpstr>
      <vt:lpstr>MNORM</vt:lpstr>
      <vt:lpstr>EVALS</vt:lpstr>
      <vt:lpstr>SUBS</vt:lpstr>
      <vt:lpstr>FZERO</vt:lpstr>
      <vt:lpstr>CONTAGION_FORBESRIGOBON</vt:lpstr>
      <vt:lpstr>CONTAGION_COVOLATILITY</vt:lpstr>
      <vt:lpstr>CONTAGION_COKURTOSIS</vt:lpstr>
      <vt:lpstr>CONTAGION_COSKEWNESS</vt:lpstr>
      <vt:lpstr>CORRCOEF</vt:lpstr>
      <vt:lpstr>ISMULTICOLLINEAR</vt:lpstr>
      <vt:lpstr>VARINFLATIONFACTOR</vt:lpstr>
      <vt:lpstr>FACTORIZE_QR</vt:lpstr>
      <vt:lpstr>FACTORIZE_CHOL</vt:lpstr>
      <vt:lpstr>EIGENVALUES</vt:lpstr>
      <vt:lpstr>EIGENVECTORS</vt:lpstr>
      <vt:lpstr>LINSOLVE</vt:lpstr>
      <vt:lpstr>BOOTSTRP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dc:creator>
  <cp:lastModifiedBy>Eduardo Amaral</cp:lastModifiedBy>
  <dcterms:created xsi:type="dcterms:W3CDTF">2022-02-28T15:33:27Z</dcterms:created>
  <dcterms:modified xsi:type="dcterms:W3CDTF">2023-10-16T01:29:03Z</dcterms:modified>
</cp:coreProperties>
</file>